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30"/>
  <workbookPr/>
  <mc:AlternateContent xmlns:mc="http://schemas.openxmlformats.org/markup-compatibility/2006">
    <mc:Choice Requires="x15">
      <x15ac:absPath xmlns:x15ac="http://schemas.microsoft.com/office/spreadsheetml/2010/11/ac" url="/Users/chasesiegel/Desktop/Comp_Sci/Capstone/Dynasty/data/Bakery/RB/"/>
    </mc:Choice>
  </mc:AlternateContent>
  <xr:revisionPtr revIDLastSave="0" documentId="13_ncr:1_{FCB72D00-9DBB-D247-8CAE-B27859A97579}" xr6:coauthVersionLast="47" xr6:coauthVersionMax="47" xr10:uidLastSave="{00000000-0000-0000-0000-000000000000}"/>
  <bookViews>
    <workbookView xWindow="0" yWindow="760" windowWidth="34560" windowHeight="20100" tabRatio="733" activeTab="2" xr2:uid="{00000000-000D-0000-FFFF-FFFF00000000}"/>
  </bookViews>
  <sheets>
    <sheet name="Legend" sheetId="1" r:id="rId1"/>
    <sheet name="Correlation" sheetId="2" state="hidden" r:id="rId2"/>
    <sheet name="Overall" sheetId="3" r:id="rId3"/>
    <sheet name="Report Card" sheetId="4" r:id="rId4"/>
    <sheet name="Tiers" sheetId="5" r:id="rId5"/>
    <sheet name="2015" sheetId="6" r:id="rId6"/>
    <sheet name="2016" sheetId="7" r:id="rId7"/>
    <sheet name="2017" sheetId="8" r:id="rId8"/>
    <sheet name="2018" sheetId="9" r:id="rId9"/>
    <sheet name="2019" sheetId="10" r:id="rId10"/>
    <sheet name="2020" sheetId="11" r:id="rId11"/>
    <sheet name="2021" sheetId="12" r:id="rId12"/>
    <sheet name="2022" sheetId="13" r:id="rId13"/>
    <sheet name="2023" sheetId="14" r:id="rId14"/>
    <sheet name="Metric Grades" sheetId="15" state="hidden" r:id="rId15"/>
    <sheet name="2024" sheetId="16" r:id="rId16"/>
    <sheet name="2025" sheetId="17" r:id="rId17"/>
    <sheet name="2026 - WIP" sheetId="18" r:id="rId18"/>
    <sheet name="2027 - WIP" sheetId="19" state="hidden" r:id="rId19"/>
  </sheets>
  <definedNames>
    <definedName name="_xlnm._FilterDatabase" localSheetId="5" hidden="1">'2015'!$A$2:$DM$2</definedName>
    <definedName name="_xlnm._FilterDatabase" localSheetId="6" hidden="1">'2016'!$A$2:$DM$2</definedName>
    <definedName name="_xlnm._FilterDatabase" localSheetId="7" hidden="1">'2017'!$A$2:$DM$2</definedName>
    <definedName name="_xlnm._FilterDatabase" localSheetId="8" hidden="1">'2018'!$A$2:$DM$2</definedName>
    <definedName name="_xlnm._FilterDatabase" localSheetId="9" hidden="1">'2019'!$A$2:$DM$2</definedName>
    <definedName name="_xlnm._FilterDatabase" localSheetId="10" hidden="1">'2020'!$A$2:$DM$2</definedName>
    <definedName name="_xlnm._FilterDatabase" localSheetId="11" hidden="1">'2021'!$A$2:$DM$2</definedName>
    <definedName name="_xlnm._FilterDatabase" localSheetId="12" hidden="1">'2022'!$A$2:$DM$2</definedName>
    <definedName name="_xlnm._FilterDatabase" localSheetId="13" hidden="1">'2023'!$A$2:$DM$2</definedName>
    <definedName name="_xlnm._FilterDatabase" localSheetId="15" hidden="1">'2024'!$A$2:$DM$2</definedName>
    <definedName name="_xlnm._FilterDatabase" localSheetId="16" hidden="1">'2025'!$A$2:$DM$2</definedName>
    <definedName name="_xlnm._FilterDatabase" localSheetId="17" hidden="1">'2026 - WIP'!$A$2:$DM$2</definedName>
    <definedName name="_xlnm._FilterDatabase" localSheetId="18" hidden="1">'2027 - WIP'!$A$2:$DM$2</definedName>
    <definedName name="_xlnm._FilterDatabase" localSheetId="1" hidden="1">Correlation!$D$1:$I$94</definedName>
    <definedName name="_xlnm._FilterDatabase" localSheetId="14" hidden="1">'Metric Grades'!$A$2:$J$2</definedName>
    <definedName name="_xlnm._FilterDatabase" localSheetId="2" hidden="1">Overall!$A$2:$DW$328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24" roundtripDataChecksum="GeT4Wco/Ei2fFL/k3tOmC5npB3osMbYmBH+WFVawpHc="/>
    </ext>
  </extLst>
</workbook>
</file>

<file path=xl/calcChain.xml><?xml version="1.0" encoding="utf-8"?>
<calcChain xmlns="http://schemas.openxmlformats.org/spreadsheetml/2006/main">
  <c r="S4" i="3" l="1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" i="3"/>
  <c r="AI3" i="19" l="1"/>
  <c r="AF4" i="19" l="1"/>
  <c r="AE4" i="19"/>
  <c r="AD4" i="19"/>
  <c r="AC4" i="19"/>
  <c r="AB4" i="19"/>
  <c r="CP4" i="19"/>
  <c r="CA4" i="19"/>
  <c r="BT4" i="19"/>
  <c r="BQ4" i="19"/>
  <c r="BL4" i="19"/>
  <c r="BI4" i="19"/>
  <c r="BG4" i="19"/>
  <c r="AO4" i="19"/>
  <c r="AA4" i="19"/>
  <c r="Z4" i="19"/>
  <c r="AJ4" i="19" s="1"/>
  <c r="V4" i="19"/>
  <c r="U4" i="19"/>
  <c r="R4" i="19"/>
  <c r="Q4" i="19"/>
  <c r="P4" i="19"/>
  <c r="AM4" i="19" s="1"/>
  <c r="O4" i="19"/>
  <c r="N4" i="19"/>
  <c r="I4" i="19"/>
  <c r="G4" i="19"/>
  <c r="V5" i="19"/>
  <c r="V3" i="19"/>
  <c r="U3" i="19"/>
  <c r="CP5" i="19"/>
  <c r="CP3" i="19"/>
  <c r="N6" i="19"/>
  <c r="Y6" i="19" s="1"/>
  <c r="O6" i="19"/>
  <c r="P6" i="19"/>
  <c r="Q6" i="19"/>
  <c r="R6" i="19"/>
  <c r="U6" i="19"/>
  <c r="W6" i="19" s="1"/>
  <c r="X6" i="19" s="1"/>
  <c r="AH6" i="19" s="1"/>
  <c r="V6" i="19"/>
  <c r="Z6" i="19"/>
  <c r="AJ6" i="19" s="1"/>
  <c r="AA6" i="19"/>
  <c r="AB6" i="19"/>
  <c r="AD6" i="19"/>
  <c r="AE6" i="19"/>
  <c r="AF6" i="19"/>
  <c r="CI6" i="19"/>
  <c r="CF6" i="19"/>
  <c r="CA6" i="19"/>
  <c r="AC6" i="19" s="1"/>
  <c r="BX6" i="19"/>
  <c r="BV6" i="19"/>
  <c r="BT6" i="19"/>
  <c r="BQ6" i="19"/>
  <c r="BL6" i="19"/>
  <c r="BI6" i="19"/>
  <c r="BG6" i="19"/>
  <c r="I6" i="19"/>
  <c r="AO6" i="19"/>
  <c r="G6" i="19"/>
  <c r="S4" i="19" l="1"/>
  <c r="T4" i="19" s="1"/>
  <c r="AG4" i="19" s="1"/>
  <c r="Y4" i="19"/>
  <c r="AI4" i="19" s="1"/>
  <c r="W4" i="19"/>
  <c r="X4" i="19" s="1"/>
  <c r="AH4" i="19" s="1"/>
  <c r="AL4" i="19"/>
  <c r="AN4" i="19"/>
  <c r="AK4" i="19"/>
  <c r="AL6" i="19"/>
  <c r="S6" i="19"/>
  <c r="T6" i="19" s="1"/>
  <c r="AG6" i="19" s="1"/>
  <c r="AI6" i="19"/>
  <c r="AM6" i="19"/>
  <c r="AK6" i="19"/>
  <c r="AN6" i="19"/>
  <c r="C4" i="19" l="1"/>
  <c r="C6" i="19"/>
  <c r="D25" i="3"/>
  <c r="I25" i="3"/>
  <c r="J25" i="3"/>
  <c r="K25" i="3"/>
  <c r="M25" i="3"/>
  <c r="Q25" i="3"/>
  <c r="R25" i="3"/>
  <c r="T25" i="3"/>
  <c r="U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R25" i="3"/>
  <c r="BS25" i="3"/>
  <c r="BT25" i="3"/>
  <c r="BU25" i="3"/>
  <c r="BV25" i="3"/>
  <c r="BW25" i="3"/>
  <c r="BX25" i="3"/>
  <c r="BY25" i="3"/>
  <c r="BZ25" i="3"/>
  <c r="CB25" i="3"/>
  <c r="CC25" i="3"/>
  <c r="CD25" i="3"/>
  <c r="CE25" i="3"/>
  <c r="CG25" i="3"/>
  <c r="CH25" i="3"/>
  <c r="CI25" i="3"/>
  <c r="CJ25" i="3"/>
  <c r="CL25" i="3"/>
  <c r="CM25" i="3"/>
  <c r="CN25" i="3"/>
  <c r="CO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P25" i="3"/>
  <c r="DQ25" i="3"/>
  <c r="DR25" i="3"/>
  <c r="DS25" i="3"/>
  <c r="DT25" i="3"/>
  <c r="DU25" i="3"/>
  <c r="DV25" i="3"/>
  <c r="DW25" i="3"/>
  <c r="D41" i="3"/>
  <c r="I41" i="3"/>
  <c r="J41" i="3"/>
  <c r="K41" i="3"/>
  <c r="M41" i="3"/>
  <c r="Q41" i="3"/>
  <c r="R41" i="3"/>
  <c r="T41" i="3"/>
  <c r="U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G41" i="3"/>
  <c r="CI41" i="3"/>
  <c r="CJ41" i="3"/>
  <c r="CL41" i="3"/>
  <c r="CM41" i="3"/>
  <c r="CN41" i="3"/>
  <c r="CO41" i="3"/>
  <c r="CQ41" i="3"/>
  <c r="CR41" i="3"/>
  <c r="CT41" i="3"/>
  <c r="CV41" i="3"/>
  <c r="CX41" i="3"/>
  <c r="CY41" i="3"/>
  <c r="DA41" i="3"/>
  <c r="DB41" i="3"/>
  <c r="DC41" i="3"/>
  <c r="DD41" i="3"/>
  <c r="DF41" i="3"/>
  <c r="DG41" i="3"/>
  <c r="DI41" i="3"/>
  <c r="DJ41" i="3"/>
  <c r="DK41" i="3"/>
  <c r="DL41" i="3"/>
  <c r="DM41" i="3"/>
  <c r="DN41" i="3"/>
  <c r="DP41" i="3"/>
  <c r="DQ41" i="3"/>
  <c r="DR41" i="3"/>
  <c r="DS41" i="3"/>
  <c r="DT41" i="3"/>
  <c r="DU41" i="3"/>
  <c r="DV41" i="3"/>
  <c r="DW41" i="3"/>
  <c r="D60" i="3"/>
  <c r="I60" i="3"/>
  <c r="J60" i="3"/>
  <c r="K60" i="3"/>
  <c r="M60" i="3"/>
  <c r="Q60" i="3"/>
  <c r="R60" i="3"/>
  <c r="T60" i="3"/>
  <c r="U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G60" i="3"/>
  <c r="CI60" i="3"/>
  <c r="CJ60" i="3"/>
  <c r="CL60" i="3"/>
  <c r="CM60" i="3"/>
  <c r="CN60" i="3"/>
  <c r="CO60" i="3"/>
  <c r="CQ60" i="3"/>
  <c r="CR60" i="3"/>
  <c r="CT60" i="3"/>
  <c r="CV60" i="3"/>
  <c r="CX60" i="3"/>
  <c r="CY60" i="3"/>
  <c r="DA60" i="3"/>
  <c r="DB60" i="3"/>
  <c r="DC60" i="3"/>
  <c r="DD60" i="3"/>
  <c r="DF60" i="3"/>
  <c r="DG60" i="3"/>
  <c r="DI60" i="3"/>
  <c r="DJ60" i="3"/>
  <c r="DK60" i="3"/>
  <c r="DL60" i="3"/>
  <c r="DM60" i="3"/>
  <c r="DN60" i="3"/>
  <c r="DP60" i="3"/>
  <c r="DQ60" i="3"/>
  <c r="DR60" i="3"/>
  <c r="DS60" i="3"/>
  <c r="DT60" i="3"/>
  <c r="DU60" i="3"/>
  <c r="DV60" i="3"/>
  <c r="DW60" i="3"/>
  <c r="D62" i="3"/>
  <c r="I62" i="3"/>
  <c r="J62" i="3"/>
  <c r="K62" i="3"/>
  <c r="M62" i="3"/>
  <c r="Q62" i="3"/>
  <c r="R62" i="3"/>
  <c r="T62" i="3"/>
  <c r="U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67" i="3"/>
  <c r="I67" i="3"/>
  <c r="J67" i="3"/>
  <c r="K67" i="3"/>
  <c r="M67" i="3"/>
  <c r="Q67" i="3"/>
  <c r="R67" i="3"/>
  <c r="T67" i="3"/>
  <c r="U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G67" i="3"/>
  <c r="CI67" i="3"/>
  <c r="CJ67" i="3"/>
  <c r="CL67" i="3"/>
  <c r="CM67" i="3"/>
  <c r="CN67" i="3"/>
  <c r="CO67" i="3"/>
  <c r="CQ67" i="3"/>
  <c r="CR67" i="3"/>
  <c r="CS67" i="3"/>
  <c r="CT67" i="3"/>
  <c r="CV67" i="3"/>
  <c r="CX67" i="3"/>
  <c r="CY67" i="3"/>
  <c r="DA67" i="3"/>
  <c r="DB67" i="3"/>
  <c r="DC67" i="3"/>
  <c r="DD67" i="3"/>
  <c r="DF67" i="3"/>
  <c r="DG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110" i="3"/>
  <c r="I110" i="3"/>
  <c r="J110" i="3"/>
  <c r="K110" i="3"/>
  <c r="M110" i="3"/>
  <c r="Q110" i="3"/>
  <c r="R110" i="3"/>
  <c r="T110" i="3"/>
  <c r="U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R110" i="3"/>
  <c r="BT110" i="3"/>
  <c r="BU110" i="3"/>
  <c r="BW110" i="3"/>
  <c r="BX110" i="3"/>
  <c r="BY110" i="3"/>
  <c r="BZ110" i="3"/>
  <c r="CB110" i="3"/>
  <c r="CC110" i="3"/>
  <c r="CE110" i="3"/>
  <c r="CG110" i="3"/>
  <c r="CI110" i="3"/>
  <c r="CJ110" i="3"/>
  <c r="CL110" i="3"/>
  <c r="CM110" i="3"/>
  <c r="CN110" i="3"/>
  <c r="CO110" i="3"/>
  <c r="CQ110" i="3"/>
  <c r="CR110" i="3"/>
  <c r="CT110" i="3"/>
  <c r="CV110" i="3"/>
  <c r="CX110" i="3"/>
  <c r="CY110" i="3"/>
  <c r="DA110" i="3"/>
  <c r="DB110" i="3"/>
  <c r="DC110" i="3"/>
  <c r="DD110" i="3"/>
  <c r="DF110" i="3"/>
  <c r="DG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117" i="3"/>
  <c r="I117" i="3"/>
  <c r="J117" i="3"/>
  <c r="K117" i="3"/>
  <c r="M117" i="3"/>
  <c r="Q117" i="3"/>
  <c r="R117" i="3"/>
  <c r="T117" i="3"/>
  <c r="U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R117" i="3"/>
  <c r="BT117" i="3"/>
  <c r="BU117" i="3"/>
  <c r="BW117" i="3"/>
  <c r="BX117" i="3"/>
  <c r="BY117" i="3"/>
  <c r="BZ117" i="3"/>
  <c r="CB117" i="3"/>
  <c r="CC117" i="3"/>
  <c r="CE117" i="3"/>
  <c r="CG117" i="3"/>
  <c r="CI117" i="3"/>
  <c r="CJ117" i="3"/>
  <c r="CL117" i="3"/>
  <c r="CM117" i="3"/>
  <c r="CN117" i="3"/>
  <c r="CO117" i="3"/>
  <c r="CQ117" i="3"/>
  <c r="CR117" i="3"/>
  <c r="CT117" i="3"/>
  <c r="CU117" i="3"/>
  <c r="CV117" i="3"/>
  <c r="CW117" i="3"/>
  <c r="CX117" i="3"/>
  <c r="CY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119" i="3"/>
  <c r="I119" i="3"/>
  <c r="J119" i="3"/>
  <c r="K119" i="3"/>
  <c r="M119" i="3"/>
  <c r="Q119" i="3"/>
  <c r="R119" i="3"/>
  <c r="T119" i="3"/>
  <c r="U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W119" i="3"/>
  <c r="BX119" i="3"/>
  <c r="BY119" i="3"/>
  <c r="BZ119" i="3"/>
  <c r="CA119" i="3"/>
  <c r="CB119" i="3"/>
  <c r="CC119" i="3"/>
  <c r="CD119" i="3"/>
  <c r="CE119" i="3"/>
  <c r="CG119" i="3"/>
  <c r="CI119" i="3"/>
  <c r="CJ119" i="3"/>
  <c r="CL119" i="3"/>
  <c r="CM119" i="3"/>
  <c r="CN119" i="3"/>
  <c r="CO119" i="3"/>
  <c r="CQ119" i="3"/>
  <c r="CR119" i="3"/>
  <c r="CT119" i="3"/>
  <c r="CV119" i="3"/>
  <c r="CX119" i="3"/>
  <c r="CY119" i="3"/>
  <c r="DA119" i="3"/>
  <c r="DB119" i="3"/>
  <c r="DC119" i="3"/>
  <c r="DD119" i="3"/>
  <c r="DF119" i="3"/>
  <c r="DG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128" i="3"/>
  <c r="I128" i="3"/>
  <c r="J128" i="3"/>
  <c r="K128" i="3"/>
  <c r="M128" i="3"/>
  <c r="Q128" i="3"/>
  <c r="R128" i="3"/>
  <c r="T128" i="3"/>
  <c r="U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R128" i="3"/>
  <c r="BS128" i="3"/>
  <c r="BT128" i="3"/>
  <c r="BU128" i="3"/>
  <c r="BW128" i="3"/>
  <c r="BX128" i="3"/>
  <c r="BY128" i="3"/>
  <c r="BZ128" i="3"/>
  <c r="CB128" i="3"/>
  <c r="CC128" i="3"/>
  <c r="CD128" i="3"/>
  <c r="CE128" i="3"/>
  <c r="CG128" i="3"/>
  <c r="CI128" i="3"/>
  <c r="CJ128" i="3"/>
  <c r="CL128" i="3"/>
  <c r="CM128" i="3"/>
  <c r="CN128" i="3"/>
  <c r="CO128" i="3"/>
  <c r="CQ128" i="3"/>
  <c r="CR128" i="3"/>
  <c r="CT128" i="3"/>
  <c r="CU128" i="3"/>
  <c r="CV128" i="3"/>
  <c r="CW128" i="3"/>
  <c r="CX128" i="3"/>
  <c r="CY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137" i="3"/>
  <c r="I137" i="3"/>
  <c r="J137" i="3"/>
  <c r="K137" i="3"/>
  <c r="M137" i="3"/>
  <c r="Q137" i="3"/>
  <c r="R137" i="3"/>
  <c r="T137" i="3"/>
  <c r="U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R137" i="3"/>
  <c r="BS137" i="3"/>
  <c r="BT137" i="3"/>
  <c r="BU137" i="3"/>
  <c r="BW137" i="3"/>
  <c r="BX137" i="3"/>
  <c r="BY137" i="3"/>
  <c r="BZ137" i="3"/>
  <c r="CB137" i="3"/>
  <c r="CC137" i="3"/>
  <c r="CD137" i="3"/>
  <c r="CE137" i="3"/>
  <c r="CG137" i="3"/>
  <c r="CH137" i="3"/>
  <c r="CI137" i="3"/>
  <c r="CJ137" i="3"/>
  <c r="CL137" i="3"/>
  <c r="CM137" i="3"/>
  <c r="CN137" i="3"/>
  <c r="CO137" i="3"/>
  <c r="CQ137" i="3"/>
  <c r="CR137" i="3"/>
  <c r="CS137" i="3"/>
  <c r="CT137" i="3"/>
  <c r="CU137" i="3"/>
  <c r="CV137" i="3"/>
  <c r="CW137" i="3"/>
  <c r="CX137" i="3"/>
  <c r="CY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171" i="3"/>
  <c r="I171" i="3"/>
  <c r="J171" i="3"/>
  <c r="K171" i="3"/>
  <c r="M171" i="3"/>
  <c r="Q171" i="3"/>
  <c r="R171" i="3"/>
  <c r="T171" i="3"/>
  <c r="U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BQ171" i="3"/>
  <c r="BR171" i="3"/>
  <c r="BS171" i="3"/>
  <c r="BT171" i="3"/>
  <c r="BU171" i="3"/>
  <c r="BV171" i="3"/>
  <c r="BW171" i="3"/>
  <c r="BX171" i="3"/>
  <c r="BY171" i="3"/>
  <c r="BZ171" i="3"/>
  <c r="CA171" i="3"/>
  <c r="CB171" i="3"/>
  <c r="CC171" i="3"/>
  <c r="CD171" i="3"/>
  <c r="CE171" i="3"/>
  <c r="CG171" i="3"/>
  <c r="CI171" i="3"/>
  <c r="CJ171" i="3"/>
  <c r="CL171" i="3"/>
  <c r="CM171" i="3"/>
  <c r="CN171" i="3"/>
  <c r="CO171" i="3"/>
  <c r="CQ171" i="3"/>
  <c r="CR171" i="3"/>
  <c r="CT171" i="3"/>
  <c r="CV171" i="3"/>
  <c r="CX171" i="3"/>
  <c r="CY171" i="3"/>
  <c r="DA171" i="3"/>
  <c r="DB171" i="3"/>
  <c r="DC171" i="3"/>
  <c r="DD171" i="3"/>
  <c r="DF171" i="3"/>
  <c r="DG171" i="3"/>
  <c r="DI171" i="3"/>
  <c r="DJ171" i="3"/>
  <c r="DK171" i="3"/>
  <c r="DL171" i="3"/>
  <c r="DM171" i="3"/>
  <c r="DN171" i="3"/>
  <c r="DO171" i="3"/>
  <c r="DP171" i="3"/>
  <c r="DQ171" i="3"/>
  <c r="DR171" i="3"/>
  <c r="DS171" i="3"/>
  <c r="DT171" i="3"/>
  <c r="DU171" i="3"/>
  <c r="DV171" i="3"/>
  <c r="DW171" i="3"/>
  <c r="D198" i="3"/>
  <c r="I198" i="3"/>
  <c r="J198" i="3"/>
  <c r="K198" i="3"/>
  <c r="M198" i="3"/>
  <c r="Q198" i="3"/>
  <c r="R198" i="3"/>
  <c r="T198" i="3"/>
  <c r="U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BQ198" i="3"/>
  <c r="BR198" i="3"/>
  <c r="BS198" i="3"/>
  <c r="BT198" i="3"/>
  <c r="BU198" i="3"/>
  <c r="BV198" i="3"/>
  <c r="BW198" i="3"/>
  <c r="BX198" i="3"/>
  <c r="BY198" i="3"/>
  <c r="BZ198" i="3"/>
  <c r="CA198" i="3"/>
  <c r="CB198" i="3"/>
  <c r="CC198" i="3"/>
  <c r="CD198" i="3"/>
  <c r="CE198" i="3"/>
  <c r="CG198" i="3"/>
  <c r="CI198" i="3"/>
  <c r="CJ198" i="3"/>
  <c r="CL198" i="3"/>
  <c r="CM198" i="3"/>
  <c r="CN198" i="3"/>
  <c r="CO198" i="3"/>
  <c r="CQ198" i="3"/>
  <c r="CR198" i="3"/>
  <c r="CT198" i="3"/>
  <c r="CV198" i="3"/>
  <c r="CX198" i="3"/>
  <c r="CY198" i="3"/>
  <c r="DA198" i="3"/>
  <c r="DB198" i="3"/>
  <c r="DC198" i="3"/>
  <c r="DD198" i="3"/>
  <c r="DF198" i="3"/>
  <c r="DG198" i="3"/>
  <c r="DI198" i="3"/>
  <c r="DJ198" i="3"/>
  <c r="DK198" i="3"/>
  <c r="DL198" i="3"/>
  <c r="DM198" i="3"/>
  <c r="DN198" i="3"/>
  <c r="DO198" i="3"/>
  <c r="DP198" i="3"/>
  <c r="DQ198" i="3"/>
  <c r="DR198" i="3"/>
  <c r="DS198" i="3"/>
  <c r="DT198" i="3"/>
  <c r="DU198" i="3"/>
  <c r="DV198" i="3"/>
  <c r="DW198" i="3"/>
  <c r="D204" i="3"/>
  <c r="I204" i="3"/>
  <c r="J204" i="3"/>
  <c r="K204" i="3"/>
  <c r="M204" i="3"/>
  <c r="Q204" i="3"/>
  <c r="R204" i="3"/>
  <c r="T204" i="3"/>
  <c r="U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BQ204" i="3"/>
  <c r="BR204" i="3"/>
  <c r="BS204" i="3"/>
  <c r="BT204" i="3"/>
  <c r="BU204" i="3"/>
  <c r="BV204" i="3"/>
  <c r="BW204" i="3"/>
  <c r="BX204" i="3"/>
  <c r="BY204" i="3"/>
  <c r="BZ204" i="3"/>
  <c r="CA204" i="3"/>
  <c r="CB204" i="3"/>
  <c r="CC204" i="3"/>
  <c r="CD204" i="3"/>
  <c r="CE204" i="3"/>
  <c r="CG204" i="3"/>
  <c r="CI204" i="3"/>
  <c r="CJ204" i="3"/>
  <c r="CL204" i="3"/>
  <c r="CM204" i="3"/>
  <c r="CN204" i="3"/>
  <c r="CO204" i="3"/>
  <c r="CQ204" i="3"/>
  <c r="CR204" i="3"/>
  <c r="CT204" i="3"/>
  <c r="CV204" i="3"/>
  <c r="CX204" i="3"/>
  <c r="CY204" i="3"/>
  <c r="DA204" i="3"/>
  <c r="DB204" i="3"/>
  <c r="DC204" i="3"/>
  <c r="DD204" i="3"/>
  <c r="DF204" i="3"/>
  <c r="DG204" i="3"/>
  <c r="DI204" i="3"/>
  <c r="DJ204" i="3"/>
  <c r="DK204" i="3"/>
  <c r="DL204" i="3"/>
  <c r="DM204" i="3"/>
  <c r="DN204" i="3"/>
  <c r="DO204" i="3"/>
  <c r="DP204" i="3"/>
  <c r="DQ204" i="3"/>
  <c r="DR204" i="3"/>
  <c r="DS204" i="3"/>
  <c r="DT204" i="3"/>
  <c r="DU204" i="3"/>
  <c r="DV204" i="3"/>
  <c r="DW204" i="3"/>
  <c r="D216" i="3"/>
  <c r="I216" i="3"/>
  <c r="J216" i="3"/>
  <c r="K216" i="3"/>
  <c r="M216" i="3"/>
  <c r="Q216" i="3"/>
  <c r="R216" i="3"/>
  <c r="T216" i="3"/>
  <c r="U216" i="3"/>
  <c r="AZ216" i="3"/>
  <c r="BA216" i="3"/>
  <c r="BB216" i="3"/>
  <c r="BC216" i="3"/>
  <c r="BD216" i="3"/>
  <c r="BE216" i="3"/>
  <c r="BF216" i="3"/>
  <c r="BG216" i="3"/>
  <c r="BH216" i="3"/>
  <c r="BI216" i="3"/>
  <c r="BJ216" i="3"/>
  <c r="BK216" i="3"/>
  <c r="BL216" i="3"/>
  <c r="BM216" i="3"/>
  <c r="BN216" i="3"/>
  <c r="BO216" i="3"/>
  <c r="BP216" i="3"/>
  <c r="BQ216" i="3"/>
  <c r="BR216" i="3"/>
  <c r="BS216" i="3"/>
  <c r="BT216" i="3"/>
  <c r="BU216" i="3"/>
  <c r="BW216" i="3"/>
  <c r="BX216" i="3"/>
  <c r="BY216" i="3"/>
  <c r="BZ216" i="3"/>
  <c r="CA216" i="3"/>
  <c r="CB216" i="3"/>
  <c r="CC216" i="3"/>
  <c r="CD216" i="3"/>
  <c r="CE216" i="3"/>
  <c r="CG216" i="3"/>
  <c r="CI216" i="3"/>
  <c r="CJ216" i="3"/>
  <c r="CL216" i="3"/>
  <c r="CM216" i="3"/>
  <c r="CN216" i="3"/>
  <c r="CO216" i="3"/>
  <c r="CQ216" i="3"/>
  <c r="CR216" i="3"/>
  <c r="CT216" i="3"/>
  <c r="CV216" i="3"/>
  <c r="CX216" i="3"/>
  <c r="CY216" i="3"/>
  <c r="DA216" i="3"/>
  <c r="DB216" i="3"/>
  <c r="DC216" i="3"/>
  <c r="DD216" i="3"/>
  <c r="DF216" i="3"/>
  <c r="DG216" i="3"/>
  <c r="DI216" i="3"/>
  <c r="DJ216" i="3"/>
  <c r="DK216" i="3"/>
  <c r="DL216" i="3"/>
  <c r="DM216" i="3"/>
  <c r="DN216" i="3"/>
  <c r="DO216" i="3"/>
  <c r="DP216" i="3"/>
  <c r="DQ216" i="3"/>
  <c r="DR216" i="3"/>
  <c r="DS216" i="3"/>
  <c r="DT216" i="3"/>
  <c r="DU216" i="3"/>
  <c r="DV216" i="3"/>
  <c r="DW216" i="3"/>
  <c r="D241" i="3"/>
  <c r="I241" i="3"/>
  <c r="J241" i="3"/>
  <c r="K241" i="3"/>
  <c r="M241" i="3"/>
  <c r="Q241" i="3"/>
  <c r="R241" i="3"/>
  <c r="T241" i="3"/>
  <c r="U241" i="3"/>
  <c r="AZ241" i="3"/>
  <c r="BA241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N241" i="3"/>
  <c r="BO241" i="3"/>
  <c r="BP241" i="3"/>
  <c r="BR241" i="3"/>
  <c r="BT241" i="3"/>
  <c r="BU241" i="3"/>
  <c r="BW241" i="3"/>
  <c r="BX241" i="3"/>
  <c r="BY241" i="3"/>
  <c r="BZ241" i="3"/>
  <c r="CB241" i="3"/>
  <c r="CC241" i="3"/>
  <c r="CE241" i="3"/>
  <c r="CG241" i="3"/>
  <c r="CI241" i="3"/>
  <c r="CJ241" i="3"/>
  <c r="CL241" i="3"/>
  <c r="CM241" i="3"/>
  <c r="CN241" i="3"/>
  <c r="CO241" i="3"/>
  <c r="CQ241" i="3"/>
  <c r="CR241" i="3"/>
  <c r="CT241" i="3"/>
  <c r="CV241" i="3"/>
  <c r="CX241" i="3"/>
  <c r="CY241" i="3"/>
  <c r="DA241" i="3"/>
  <c r="DB241" i="3"/>
  <c r="DC241" i="3"/>
  <c r="DD241" i="3"/>
  <c r="DF241" i="3"/>
  <c r="DG241" i="3"/>
  <c r="DI241" i="3"/>
  <c r="DJ241" i="3"/>
  <c r="DK241" i="3"/>
  <c r="DL241" i="3"/>
  <c r="DM241" i="3"/>
  <c r="DN241" i="3"/>
  <c r="DO241" i="3"/>
  <c r="DP241" i="3"/>
  <c r="DQ241" i="3"/>
  <c r="DR241" i="3"/>
  <c r="DS241" i="3"/>
  <c r="DT241" i="3"/>
  <c r="DU241" i="3"/>
  <c r="DV241" i="3"/>
  <c r="DW241" i="3"/>
  <c r="D246" i="3"/>
  <c r="I246" i="3"/>
  <c r="J246" i="3"/>
  <c r="K246" i="3"/>
  <c r="M246" i="3"/>
  <c r="Q246" i="3"/>
  <c r="R246" i="3"/>
  <c r="T246" i="3"/>
  <c r="U246" i="3"/>
  <c r="AZ246" i="3"/>
  <c r="BA246" i="3"/>
  <c r="BB246" i="3"/>
  <c r="BC246" i="3"/>
  <c r="BD246" i="3"/>
  <c r="BE246" i="3"/>
  <c r="BF246" i="3"/>
  <c r="BH246" i="3"/>
  <c r="BI246" i="3"/>
  <c r="BJ246" i="3"/>
  <c r="BK246" i="3"/>
  <c r="BL246" i="3"/>
  <c r="BM246" i="3"/>
  <c r="BN246" i="3"/>
  <c r="BO246" i="3"/>
  <c r="BP246" i="3"/>
  <c r="BR246" i="3"/>
  <c r="BT246" i="3"/>
  <c r="BU246" i="3"/>
  <c r="BW246" i="3"/>
  <c r="BX246" i="3"/>
  <c r="BY246" i="3"/>
  <c r="BZ246" i="3"/>
  <c r="CB246" i="3"/>
  <c r="CC246" i="3"/>
  <c r="CE246" i="3"/>
  <c r="CG246" i="3"/>
  <c r="CI246" i="3"/>
  <c r="CJ246" i="3"/>
  <c r="CL246" i="3"/>
  <c r="CM246" i="3"/>
  <c r="CN246" i="3"/>
  <c r="CO246" i="3"/>
  <c r="CQ246" i="3"/>
  <c r="CR246" i="3"/>
  <c r="CT246" i="3"/>
  <c r="CV246" i="3"/>
  <c r="CX246" i="3"/>
  <c r="CY246" i="3"/>
  <c r="DA246" i="3"/>
  <c r="DB246" i="3"/>
  <c r="DC246" i="3"/>
  <c r="DD246" i="3"/>
  <c r="DF246" i="3"/>
  <c r="DG246" i="3"/>
  <c r="DI246" i="3"/>
  <c r="DJ246" i="3"/>
  <c r="DK246" i="3"/>
  <c r="DL246" i="3"/>
  <c r="DM246" i="3"/>
  <c r="DN246" i="3"/>
  <c r="DO246" i="3"/>
  <c r="DP246" i="3"/>
  <c r="DQ246" i="3"/>
  <c r="DR246" i="3"/>
  <c r="DS246" i="3"/>
  <c r="DT246" i="3"/>
  <c r="DU246" i="3"/>
  <c r="DV246" i="3"/>
  <c r="DW246" i="3"/>
  <c r="D253" i="3"/>
  <c r="I253" i="3"/>
  <c r="J253" i="3"/>
  <c r="K253" i="3"/>
  <c r="M253" i="3"/>
  <c r="Q253" i="3"/>
  <c r="R253" i="3"/>
  <c r="T253" i="3"/>
  <c r="U253" i="3"/>
  <c r="AZ253" i="3"/>
  <c r="BA253" i="3"/>
  <c r="BC253" i="3"/>
  <c r="BE253" i="3"/>
  <c r="BF253" i="3"/>
  <c r="BH253" i="3"/>
  <c r="BI253" i="3"/>
  <c r="BJ253" i="3"/>
  <c r="BK253" i="3"/>
  <c r="BM253" i="3"/>
  <c r="BN253" i="3"/>
  <c r="BP253" i="3"/>
  <c r="BQ253" i="3"/>
  <c r="BR253" i="3"/>
  <c r="BS253" i="3"/>
  <c r="BT253" i="3"/>
  <c r="BU253" i="3"/>
  <c r="BW253" i="3"/>
  <c r="BX253" i="3"/>
  <c r="BY253" i="3"/>
  <c r="BZ253" i="3"/>
  <c r="CA253" i="3"/>
  <c r="CB253" i="3"/>
  <c r="CC253" i="3"/>
  <c r="CD253" i="3"/>
  <c r="CE253" i="3"/>
  <c r="CG253" i="3"/>
  <c r="CI253" i="3"/>
  <c r="CJ253" i="3"/>
  <c r="CL253" i="3"/>
  <c r="CM253" i="3"/>
  <c r="CN253" i="3"/>
  <c r="CO253" i="3"/>
  <c r="CQ253" i="3"/>
  <c r="CR253" i="3"/>
  <c r="CT253" i="3"/>
  <c r="CV253" i="3"/>
  <c r="CX253" i="3"/>
  <c r="CY253" i="3"/>
  <c r="DA253" i="3"/>
  <c r="DB253" i="3"/>
  <c r="DC253" i="3"/>
  <c r="DD253" i="3"/>
  <c r="DF253" i="3"/>
  <c r="DG253" i="3"/>
  <c r="DI253" i="3"/>
  <c r="DJ253" i="3"/>
  <c r="DK253" i="3"/>
  <c r="DL253" i="3"/>
  <c r="DM253" i="3"/>
  <c r="DN253" i="3"/>
  <c r="DO253" i="3"/>
  <c r="DP253" i="3"/>
  <c r="DQ253" i="3"/>
  <c r="DR253" i="3"/>
  <c r="DS253" i="3"/>
  <c r="DT253" i="3"/>
  <c r="DU253" i="3"/>
  <c r="DV253" i="3"/>
  <c r="DW253" i="3"/>
  <c r="D260" i="3"/>
  <c r="I260" i="3"/>
  <c r="J260" i="3"/>
  <c r="K260" i="3"/>
  <c r="M260" i="3"/>
  <c r="Q260" i="3"/>
  <c r="R260" i="3"/>
  <c r="T260" i="3"/>
  <c r="U260" i="3"/>
  <c r="AZ260" i="3"/>
  <c r="BA260" i="3"/>
  <c r="BC260" i="3"/>
  <c r="BE260" i="3"/>
  <c r="BF260" i="3"/>
  <c r="BH260" i="3"/>
  <c r="BI260" i="3"/>
  <c r="BJ260" i="3"/>
  <c r="BK260" i="3"/>
  <c r="BM260" i="3"/>
  <c r="BN260" i="3"/>
  <c r="BP260" i="3"/>
  <c r="BQ260" i="3"/>
  <c r="BR260" i="3"/>
  <c r="BS260" i="3"/>
  <c r="BT260" i="3"/>
  <c r="BU260" i="3"/>
  <c r="BW260" i="3"/>
  <c r="BX260" i="3"/>
  <c r="BY260" i="3"/>
  <c r="BZ260" i="3"/>
  <c r="CA260" i="3"/>
  <c r="CB260" i="3"/>
  <c r="CC260" i="3"/>
  <c r="CD260" i="3"/>
  <c r="CE260" i="3"/>
  <c r="CG260" i="3"/>
  <c r="CI260" i="3"/>
  <c r="CJ260" i="3"/>
  <c r="CL260" i="3"/>
  <c r="CM260" i="3"/>
  <c r="CN260" i="3"/>
  <c r="CO260" i="3"/>
  <c r="CQ260" i="3"/>
  <c r="CR260" i="3"/>
  <c r="CT260" i="3"/>
  <c r="CV260" i="3"/>
  <c r="CX260" i="3"/>
  <c r="CY260" i="3"/>
  <c r="DA260" i="3"/>
  <c r="DB260" i="3"/>
  <c r="DC260" i="3"/>
  <c r="DD260" i="3"/>
  <c r="DF260" i="3"/>
  <c r="DG260" i="3"/>
  <c r="DI260" i="3"/>
  <c r="DJ260" i="3"/>
  <c r="DK260" i="3"/>
  <c r="DL260" i="3"/>
  <c r="DM260" i="3"/>
  <c r="DN260" i="3"/>
  <c r="DO260" i="3"/>
  <c r="DP260" i="3"/>
  <c r="DQ260" i="3"/>
  <c r="DR260" i="3"/>
  <c r="DS260" i="3"/>
  <c r="DT260" i="3"/>
  <c r="DU260" i="3"/>
  <c r="DV260" i="3"/>
  <c r="DW260" i="3"/>
  <c r="D265" i="3"/>
  <c r="I265" i="3"/>
  <c r="J265" i="3"/>
  <c r="K265" i="3"/>
  <c r="M265" i="3"/>
  <c r="Q265" i="3"/>
  <c r="R265" i="3"/>
  <c r="T265" i="3"/>
  <c r="U265" i="3"/>
  <c r="AZ265" i="3"/>
  <c r="BA265" i="3"/>
  <c r="BB265" i="3"/>
  <c r="BC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BU265" i="3"/>
  <c r="BW265" i="3"/>
  <c r="BX265" i="3"/>
  <c r="BY265" i="3"/>
  <c r="BZ265" i="3"/>
  <c r="CA265" i="3"/>
  <c r="CB265" i="3"/>
  <c r="CC265" i="3"/>
  <c r="CD265" i="3"/>
  <c r="CE265" i="3"/>
  <c r="CG265" i="3"/>
  <c r="CI265" i="3"/>
  <c r="CJ265" i="3"/>
  <c r="CL265" i="3"/>
  <c r="CM265" i="3"/>
  <c r="CN265" i="3"/>
  <c r="CO265" i="3"/>
  <c r="CQ265" i="3"/>
  <c r="CR265" i="3"/>
  <c r="CT265" i="3"/>
  <c r="CV265" i="3"/>
  <c r="CX265" i="3"/>
  <c r="CY265" i="3"/>
  <c r="DA265" i="3"/>
  <c r="DB265" i="3"/>
  <c r="DC265" i="3"/>
  <c r="DD265" i="3"/>
  <c r="DF265" i="3"/>
  <c r="DG265" i="3"/>
  <c r="DI265" i="3"/>
  <c r="DJ265" i="3"/>
  <c r="DK265" i="3"/>
  <c r="DL265" i="3"/>
  <c r="DM265" i="3"/>
  <c r="DN265" i="3"/>
  <c r="DO265" i="3"/>
  <c r="DP265" i="3"/>
  <c r="DQ265" i="3"/>
  <c r="DR265" i="3"/>
  <c r="DS265" i="3"/>
  <c r="DT265" i="3"/>
  <c r="DU265" i="3"/>
  <c r="DV265" i="3"/>
  <c r="DW265" i="3"/>
  <c r="D270" i="3"/>
  <c r="I270" i="3"/>
  <c r="J270" i="3"/>
  <c r="K270" i="3"/>
  <c r="M270" i="3"/>
  <c r="Q270" i="3"/>
  <c r="R270" i="3"/>
  <c r="T270" i="3"/>
  <c r="U270" i="3"/>
  <c r="AZ270" i="3"/>
  <c r="BA270" i="3"/>
  <c r="BB270" i="3"/>
  <c r="BC270" i="3"/>
  <c r="BD270" i="3"/>
  <c r="BE270" i="3"/>
  <c r="BF270" i="3"/>
  <c r="BH270" i="3"/>
  <c r="BI270" i="3"/>
  <c r="BJ270" i="3"/>
  <c r="BK270" i="3"/>
  <c r="BL270" i="3"/>
  <c r="BM270" i="3"/>
  <c r="BN270" i="3"/>
  <c r="BO270" i="3"/>
  <c r="BP270" i="3"/>
  <c r="BQ270" i="3"/>
  <c r="BR270" i="3"/>
  <c r="BS270" i="3"/>
  <c r="BT270" i="3"/>
  <c r="BU270" i="3"/>
  <c r="BW270" i="3"/>
  <c r="BX270" i="3"/>
  <c r="BY270" i="3"/>
  <c r="BZ270" i="3"/>
  <c r="CA270" i="3"/>
  <c r="CB270" i="3"/>
  <c r="CC270" i="3"/>
  <c r="CD270" i="3"/>
  <c r="CE270" i="3"/>
  <c r="CG270" i="3"/>
  <c r="CI270" i="3"/>
  <c r="CJ270" i="3"/>
  <c r="CL270" i="3"/>
  <c r="CM270" i="3"/>
  <c r="CN270" i="3"/>
  <c r="CO270" i="3"/>
  <c r="CQ270" i="3"/>
  <c r="CR270" i="3"/>
  <c r="CT270" i="3"/>
  <c r="CV270" i="3"/>
  <c r="CX270" i="3"/>
  <c r="CY270" i="3"/>
  <c r="DA270" i="3"/>
  <c r="DB270" i="3"/>
  <c r="DC270" i="3"/>
  <c r="DD270" i="3"/>
  <c r="DF270" i="3"/>
  <c r="DG270" i="3"/>
  <c r="DI270" i="3"/>
  <c r="DJ270" i="3"/>
  <c r="DK270" i="3"/>
  <c r="DL270" i="3"/>
  <c r="DM270" i="3"/>
  <c r="DN270" i="3"/>
  <c r="DO270" i="3"/>
  <c r="DP270" i="3"/>
  <c r="DQ270" i="3"/>
  <c r="DR270" i="3"/>
  <c r="DS270" i="3"/>
  <c r="DT270" i="3"/>
  <c r="DU270" i="3"/>
  <c r="DV270" i="3"/>
  <c r="DW270" i="3"/>
  <c r="D277" i="3"/>
  <c r="I277" i="3"/>
  <c r="J277" i="3"/>
  <c r="K277" i="3"/>
  <c r="M277" i="3"/>
  <c r="Q277" i="3"/>
  <c r="R277" i="3"/>
  <c r="T277" i="3"/>
  <c r="U277" i="3"/>
  <c r="AZ277" i="3"/>
  <c r="BA277" i="3"/>
  <c r="BB277" i="3"/>
  <c r="BC277" i="3"/>
  <c r="BD277" i="3"/>
  <c r="BE277" i="3"/>
  <c r="BF277" i="3"/>
  <c r="BH277" i="3"/>
  <c r="BI277" i="3"/>
  <c r="BJ277" i="3"/>
  <c r="BK277" i="3"/>
  <c r="BL277" i="3"/>
  <c r="BM277" i="3"/>
  <c r="BN277" i="3"/>
  <c r="BO277" i="3"/>
  <c r="BP277" i="3"/>
  <c r="BQ277" i="3"/>
  <c r="BR277" i="3"/>
  <c r="BS277" i="3"/>
  <c r="BT277" i="3"/>
  <c r="BU277" i="3"/>
  <c r="BW277" i="3"/>
  <c r="BX277" i="3"/>
  <c r="BY277" i="3"/>
  <c r="BZ277" i="3"/>
  <c r="CA277" i="3"/>
  <c r="CB277" i="3"/>
  <c r="CC277" i="3"/>
  <c r="CD277" i="3"/>
  <c r="CE277" i="3"/>
  <c r="CG277" i="3"/>
  <c r="CI277" i="3"/>
  <c r="CJ277" i="3"/>
  <c r="CL277" i="3"/>
  <c r="CM277" i="3"/>
  <c r="CN277" i="3"/>
  <c r="CO277" i="3"/>
  <c r="CQ277" i="3"/>
  <c r="CR277" i="3"/>
  <c r="CT277" i="3"/>
  <c r="CV277" i="3"/>
  <c r="CX277" i="3"/>
  <c r="CY277" i="3"/>
  <c r="DA277" i="3"/>
  <c r="DB277" i="3"/>
  <c r="DC277" i="3"/>
  <c r="DD277" i="3"/>
  <c r="DF277" i="3"/>
  <c r="DG277" i="3"/>
  <c r="DI277" i="3"/>
  <c r="DJ277" i="3"/>
  <c r="DK277" i="3"/>
  <c r="DL277" i="3"/>
  <c r="DM277" i="3"/>
  <c r="DN277" i="3"/>
  <c r="DO277" i="3"/>
  <c r="DP277" i="3"/>
  <c r="DQ277" i="3"/>
  <c r="DR277" i="3"/>
  <c r="DS277" i="3"/>
  <c r="DT277" i="3"/>
  <c r="DU277" i="3"/>
  <c r="DV277" i="3"/>
  <c r="DW277" i="3"/>
  <c r="D281" i="3"/>
  <c r="I281" i="3"/>
  <c r="J281" i="3"/>
  <c r="K281" i="3"/>
  <c r="M281" i="3"/>
  <c r="Q281" i="3"/>
  <c r="R281" i="3"/>
  <c r="T281" i="3"/>
  <c r="U281" i="3"/>
  <c r="AZ281" i="3"/>
  <c r="BA281" i="3"/>
  <c r="BB281" i="3"/>
  <c r="BC281" i="3"/>
  <c r="BD281" i="3"/>
  <c r="BE281" i="3"/>
  <c r="BF281" i="3"/>
  <c r="BH281" i="3"/>
  <c r="BI281" i="3"/>
  <c r="BJ281" i="3"/>
  <c r="BK281" i="3"/>
  <c r="BL281" i="3"/>
  <c r="BM281" i="3"/>
  <c r="BN281" i="3"/>
  <c r="BO281" i="3"/>
  <c r="BP281" i="3"/>
  <c r="BQ281" i="3"/>
  <c r="BR281" i="3"/>
  <c r="BS281" i="3"/>
  <c r="BT281" i="3"/>
  <c r="BU281" i="3"/>
  <c r="BW281" i="3"/>
  <c r="BX281" i="3"/>
  <c r="BY281" i="3"/>
  <c r="BZ281" i="3"/>
  <c r="CA281" i="3"/>
  <c r="CB281" i="3"/>
  <c r="CC281" i="3"/>
  <c r="CD281" i="3"/>
  <c r="CE281" i="3"/>
  <c r="CF281" i="3"/>
  <c r="CG281" i="3"/>
  <c r="CH281" i="3"/>
  <c r="CI281" i="3"/>
  <c r="CJ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DA281" i="3"/>
  <c r="DB281" i="3"/>
  <c r="DC281" i="3"/>
  <c r="DD281" i="3"/>
  <c r="DE281" i="3"/>
  <c r="DF281" i="3"/>
  <c r="DG281" i="3"/>
  <c r="DH281" i="3"/>
  <c r="DI281" i="3"/>
  <c r="DJ281" i="3"/>
  <c r="DK281" i="3"/>
  <c r="DL281" i="3"/>
  <c r="DM281" i="3"/>
  <c r="DN281" i="3"/>
  <c r="DO281" i="3"/>
  <c r="DP281" i="3"/>
  <c r="DQ281" i="3"/>
  <c r="DR281" i="3"/>
  <c r="DS281" i="3"/>
  <c r="DT281" i="3"/>
  <c r="DU281" i="3"/>
  <c r="DV281" i="3"/>
  <c r="DW281" i="3"/>
  <c r="D283" i="3"/>
  <c r="I283" i="3"/>
  <c r="J283" i="3"/>
  <c r="K283" i="3"/>
  <c r="M283" i="3"/>
  <c r="Q283" i="3"/>
  <c r="R283" i="3"/>
  <c r="T283" i="3"/>
  <c r="U283" i="3"/>
  <c r="AZ283" i="3"/>
  <c r="BA283" i="3"/>
  <c r="BC283" i="3"/>
  <c r="BE283" i="3"/>
  <c r="BF283" i="3"/>
  <c r="BH283" i="3"/>
  <c r="BI283" i="3"/>
  <c r="BJ283" i="3"/>
  <c r="BK283" i="3"/>
  <c r="BM283" i="3"/>
  <c r="BN283" i="3"/>
  <c r="BP283" i="3"/>
  <c r="BR283" i="3"/>
  <c r="BT283" i="3"/>
  <c r="BU283" i="3"/>
  <c r="BW283" i="3"/>
  <c r="BX283" i="3"/>
  <c r="BY283" i="3"/>
  <c r="BZ283" i="3"/>
  <c r="CB283" i="3"/>
  <c r="CC283" i="3"/>
  <c r="CE283" i="3"/>
  <c r="CG283" i="3"/>
  <c r="CI283" i="3"/>
  <c r="CJ283" i="3"/>
  <c r="CL283" i="3"/>
  <c r="CM283" i="3"/>
  <c r="CN283" i="3"/>
  <c r="CO283" i="3"/>
  <c r="CQ283" i="3"/>
  <c r="CR283" i="3"/>
  <c r="CT283" i="3"/>
  <c r="CU283" i="3"/>
  <c r="CV283" i="3"/>
  <c r="CW283" i="3"/>
  <c r="CX283" i="3"/>
  <c r="CY283" i="3"/>
  <c r="DA283" i="3"/>
  <c r="DB283" i="3"/>
  <c r="DC283" i="3"/>
  <c r="DD283" i="3"/>
  <c r="DE283" i="3"/>
  <c r="DF283" i="3"/>
  <c r="DG283" i="3"/>
  <c r="DH283" i="3"/>
  <c r="DI283" i="3"/>
  <c r="DJ283" i="3"/>
  <c r="DK283" i="3"/>
  <c r="DL283" i="3"/>
  <c r="DM283" i="3"/>
  <c r="DN283" i="3"/>
  <c r="DO283" i="3"/>
  <c r="DP283" i="3"/>
  <c r="DQ283" i="3"/>
  <c r="DR283" i="3"/>
  <c r="DS283" i="3"/>
  <c r="DT283" i="3"/>
  <c r="DU283" i="3"/>
  <c r="DV283" i="3"/>
  <c r="DW283" i="3"/>
  <c r="D290" i="3"/>
  <c r="I290" i="3"/>
  <c r="J290" i="3"/>
  <c r="K290" i="3"/>
  <c r="M290" i="3"/>
  <c r="Q290" i="3"/>
  <c r="R290" i="3"/>
  <c r="T290" i="3"/>
  <c r="U290" i="3"/>
  <c r="AZ290" i="3"/>
  <c r="BA290" i="3"/>
  <c r="BC290" i="3"/>
  <c r="BE290" i="3"/>
  <c r="BF290" i="3"/>
  <c r="BH290" i="3"/>
  <c r="BI290" i="3"/>
  <c r="BJ290" i="3"/>
  <c r="BK290" i="3"/>
  <c r="BM290" i="3"/>
  <c r="BN290" i="3"/>
  <c r="BP290" i="3"/>
  <c r="BR290" i="3"/>
  <c r="BT290" i="3"/>
  <c r="BU290" i="3"/>
  <c r="BW290" i="3"/>
  <c r="BX290" i="3"/>
  <c r="BY290" i="3"/>
  <c r="BZ290" i="3"/>
  <c r="CB290" i="3"/>
  <c r="CC290" i="3"/>
  <c r="CE290" i="3"/>
  <c r="CG290" i="3"/>
  <c r="CI290" i="3"/>
  <c r="CJ290" i="3"/>
  <c r="CL290" i="3"/>
  <c r="CM290" i="3"/>
  <c r="CN290" i="3"/>
  <c r="CO290" i="3"/>
  <c r="CQ290" i="3"/>
  <c r="CR290" i="3"/>
  <c r="CT290" i="3"/>
  <c r="CV290" i="3"/>
  <c r="CX290" i="3"/>
  <c r="CY290" i="3"/>
  <c r="DA290" i="3"/>
  <c r="DB290" i="3"/>
  <c r="DC290" i="3"/>
  <c r="DD290" i="3"/>
  <c r="DF290" i="3"/>
  <c r="DG290" i="3"/>
  <c r="DI290" i="3"/>
  <c r="DJ290" i="3"/>
  <c r="DK290" i="3"/>
  <c r="DL290" i="3"/>
  <c r="DM290" i="3"/>
  <c r="DN290" i="3"/>
  <c r="DO290" i="3"/>
  <c r="DP290" i="3"/>
  <c r="DQ290" i="3"/>
  <c r="DR290" i="3"/>
  <c r="DS290" i="3"/>
  <c r="DT290" i="3"/>
  <c r="DU290" i="3"/>
  <c r="DV290" i="3"/>
  <c r="DW290" i="3"/>
  <c r="D294" i="3"/>
  <c r="I294" i="3"/>
  <c r="J294" i="3"/>
  <c r="K294" i="3"/>
  <c r="M294" i="3"/>
  <c r="Q294" i="3"/>
  <c r="R294" i="3"/>
  <c r="T294" i="3"/>
  <c r="U294" i="3"/>
  <c r="AZ294" i="3"/>
  <c r="BA294" i="3"/>
  <c r="BB294" i="3"/>
  <c r="BC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BQ294" i="3"/>
  <c r="BR294" i="3"/>
  <c r="BS294" i="3"/>
  <c r="BT294" i="3"/>
  <c r="BU294" i="3"/>
  <c r="BV294" i="3"/>
  <c r="BW294" i="3"/>
  <c r="BX294" i="3"/>
  <c r="BY294" i="3"/>
  <c r="BZ294" i="3"/>
  <c r="CA294" i="3"/>
  <c r="CB294" i="3"/>
  <c r="CC294" i="3"/>
  <c r="CD294" i="3"/>
  <c r="CE294" i="3"/>
  <c r="CG294" i="3"/>
  <c r="CI294" i="3"/>
  <c r="CJ294" i="3"/>
  <c r="CL294" i="3"/>
  <c r="CM294" i="3"/>
  <c r="CN294" i="3"/>
  <c r="CO294" i="3"/>
  <c r="CQ294" i="3"/>
  <c r="CR294" i="3"/>
  <c r="CT294" i="3"/>
  <c r="CU294" i="3"/>
  <c r="CV294" i="3"/>
  <c r="CW294" i="3"/>
  <c r="CX294" i="3"/>
  <c r="CY294" i="3"/>
  <c r="DA294" i="3"/>
  <c r="DB294" i="3"/>
  <c r="DC294" i="3"/>
  <c r="DD294" i="3"/>
  <c r="DE294" i="3"/>
  <c r="DF294" i="3"/>
  <c r="DG294" i="3"/>
  <c r="DH294" i="3"/>
  <c r="DI294" i="3"/>
  <c r="DJ294" i="3"/>
  <c r="DK294" i="3"/>
  <c r="DL294" i="3"/>
  <c r="DM294" i="3"/>
  <c r="DN294" i="3"/>
  <c r="DO294" i="3"/>
  <c r="DP294" i="3"/>
  <c r="DQ294" i="3"/>
  <c r="DR294" i="3"/>
  <c r="DS294" i="3"/>
  <c r="DT294" i="3"/>
  <c r="DU294" i="3"/>
  <c r="DV294" i="3"/>
  <c r="DW294" i="3"/>
  <c r="D300" i="3"/>
  <c r="I300" i="3"/>
  <c r="J300" i="3"/>
  <c r="K300" i="3"/>
  <c r="M300" i="3"/>
  <c r="Q300" i="3"/>
  <c r="R300" i="3"/>
  <c r="T300" i="3"/>
  <c r="U300" i="3"/>
  <c r="AZ300" i="3"/>
  <c r="BA300" i="3"/>
  <c r="BB300" i="3"/>
  <c r="BC300" i="3"/>
  <c r="BD300" i="3"/>
  <c r="BE300" i="3"/>
  <c r="BF300" i="3"/>
  <c r="BH300" i="3"/>
  <c r="BI300" i="3"/>
  <c r="BJ300" i="3"/>
  <c r="BK300" i="3"/>
  <c r="BL300" i="3"/>
  <c r="BM300" i="3"/>
  <c r="BN300" i="3"/>
  <c r="BO300" i="3"/>
  <c r="BP300" i="3"/>
  <c r="BQ300" i="3"/>
  <c r="BR300" i="3"/>
  <c r="BS300" i="3"/>
  <c r="BT300" i="3"/>
  <c r="BU300" i="3"/>
  <c r="BW300" i="3"/>
  <c r="BX300" i="3"/>
  <c r="BY300" i="3"/>
  <c r="BZ300" i="3"/>
  <c r="CA300" i="3"/>
  <c r="CB300" i="3"/>
  <c r="CC300" i="3"/>
  <c r="CD300" i="3"/>
  <c r="CE300" i="3"/>
  <c r="CG300" i="3"/>
  <c r="CI300" i="3"/>
  <c r="CJ300" i="3"/>
  <c r="CL300" i="3"/>
  <c r="CM300" i="3"/>
  <c r="CN300" i="3"/>
  <c r="CO300" i="3"/>
  <c r="CQ300" i="3"/>
  <c r="CR300" i="3"/>
  <c r="CT300" i="3"/>
  <c r="CV300" i="3"/>
  <c r="CX300" i="3"/>
  <c r="CY300" i="3"/>
  <c r="DA300" i="3"/>
  <c r="DB300" i="3"/>
  <c r="DC300" i="3"/>
  <c r="DD300" i="3"/>
  <c r="DF300" i="3"/>
  <c r="DG300" i="3"/>
  <c r="DI300" i="3"/>
  <c r="DJ300" i="3"/>
  <c r="DK300" i="3"/>
  <c r="DL300" i="3"/>
  <c r="DM300" i="3"/>
  <c r="DN300" i="3"/>
  <c r="DO300" i="3"/>
  <c r="DP300" i="3"/>
  <c r="DQ300" i="3"/>
  <c r="DR300" i="3"/>
  <c r="DS300" i="3"/>
  <c r="DT300" i="3"/>
  <c r="DU300" i="3"/>
  <c r="DV300" i="3"/>
  <c r="DW300" i="3"/>
  <c r="D327" i="3"/>
  <c r="I327" i="3"/>
  <c r="J327" i="3"/>
  <c r="K327" i="3"/>
  <c r="M327" i="3"/>
  <c r="Q327" i="3"/>
  <c r="R327" i="3"/>
  <c r="T327" i="3"/>
  <c r="U327" i="3"/>
  <c r="AZ327" i="3"/>
  <c r="BA327" i="3"/>
  <c r="BC327" i="3"/>
  <c r="BE327" i="3"/>
  <c r="BF327" i="3"/>
  <c r="BH327" i="3"/>
  <c r="BI327" i="3"/>
  <c r="BJ327" i="3"/>
  <c r="BK327" i="3"/>
  <c r="BM327" i="3"/>
  <c r="BN327" i="3"/>
  <c r="BP327" i="3"/>
  <c r="BQ327" i="3"/>
  <c r="BR327" i="3"/>
  <c r="BS327" i="3"/>
  <c r="BT327" i="3"/>
  <c r="BU327" i="3"/>
  <c r="BW327" i="3"/>
  <c r="BX327" i="3"/>
  <c r="BY327" i="3"/>
  <c r="BZ327" i="3"/>
  <c r="CA327" i="3"/>
  <c r="CB327" i="3"/>
  <c r="CC327" i="3"/>
  <c r="CD327" i="3"/>
  <c r="CE327" i="3"/>
  <c r="CG327" i="3"/>
  <c r="CI327" i="3"/>
  <c r="CJ327" i="3"/>
  <c r="CL327" i="3"/>
  <c r="CM327" i="3"/>
  <c r="CN327" i="3"/>
  <c r="CO327" i="3"/>
  <c r="CQ327" i="3"/>
  <c r="CR327" i="3"/>
  <c r="CT327" i="3"/>
  <c r="CV327" i="3"/>
  <c r="CX327" i="3"/>
  <c r="CY327" i="3"/>
  <c r="DA327" i="3"/>
  <c r="DB327" i="3"/>
  <c r="DC327" i="3"/>
  <c r="DD327" i="3"/>
  <c r="DF327" i="3"/>
  <c r="DG327" i="3"/>
  <c r="DI327" i="3"/>
  <c r="DJ327" i="3"/>
  <c r="DK327" i="3"/>
  <c r="DL327" i="3"/>
  <c r="DM327" i="3"/>
  <c r="DN327" i="3"/>
  <c r="DO327" i="3"/>
  <c r="DP327" i="3"/>
  <c r="DQ327" i="3"/>
  <c r="DR327" i="3"/>
  <c r="DS327" i="3"/>
  <c r="DT327" i="3"/>
  <c r="DU327" i="3"/>
  <c r="DV327" i="3"/>
  <c r="DW327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G5" i="3"/>
  <c r="CI5" i="3"/>
  <c r="CJ5" i="3"/>
  <c r="CL5" i="3"/>
  <c r="CM5" i="3"/>
  <c r="CN5" i="3"/>
  <c r="CO5" i="3"/>
  <c r="CQ5" i="3"/>
  <c r="CR5" i="3"/>
  <c r="CT5" i="3"/>
  <c r="CV5" i="3"/>
  <c r="CX5" i="3"/>
  <c r="CY5" i="3"/>
  <c r="DA5" i="3"/>
  <c r="DB5" i="3"/>
  <c r="DC5" i="3"/>
  <c r="DD5" i="3"/>
  <c r="DF5" i="3"/>
  <c r="DG5" i="3"/>
  <c r="DI5" i="3"/>
  <c r="DJ5" i="3"/>
  <c r="DK5" i="3"/>
  <c r="DL5" i="3"/>
  <c r="DM5" i="3"/>
  <c r="DN5" i="3"/>
  <c r="DP5" i="3"/>
  <c r="DQ5" i="3"/>
  <c r="DR5" i="3"/>
  <c r="DS5" i="3"/>
  <c r="DT5" i="3"/>
  <c r="DU5" i="3"/>
  <c r="DV5" i="3"/>
  <c r="DW5" i="3"/>
  <c r="U5" i="3"/>
  <c r="Q5" i="3"/>
  <c r="R5" i="3"/>
  <c r="T5" i="3"/>
  <c r="J5" i="3"/>
  <c r="K5" i="3"/>
  <c r="M5" i="3"/>
  <c r="I5" i="3"/>
  <c r="D5" i="3"/>
  <c r="DO41" i="3"/>
  <c r="DO25" i="3"/>
  <c r="DO5" i="3"/>
  <c r="DO60" i="3" l="1"/>
  <c r="O300" i="3"/>
  <c r="O25" i="3"/>
  <c r="AM5" i="3"/>
  <c r="O270" i="3"/>
  <c r="O5" i="3"/>
  <c r="AM327" i="3"/>
  <c r="O290" i="3"/>
  <c r="AM270" i="3"/>
  <c r="AM241" i="3"/>
  <c r="O204" i="3"/>
  <c r="AM128" i="3"/>
  <c r="AM110" i="3"/>
  <c r="AL5" i="3"/>
  <c r="AL300" i="3"/>
  <c r="O60" i="3"/>
  <c r="AL281" i="3"/>
  <c r="O171" i="3"/>
  <c r="AM117" i="3"/>
  <c r="AL62" i="3"/>
  <c r="AM281" i="3"/>
  <c r="AL204" i="3"/>
  <c r="AL67" i="3"/>
  <c r="O62" i="3"/>
  <c r="O117" i="3"/>
  <c r="AM277" i="3"/>
  <c r="O241" i="3"/>
  <c r="AM216" i="3"/>
  <c r="AL117" i="3"/>
  <c r="AL171" i="3"/>
  <c r="AL270" i="3"/>
  <c r="AL241" i="3"/>
  <c r="O294" i="3"/>
  <c r="AM290" i="3"/>
  <c r="O281" i="3"/>
  <c r="O265" i="3"/>
  <c r="O253" i="3"/>
  <c r="AL128" i="3"/>
  <c r="AM62" i="3"/>
  <c r="O41" i="3"/>
  <c r="AL290" i="3"/>
  <c r="AM204" i="3"/>
  <c r="AM253" i="3"/>
  <c r="AL216" i="3"/>
  <c r="AM67" i="3"/>
  <c r="AM41" i="3"/>
  <c r="AM300" i="3"/>
  <c r="AL253" i="3"/>
  <c r="AM171" i="3"/>
  <c r="O128" i="3"/>
  <c r="AL41" i="3"/>
  <c r="AL265" i="3"/>
  <c r="O119" i="3"/>
  <c r="O327" i="3"/>
  <c r="AM283" i="3"/>
  <c r="O277" i="3"/>
  <c r="AM260" i="3"/>
  <c r="AM137" i="3"/>
  <c r="O110" i="3"/>
  <c r="AL119" i="3"/>
  <c r="AL246" i="3"/>
  <c r="O216" i="3"/>
  <c r="AM119" i="3"/>
  <c r="O67" i="3"/>
  <c r="O198" i="3"/>
  <c r="AL294" i="3"/>
  <c r="AL60" i="3"/>
  <c r="AM294" i="3"/>
  <c r="O283" i="3"/>
  <c r="AM265" i="3"/>
  <c r="O260" i="3"/>
  <c r="AL198" i="3"/>
  <c r="O137" i="3"/>
  <c r="AM60" i="3"/>
  <c r="AM198" i="3"/>
  <c r="AL25" i="3"/>
  <c r="AM25" i="3"/>
  <c r="AL283" i="3"/>
  <c r="AL260" i="3"/>
  <c r="O246" i="3"/>
  <c r="AL137" i="3"/>
  <c r="AL327" i="3"/>
  <c r="AL277" i="3"/>
  <c r="AM246" i="3"/>
  <c r="AL110" i="3"/>
  <c r="CS117" i="3"/>
  <c r="BQ110" i="3"/>
  <c r="CF117" i="3" l="1"/>
  <c r="CF110" i="3"/>
  <c r="BS117" i="3"/>
  <c r="BS110" i="3"/>
  <c r="CH117" i="3"/>
  <c r="CH110" i="3"/>
  <c r="CA117" i="3"/>
  <c r="CA110" i="3"/>
  <c r="CD117" i="3"/>
  <c r="CD110" i="3"/>
  <c r="CP117" i="3"/>
  <c r="CP110" i="3"/>
  <c r="BV128" i="3"/>
  <c r="BV110" i="3"/>
  <c r="BQ117" i="3"/>
  <c r="BV117" i="3"/>
  <c r="BV265" i="3"/>
  <c r="U5" i="19"/>
  <c r="U10" i="19"/>
  <c r="U7" i="19"/>
  <c r="U9" i="19"/>
  <c r="W9" i="19" s="1"/>
  <c r="X9" i="19" s="1"/>
  <c r="AH9" i="19" s="1"/>
  <c r="U8" i="19"/>
  <c r="W8" i="19" s="1"/>
  <c r="X8" i="19" s="1"/>
  <c r="AH8" i="19" s="1"/>
  <c r="AE10" i="19"/>
  <c r="AF10" i="19"/>
  <c r="AE7" i="19"/>
  <c r="AF7" i="19"/>
  <c r="AE9" i="19"/>
  <c r="AF9" i="19"/>
  <c r="AF8" i="19"/>
  <c r="AE8" i="19"/>
  <c r="AD10" i="19"/>
  <c r="AD7" i="19"/>
  <c r="AD9" i="19"/>
  <c r="AD8" i="19"/>
  <c r="AC7" i="19"/>
  <c r="AB10" i="19"/>
  <c r="AB7" i="19"/>
  <c r="AB9" i="19"/>
  <c r="AB11" i="19"/>
  <c r="AB12" i="19"/>
  <c r="AK12" i="19" s="1"/>
  <c r="AB13" i="19"/>
  <c r="AB14" i="19"/>
  <c r="AB15" i="19"/>
  <c r="AB16" i="19"/>
  <c r="AB17" i="19"/>
  <c r="AB18" i="19"/>
  <c r="AK18" i="19" s="1"/>
  <c r="AB19" i="19"/>
  <c r="AK19" i="19" s="1"/>
  <c r="AB20" i="19"/>
  <c r="AB21" i="19"/>
  <c r="AB22" i="19"/>
  <c r="AB23" i="19"/>
  <c r="AB24" i="19"/>
  <c r="AB25" i="19"/>
  <c r="AB26" i="19"/>
  <c r="AB8" i="19"/>
  <c r="CI9" i="19"/>
  <c r="CF9" i="19"/>
  <c r="BX9" i="19"/>
  <c r="BV9" i="19"/>
  <c r="P9" i="19" s="1"/>
  <c r="CI10" i="19"/>
  <c r="CF10" i="19"/>
  <c r="BX10" i="19"/>
  <c r="BV10" i="19"/>
  <c r="CI5" i="19"/>
  <c r="CF5" i="19"/>
  <c r="BX5" i="19"/>
  <c r="BV5" i="19"/>
  <c r="CI8" i="19"/>
  <c r="CF8" i="19"/>
  <c r="BX8" i="19"/>
  <c r="BV8" i="19"/>
  <c r="CA5" i="19"/>
  <c r="CA3" i="19"/>
  <c r="CA10" i="19"/>
  <c r="AC10" i="19" s="1"/>
  <c r="CA7" i="19"/>
  <c r="CA9" i="19"/>
  <c r="AC9" i="19" s="1"/>
  <c r="CA8" i="19"/>
  <c r="AC8" i="19" s="1"/>
  <c r="I8" i="19"/>
  <c r="U30" i="19"/>
  <c r="W30" i="19" s="1"/>
  <c r="X30" i="19" s="1"/>
  <c r="AH30" i="19" s="1"/>
  <c r="AO30" i="19"/>
  <c r="AA30" i="19"/>
  <c r="Z30" i="19"/>
  <c r="AJ30" i="19" s="1"/>
  <c r="V30" i="19"/>
  <c r="R30" i="19"/>
  <c r="Q30" i="19"/>
  <c r="P30" i="19"/>
  <c r="O30" i="19"/>
  <c r="N30" i="19"/>
  <c r="I30" i="19"/>
  <c r="G30" i="19"/>
  <c r="P29" i="19"/>
  <c r="AO29" i="19"/>
  <c r="AA29" i="19"/>
  <c r="Z29" i="19"/>
  <c r="AJ29" i="19" s="1"/>
  <c r="V29" i="19"/>
  <c r="U29" i="19"/>
  <c r="W29" i="19" s="1"/>
  <c r="X29" i="19" s="1"/>
  <c r="AH29" i="19" s="1"/>
  <c r="R29" i="19"/>
  <c r="Q29" i="19"/>
  <c r="O29" i="19"/>
  <c r="N29" i="19"/>
  <c r="I29" i="19"/>
  <c r="G29" i="19"/>
  <c r="U28" i="19"/>
  <c r="W28" i="19" s="1"/>
  <c r="X28" i="19" s="1"/>
  <c r="AH28" i="19" s="1"/>
  <c r="Q28" i="19"/>
  <c r="AO28" i="19"/>
  <c r="AA28" i="19"/>
  <c r="Z28" i="19"/>
  <c r="AJ28" i="19" s="1"/>
  <c r="V28" i="19"/>
  <c r="R28" i="19"/>
  <c r="P28" i="19"/>
  <c r="AF28" i="19" s="1"/>
  <c r="O28" i="19"/>
  <c r="N28" i="19"/>
  <c r="I28" i="19"/>
  <c r="G28" i="19"/>
  <c r="P27" i="19"/>
  <c r="AF27" i="19" s="1"/>
  <c r="AO27" i="19"/>
  <c r="AA27" i="19"/>
  <c r="Z27" i="19"/>
  <c r="AJ27" i="19" s="1"/>
  <c r="V27" i="19"/>
  <c r="U27" i="19"/>
  <c r="W27" i="19" s="1"/>
  <c r="X27" i="19" s="1"/>
  <c r="AH27" i="19" s="1"/>
  <c r="R27" i="19"/>
  <c r="Q27" i="19"/>
  <c r="O27" i="19"/>
  <c r="N27" i="19"/>
  <c r="I27" i="19"/>
  <c r="G27" i="19"/>
  <c r="U26" i="19"/>
  <c r="W26" i="19" s="1"/>
  <c r="X26" i="19" s="1"/>
  <c r="AH26" i="19" s="1"/>
  <c r="P26" i="19"/>
  <c r="AO26" i="19"/>
  <c r="AA26" i="19"/>
  <c r="Z26" i="19"/>
  <c r="AJ26" i="19" s="1"/>
  <c r="V26" i="19"/>
  <c r="R26" i="19"/>
  <c r="Q26" i="19"/>
  <c r="O26" i="19"/>
  <c r="N26" i="19"/>
  <c r="I26" i="19"/>
  <c r="G26" i="19"/>
  <c r="P25" i="19"/>
  <c r="N25" i="19"/>
  <c r="AO25" i="19"/>
  <c r="AA25" i="19"/>
  <c r="Z25" i="19"/>
  <c r="AJ25" i="19" s="1"/>
  <c r="V25" i="19"/>
  <c r="U25" i="19"/>
  <c r="W25" i="19" s="1"/>
  <c r="X25" i="19" s="1"/>
  <c r="AH25" i="19" s="1"/>
  <c r="R25" i="19"/>
  <c r="Q25" i="19"/>
  <c r="O25" i="19"/>
  <c r="I25" i="19"/>
  <c r="G25" i="19"/>
  <c r="AO24" i="19"/>
  <c r="AA24" i="19"/>
  <c r="Z24" i="19"/>
  <c r="AJ24" i="19" s="1"/>
  <c r="V24" i="19"/>
  <c r="U24" i="19"/>
  <c r="W24" i="19" s="1"/>
  <c r="X24" i="19" s="1"/>
  <c r="AH24" i="19" s="1"/>
  <c r="R24" i="19"/>
  <c r="Q24" i="19"/>
  <c r="P24" i="19"/>
  <c r="AE24" i="19" s="1"/>
  <c r="AN24" i="19" s="1"/>
  <c r="O24" i="19"/>
  <c r="N24" i="19"/>
  <c r="I24" i="19"/>
  <c r="G24" i="19"/>
  <c r="P23" i="19"/>
  <c r="AF23" i="19" s="1"/>
  <c r="AO23" i="19"/>
  <c r="AA23" i="19"/>
  <c r="Z23" i="19"/>
  <c r="AJ23" i="19" s="1"/>
  <c r="V23" i="19"/>
  <c r="U23" i="19"/>
  <c r="W23" i="19" s="1"/>
  <c r="X23" i="19" s="1"/>
  <c r="AH23" i="19" s="1"/>
  <c r="R23" i="19"/>
  <c r="Q23" i="19"/>
  <c r="N23" i="19"/>
  <c r="I23" i="19"/>
  <c r="G23" i="19"/>
  <c r="AO22" i="19"/>
  <c r="AA22" i="19"/>
  <c r="Z22" i="19"/>
  <c r="AJ22" i="19" s="1"/>
  <c r="V22" i="19"/>
  <c r="U22" i="19"/>
  <c r="W22" i="19" s="1"/>
  <c r="X22" i="19" s="1"/>
  <c r="AH22" i="19" s="1"/>
  <c r="R22" i="19"/>
  <c r="Q22" i="19"/>
  <c r="P22" i="19"/>
  <c r="AF22" i="19" s="1"/>
  <c r="O22" i="19"/>
  <c r="N22" i="19"/>
  <c r="I22" i="19"/>
  <c r="G22" i="19"/>
  <c r="AO21" i="19"/>
  <c r="AA21" i="19"/>
  <c r="Z21" i="19"/>
  <c r="AJ21" i="19" s="1"/>
  <c r="V21" i="19"/>
  <c r="U21" i="19"/>
  <c r="W21" i="19" s="1"/>
  <c r="X21" i="19" s="1"/>
  <c r="AH21" i="19" s="1"/>
  <c r="R21" i="19"/>
  <c r="Q21" i="19"/>
  <c r="O21" i="19"/>
  <c r="N21" i="19"/>
  <c r="I21" i="19"/>
  <c r="G21" i="19"/>
  <c r="U20" i="19"/>
  <c r="W20" i="19" s="1"/>
  <c r="X20" i="19" s="1"/>
  <c r="AH20" i="19" s="1"/>
  <c r="Q20" i="19"/>
  <c r="AO20" i="19"/>
  <c r="AA20" i="19"/>
  <c r="Z20" i="19"/>
  <c r="AJ20" i="19" s="1"/>
  <c r="V20" i="19"/>
  <c r="R20" i="19"/>
  <c r="P20" i="19"/>
  <c r="AD20" i="19" s="1"/>
  <c r="AM20" i="19" s="1"/>
  <c r="O20" i="19"/>
  <c r="N20" i="19"/>
  <c r="I20" i="19"/>
  <c r="G20" i="19"/>
  <c r="Q19" i="19"/>
  <c r="AO19" i="19"/>
  <c r="AA19" i="19"/>
  <c r="Z19" i="19"/>
  <c r="AJ19" i="19" s="1"/>
  <c r="V19" i="19"/>
  <c r="U19" i="19"/>
  <c r="W19" i="19" s="1"/>
  <c r="X19" i="19" s="1"/>
  <c r="AH19" i="19" s="1"/>
  <c r="R19" i="19"/>
  <c r="P19" i="19"/>
  <c r="AF19" i="19" s="1"/>
  <c r="O19" i="19"/>
  <c r="N19" i="19"/>
  <c r="I19" i="19"/>
  <c r="G19" i="19"/>
  <c r="AO18" i="19"/>
  <c r="AC18" i="19"/>
  <c r="AL18" i="19" s="1"/>
  <c r="AA18" i="19"/>
  <c r="Z18" i="19"/>
  <c r="AJ18" i="19" s="1"/>
  <c r="V18" i="19"/>
  <c r="U18" i="19"/>
  <c r="W18" i="19" s="1"/>
  <c r="X18" i="19" s="1"/>
  <c r="AH18" i="19" s="1"/>
  <c r="R18" i="19"/>
  <c r="Q18" i="19"/>
  <c r="P18" i="19"/>
  <c r="O18" i="19"/>
  <c r="N18" i="19"/>
  <c r="I18" i="19"/>
  <c r="G18" i="19"/>
  <c r="AO17" i="19"/>
  <c r="AA17" i="19"/>
  <c r="Z17" i="19"/>
  <c r="AJ17" i="19" s="1"/>
  <c r="V17" i="19"/>
  <c r="U17" i="19"/>
  <c r="W17" i="19" s="1"/>
  <c r="X17" i="19" s="1"/>
  <c r="AH17" i="19" s="1"/>
  <c r="R17" i="19"/>
  <c r="Q17" i="19"/>
  <c r="P17" i="19"/>
  <c r="AC17" i="19" s="1"/>
  <c r="AL17" i="19" s="1"/>
  <c r="O17" i="19"/>
  <c r="N17" i="19"/>
  <c r="I17" i="19"/>
  <c r="G17" i="19"/>
  <c r="U16" i="19"/>
  <c r="W16" i="19" s="1"/>
  <c r="X16" i="19" s="1"/>
  <c r="AH16" i="19" s="1"/>
  <c r="AO16" i="19"/>
  <c r="AA16" i="19"/>
  <c r="Z16" i="19"/>
  <c r="AJ16" i="19" s="1"/>
  <c r="V16" i="19"/>
  <c r="R16" i="19"/>
  <c r="Q16" i="19"/>
  <c r="P16" i="19"/>
  <c r="AF16" i="19" s="1"/>
  <c r="O16" i="19"/>
  <c r="N16" i="19"/>
  <c r="I16" i="19"/>
  <c r="G16" i="19"/>
  <c r="AO15" i="19"/>
  <c r="AA15" i="19"/>
  <c r="Z15" i="19"/>
  <c r="AJ15" i="19" s="1"/>
  <c r="V15" i="19"/>
  <c r="U15" i="19"/>
  <c r="W15" i="19" s="1"/>
  <c r="X15" i="19" s="1"/>
  <c r="AH15" i="19" s="1"/>
  <c r="R15" i="19"/>
  <c r="Q15" i="19"/>
  <c r="P15" i="19"/>
  <c r="AE15" i="19" s="1"/>
  <c r="AN15" i="19" s="1"/>
  <c r="O15" i="19"/>
  <c r="N15" i="19"/>
  <c r="I15" i="19"/>
  <c r="G15" i="19"/>
  <c r="Q14" i="19"/>
  <c r="AO14" i="19"/>
  <c r="AA14" i="19"/>
  <c r="Z14" i="19"/>
  <c r="AJ14" i="19" s="1"/>
  <c r="V14" i="19"/>
  <c r="U14" i="19"/>
  <c r="W14" i="19" s="1"/>
  <c r="X14" i="19" s="1"/>
  <c r="AH14" i="19" s="1"/>
  <c r="R14" i="19"/>
  <c r="P14" i="19"/>
  <c r="O14" i="19"/>
  <c r="N14" i="19"/>
  <c r="I14" i="19"/>
  <c r="G14" i="19"/>
  <c r="P13" i="19"/>
  <c r="AO13" i="19"/>
  <c r="AA13" i="19"/>
  <c r="Z13" i="19"/>
  <c r="AJ13" i="19" s="1"/>
  <c r="V13" i="19"/>
  <c r="U13" i="19"/>
  <c r="W13" i="19" s="1"/>
  <c r="X13" i="19" s="1"/>
  <c r="AH13" i="19" s="1"/>
  <c r="R13" i="19"/>
  <c r="Q13" i="19"/>
  <c r="N13" i="19"/>
  <c r="I13" i="19"/>
  <c r="G13" i="19"/>
  <c r="AO12" i="19"/>
  <c r="AF12" i="19"/>
  <c r="AC12" i="19"/>
  <c r="AL12" i="19" s="1"/>
  <c r="AA12" i="19"/>
  <c r="Z12" i="19"/>
  <c r="AJ12" i="19" s="1"/>
  <c r="V12" i="19"/>
  <c r="U12" i="19"/>
  <c r="W12" i="19" s="1"/>
  <c r="X12" i="19" s="1"/>
  <c r="AH12" i="19" s="1"/>
  <c r="R12" i="19"/>
  <c r="Q12" i="19"/>
  <c r="P12" i="19"/>
  <c r="AE12" i="19" s="1"/>
  <c r="AN12" i="19" s="1"/>
  <c r="O12" i="19"/>
  <c r="N12" i="19"/>
  <c r="I12" i="19"/>
  <c r="G12" i="19"/>
  <c r="U11" i="19"/>
  <c r="W11" i="19" s="1"/>
  <c r="X11" i="19" s="1"/>
  <c r="AH11" i="19" s="1"/>
  <c r="P11" i="19"/>
  <c r="AO11" i="19"/>
  <c r="AA11" i="19"/>
  <c r="Z11" i="19"/>
  <c r="AJ11" i="19" s="1"/>
  <c r="V11" i="19"/>
  <c r="R11" i="19"/>
  <c r="O11" i="19"/>
  <c r="N11" i="19"/>
  <c r="I11" i="19"/>
  <c r="G11" i="19"/>
  <c r="AO9" i="19"/>
  <c r="AA9" i="19"/>
  <c r="Z9" i="19"/>
  <c r="AJ9" i="19" s="1"/>
  <c r="V9" i="19"/>
  <c r="R9" i="19"/>
  <c r="Q9" i="19"/>
  <c r="O9" i="19"/>
  <c r="N9" i="19"/>
  <c r="I9" i="19"/>
  <c r="G9" i="19"/>
  <c r="AO7" i="19"/>
  <c r="AA7" i="19"/>
  <c r="Z7" i="19"/>
  <c r="AJ7" i="19" s="1"/>
  <c r="V7" i="19"/>
  <c r="W7" i="19"/>
  <c r="X7" i="19" s="1"/>
  <c r="AH7" i="19" s="1"/>
  <c r="R7" i="19"/>
  <c r="Q7" i="19"/>
  <c r="P7" i="19"/>
  <c r="O7" i="19"/>
  <c r="N7" i="19"/>
  <c r="I7" i="19"/>
  <c r="G7" i="19"/>
  <c r="AO10" i="19"/>
  <c r="AA10" i="19"/>
  <c r="Z10" i="19"/>
  <c r="AJ10" i="19" s="1"/>
  <c r="V10" i="19"/>
  <c r="W10" i="19"/>
  <c r="X10" i="19" s="1"/>
  <c r="AH10" i="19" s="1"/>
  <c r="R10" i="19"/>
  <c r="Q10" i="19"/>
  <c r="O10" i="19"/>
  <c r="N10" i="19"/>
  <c r="I10" i="19"/>
  <c r="G10" i="19"/>
  <c r="AO3" i="19"/>
  <c r="AA3" i="19"/>
  <c r="Z3" i="19"/>
  <c r="AJ3" i="19" s="1"/>
  <c r="W3" i="19"/>
  <c r="X3" i="19" s="1"/>
  <c r="AH3" i="19" s="1"/>
  <c r="R3" i="19"/>
  <c r="Q3" i="19"/>
  <c r="P3" i="19"/>
  <c r="O3" i="19"/>
  <c r="N3" i="19"/>
  <c r="I3" i="19"/>
  <c r="G3" i="19"/>
  <c r="Q5" i="19"/>
  <c r="AO5" i="19"/>
  <c r="AA5" i="19"/>
  <c r="Z5" i="19"/>
  <c r="AJ5" i="19" s="1"/>
  <c r="W5" i="19"/>
  <c r="X5" i="19" s="1"/>
  <c r="AH5" i="19" s="1"/>
  <c r="R5" i="19"/>
  <c r="O5" i="19"/>
  <c r="N5" i="19"/>
  <c r="I5" i="19"/>
  <c r="G5" i="19"/>
  <c r="P8" i="19"/>
  <c r="AO8" i="19"/>
  <c r="AA8" i="19"/>
  <c r="Z8" i="19"/>
  <c r="AJ8" i="19" s="1"/>
  <c r="V8" i="19"/>
  <c r="R8" i="19"/>
  <c r="O8" i="19"/>
  <c r="N8" i="19"/>
  <c r="S8" i="19" s="1"/>
  <c r="G8" i="19"/>
  <c r="S3" i="19" l="1"/>
  <c r="S9" i="19"/>
  <c r="AE3" i="19"/>
  <c r="AD3" i="19"/>
  <c r="AM3" i="19" s="1"/>
  <c r="AC3" i="19"/>
  <c r="AF3" i="19"/>
  <c r="AB3" i="19"/>
  <c r="AK3" i="19" s="1"/>
  <c r="AL7" i="19"/>
  <c r="Y24" i="19"/>
  <c r="AI24" i="19" s="1"/>
  <c r="Y30" i="19"/>
  <c r="AI30" i="19" s="1"/>
  <c r="S15" i="19"/>
  <c r="T15" i="19" s="1"/>
  <c r="AG15" i="19" s="1"/>
  <c r="AC19" i="19"/>
  <c r="AL19" i="19" s="1"/>
  <c r="AC20" i="19"/>
  <c r="AL20" i="19" s="1"/>
  <c r="Y17" i="19"/>
  <c r="AI17" i="19" s="1"/>
  <c r="S18" i="19"/>
  <c r="T18" i="19" s="1"/>
  <c r="AG18" i="19" s="1"/>
  <c r="Y7" i="19"/>
  <c r="AI7" i="19" s="1"/>
  <c r="Y19" i="19"/>
  <c r="AI19" i="19" s="1"/>
  <c r="S7" i="19"/>
  <c r="T7" i="19" s="1"/>
  <c r="AG7" i="19" s="1"/>
  <c r="S12" i="19"/>
  <c r="T12" i="19" s="1"/>
  <c r="AG12" i="19" s="1"/>
  <c r="AD28" i="19"/>
  <c r="AM28" i="19" s="1"/>
  <c r="AN9" i="19"/>
  <c r="AK24" i="19"/>
  <c r="P10" i="19"/>
  <c r="AK10" i="19" s="1"/>
  <c r="Y3" i="19"/>
  <c r="AN3" i="19"/>
  <c r="T3" i="19"/>
  <c r="AG3" i="19" s="1"/>
  <c r="S22" i="19"/>
  <c r="T22" i="19" s="1"/>
  <c r="AG22" i="19" s="1"/>
  <c r="AC24" i="19"/>
  <c r="AL24" i="19" s="1"/>
  <c r="AE28" i="19"/>
  <c r="AN28" i="19" s="1"/>
  <c r="S27" i="19"/>
  <c r="T27" i="19" s="1"/>
  <c r="AG27" i="19" s="1"/>
  <c r="Y28" i="19"/>
  <c r="AI28" i="19" s="1"/>
  <c r="AD17" i="19"/>
  <c r="AM17" i="19" s="1"/>
  <c r="AM7" i="19"/>
  <c r="AE17" i="19"/>
  <c r="AN17" i="19" s="1"/>
  <c r="Y22" i="19"/>
  <c r="AI22" i="19" s="1"/>
  <c r="AN7" i="19"/>
  <c r="AD24" i="19"/>
  <c r="AM24" i="19" s="1"/>
  <c r="S24" i="19"/>
  <c r="T24" i="19" s="1"/>
  <c r="AG24" i="19" s="1"/>
  <c r="AC22" i="19"/>
  <c r="AL22" i="19" s="1"/>
  <c r="AF17" i="19"/>
  <c r="AF24" i="19"/>
  <c r="S28" i="19"/>
  <c r="T28" i="19" s="1"/>
  <c r="AG28" i="19" s="1"/>
  <c r="AF15" i="19"/>
  <c r="AK16" i="19"/>
  <c r="S17" i="19"/>
  <c r="T17" i="19" s="1"/>
  <c r="AG17" i="19" s="1"/>
  <c r="Y18" i="19"/>
  <c r="AI18" i="19" s="1"/>
  <c r="AK22" i="19"/>
  <c r="AC16" i="19"/>
  <c r="AL16" i="19" s="1"/>
  <c r="Y27" i="19"/>
  <c r="AI27" i="19" s="1"/>
  <c r="Y12" i="19"/>
  <c r="AI12" i="19" s="1"/>
  <c r="AD16" i="19"/>
  <c r="AM16" i="19" s="1"/>
  <c r="AC29" i="19"/>
  <c r="AL29" i="19" s="1"/>
  <c r="AB29" i="19"/>
  <c r="AK29" i="19" s="1"/>
  <c r="S29" i="19"/>
  <c r="T29" i="19" s="1"/>
  <c r="AG29" i="19" s="1"/>
  <c r="AF29" i="19"/>
  <c r="AE29" i="19"/>
  <c r="AN29" i="19" s="1"/>
  <c r="AD29" i="19"/>
  <c r="AM29" i="19" s="1"/>
  <c r="AE26" i="19"/>
  <c r="AN26" i="19" s="1"/>
  <c r="AD26" i="19"/>
  <c r="AM26" i="19" s="1"/>
  <c r="AC26" i="19"/>
  <c r="AL26" i="19" s="1"/>
  <c r="AK26" i="19"/>
  <c r="Y26" i="19"/>
  <c r="AI26" i="19" s="1"/>
  <c r="S26" i="19"/>
  <c r="T26" i="19" s="1"/>
  <c r="AG26" i="19" s="1"/>
  <c r="S25" i="19"/>
  <c r="T25" i="19" s="1"/>
  <c r="AG25" i="19" s="1"/>
  <c r="Y25" i="19"/>
  <c r="AI25" i="19" s="1"/>
  <c r="AK8" i="19"/>
  <c r="AN8" i="19"/>
  <c r="AM8" i="19"/>
  <c r="AL8" i="19"/>
  <c r="Y16" i="19"/>
  <c r="AI16" i="19" s="1"/>
  <c r="S16" i="19"/>
  <c r="T16" i="19" s="1"/>
  <c r="AG16" i="19" s="1"/>
  <c r="AN10" i="19"/>
  <c r="AF14" i="19"/>
  <c r="AE14" i="19"/>
  <c r="AN14" i="19" s="1"/>
  <c r="AD14" i="19"/>
  <c r="AM14" i="19" s="1"/>
  <c r="AC14" i="19"/>
  <c r="AL14" i="19" s="1"/>
  <c r="AK14" i="19"/>
  <c r="Y14" i="19"/>
  <c r="AI14" i="19" s="1"/>
  <c r="S20" i="19"/>
  <c r="T20" i="19" s="1"/>
  <c r="AG20" i="19" s="1"/>
  <c r="Y20" i="19"/>
  <c r="AI20" i="19" s="1"/>
  <c r="AF25" i="19"/>
  <c r="AE25" i="19"/>
  <c r="AN25" i="19" s="1"/>
  <c r="AD25" i="19"/>
  <c r="AM25" i="19" s="1"/>
  <c r="AC25" i="19"/>
  <c r="AL25" i="19" s="1"/>
  <c r="AK25" i="19"/>
  <c r="AL9" i="19"/>
  <c r="AE13" i="19"/>
  <c r="AN13" i="19" s="1"/>
  <c r="AD13" i="19"/>
  <c r="AM13" i="19" s="1"/>
  <c r="AC13" i="19"/>
  <c r="AL13" i="19" s="1"/>
  <c r="AK13" i="19"/>
  <c r="AM9" i="19"/>
  <c r="Q8" i="19"/>
  <c r="T8" i="19" s="1"/>
  <c r="AG8" i="19" s="1"/>
  <c r="AF13" i="19"/>
  <c r="S19" i="19"/>
  <c r="T19" i="19" s="1"/>
  <c r="AG19" i="19" s="1"/>
  <c r="AF26" i="19"/>
  <c r="AF30" i="19"/>
  <c r="AE30" i="19"/>
  <c r="AN30" i="19" s="1"/>
  <c r="AD30" i="19"/>
  <c r="AM30" i="19" s="1"/>
  <c r="AC30" i="19"/>
  <c r="AL30" i="19" s="1"/>
  <c r="AB30" i="19"/>
  <c r="AK30" i="19" s="1"/>
  <c r="AK9" i="19"/>
  <c r="T9" i="19"/>
  <c r="AG9" i="19" s="1"/>
  <c r="AF20" i="19"/>
  <c r="AE20" i="19"/>
  <c r="AN20" i="19" s="1"/>
  <c r="AD11" i="19"/>
  <c r="AM11" i="19" s="1"/>
  <c r="AC11" i="19"/>
  <c r="AL11" i="19" s="1"/>
  <c r="AK11" i="19"/>
  <c r="AF18" i="19"/>
  <c r="AE18" i="19"/>
  <c r="AN18" i="19" s="1"/>
  <c r="AD18" i="19"/>
  <c r="AM18" i="19" s="1"/>
  <c r="P5" i="19"/>
  <c r="O13" i="19"/>
  <c r="S13" i="19" s="1"/>
  <c r="T13" i="19" s="1"/>
  <c r="AG13" i="19" s="1"/>
  <c r="AK15" i="19"/>
  <c r="AD19" i="19"/>
  <c r="AM19" i="19" s="1"/>
  <c r="AD22" i="19"/>
  <c r="AM22" i="19" s="1"/>
  <c r="AD23" i="19"/>
  <c r="AM23" i="19" s="1"/>
  <c r="AC23" i="19"/>
  <c r="AL23" i="19" s="1"/>
  <c r="AK23" i="19"/>
  <c r="AE27" i="19"/>
  <c r="AN27" i="19" s="1"/>
  <c r="AD27" i="19"/>
  <c r="AM27" i="19" s="1"/>
  <c r="AC27" i="19"/>
  <c r="AL27" i="19" s="1"/>
  <c r="AB27" i="19"/>
  <c r="AK27" i="19" s="1"/>
  <c r="AK7" i="19"/>
  <c r="AD12" i="19"/>
  <c r="AM12" i="19" s="1"/>
  <c r="AC15" i="19"/>
  <c r="AL15" i="19" s="1"/>
  <c r="AE19" i="19"/>
  <c r="AN19" i="19" s="1"/>
  <c r="P21" i="19"/>
  <c r="AC21" i="19" s="1"/>
  <c r="AE22" i="19"/>
  <c r="AN22" i="19" s="1"/>
  <c r="AE11" i="19"/>
  <c r="AN11" i="19" s="1"/>
  <c r="Y15" i="19"/>
  <c r="AI15" i="19" s="1"/>
  <c r="AD15" i="19"/>
  <c r="AM15" i="19" s="1"/>
  <c r="AE23" i="19"/>
  <c r="AN23" i="19" s="1"/>
  <c r="AL3" i="19"/>
  <c r="AF11" i="19"/>
  <c r="S14" i="19"/>
  <c r="T14" i="19" s="1"/>
  <c r="AG14" i="19" s="1"/>
  <c r="Y29" i="19"/>
  <c r="AI29" i="19" s="1"/>
  <c r="AE16" i="19"/>
  <c r="AN16" i="19" s="1"/>
  <c r="AC28" i="19"/>
  <c r="AL28" i="19" s="1"/>
  <c r="Y9" i="19"/>
  <c r="AI9" i="19" s="1"/>
  <c r="Q11" i="19"/>
  <c r="AK20" i="19"/>
  <c r="O23" i="19"/>
  <c r="S23" i="19" s="1"/>
  <c r="T23" i="19" s="1"/>
  <c r="AG23" i="19" s="1"/>
  <c r="S30" i="19"/>
  <c r="T30" i="19" s="1"/>
  <c r="AG30" i="19" s="1"/>
  <c r="AK17" i="19"/>
  <c r="AB28" i="19"/>
  <c r="AK28" i="19" s="1"/>
  <c r="DH300" i="3"/>
  <c r="CW300" i="3"/>
  <c r="CU300" i="3"/>
  <c r="CS300" i="3"/>
  <c r="CP300" i="3"/>
  <c r="CH300" i="3"/>
  <c r="DH290" i="3"/>
  <c r="CW290" i="3"/>
  <c r="CU290" i="3"/>
  <c r="CS128" i="3"/>
  <c r="CH128" i="3"/>
  <c r="DH327" i="3"/>
  <c r="CW327" i="3"/>
  <c r="CU327" i="3"/>
  <c r="CS327" i="3"/>
  <c r="CP327" i="3"/>
  <c r="CH327" i="3"/>
  <c r="CF327" i="3"/>
  <c r="BO327" i="3"/>
  <c r="BL327" i="3"/>
  <c r="BD327" i="3"/>
  <c r="BB327" i="3"/>
  <c r="BV327" i="3"/>
  <c r="BG327" i="3"/>
  <c r="DH110" i="3"/>
  <c r="DH241" i="3"/>
  <c r="CW241" i="3"/>
  <c r="CU241" i="3"/>
  <c r="CH241" i="3"/>
  <c r="CF241" i="3"/>
  <c r="DE253" i="3"/>
  <c r="CS216" i="3"/>
  <c r="CP216" i="3"/>
  <c r="CZ327" i="3"/>
  <c r="CK327" i="3"/>
  <c r="DH171" i="3"/>
  <c r="DE171" i="3"/>
  <c r="CW171" i="3"/>
  <c r="CU171" i="3"/>
  <c r="CS171" i="3"/>
  <c r="CP171" i="3"/>
  <c r="CH171" i="3"/>
  <c r="CF171" i="3"/>
  <c r="BV270" i="3"/>
  <c r="BV300" i="3"/>
  <c r="BG300" i="3"/>
  <c r="CW110" i="3"/>
  <c r="CU110" i="3"/>
  <c r="DH277" i="3"/>
  <c r="CW277" i="3"/>
  <c r="CU277" i="3"/>
  <c r="CS277" i="3"/>
  <c r="CP277" i="3"/>
  <c r="CH277" i="3"/>
  <c r="CF277" i="3"/>
  <c r="CS246" i="3"/>
  <c r="CP246" i="3"/>
  <c r="CH246" i="3"/>
  <c r="CF246" i="3"/>
  <c r="N300" i="3"/>
  <c r="AD300" i="3"/>
  <c r="W327" i="3"/>
  <c r="Z327" i="3"/>
  <c r="AD327" i="3"/>
  <c r="AI327" i="3"/>
  <c r="AY327" i="3"/>
  <c r="N327" i="3"/>
  <c r="L327" i="3"/>
  <c r="L300" i="3" l="1"/>
  <c r="CK300" i="3"/>
  <c r="CZ300" i="3"/>
  <c r="AY300" i="3"/>
  <c r="AI300" i="3"/>
  <c r="BG260" i="3"/>
  <c r="BG270" i="3"/>
  <c r="Z300" i="3"/>
  <c r="CU216" i="3"/>
  <c r="CU253" i="3"/>
  <c r="CP241" i="3"/>
  <c r="BB253" i="3"/>
  <c r="BB260" i="3"/>
  <c r="CS110" i="3"/>
  <c r="CS119" i="3"/>
  <c r="CA283" i="3"/>
  <c r="CA290" i="3"/>
  <c r="BL253" i="3"/>
  <c r="BL260" i="3"/>
  <c r="BS246" i="3"/>
  <c r="BS241" i="3"/>
  <c r="CA246" i="3"/>
  <c r="CA241" i="3"/>
  <c r="CS283" i="3"/>
  <c r="CS290" i="3"/>
  <c r="CS253" i="3"/>
  <c r="CS260" i="3"/>
  <c r="CS241" i="3"/>
  <c r="BD253" i="3"/>
  <c r="BD260" i="3"/>
  <c r="CF253" i="3"/>
  <c r="CF260" i="3"/>
  <c r="CP253" i="3"/>
  <c r="CP260" i="3"/>
  <c r="CD246" i="3"/>
  <c r="CD241" i="3"/>
  <c r="BB283" i="3"/>
  <c r="BB290" i="3"/>
  <c r="CF216" i="3"/>
  <c r="BO283" i="3"/>
  <c r="BO290" i="3"/>
  <c r="BO253" i="3"/>
  <c r="BO260" i="3"/>
  <c r="DH216" i="3"/>
  <c r="DH253" i="3"/>
  <c r="CF283" i="3"/>
  <c r="CF290" i="3"/>
  <c r="BQ246" i="3"/>
  <c r="BQ241" i="3"/>
  <c r="CH283" i="3"/>
  <c r="CH290" i="3"/>
  <c r="CH253" i="3"/>
  <c r="CH260" i="3"/>
  <c r="CP283" i="3"/>
  <c r="CP290" i="3"/>
  <c r="DE270" i="3"/>
  <c r="DE277" i="3"/>
  <c r="BD283" i="3"/>
  <c r="BD290" i="3"/>
  <c r="CH216" i="3"/>
  <c r="BQ283" i="3"/>
  <c r="BQ290" i="3"/>
  <c r="BS283" i="3"/>
  <c r="BS290" i="3"/>
  <c r="CW216" i="3"/>
  <c r="CW253" i="3"/>
  <c r="CD283" i="3"/>
  <c r="CD290" i="3"/>
  <c r="BL283" i="3"/>
  <c r="BL290" i="3"/>
  <c r="CK277" i="3"/>
  <c r="BV253" i="3"/>
  <c r="BV260" i="3"/>
  <c r="BG253" i="3"/>
  <c r="BG246" i="3"/>
  <c r="CF265" i="3"/>
  <c r="CF270" i="3"/>
  <c r="CW198" i="3"/>
  <c r="CW204" i="3"/>
  <c r="CH265" i="3"/>
  <c r="CH270" i="3"/>
  <c r="DE198" i="3"/>
  <c r="DE204" i="3"/>
  <c r="CP265" i="3"/>
  <c r="CP270" i="3"/>
  <c r="DH198" i="3"/>
  <c r="DH204" i="3"/>
  <c r="CS265" i="3"/>
  <c r="CS270" i="3"/>
  <c r="CF198" i="3"/>
  <c r="CF204" i="3"/>
  <c r="CH198" i="3"/>
  <c r="CH204" i="3"/>
  <c r="CP198" i="3"/>
  <c r="CP204" i="3"/>
  <c r="CS198" i="3"/>
  <c r="CS204" i="3"/>
  <c r="CU265" i="3"/>
  <c r="CU270" i="3"/>
  <c r="CW265" i="3"/>
  <c r="CW270" i="3"/>
  <c r="DH265" i="3"/>
  <c r="DH270" i="3"/>
  <c r="CU198" i="3"/>
  <c r="CU204" i="3"/>
  <c r="AB5" i="19"/>
  <c r="AC5" i="19"/>
  <c r="AD5" i="19"/>
  <c r="AM5" i="19" s="1"/>
  <c r="AE5" i="19"/>
  <c r="AF5" i="19"/>
  <c r="C24" i="19"/>
  <c r="A24" i="19" s="1"/>
  <c r="S5" i="19"/>
  <c r="C7" i="19"/>
  <c r="C9" i="19"/>
  <c r="DE241" i="3"/>
  <c r="AC300" i="3"/>
  <c r="DE300" i="3"/>
  <c r="CF300" i="3"/>
  <c r="DE265" i="3"/>
  <c r="DE110" i="3"/>
  <c r="DE216" i="3"/>
  <c r="DE327" i="3"/>
  <c r="DE290" i="3"/>
  <c r="AD281" i="3"/>
  <c r="AY281" i="3"/>
  <c r="N283" i="3"/>
  <c r="AI281" i="3"/>
  <c r="Z270" i="3"/>
  <c r="BV119" i="3"/>
  <c r="BV246" i="3"/>
  <c r="CK204" i="3"/>
  <c r="CZ277" i="3"/>
  <c r="N270" i="3"/>
  <c r="BV137" i="3"/>
  <c r="L283" i="3"/>
  <c r="W270" i="3"/>
  <c r="Z281" i="3"/>
  <c r="CZ283" i="3"/>
  <c r="L270" i="3"/>
  <c r="CZ128" i="3"/>
  <c r="V204" i="3"/>
  <c r="CK171" i="3"/>
  <c r="CZ265" i="3"/>
  <c r="CZ281" i="3"/>
  <c r="AI270" i="3"/>
  <c r="BV283" i="3"/>
  <c r="BV290" i="3"/>
  <c r="AY270" i="3"/>
  <c r="N281" i="3"/>
  <c r="Z283" i="3"/>
  <c r="BG277" i="3"/>
  <c r="BG281" i="3"/>
  <c r="CZ270" i="3"/>
  <c r="CK281" i="3"/>
  <c r="CK270" i="3"/>
  <c r="BG283" i="3"/>
  <c r="BG290" i="3"/>
  <c r="CZ204" i="3"/>
  <c r="CK283" i="3"/>
  <c r="AY283" i="3"/>
  <c r="AI283" i="3"/>
  <c r="AD283" i="3"/>
  <c r="BV216" i="3"/>
  <c r="BV241" i="3"/>
  <c r="L281" i="3"/>
  <c r="AD270" i="3"/>
  <c r="BV277" i="3"/>
  <c r="BV281" i="3"/>
  <c r="AH283" i="3"/>
  <c r="AH270" i="3"/>
  <c r="AH281" i="3"/>
  <c r="AH300" i="3"/>
  <c r="AT327" i="3"/>
  <c r="AH327" i="3"/>
  <c r="C12" i="19"/>
  <c r="A12" i="19" s="1"/>
  <c r="S10" i="19"/>
  <c r="Y10" i="19"/>
  <c r="AI10" i="19" s="1"/>
  <c r="AL10" i="19"/>
  <c r="T10" i="19"/>
  <c r="AG10" i="19" s="1"/>
  <c r="AM10" i="19"/>
  <c r="C18" i="19"/>
  <c r="A18" i="19" s="1"/>
  <c r="Y13" i="19"/>
  <c r="AI13" i="19" s="1"/>
  <c r="C13" i="19" s="1"/>
  <c r="A13" i="19" s="1"/>
  <c r="Y23" i="19"/>
  <c r="AI23" i="19" s="1"/>
  <c r="C23" i="19" s="1"/>
  <c r="A23" i="19" s="1"/>
  <c r="C17" i="19"/>
  <c r="A17" i="19" s="1"/>
  <c r="C3" i="19"/>
  <c r="C27" i="19"/>
  <c r="A27" i="19" s="1"/>
  <c r="C28" i="19"/>
  <c r="A28" i="19" s="1"/>
  <c r="C22" i="19"/>
  <c r="A22" i="19" s="1"/>
  <c r="C15" i="19"/>
  <c r="A15" i="19" s="1"/>
  <c r="C16" i="19"/>
  <c r="A16" i="19" s="1"/>
  <c r="Y8" i="19"/>
  <c r="AI8" i="19" s="1"/>
  <c r="C8" i="19" s="1"/>
  <c r="AK21" i="19"/>
  <c r="Y21" i="19"/>
  <c r="AI21" i="19" s="1"/>
  <c r="AL21" i="19"/>
  <c r="S21" i="19"/>
  <c r="T21" i="19" s="1"/>
  <c r="AG21" i="19" s="1"/>
  <c r="AF21" i="19"/>
  <c r="AE21" i="19"/>
  <c r="AN21" i="19" s="1"/>
  <c r="AD21" i="19"/>
  <c r="AM21" i="19" s="1"/>
  <c r="C20" i="19"/>
  <c r="A20" i="19" s="1"/>
  <c r="C25" i="19"/>
  <c r="A25" i="19" s="1"/>
  <c r="C14" i="19"/>
  <c r="A14" i="19" s="1"/>
  <c r="C19" i="19"/>
  <c r="A19" i="19" s="1"/>
  <c r="C29" i="19"/>
  <c r="A29" i="19" s="1"/>
  <c r="C26" i="19"/>
  <c r="A26" i="19" s="1"/>
  <c r="AK5" i="19"/>
  <c r="T5" i="19"/>
  <c r="AG5" i="19" s="1"/>
  <c r="Y5" i="19"/>
  <c r="AI5" i="19" s="1"/>
  <c r="AN5" i="19"/>
  <c r="AL5" i="19"/>
  <c r="C30" i="19"/>
  <c r="A30" i="19" s="1"/>
  <c r="Y11" i="19"/>
  <c r="AI11" i="19" s="1"/>
  <c r="S11" i="19"/>
  <c r="T11" i="19" s="1"/>
  <c r="AG11" i="19" s="1"/>
  <c r="V327" i="3"/>
  <c r="V270" i="3"/>
  <c r="Y327" i="3"/>
  <c r="V281" i="3"/>
  <c r="W300" i="3"/>
  <c r="Y270" i="3"/>
  <c r="CZ198" i="3"/>
  <c r="AI198" i="3"/>
  <c r="L260" i="3"/>
  <c r="N260" i="3"/>
  <c r="AH260" i="3"/>
  <c r="AI260" i="3"/>
  <c r="AY260" i="3"/>
  <c r="CK260" i="3"/>
  <c r="DE246" i="3"/>
  <c r="L290" i="3"/>
  <c r="N290" i="3"/>
  <c r="Z290" i="3"/>
  <c r="AC294" i="3"/>
  <c r="AD290" i="3"/>
  <c r="AH294" i="3"/>
  <c r="AI290" i="3"/>
  <c r="AY290" i="3"/>
  <c r="CF294" i="3"/>
  <c r="CH294" i="3"/>
  <c r="CK290" i="3"/>
  <c r="CP294" i="3"/>
  <c r="CS294" i="3"/>
  <c r="CZ290" i="3"/>
  <c r="Z110" i="3"/>
  <c r="AD110" i="3"/>
  <c r="AI110" i="3"/>
  <c r="CZ119" i="3"/>
  <c r="DE67" i="3"/>
  <c r="L241" i="3"/>
  <c r="Z241" i="3"/>
  <c r="AD241" i="3"/>
  <c r="AH241" i="3"/>
  <c r="CK62" i="3"/>
  <c r="CZ62" i="3"/>
  <c r="CK198" i="3"/>
  <c r="AY265" i="3"/>
  <c r="AI265" i="3"/>
  <c r="AH265" i="3"/>
  <c r="AD204" i="3"/>
  <c r="Z265" i="3"/>
  <c r="W204" i="3"/>
  <c r="N204" i="3"/>
  <c r="L265" i="3"/>
  <c r="CP137" i="3"/>
  <c r="CK137" i="3"/>
  <c r="CF137" i="3"/>
  <c r="CP25" i="3"/>
  <c r="CK25" i="3"/>
  <c r="CF25" i="3"/>
  <c r="CA25" i="3"/>
  <c r="BQ25" i="3"/>
  <c r="AY25" i="3"/>
  <c r="AI25" i="3"/>
  <c r="AD25" i="3"/>
  <c r="Z25" i="3"/>
  <c r="Y25" i="3"/>
  <c r="V25" i="3"/>
  <c r="N25" i="3"/>
  <c r="L25" i="3"/>
  <c r="DE60" i="3"/>
  <c r="DH5" i="3"/>
  <c r="CZ5" i="3"/>
  <c r="CW5" i="3"/>
  <c r="CU5" i="3"/>
  <c r="CS5" i="3"/>
  <c r="CP5" i="3"/>
  <c r="CK5" i="3"/>
  <c r="CH5" i="3"/>
  <c r="CF5" i="3"/>
  <c r="AY5" i="3"/>
  <c r="AI5" i="3"/>
  <c r="AD5" i="3"/>
  <c r="Z5" i="3"/>
  <c r="W5" i="3"/>
  <c r="V5" i="3"/>
  <c r="N5" i="3"/>
  <c r="L5" i="3"/>
  <c r="DO306" i="3"/>
  <c r="CK306" i="3"/>
  <c r="BV306" i="3"/>
  <c r="BG306" i="3"/>
  <c r="AT306" i="3"/>
  <c r="CK267" i="3"/>
  <c r="BV267" i="3"/>
  <c r="Z267" i="3"/>
  <c r="X306" i="3"/>
  <c r="CZ257" i="3"/>
  <c r="AY257" i="3"/>
  <c r="AI257" i="3"/>
  <c r="DO252" i="3"/>
  <c r="CZ182" i="3"/>
  <c r="CK252" i="3"/>
  <c r="BV252" i="3"/>
  <c r="AC252" i="3"/>
  <c r="DO237" i="3"/>
  <c r="CZ243" i="3"/>
  <c r="CK237" i="3"/>
  <c r="AI201" i="3"/>
  <c r="CZ196" i="3"/>
  <c r="CK196" i="3"/>
  <c r="BV199" i="3"/>
  <c r="AY196" i="3"/>
  <c r="DO70" i="3"/>
  <c r="CK227" i="3"/>
  <c r="BG89" i="3"/>
  <c r="AI227" i="3"/>
  <c r="AD227" i="3"/>
  <c r="DO201" i="3"/>
  <c r="CZ201" i="3"/>
  <c r="CK124" i="3"/>
  <c r="BV201" i="3"/>
  <c r="CK191" i="3"/>
  <c r="CK161" i="3"/>
  <c r="BV161" i="3"/>
  <c r="BG6" i="3"/>
  <c r="AD161" i="3"/>
  <c r="CZ125" i="3"/>
  <c r="N104" i="3"/>
  <c r="L104" i="3"/>
  <c r="AD97" i="3"/>
  <c r="Z97" i="3"/>
  <c r="Y97" i="3"/>
  <c r="CZ89" i="3"/>
  <c r="AY89" i="3"/>
  <c r="AI89" i="3"/>
  <c r="AT72" i="3"/>
  <c r="CK70" i="3"/>
  <c r="CZ24" i="3"/>
  <c r="AD51" i="3"/>
  <c r="Z51" i="3"/>
  <c r="W51" i="3"/>
  <c r="AC29" i="3"/>
  <c r="W29" i="3"/>
  <c r="AY23" i="3"/>
  <c r="AI23" i="3"/>
  <c r="AD23" i="3"/>
  <c r="Y23" i="3"/>
  <c r="W23" i="3"/>
  <c r="N23" i="3"/>
  <c r="Z6" i="3"/>
  <c r="Y6" i="3"/>
  <c r="W6" i="3"/>
  <c r="V13" i="3"/>
  <c r="AY309" i="3"/>
  <c r="AI309" i="3"/>
  <c r="AT309" i="3"/>
  <c r="AD309" i="3"/>
  <c r="AC309" i="3"/>
  <c r="Z309" i="3"/>
  <c r="Y309" i="3"/>
  <c r="W309" i="3"/>
  <c r="V309" i="3"/>
  <c r="N309" i="3"/>
  <c r="L309" i="3"/>
  <c r="AY279" i="3"/>
  <c r="AI279" i="3"/>
  <c r="AD279" i="3"/>
  <c r="AC279" i="3"/>
  <c r="Z279" i="3"/>
  <c r="Y279" i="3"/>
  <c r="W279" i="3"/>
  <c r="V279" i="3"/>
  <c r="N279" i="3"/>
  <c r="L279" i="3"/>
  <c r="Z275" i="3"/>
  <c r="AI263" i="3"/>
  <c r="AY212" i="3"/>
  <c r="AY211" i="3"/>
  <c r="V209" i="3"/>
  <c r="N209" i="3"/>
  <c r="W207" i="3"/>
  <c r="V207" i="3"/>
  <c r="N207" i="3"/>
  <c r="AY194" i="3"/>
  <c r="Y194" i="3"/>
  <c r="X194" i="3"/>
  <c r="W194" i="3"/>
  <c r="AC187" i="3"/>
  <c r="X185" i="3"/>
  <c r="W185" i="3"/>
  <c r="AY172" i="3"/>
  <c r="AI172" i="3"/>
  <c r="AT172" i="3"/>
  <c r="AD172" i="3"/>
  <c r="AC172" i="3"/>
  <c r="Z172" i="3"/>
  <c r="Y172" i="3"/>
  <c r="V172" i="3"/>
  <c r="L172" i="3"/>
  <c r="AY169" i="3"/>
  <c r="AI169" i="3"/>
  <c r="AD169" i="3"/>
  <c r="Z169" i="3"/>
  <c r="Y169" i="3"/>
  <c r="X169" i="3"/>
  <c r="W169" i="3"/>
  <c r="V169" i="3"/>
  <c r="N169" i="3"/>
  <c r="L169" i="3"/>
  <c r="AY153" i="3"/>
  <c r="AI153" i="3"/>
  <c r="AD153" i="3"/>
  <c r="Z153" i="3"/>
  <c r="Y153" i="3"/>
  <c r="V153" i="3"/>
  <c r="N153" i="3"/>
  <c r="L153" i="3"/>
  <c r="Z149" i="3"/>
  <c r="Y149" i="3"/>
  <c r="W149" i="3"/>
  <c r="AD145" i="3"/>
  <c r="Z145" i="3"/>
  <c r="X145" i="3"/>
  <c r="Z132" i="3"/>
  <c r="X132" i="3"/>
  <c r="Z130" i="3"/>
  <c r="Y130" i="3"/>
  <c r="X130" i="3"/>
  <c r="AY121" i="3"/>
  <c r="AH121" i="3"/>
  <c r="AD185" i="3"/>
  <c r="Z121" i="3"/>
  <c r="Y121" i="3"/>
  <c r="W121" i="3"/>
  <c r="V121" i="3"/>
  <c r="N121" i="3"/>
  <c r="L121" i="3"/>
  <c r="Z114" i="3"/>
  <c r="AI88" i="3"/>
  <c r="AH88" i="3"/>
  <c r="AD88" i="3"/>
  <c r="Z88" i="3"/>
  <c r="AY85" i="3"/>
  <c r="AI84" i="3"/>
  <c r="AD84" i="3"/>
  <c r="Y84" i="3"/>
  <c r="W84" i="3"/>
  <c r="V84" i="3"/>
  <c r="N84" i="3"/>
  <c r="L84" i="3"/>
  <c r="AY58" i="3"/>
  <c r="N69" i="3"/>
  <c r="AI58" i="3"/>
  <c r="AD58" i="3"/>
  <c r="AC58" i="3"/>
  <c r="W58" i="3"/>
  <c r="N58" i="3"/>
  <c r="AY54" i="3"/>
  <c r="AI54" i="3"/>
  <c r="AC54" i="3"/>
  <c r="Y54" i="3"/>
  <c r="X54" i="3"/>
  <c r="W54" i="3"/>
  <c r="V54" i="3"/>
  <c r="N54" i="3"/>
  <c r="L54" i="3"/>
  <c r="AY47" i="3"/>
  <c r="AI47" i="3"/>
  <c r="AT47" i="3"/>
  <c r="AD47" i="3"/>
  <c r="AC47" i="3"/>
  <c r="W47" i="3"/>
  <c r="V47" i="3"/>
  <c r="N47" i="3"/>
  <c r="L47" i="3"/>
  <c r="AY21" i="3"/>
  <c r="AI21" i="3"/>
  <c r="AD21" i="3"/>
  <c r="Z21" i="3"/>
  <c r="Y21" i="3"/>
  <c r="W21" i="3"/>
  <c r="V21" i="3"/>
  <c r="N21" i="3"/>
  <c r="L21" i="3"/>
  <c r="Z35" i="15"/>
  <c r="X35" i="15"/>
  <c r="V35" i="15"/>
  <c r="T35" i="15"/>
  <c r="R35" i="15"/>
  <c r="P35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S3" i="15"/>
  <c r="Q3" i="15"/>
  <c r="P3" i="15"/>
  <c r="O3" i="15"/>
  <c r="N3" i="15"/>
  <c r="M3" i="15"/>
  <c r="AW324" i="3"/>
  <c r="AI324" i="3"/>
  <c r="AC324" i="3"/>
  <c r="L324" i="3"/>
  <c r="AY320" i="3"/>
  <c r="AD320" i="3"/>
  <c r="N320" i="3"/>
  <c r="L320" i="3"/>
  <c r="AY311" i="3"/>
  <c r="AI311" i="3"/>
  <c r="L311" i="3"/>
  <c r="AW305" i="3"/>
  <c r="AI305" i="3"/>
  <c r="AD305" i="3"/>
  <c r="Z305" i="3"/>
  <c r="N305" i="3"/>
  <c r="L305" i="3"/>
  <c r="AY302" i="3"/>
  <c r="AI302" i="3"/>
  <c r="AC302" i="3"/>
  <c r="N302" i="3"/>
  <c r="L302" i="3"/>
  <c r="AY242" i="3"/>
  <c r="AR242" i="3"/>
  <c r="AV242" i="3"/>
  <c r="Z242" i="3"/>
  <c r="Y242" i="3"/>
  <c r="AS242" i="3"/>
  <c r="N242" i="3"/>
  <c r="L242" i="3"/>
  <c r="AC236" i="3"/>
  <c r="Z236" i="3"/>
  <c r="Y236" i="3"/>
  <c r="L236" i="3"/>
  <c r="AY235" i="3"/>
  <c r="AP235" i="3"/>
  <c r="AI235" i="3"/>
  <c r="AS235" i="3"/>
  <c r="L235" i="3"/>
  <c r="AI224" i="3"/>
  <c r="X224" i="3"/>
  <c r="W224" i="3"/>
  <c r="N224" i="3"/>
  <c r="L224" i="3"/>
  <c r="AY218" i="3"/>
  <c r="AD218" i="3"/>
  <c r="Z218" i="3"/>
  <c r="W218" i="3"/>
  <c r="L218" i="3"/>
  <c r="AP183" i="3"/>
  <c r="AX183" i="3"/>
  <c r="AV183" i="3"/>
  <c r="AU183" i="3"/>
  <c r="W183" i="3"/>
  <c r="V183" i="3"/>
  <c r="N183" i="3"/>
  <c r="L183" i="3"/>
  <c r="AY152" i="3"/>
  <c r="AI152" i="3"/>
  <c r="AR152" i="3"/>
  <c r="Y152" i="3"/>
  <c r="X152" i="3"/>
  <c r="W152" i="3"/>
  <c r="N152" i="3"/>
  <c r="AI156" i="3"/>
  <c r="AD156" i="3"/>
  <c r="AC156" i="3"/>
  <c r="Z156" i="3"/>
  <c r="AP143" i="3"/>
  <c r="AI143" i="3"/>
  <c r="L143" i="3"/>
  <c r="AI123" i="3"/>
  <c r="W123" i="3"/>
  <c r="V123" i="3"/>
  <c r="N123" i="3"/>
  <c r="L123" i="3"/>
  <c r="Z107" i="3"/>
  <c r="AI107" i="3"/>
  <c r="AI109" i="3"/>
  <c r="AD109" i="3"/>
  <c r="Z109" i="3"/>
  <c r="Y109" i="3"/>
  <c r="N109" i="3"/>
  <c r="AH101" i="3"/>
  <c r="AT101" i="3" s="1"/>
  <c r="W101" i="3"/>
  <c r="V101" i="3"/>
  <c r="L101" i="3"/>
  <c r="Z87" i="3"/>
  <c r="AO87" i="3"/>
  <c r="AX87" i="3"/>
  <c r="AP87" i="3"/>
  <c r="L87" i="3"/>
  <c r="AY82" i="3"/>
  <c r="AI82" i="3"/>
  <c r="AC82" i="3"/>
  <c r="Z82" i="3"/>
  <c r="Y82" i="3"/>
  <c r="N82" i="3"/>
  <c r="L82" i="3"/>
  <c r="AY79" i="3"/>
  <c r="AI79" i="3"/>
  <c r="AQ79" i="3"/>
  <c r="L79" i="3"/>
  <c r="AY48" i="3"/>
  <c r="AI48" i="3"/>
  <c r="L48" i="3"/>
  <c r="AI37" i="3"/>
  <c r="Y37" i="3"/>
  <c r="W37" i="3"/>
  <c r="V37" i="3"/>
  <c r="N37" i="3"/>
  <c r="L37" i="3"/>
  <c r="AD32" i="3"/>
  <c r="AR32" i="3"/>
  <c r="Z32" i="3"/>
  <c r="Y32" i="3"/>
  <c r="W32" i="3"/>
  <c r="L32" i="3"/>
  <c r="AX26" i="3"/>
  <c r="AW26" i="3"/>
  <c r="AC26" i="3"/>
  <c r="V26" i="3"/>
  <c r="N26" i="3"/>
  <c r="L26" i="3"/>
  <c r="AY8" i="3"/>
  <c r="AI8" i="3"/>
  <c r="X8" i="3"/>
  <c r="N8" i="3"/>
  <c r="L8" i="3"/>
  <c r="AY3" i="3"/>
  <c r="AR3" i="3"/>
  <c r="AI3" i="3"/>
  <c r="Z3" i="3"/>
  <c r="X3" i="3"/>
  <c r="W3" i="3"/>
  <c r="L3" i="3"/>
  <c r="Y322" i="3"/>
  <c r="AJ322" i="3"/>
  <c r="W322" i="3"/>
  <c r="L322" i="3"/>
  <c r="AC319" i="3"/>
  <c r="Z319" i="3"/>
  <c r="Y319" i="3"/>
  <c r="L319" i="3"/>
  <c r="AI297" i="3"/>
  <c r="AD297" i="3"/>
  <c r="Z297" i="3"/>
  <c r="Y297" i="3"/>
  <c r="L297" i="3"/>
  <c r="AI292" i="3"/>
  <c r="Y292" i="3"/>
  <c r="W292" i="3"/>
  <c r="AS292" i="3"/>
  <c r="N292" i="3"/>
  <c r="AI295" i="3"/>
  <c r="W295" i="3"/>
  <c r="V295" i="3"/>
  <c r="N295" i="3"/>
  <c r="AR272" i="3"/>
  <c r="Z272" i="3"/>
  <c r="Y272" i="3"/>
  <c r="X272" i="3"/>
  <c r="L272" i="3"/>
  <c r="AX269" i="3"/>
  <c r="AW269" i="3"/>
  <c r="AV269" i="3"/>
  <c r="N269" i="3"/>
  <c r="L269" i="3"/>
  <c r="AC250" i="3"/>
  <c r="Z250" i="3"/>
  <c r="Y250" i="3"/>
  <c r="L250" i="3"/>
  <c r="AI238" i="3"/>
  <c r="AD238" i="3"/>
  <c r="AC238" i="3"/>
  <c r="N238" i="3"/>
  <c r="L238" i="3"/>
  <c r="AP228" i="3"/>
  <c r="Z228" i="3"/>
  <c r="Y228" i="3"/>
  <c r="W228" i="3"/>
  <c r="V228" i="3"/>
  <c r="L228" i="3"/>
  <c r="AR225" i="3"/>
  <c r="Z225" i="3"/>
  <c r="Y225" i="3"/>
  <c r="W225" i="3"/>
  <c r="V225" i="3"/>
  <c r="L225" i="3"/>
  <c r="AI210" i="3"/>
  <c r="Y210" i="3"/>
  <c r="L210" i="3"/>
  <c r="AP205" i="3"/>
  <c r="AD205" i="3"/>
  <c r="Z205" i="3"/>
  <c r="L205" i="3"/>
  <c r="AW202" i="3"/>
  <c r="AP202" i="3"/>
  <c r="AX202" i="3"/>
  <c r="AV202" i="3"/>
  <c r="AU202" i="3"/>
  <c r="Z202" i="3"/>
  <c r="Y202" i="3"/>
  <c r="X202" i="3"/>
  <c r="W202" i="3"/>
  <c r="N202" i="3"/>
  <c r="L202" i="3"/>
  <c r="AD190" i="3"/>
  <c r="Z190" i="3"/>
  <c r="AI195" i="3"/>
  <c r="V195" i="3"/>
  <c r="N195" i="3"/>
  <c r="AR184" i="3"/>
  <c r="W184" i="3"/>
  <c r="V184" i="3"/>
  <c r="N184" i="3"/>
  <c r="L184" i="3"/>
  <c r="AV173" i="3"/>
  <c r="AI173" i="3"/>
  <c r="AD173" i="3"/>
  <c r="AP177" i="3"/>
  <c r="AH177" i="3"/>
  <c r="AT177" i="3" s="1"/>
  <c r="Y177" i="3"/>
  <c r="AI168" i="3"/>
  <c r="Y168" i="3"/>
  <c r="N168" i="3"/>
  <c r="L168" i="3"/>
  <c r="AD165" i="3"/>
  <c r="Z165" i="3"/>
  <c r="Y165" i="3"/>
  <c r="W165" i="3"/>
  <c r="L165" i="3"/>
  <c r="AI158" i="3"/>
  <c r="AD158" i="3"/>
  <c r="L158" i="3"/>
  <c r="AU142" i="3"/>
  <c r="AD142" i="3"/>
  <c r="N142" i="3"/>
  <c r="AU148" i="3"/>
  <c r="Y148" i="3"/>
  <c r="AI140" i="3"/>
  <c r="AD140" i="3"/>
  <c r="Z140" i="3"/>
  <c r="L140" i="3"/>
  <c r="AI136" i="3"/>
  <c r="AR136" i="3"/>
  <c r="V136" i="3"/>
  <c r="L136" i="3"/>
  <c r="AR129" i="3"/>
  <c r="AI129" i="3"/>
  <c r="AH129" i="3"/>
  <c r="AT129" i="3" s="1"/>
  <c r="Y129" i="3"/>
  <c r="L129" i="3"/>
  <c r="AI98" i="3"/>
  <c r="V98" i="3"/>
  <c r="L98" i="3"/>
  <c r="AD86" i="3"/>
  <c r="Z86" i="3"/>
  <c r="AU86" i="3"/>
  <c r="L86" i="3"/>
  <c r="AI77" i="3"/>
  <c r="L77" i="3"/>
  <c r="W71" i="3"/>
  <c r="V71" i="3"/>
  <c r="N71" i="3"/>
  <c r="L71" i="3"/>
  <c r="AD27" i="3"/>
  <c r="L27" i="3"/>
  <c r="AX16" i="3"/>
  <c r="AW16" i="3"/>
  <c r="AV16" i="3"/>
  <c r="AI16" i="3"/>
  <c r="AJ16" i="3"/>
  <c r="N16" i="3"/>
  <c r="L16" i="3"/>
  <c r="Z325" i="3"/>
  <c r="Y325" i="3"/>
  <c r="W325" i="3"/>
  <c r="V325" i="3"/>
  <c r="L325" i="3"/>
  <c r="AU303" i="3"/>
  <c r="AD303" i="3"/>
  <c r="AC303" i="3"/>
  <c r="Z303" i="3"/>
  <c r="AS303" i="3"/>
  <c r="N303" i="3"/>
  <c r="L303" i="3"/>
  <c r="AX274" i="3"/>
  <c r="AH274" i="3"/>
  <c r="AT274" i="3" s="1"/>
  <c r="AG274" i="3"/>
  <c r="N274" i="3"/>
  <c r="L274" i="3"/>
  <c r="AD261" i="3"/>
  <c r="Y261" i="3"/>
  <c r="AS261" i="3"/>
  <c r="L261" i="3"/>
  <c r="AS256" i="3"/>
  <c r="AD256" i="3"/>
  <c r="AC256" i="3"/>
  <c r="N256" i="3"/>
  <c r="L256" i="3"/>
  <c r="AU245" i="3"/>
  <c r="AS245" i="3"/>
  <c r="AD245" i="3"/>
  <c r="Z245" i="3"/>
  <c r="Y245" i="3"/>
  <c r="N245" i="3"/>
  <c r="L245" i="3"/>
  <c r="AU234" i="3"/>
  <c r="AP234" i="3"/>
  <c r="Y234" i="3"/>
  <c r="W234" i="3"/>
  <c r="N234" i="3"/>
  <c r="L234" i="3"/>
  <c r="AU223" i="3"/>
  <c r="AI223" i="3"/>
  <c r="Y223" i="3"/>
  <c r="L223" i="3"/>
  <c r="AP220" i="3"/>
  <c r="AN220" i="3"/>
  <c r="AI220" i="3"/>
  <c r="AU220" i="3"/>
  <c r="W220" i="3"/>
  <c r="V220" i="3"/>
  <c r="N220" i="3"/>
  <c r="L220" i="3"/>
  <c r="AC215" i="3"/>
  <c r="Z215" i="3"/>
  <c r="N215" i="3"/>
  <c r="AW219" i="3"/>
  <c r="AV219" i="3"/>
  <c r="AI219" i="3"/>
  <c r="AD219" i="3"/>
  <c r="W219" i="3"/>
  <c r="V219" i="3"/>
  <c r="AI155" i="3"/>
  <c r="AH155" i="3"/>
  <c r="AT155" i="3" s="1"/>
  <c r="Y155" i="3"/>
  <c r="L155" i="3"/>
  <c r="AX146" i="3"/>
  <c r="AV146" i="3"/>
  <c r="AI146" i="3"/>
  <c r="W146" i="3"/>
  <c r="N146" i="3"/>
  <c r="L146" i="3"/>
  <c r="Z131" i="3"/>
  <c r="Y131" i="3"/>
  <c r="W131" i="3"/>
  <c r="L131" i="3"/>
  <c r="AX116" i="3"/>
  <c r="AW116" i="3"/>
  <c r="AV116" i="3"/>
  <c r="AI116" i="3"/>
  <c r="AE116" i="3"/>
  <c r="V116" i="3"/>
  <c r="N116" i="3"/>
  <c r="L116" i="3"/>
  <c r="AR105" i="3"/>
  <c r="W105" i="3"/>
  <c r="V105" i="3"/>
  <c r="N105" i="3"/>
  <c r="L105" i="3"/>
  <c r="AD91" i="3"/>
  <c r="AC91" i="3"/>
  <c r="Z91" i="3"/>
  <c r="Y91" i="3"/>
  <c r="L91" i="3"/>
  <c r="AX81" i="3"/>
  <c r="Z81" i="3"/>
  <c r="Y81" i="3"/>
  <c r="W81" i="3"/>
  <c r="L81" i="3"/>
  <c r="AI76" i="3"/>
  <c r="V76" i="3"/>
  <c r="L76" i="3"/>
  <c r="AW35" i="3"/>
  <c r="AV35" i="3"/>
  <c r="AU35" i="3"/>
  <c r="N35" i="3"/>
  <c r="L35" i="3"/>
  <c r="AS20" i="3"/>
  <c r="AC20" i="3"/>
  <c r="Z20" i="3"/>
  <c r="L20" i="3"/>
  <c r="AP14" i="3"/>
  <c r="AJ14" i="3"/>
  <c r="AI14" i="3"/>
  <c r="AX14" i="3"/>
  <c r="W14" i="3"/>
  <c r="V14" i="3"/>
  <c r="N14" i="3"/>
  <c r="L14" i="3"/>
  <c r="Y321" i="3"/>
  <c r="AW321" i="3"/>
  <c r="W321" i="3"/>
  <c r="V321" i="3"/>
  <c r="L321" i="3"/>
  <c r="AP314" i="3"/>
  <c r="AV314" i="3"/>
  <c r="AD314" i="3"/>
  <c r="L314" i="3"/>
  <c r="AR313" i="3"/>
  <c r="AP313" i="3"/>
  <c r="AX313" i="3"/>
  <c r="Z313" i="3"/>
  <c r="Y313" i="3"/>
  <c r="AU313" i="3"/>
  <c r="W313" i="3"/>
  <c r="V313" i="3"/>
  <c r="N313" i="3"/>
  <c r="L313" i="3"/>
  <c r="Z307" i="3"/>
  <c r="Y307" i="3"/>
  <c r="AU307" i="3"/>
  <c r="W307" i="3"/>
  <c r="L307" i="3"/>
  <c r="AR282" i="3"/>
  <c r="AP282" i="3"/>
  <c r="AI282" i="3"/>
  <c r="W282" i="3"/>
  <c r="V282" i="3"/>
  <c r="L282" i="3"/>
  <c r="AX271" i="3"/>
  <c r="Z271" i="3"/>
  <c r="Y271" i="3"/>
  <c r="AO271" i="3"/>
  <c r="L271" i="3"/>
  <c r="AI266" i="3"/>
  <c r="W266" i="3"/>
  <c r="L266" i="3"/>
  <c r="AP248" i="3"/>
  <c r="Z248" i="3"/>
  <c r="Y248" i="3"/>
  <c r="AU248" i="3"/>
  <c r="W248" i="3"/>
  <c r="V248" i="3"/>
  <c r="L248" i="3"/>
  <c r="AI188" i="3"/>
  <c r="AD188" i="3"/>
  <c r="AC188" i="3"/>
  <c r="L188" i="3"/>
  <c r="AV162" i="3"/>
  <c r="AI162" i="3"/>
  <c r="AH162" i="3"/>
  <c r="AT162" i="3" s="1"/>
  <c r="AS162" i="3"/>
  <c r="AC162" i="3"/>
  <c r="N162" i="3"/>
  <c r="Z160" i="3"/>
  <c r="Y160" i="3"/>
  <c r="AR164" i="3"/>
  <c r="AV164" i="3"/>
  <c r="AU164" i="3"/>
  <c r="AI164" i="3"/>
  <c r="AQ164" i="3"/>
  <c r="N164" i="3"/>
  <c r="Z133" i="3"/>
  <c r="Y133" i="3"/>
  <c r="W133" i="3"/>
  <c r="L133" i="3"/>
  <c r="AX115" i="3"/>
  <c r="AW115" i="3"/>
  <c r="AV115" i="3"/>
  <c r="AI115" i="3"/>
  <c r="AD115" i="3"/>
  <c r="N115" i="3"/>
  <c r="L115" i="3"/>
  <c r="AX74" i="3"/>
  <c r="AP74" i="3"/>
  <c r="AC74" i="3"/>
  <c r="Y74" i="3"/>
  <c r="AO74" i="3"/>
  <c r="W74" i="3"/>
  <c r="V74" i="3"/>
  <c r="N74" i="3"/>
  <c r="L74" i="3"/>
  <c r="AD53" i="3"/>
  <c r="AC53" i="3"/>
  <c r="Z53" i="3"/>
  <c r="Y53" i="3"/>
  <c r="X53" i="3"/>
  <c r="W53" i="3"/>
  <c r="V53" i="3"/>
  <c r="L53" i="3"/>
  <c r="AV52" i="3"/>
  <c r="AU52" i="3"/>
  <c r="N52" i="3"/>
  <c r="L52" i="3"/>
  <c r="N45" i="3"/>
  <c r="L45" i="3"/>
  <c r="AD39" i="3"/>
  <c r="AF39" i="3"/>
  <c r="Z39" i="3"/>
  <c r="Y39" i="3"/>
  <c r="W39" i="3"/>
  <c r="L39" i="3"/>
  <c r="DO38" i="3"/>
  <c r="AI38" i="3"/>
  <c r="AH38" i="3"/>
  <c r="AT38" i="3" s="1"/>
  <c r="Y38" i="3"/>
  <c r="L38" i="3"/>
  <c r="AS31" i="3"/>
  <c r="AD31" i="3"/>
  <c r="N31" i="3"/>
  <c r="L31" i="3"/>
  <c r="AI19" i="3"/>
  <c r="N19" i="3"/>
  <c r="L19" i="3"/>
  <c r="AW12" i="3"/>
  <c r="AP12" i="3"/>
  <c r="Z12" i="3"/>
  <c r="Y12" i="3"/>
  <c r="AN12" i="3"/>
  <c r="V12" i="3"/>
  <c r="L12" i="3"/>
  <c r="AP318" i="3"/>
  <c r="AI318" i="3"/>
  <c r="AQ318" i="3"/>
  <c r="N318" i="3"/>
  <c r="L318" i="3"/>
  <c r="AI273" i="3"/>
  <c r="Z273" i="3"/>
  <c r="N273" i="3"/>
  <c r="L273" i="3"/>
  <c r="AD262" i="3"/>
  <c r="AC262" i="3"/>
  <c r="Z262" i="3"/>
  <c r="W262" i="3"/>
  <c r="V262" i="3"/>
  <c r="AI264" i="3"/>
  <c r="Y264" i="3"/>
  <c r="W264" i="3"/>
  <c r="AD249" i="3"/>
  <c r="AP249" i="3"/>
  <c r="L249" i="3"/>
  <c r="AI232" i="3"/>
  <c r="W232" i="3"/>
  <c r="N232" i="3"/>
  <c r="L232" i="3"/>
  <c r="AS208" i="3"/>
  <c r="AE208" i="3"/>
  <c r="Z208" i="3"/>
  <c r="L208" i="3"/>
  <c r="AD200" i="3"/>
  <c r="V200" i="3"/>
  <c r="N200" i="3"/>
  <c r="L200" i="3"/>
  <c r="W181" i="3"/>
  <c r="V181" i="3"/>
  <c r="N181" i="3"/>
  <c r="L181" i="3"/>
  <c r="AD167" i="3"/>
  <c r="Z167" i="3"/>
  <c r="Y167" i="3"/>
  <c r="N167" i="3"/>
  <c r="L167" i="3"/>
  <c r="AI159" i="3"/>
  <c r="AC159" i="3"/>
  <c r="Z159" i="3"/>
  <c r="Y159" i="3"/>
  <c r="L159" i="3"/>
  <c r="AX151" i="3"/>
  <c r="AV151" i="3"/>
  <c r="AU151" i="3"/>
  <c r="AI151" i="3"/>
  <c r="N151" i="3"/>
  <c r="L151" i="3"/>
  <c r="AD150" i="3"/>
  <c r="Z150" i="3"/>
  <c r="Y150" i="3"/>
  <c r="L150" i="3"/>
  <c r="AP127" i="3"/>
  <c r="AI127" i="3"/>
  <c r="AC127" i="3"/>
  <c r="Z127" i="3"/>
  <c r="AV127" i="3"/>
  <c r="W127" i="3"/>
  <c r="N127" i="3"/>
  <c r="L127" i="3"/>
  <c r="AD96" i="3"/>
  <c r="AC96" i="3"/>
  <c r="Z96" i="3"/>
  <c r="AW99" i="3"/>
  <c r="AD99" i="3"/>
  <c r="Z99" i="3"/>
  <c r="Y99" i="3"/>
  <c r="AI92" i="3"/>
  <c r="AH92" i="3"/>
  <c r="AT92" i="3" s="1"/>
  <c r="AE92" i="3"/>
  <c r="X92" i="3"/>
  <c r="W92" i="3"/>
  <c r="L92" i="3"/>
  <c r="X90" i="3"/>
  <c r="W90" i="3"/>
  <c r="V90" i="3"/>
  <c r="L90" i="3"/>
  <c r="AC78" i="3"/>
  <c r="Z78" i="3"/>
  <c r="Y78" i="3"/>
  <c r="W78" i="3"/>
  <c r="L78" i="3"/>
  <c r="AI75" i="3"/>
  <c r="AR75" i="3"/>
  <c r="Z75" i="3"/>
  <c r="Y75" i="3"/>
  <c r="L75" i="3"/>
  <c r="AI64" i="3"/>
  <c r="AC64" i="3"/>
  <c r="Z64" i="3"/>
  <c r="Y64" i="3"/>
  <c r="L64" i="3"/>
  <c r="AI49" i="3"/>
  <c r="Z49" i="3"/>
  <c r="AP49" i="3"/>
  <c r="N49" i="3"/>
  <c r="L49" i="3"/>
  <c r="AI46" i="3"/>
  <c r="AD46" i="3"/>
  <c r="W46" i="3"/>
  <c r="L46" i="3"/>
  <c r="AV28" i="3"/>
  <c r="AI28" i="3"/>
  <c r="AD28" i="3"/>
  <c r="L28" i="3"/>
  <c r="AI328" i="3"/>
  <c r="AH328" i="3"/>
  <c r="AT328" i="3" s="1"/>
  <c r="Z328" i="3"/>
  <c r="Y328" i="3"/>
  <c r="V328" i="3"/>
  <c r="L328" i="3"/>
  <c r="AP323" i="3"/>
  <c r="AJ323" i="3"/>
  <c r="N323" i="3"/>
  <c r="L323" i="3"/>
  <c r="Y312" i="3"/>
  <c r="W312" i="3"/>
  <c r="L312" i="3"/>
  <c r="AI299" i="3"/>
  <c r="AS299" i="3"/>
  <c r="Y299" i="3"/>
  <c r="AO299" i="3"/>
  <c r="W299" i="3"/>
  <c r="V299" i="3"/>
  <c r="L299" i="3"/>
  <c r="AU296" i="3"/>
  <c r="AD296" i="3"/>
  <c r="AC296" i="3"/>
  <c r="Z296" i="3"/>
  <c r="Y296" i="3"/>
  <c r="L296" i="3"/>
  <c r="DO259" i="3"/>
  <c r="V259" i="3"/>
  <c r="AD259" i="3"/>
  <c r="AC259" i="3"/>
  <c r="Z259" i="3"/>
  <c r="Y259" i="3"/>
  <c r="L259" i="3"/>
  <c r="AI251" i="3"/>
  <c r="AP251" i="3"/>
  <c r="W251" i="3"/>
  <c r="L251" i="3"/>
  <c r="AH239" i="3"/>
  <c r="AT239" i="3" s="1"/>
  <c r="AD239" i="3"/>
  <c r="Z239" i="3"/>
  <c r="X239" i="3"/>
  <c r="V244" i="3"/>
  <c r="AP233" i="3"/>
  <c r="W233" i="3"/>
  <c r="V233" i="3"/>
  <c r="L233" i="3"/>
  <c r="AI230" i="3"/>
  <c r="AD230" i="3"/>
  <c r="L230" i="3"/>
  <c r="AW206" i="3"/>
  <c r="AC206" i="3"/>
  <c r="Z206" i="3"/>
  <c r="N206" i="3"/>
  <c r="L206" i="3"/>
  <c r="AI179" i="3"/>
  <c r="AC179" i="3"/>
  <c r="L179" i="3"/>
  <c r="AI147" i="3"/>
  <c r="AR147" i="3"/>
  <c r="AU147" i="3"/>
  <c r="W147" i="3"/>
  <c r="V147" i="3"/>
  <c r="N147" i="3"/>
  <c r="L147" i="3"/>
  <c r="AD144" i="3"/>
  <c r="Z144" i="3"/>
  <c r="W144" i="3"/>
  <c r="L144" i="3"/>
  <c r="AP141" i="3"/>
  <c r="AI141" i="3"/>
  <c r="AH141" i="3"/>
  <c r="AT141" i="3" s="1"/>
  <c r="AD141" i="3"/>
  <c r="AX141" i="3"/>
  <c r="N141" i="3"/>
  <c r="L141" i="3"/>
  <c r="AI122" i="3"/>
  <c r="Y122" i="3"/>
  <c r="X122" i="3"/>
  <c r="W122" i="3"/>
  <c r="N122" i="3"/>
  <c r="L122" i="3"/>
  <c r="AX112" i="3"/>
  <c r="AI112" i="3"/>
  <c r="AD112" i="3"/>
  <c r="W112" i="3"/>
  <c r="L112" i="3"/>
  <c r="AV94" i="3"/>
  <c r="AD94" i="3"/>
  <c r="AC94" i="3"/>
  <c r="Y94" i="3"/>
  <c r="V94" i="3"/>
  <c r="AI100" i="3"/>
  <c r="N100" i="3"/>
  <c r="AD59" i="3"/>
  <c r="W59" i="3"/>
  <c r="L59" i="3"/>
  <c r="AP50" i="3"/>
  <c r="AV50" i="3"/>
  <c r="AD50" i="3"/>
  <c r="AX50" i="3"/>
  <c r="V50" i="3"/>
  <c r="L50" i="3"/>
  <c r="AR40" i="3"/>
  <c r="Y40" i="3"/>
  <c r="X40" i="3"/>
  <c r="W40" i="3"/>
  <c r="L40" i="3"/>
  <c r="X33" i="3"/>
  <c r="W33" i="3"/>
  <c r="L33" i="3"/>
  <c r="AX30" i="3"/>
  <c r="AW30" i="3"/>
  <c r="AD30" i="3"/>
  <c r="V30" i="3"/>
  <c r="N30" i="3"/>
  <c r="L30" i="3"/>
  <c r="AS7" i="3"/>
  <c r="AP7" i="3"/>
  <c r="AD7" i="3"/>
  <c r="L7" i="3"/>
  <c r="AI316" i="3"/>
  <c r="AD316" i="3"/>
  <c r="AC316" i="3"/>
  <c r="N316" i="3"/>
  <c r="L316" i="3"/>
  <c r="AU285" i="3"/>
  <c r="AI285" i="3"/>
  <c r="Z285" i="3"/>
  <c r="Y285" i="3"/>
  <c r="AX285" i="3"/>
  <c r="W285" i="3"/>
  <c r="N285" i="3"/>
  <c r="L285" i="3"/>
  <c r="AI278" i="3"/>
  <c r="AD278" i="3"/>
  <c r="Z278" i="3"/>
  <c r="Y278" i="3"/>
  <c r="W278" i="3"/>
  <c r="L278" i="3"/>
  <c r="AD268" i="3"/>
  <c r="Z268" i="3"/>
  <c r="Y268" i="3"/>
  <c r="AI276" i="3"/>
  <c r="W276" i="3"/>
  <c r="AI255" i="3"/>
  <c r="L255" i="3"/>
  <c r="AI231" i="3"/>
  <c r="AO231" i="3"/>
  <c r="W231" i="3"/>
  <c r="V231" i="3"/>
  <c r="N231" i="3"/>
  <c r="L231" i="3"/>
  <c r="AI221" i="3"/>
  <c r="AD221" i="3"/>
  <c r="AC221" i="3"/>
  <c r="W221" i="3"/>
  <c r="N221" i="3"/>
  <c r="AI226" i="3"/>
  <c r="AD226" i="3"/>
  <c r="AX226" i="3"/>
  <c r="W226" i="3"/>
  <c r="V226" i="3"/>
  <c r="N226" i="3"/>
  <c r="AP214" i="3"/>
  <c r="Z214" i="3"/>
  <c r="Y214" i="3"/>
  <c r="W214" i="3"/>
  <c r="L214" i="3"/>
  <c r="AP197" i="3"/>
  <c r="AV197" i="3"/>
  <c r="AI197" i="3"/>
  <c r="AU197" i="3"/>
  <c r="N197" i="3"/>
  <c r="L197" i="3"/>
  <c r="AD192" i="3"/>
  <c r="W192" i="3"/>
  <c r="L192" i="3"/>
  <c r="AI134" i="3"/>
  <c r="AD134" i="3"/>
  <c r="N134" i="3"/>
  <c r="L134" i="3"/>
  <c r="Z126" i="3"/>
  <c r="Y126" i="3"/>
  <c r="L126" i="3"/>
  <c r="Z113" i="3"/>
  <c r="Y113" i="3"/>
  <c r="N113" i="3"/>
  <c r="AI120" i="3"/>
  <c r="AC120" i="3"/>
  <c r="Z120" i="3"/>
  <c r="Y120" i="3"/>
  <c r="AI106" i="3"/>
  <c r="Z106" i="3"/>
  <c r="Y106" i="3"/>
  <c r="N106" i="3"/>
  <c r="L106" i="3"/>
  <c r="AI95" i="3"/>
  <c r="Y95" i="3"/>
  <c r="N95" i="3"/>
  <c r="L95" i="3"/>
  <c r="AU63" i="3"/>
  <c r="AC63" i="3"/>
  <c r="N63" i="3"/>
  <c r="L63" i="3"/>
  <c r="AR57" i="3"/>
  <c r="Z57" i="3"/>
  <c r="W57" i="3"/>
  <c r="V57" i="3"/>
  <c r="N57" i="3"/>
  <c r="L57" i="3"/>
  <c r="AC43" i="3"/>
  <c r="L43" i="3"/>
  <c r="Z36" i="3"/>
  <c r="W36" i="3"/>
  <c r="L36" i="3"/>
  <c r="AW34" i="3"/>
  <c r="AX34" i="3"/>
  <c r="AN34" i="3"/>
  <c r="AI34" i="3"/>
  <c r="W34" i="3"/>
  <c r="V34" i="3"/>
  <c r="N34" i="3"/>
  <c r="L34" i="3"/>
  <c r="AD18" i="3"/>
  <c r="Z18" i="3"/>
  <c r="Y18" i="3"/>
  <c r="W18" i="3"/>
  <c r="V18" i="3"/>
  <c r="L18" i="3"/>
  <c r="AX15" i="3"/>
  <c r="AW15" i="3"/>
  <c r="AI15" i="3"/>
  <c r="Y15" i="3"/>
  <c r="L15" i="3"/>
  <c r="AV11" i="3"/>
  <c r="Z11" i="3"/>
  <c r="Y11" i="3"/>
  <c r="L11" i="3"/>
  <c r="AP10" i="3"/>
  <c r="Z10" i="3"/>
  <c r="Y10" i="3"/>
  <c r="L10" i="3"/>
  <c r="AY315" i="3"/>
  <c r="AT315" i="3"/>
  <c r="AP315" i="3"/>
  <c r="AC315" i="3"/>
  <c r="Z315" i="3"/>
  <c r="Y315" i="3"/>
  <c r="W315" i="3"/>
  <c r="V315" i="3"/>
  <c r="L315" i="3"/>
  <c r="AP298" i="3"/>
  <c r="AW298" i="3"/>
  <c r="AH298" i="3"/>
  <c r="Z298" i="3"/>
  <c r="Y298" i="3"/>
  <c r="V298" i="3"/>
  <c r="AT298" i="3"/>
  <c r="AP301" i="3"/>
  <c r="AC301" i="3"/>
  <c r="Y301" i="3"/>
  <c r="V301" i="3"/>
  <c r="N298" i="3"/>
  <c r="CS293" i="3"/>
  <c r="AV293" i="3"/>
  <c r="AP293" i="3"/>
  <c r="AI293" i="3"/>
  <c r="AT293" i="3"/>
  <c r="Z293" i="3"/>
  <c r="Y293" i="3"/>
  <c r="W293" i="3"/>
  <c r="L293" i="3"/>
  <c r="W288" i="3"/>
  <c r="AV288" i="3"/>
  <c r="AT288" i="3"/>
  <c r="AP288" i="3"/>
  <c r="AX288" i="3"/>
  <c r="AJ288" i="3"/>
  <c r="Z288" i="3"/>
  <c r="Y288" i="3"/>
  <c r="V288" i="3"/>
  <c r="N288" i="3"/>
  <c r="L288" i="3"/>
  <c r="AU287" i="3"/>
  <c r="AX287" i="3"/>
  <c r="Y287" i="3"/>
  <c r="X287" i="3"/>
  <c r="W287" i="3"/>
  <c r="V287" i="3"/>
  <c r="L287" i="3"/>
  <c r="CA286" i="3"/>
  <c r="AX284" i="3"/>
  <c r="AW284" i="3"/>
  <c r="AT284" i="3"/>
  <c r="AD284" i="3"/>
  <c r="AC284" i="3"/>
  <c r="Z284" i="3"/>
  <c r="Z286" i="3"/>
  <c r="CF284" i="3"/>
  <c r="AX286" i="3"/>
  <c r="AW286" i="3"/>
  <c r="Y286" i="3"/>
  <c r="N286" i="3"/>
  <c r="CH254" i="3"/>
  <c r="AP254" i="3"/>
  <c r="AN254" i="3"/>
  <c r="AU254" i="3"/>
  <c r="AI254" i="3"/>
  <c r="AT254" i="3"/>
  <c r="AR254" i="3"/>
  <c r="N254" i="3"/>
  <c r="L254" i="3"/>
  <c r="X247" i="3"/>
  <c r="AP247" i="3"/>
  <c r="AT247" i="3"/>
  <c r="Z247" i="3"/>
  <c r="N247" i="3"/>
  <c r="L247" i="3"/>
  <c r="AY240" i="3"/>
  <c r="AP240" i="3"/>
  <c r="AW240" i="3"/>
  <c r="AI240" i="3"/>
  <c r="AE240" i="3"/>
  <c r="W240" i="3"/>
  <c r="L240" i="3"/>
  <c r="AY229" i="3"/>
  <c r="AX229" i="3"/>
  <c r="AP229" i="3"/>
  <c r="AU229" i="3"/>
  <c r="Z229" i="3"/>
  <c r="N229" i="3"/>
  <c r="L229" i="3"/>
  <c r="AT186" i="3"/>
  <c r="AX186" i="3"/>
  <c r="AW186" i="3"/>
  <c r="AI186" i="3"/>
  <c r="N186" i="3"/>
  <c r="L186" i="3"/>
  <c r="W174" i="3"/>
  <c r="AP174" i="3"/>
  <c r="AV174" i="3"/>
  <c r="V174" i="3"/>
  <c r="N174" i="3"/>
  <c r="AY178" i="3"/>
  <c r="AT178" i="3"/>
  <c r="AW178" i="3"/>
  <c r="AV178" i="3"/>
  <c r="AI178" i="3"/>
  <c r="X178" i="3"/>
  <c r="N178" i="3"/>
  <c r="AY157" i="3"/>
  <c r="AO157" i="3"/>
  <c r="AT157" i="3"/>
  <c r="AC157" i="3"/>
  <c r="V157" i="3"/>
  <c r="L157" i="3"/>
  <c r="AY138" i="3"/>
  <c r="AX138" i="3"/>
  <c r="AW138" i="3"/>
  <c r="AD138" i="3"/>
  <c r="N138" i="3"/>
  <c r="L138" i="3"/>
  <c r="X135" i="3"/>
  <c r="V135" i="3"/>
  <c r="AP135" i="3"/>
  <c r="AI135" i="3"/>
  <c r="AD135" i="3"/>
  <c r="N135" i="3"/>
  <c r="L135" i="3"/>
  <c r="AU118" i="3"/>
  <c r="AT118" i="3"/>
  <c r="AP118" i="3"/>
  <c r="Y118" i="3"/>
  <c r="X118" i="3"/>
  <c r="V118" i="3"/>
  <c r="N118" i="3"/>
  <c r="L118" i="3"/>
  <c r="AP111" i="3"/>
  <c r="AV111" i="3"/>
  <c r="AU111" i="3"/>
  <c r="X111" i="3"/>
  <c r="W111" i="3"/>
  <c r="N111" i="3"/>
  <c r="L111" i="3"/>
  <c r="AY108" i="3"/>
  <c r="AU108" i="3"/>
  <c r="W108" i="3"/>
  <c r="V108" i="3"/>
  <c r="N108" i="3"/>
  <c r="L108" i="3"/>
  <c r="AX102" i="3"/>
  <c r="AV102" i="3"/>
  <c r="AU102" i="3"/>
  <c r="N102" i="3"/>
  <c r="AY103" i="3"/>
  <c r="AX103" i="3"/>
  <c r="AO103" i="3"/>
  <c r="V103" i="3"/>
  <c r="AY83" i="3"/>
  <c r="AW83" i="3"/>
  <c r="AN83" i="3"/>
  <c r="AU83" i="3"/>
  <c r="AT83" i="3"/>
  <c r="Z83" i="3"/>
  <c r="Y83" i="3"/>
  <c r="L83" i="3"/>
  <c r="X68" i="3"/>
  <c r="AY68" i="3"/>
  <c r="AT68" i="3"/>
  <c r="AU68" i="3"/>
  <c r="AH68" i="3"/>
  <c r="Y68" i="3"/>
  <c r="W68" i="3"/>
  <c r="V68" i="3"/>
  <c r="L68" i="3"/>
  <c r="AY42" i="3"/>
  <c r="AT42" i="3"/>
  <c r="AC42" i="3"/>
  <c r="V42" i="3"/>
  <c r="L42" i="3"/>
  <c r="AY22" i="3"/>
  <c r="AV22" i="3"/>
  <c r="AD22" i="3"/>
  <c r="AC22" i="3"/>
  <c r="Z22" i="3"/>
  <c r="L22" i="3"/>
  <c r="AY9" i="3"/>
  <c r="AP9" i="3"/>
  <c r="AW9" i="3"/>
  <c r="AH9" i="3"/>
  <c r="AR9" i="3"/>
  <c r="Y9" i="3"/>
  <c r="X9" i="3"/>
  <c r="V9" i="3"/>
  <c r="L9" i="3"/>
  <c r="X326" i="3"/>
  <c r="AY326" i="3"/>
  <c r="AW326" i="3"/>
  <c r="AV326" i="3"/>
  <c r="AU326" i="3"/>
  <c r="Z326" i="3"/>
  <c r="Y326" i="3"/>
  <c r="V326" i="3"/>
  <c r="L326" i="3"/>
  <c r="DE317" i="3"/>
  <c r="AY317" i="3"/>
  <c r="AW317" i="3"/>
  <c r="AU317" i="3"/>
  <c r="AI317" i="3"/>
  <c r="Z317" i="3"/>
  <c r="W317" i="3"/>
  <c r="V317" i="3"/>
  <c r="L317" i="3"/>
  <c r="AC310" i="3"/>
  <c r="W310" i="3"/>
  <c r="AU310" i="3"/>
  <c r="AT310" i="3"/>
  <c r="AP310" i="3"/>
  <c r="AO310" i="3"/>
  <c r="AW310" i="3"/>
  <c r="X310" i="3"/>
  <c r="V310" i="3"/>
  <c r="N310" i="3"/>
  <c r="L310" i="3"/>
  <c r="CZ308" i="3"/>
  <c r="AT308" i="3"/>
  <c r="AX308" i="3"/>
  <c r="AW308" i="3"/>
  <c r="AU308" i="3"/>
  <c r="AI308" i="3"/>
  <c r="Z308" i="3"/>
  <c r="V308" i="3"/>
  <c r="L308" i="3"/>
  <c r="AP291" i="3"/>
  <c r="AO291" i="3"/>
  <c r="Z291" i="3"/>
  <c r="V291" i="3"/>
  <c r="L291" i="3"/>
  <c r="AI289" i="3"/>
  <c r="AD289" i="3"/>
  <c r="Z289" i="3"/>
  <c r="N289" i="3"/>
  <c r="L289" i="3"/>
  <c r="AU280" i="3"/>
  <c r="AP280" i="3"/>
  <c r="AX280" i="3"/>
  <c r="AT280" i="3"/>
  <c r="AD280" i="3"/>
  <c r="Y280" i="3"/>
  <c r="X280" i="3"/>
  <c r="V280" i="3"/>
  <c r="N280" i="3"/>
  <c r="L280" i="3"/>
  <c r="AY222" i="3"/>
  <c r="AU222" i="3"/>
  <c r="AP222" i="3"/>
  <c r="AN222" i="3"/>
  <c r="AV222" i="3"/>
  <c r="AC222" i="3"/>
  <c r="Z222" i="3"/>
  <c r="Y222" i="3"/>
  <c r="X222" i="3"/>
  <c r="N222" i="3"/>
  <c r="L222" i="3"/>
  <c r="AP217" i="3"/>
  <c r="AW217" i="3"/>
  <c r="AV217" i="3"/>
  <c r="AU217" i="3"/>
  <c r="AT217" i="3"/>
  <c r="Z217" i="3"/>
  <c r="Y217" i="3"/>
  <c r="X217" i="3"/>
  <c r="W217" i="3"/>
  <c r="N217" i="3"/>
  <c r="L217" i="3"/>
  <c r="AX213" i="3"/>
  <c r="AW213" i="3"/>
  <c r="AV213" i="3"/>
  <c r="AU213" i="3"/>
  <c r="AI213" i="3"/>
  <c r="W213" i="3"/>
  <c r="N213" i="3"/>
  <c r="L213" i="3"/>
  <c r="AV189" i="3"/>
  <c r="AP189" i="3"/>
  <c r="AX189" i="3"/>
  <c r="AW189" i="3"/>
  <c r="AU189" i="3"/>
  <c r="AI189" i="3"/>
  <c r="AH189" i="3"/>
  <c r="AP193" i="3"/>
  <c r="AN193" i="3"/>
  <c r="Z193" i="3"/>
  <c r="Y193" i="3"/>
  <c r="X193" i="3"/>
  <c r="W193" i="3"/>
  <c r="V193" i="3"/>
  <c r="N189" i="3"/>
  <c r="AP180" i="3"/>
  <c r="AW180" i="3"/>
  <c r="AV180" i="3"/>
  <c r="AU180" i="3"/>
  <c r="AI180" i="3"/>
  <c r="W180" i="3"/>
  <c r="N180" i="3"/>
  <c r="L180" i="3"/>
  <c r="AV170" i="3"/>
  <c r="AX170" i="3"/>
  <c r="AW170" i="3"/>
  <c r="AI170" i="3"/>
  <c r="W170" i="3"/>
  <c r="AY175" i="3"/>
  <c r="AW175" i="3"/>
  <c r="AU175" i="3"/>
  <c r="AD175" i="3"/>
  <c r="AC175" i="3"/>
  <c r="N175" i="3"/>
  <c r="Y166" i="3"/>
  <c r="AY166" i="3"/>
  <c r="AW166" i="3"/>
  <c r="AX166" i="3"/>
  <c r="AS166" i="3"/>
  <c r="X166" i="3"/>
  <c r="W166" i="3"/>
  <c r="L166" i="3"/>
  <c r="AV163" i="3"/>
  <c r="AY163" i="3"/>
  <c r="AW163" i="3"/>
  <c r="AD163" i="3"/>
  <c r="V163" i="3"/>
  <c r="L163" i="3"/>
  <c r="AW80" i="3"/>
  <c r="AU80" i="3"/>
  <c r="AN80" i="3"/>
  <c r="AJ80" i="3"/>
  <c r="AI80" i="3"/>
  <c r="X80" i="3"/>
  <c r="W80" i="3"/>
  <c r="L80" i="3"/>
  <c r="AP66" i="3"/>
  <c r="DO66" i="3"/>
  <c r="AY66" i="3"/>
  <c r="AX66" i="3"/>
  <c r="AW66" i="3"/>
  <c r="AU66" i="3"/>
  <c r="AT66" i="3"/>
  <c r="AR66" i="3"/>
  <c r="Z66" i="3"/>
  <c r="Y66" i="3"/>
  <c r="N66" i="3"/>
  <c r="L66" i="3"/>
  <c r="AO65" i="3"/>
  <c r="AI65" i="3"/>
  <c r="AD65" i="3"/>
  <c r="V65" i="3"/>
  <c r="N65" i="3"/>
  <c r="L65" i="3"/>
  <c r="CZ61" i="3"/>
  <c r="AY61" i="3"/>
  <c r="AX61" i="3"/>
  <c r="AO61" i="3"/>
  <c r="AW61" i="3"/>
  <c r="AU61" i="3"/>
  <c r="AT61" i="3"/>
  <c r="AS61" i="3"/>
  <c r="Z61" i="3"/>
  <c r="L61" i="3"/>
  <c r="CZ44" i="3"/>
  <c r="AU44" i="3"/>
  <c r="AT44" i="3"/>
  <c r="AD44" i="3"/>
  <c r="Z44" i="3"/>
  <c r="X44" i="3"/>
  <c r="L44" i="3"/>
  <c r="CK17" i="3"/>
  <c r="AY17" i="3"/>
  <c r="AR17" i="3"/>
  <c r="AP17" i="3"/>
  <c r="AU17" i="3"/>
  <c r="AF17" i="3"/>
  <c r="Z17" i="3"/>
  <c r="Y17" i="3"/>
  <c r="X17" i="3"/>
  <c r="W17" i="3"/>
  <c r="V17" i="3"/>
  <c r="L17" i="3"/>
  <c r="AY4" i="3"/>
  <c r="AT4" i="3"/>
  <c r="AP4" i="3"/>
  <c r="AX4" i="3"/>
  <c r="AN4" i="3"/>
  <c r="AU4" i="3"/>
  <c r="AD4" i="3"/>
  <c r="Z4" i="3"/>
  <c r="X4" i="3"/>
  <c r="W4" i="3"/>
  <c r="V4" i="3"/>
  <c r="L4" i="3"/>
  <c r="DW328" i="3"/>
  <c r="DV328" i="3"/>
  <c r="DU328" i="3"/>
  <c r="DT328" i="3"/>
  <c r="DS328" i="3"/>
  <c r="DR328" i="3"/>
  <c r="DQ328" i="3"/>
  <c r="DP328" i="3"/>
  <c r="DO328" i="3"/>
  <c r="DN328" i="3"/>
  <c r="DM328" i="3"/>
  <c r="DL328" i="3"/>
  <c r="DK328" i="3"/>
  <c r="DJ328" i="3"/>
  <c r="DI328" i="3"/>
  <c r="DH328" i="3"/>
  <c r="DG328" i="3"/>
  <c r="DF328" i="3"/>
  <c r="DE328" i="3"/>
  <c r="DD328" i="3"/>
  <c r="DC328" i="3"/>
  <c r="DB328" i="3"/>
  <c r="DA328" i="3"/>
  <c r="CZ328" i="3"/>
  <c r="CY328" i="3"/>
  <c r="CX328" i="3"/>
  <c r="CW328" i="3"/>
  <c r="CV328" i="3"/>
  <c r="CU32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C328" i="3"/>
  <c r="CB328" i="3"/>
  <c r="CA328" i="3"/>
  <c r="BZ328" i="3"/>
  <c r="BY328" i="3"/>
  <c r="BX328" i="3"/>
  <c r="BW328" i="3"/>
  <c r="BV328" i="3"/>
  <c r="BU328" i="3"/>
  <c r="BT328" i="3"/>
  <c r="BS328" i="3"/>
  <c r="BR328" i="3"/>
  <c r="BQ328" i="3"/>
  <c r="BP328" i="3"/>
  <c r="BO328" i="3"/>
  <c r="BN328" i="3"/>
  <c r="BM328" i="3"/>
  <c r="BL328" i="3"/>
  <c r="BK328" i="3"/>
  <c r="BJ328" i="3"/>
  <c r="BI328" i="3"/>
  <c r="BH328" i="3"/>
  <c r="BG328" i="3"/>
  <c r="BF328" i="3"/>
  <c r="BE328" i="3"/>
  <c r="BD328" i="3"/>
  <c r="BC328" i="3"/>
  <c r="BB328" i="3"/>
  <c r="BA328" i="3"/>
  <c r="AZ328" i="3"/>
  <c r="AD328" i="3"/>
  <c r="AC328" i="3"/>
  <c r="X328" i="3"/>
  <c r="U328" i="3"/>
  <c r="AY328" i="3" s="1"/>
  <c r="T328" i="3"/>
  <c r="R328" i="3"/>
  <c r="Q328" i="3"/>
  <c r="N328" i="3"/>
  <c r="M328" i="3"/>
  <c r="K328" i="3"/>
  <c r="J328" i="3"/>
  <c r="I328" i="3"/>
  <c r="D328" i="3"/>
  <c r="DW326" i="3"/>
  <c r="DV326" i="3"/>
  <c r="DU326" i="3"/>
  <c r="DT326" i="3"/>
  <c r="DS326" i="3"/>
  <c r="DR326" i="3"/>
  <c r="DQ326" i="3"/>
  <c r="DP326" i="3"/>
  <c r="DO326" i="3"/>
  <c r="DN326" i="3"/>
  <c r="DM326" i="3"/>
  <c r="DL326" i="3"/>
  <c r="DK326" i="3"/>
  <c r="DJ326" i="3"/>
  <c r="DI326" i="3"/>
  <c r="DH326" i="3"/>
  <c r="DG326" i="3"/>
  <c r="DF326" i="3"/>
  <c r="DE326" i="3"/>
  <c r="DD326" i="3"/>
  <c r="DC326" i="3"/>
  <c r="DB326" i="3"/>
  <c r="DA326" i="3"/>
  <c r="CZ326" i="3"/>
  <c r="CY326" i="3"/>
  <c r="CX326" i="3"/>
  <c r="CW326" i="3"/>
  <c r="CV326" i="3"/>
  <c r="CU326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C326" i="3"/>
  <c r="CB326" i="3"/>
  <c r="BZ326" i="3"/>
  <c r="BY326" i="3"/>
  <c r="BX326" i="3"/>
  <c r="BW326" i="3"/>
  <c r="BV326" i="3"/>
  <c r="BU326" i="3"/>
  <c r="BT326" i="3"/>
  <c r="BS326" i="3"/>
  <c r="BR326" i="3"/>
  <c r="BQ326" i="3"/>
  <c r="BP326" i="3"/>
  <c r="BO326" i="3"/>
  <c r="BN326" i="3"/>
  <c r="BM326" i="3"/>
  <c r="BL326" i="3"/>
  <c r="BK326" i="3"/>
  <c r="BJ326" i="3"/>
  <c r="BI326" i="3"/>
  <c r="BH326" i="3"/>
  <c r="BG326" i="3"/>
  <c r="BF326" i="3"/>
  <c r="BE326" i="3"/>
  <c r="BD326" i="3"/>
  <c r="BC326" i="3"/>
  <c r="BB326" i="3"/>
  <c r="BA326" i="3"/>
  <c r="AZ326" i="3"/>
  <c r="AT326" i="3"/>
  <c r="AP326" i="3"/>
  <c r="AN326" i="3"/>
  <c r="AK326" i="3"/>
  <c r="AJ326" i="3"/>
  <c r="AI326" i="3"/>
  <c r="AH326" i="3"/>
  <c r="AD326" i="3"/>
  <c r="U326" i="3"/>
  <c r="T326" i="3"/>
  <c r="R326" i="3"/>
  <c r="Q326" i="3"/>
  <c r="N326" i="3"/>
  <c r="M326" i="3"/>
  <c r="K326" i="3"/>
  <c r="J326" i="3"/>
  <c r="I326" i="3"/>
  <c r="D326" i="3"/>
  <c r="DW325" i="3"/>
  <c r="DV325" i="3"/>
  <c r="DU325" i="3"/>
  <c r="DT325" i="3"/>
  <c r="DS325" i="3"/>
  <c r="DR325" i="3"/>
  <c r="DQ325" i="3"/>
  <c r="DP325" i="3"/>
  <c r="DO325" i="3"/>
  <c r="DN325" i="3"/>
  <c r="DM325" i="3"/>
  <c r="DL325" i="3"/>
  <c r="DK325" i="3"/>
  <c r="DJ325" i="3"/>
  <c r="DI325" i="3"/>
  <c r="DH325" i="3"/>
  <c r="DG325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CA325" i="3"/>
  <c r="BZ325" i="3"/>
  <c r="BY325" i="3"/>
  <c r="BX325" i="3"/>
  <c r="BW325" i="3"/>
  <c r="BV325" i="3"/>
  <c r="BU325" i="3"/>
  <c r="BT325" i="3"/>
  <c r="BS325" i="3"/>
  <c r="BR325" i="3"/>
  <c r="BQ325" i="3"/>
  <c r="BP325" i="3"/>
  <c r="BO325" i="3"/>
  <c r="BN325" i="3"/>
  <c r="BM325" i="3"/>
  <c r="BL325" i="3"/>
  <c r="BK325" i="3"/>
  <c r="BJ325" i="3"/>
  <c r="BI325" i="3"/>
  <c r="BH325" i="3"/>
  <c r="BG325" i="3"/>
  <c r="BF325" i="3"/>
  <c r="BE325" i="3"/>
  <c r="BD325" i="3"/>
  <c r="BC325" i="3"/>
  <c r="BB325" i="3"/>
  <c r="BA325" i="3"/>
  <c r="AZ325" i="3"/>
  <c r="AI325" i="3"/>
  <c r="AD325" i="3"/>
  <c r="U325" i="3"/>
  <c r="AY325" i="3" s="1"/>
  <c r="T325" i="3"/>
  <c r="R325" i="3"/>
  <c r="Q325" i="3"/>
  <c r="N325" i="3"/>
  <c r="M325" i="3"/>
  <c r="K325" i="3"/>
  <c r="J325" i="3"/>
  <c r="I325" i="3"/>
  <c r="D325" i="3"/>
  <c r="DW324" i="3"/>
  <c r="DV324" i="3"/>
  <c r="DU324" i="3"/>
  <c r="DT324" i="3"/>
  <c r="DS324" i="3"/>
  <c r="DR324" i="3"/>
  <c r="DQ324" i="3"/>
  <c r="DP324" i="3"/>
  <c r="DO324" i="3"/>
  <c r="DN324" i="3"/>
  <c r="DM324" i="3"/>
  <c r="DL324" i="3"/>
  <c r="DK324" i="3"/>
  <c r="DJ324" i="3"/>
  <c r="DI324" i="3"/>
  <c r="DH324" i="3"/>
  <c r="DG324" i="3"/>
  <c r="DF324" i="3"/>
  <c r="DE324" i="3"/>
  <c r="DD324" i="3"/>
  <c r="DC324" i="3"/>
  <c r="DB324" i="3"/>
  <c r="DA324" i="3"/>
  <c r="CZ324" i="3"/>
  <c r="CY324" i="3"/>
  <c r="CX324" i="3"/>
  <c r="CW324" i="3"/>
  <c r="CV324" i="3"/>
  <c r="CU324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C324" i="3"/>
  <c r="CB324" i="3"/>
  <c r="CA324" i="3"/>
  <c r="BZ324" i="3"/>
  <c r="BY324" i="3"/>
  <c r="BX324" i="3"/>
  <c r="BW324" i="3"/>
  <c r="BV324" i="3"/>
  <c r="BU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C324" i="3"/>
  <c r="BB324" i="3"/>
  <c r="BA324" i="3"/>
  <c r="AZ324" i="3"/>
  <c r="AY324" i="3"/>
  <c r="AX324" i="3"/>
  <c r="AU324" i="3"/>
  <c r="AO324" i="3"/>
  <c r="AN324" i="3"/>
  <c r="AJ324" i="3"/>
  <c r="Z324" i="3"/>
  <c r="Y324" i="3"/>
  <c r="X324" i="3"/>
  <c r="W324" i="3"/>
  <c r="V324" i="3"/>
  <c r="U324" i="3"/>
  <c r="T324" i="3"/>
  <c r="R324" i="3"/>
  <c r="Q324" i="3"/>
  <c r="N324" i="3"/>
  <c r="M324" i="3"/>
  <c r="K324" i="3"/>
  <c r="J324" i="3"/>
  <c r="I324" i="3"/>
  <c r="D324" i="3"/>
  <c r="DW323" i="3"/>
  <c r="DV323" i="3"/>
  <c r="DU323" i="3"/>
  <c r="DT323" i="3"/>
  <c r="DS323" i="3"/>
  <c r="DR323" i="3"/>
  <c r="DQ323" i="3"/>
  <c r="DP323" i="3"/>
  <c r="DO323" i="3"/>
  <c r="DN323" i="3"/>
  <c r="DM323" i="3"/>
  <c r="DL323" i="3"/>
  <c r="DK323" i="3"/>
  <c r="DJ323" i="3"/>
  <c r="DI323" i="3"/>
  <c r="DH323" i="3"/>
  <c r="DG323" i="3"/>
  <c r="DF323" i="3"/>
  <c r="DE323" i="3"/>
  <c r="DD323" i="3"/>
  <c r="DC323" i="3"/>
  <c r="DB323" i="3"/>
  <c r="DA323" i="3"/>
  <c r="CZ323" i="3"/>
  <c r="CY323" i="3"/>
  <c r="CX323" i="3"/>
  <c r="CW323" i="3"/>
  <c r="CV323" i="3"/>
  <c r="CU323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C323" i="3"/>
  <c r="CB323" i="3"/>
  <c r="CA323" i="3"/>
  <c r="BZ323" i="3"/>
  <c r="BY323" i="3"/>
  <c r="BX323" i="3"/>
  <c r="BW323" i="3"/>
  <c r="BV323" i="3"/>
  <c r="BU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C323" i="3"/>
  <c r="BB323" i="3"/>
  <c r="BA323" i="3"/>
  <c r="AZ323" i="3"/>
  <c r="AI323" i="3"/>
  <c r="AD323" i="3"/>
  <c r="Z323" i="3"/>
  <c r="Y323" i="3"/>
  <c r="X323" i="3"/>
  <c r="W323" i="3"/>
  <c r="V323" i="3"/>
  <c r="U323" i="3"/>
  <c r="AY323" i="3" s="1"/>
  <c r="T323" i="3"/>
  <c r="R323" i="3"/>
  <c r="Q323" i="3"/>
  <c r="M323" i="3"/>
  <c r="K323" i="3"/>
  <c r="J323" i="3"/>
  <c r="I323" i="3"/>
  <c r="D323" i="3"/>
  <c r="DW322" i="3"/>
  <c r="DV322" i="3"/>
  <c r="DU322" i="3"/>
  <c r="DT322" i="3"/>
  <c r="DS322" i="3"/>
  <c r="DR322" i="3"/>
  <c r="DQ322" i="3"/>
  <c r="DP322" i="3"/>
  <c r="DO322" i="3"/>
  <c r="DN322" i="3"/>
  <c r="DM322" i="3"/>
  <c r="DL322" i="3"/>
  <c r="DK322" i="3"/>
  <c r="DJ322" i="3"/>
  <c r="DI322" i="3"/>
  <c r="DH322" i="3"/>
  <c r="DG322" i="3"/>
  <c r="DF322" i="3"/>
  <c r="DE322" i="3"/>
  <c r="DD322" i="3"/>
  <c r="DC322" i="3"/>
  <c r="DB322" i="3"/>
  <c r="DA322" i="3"/>
  <c r="CZ322" i="3"/>
  <c r="CY322" i="3"/>
  <c r="CX322" i="3"/>
  <c r="CW322" i="3"/>
  <c r="CV322" i="3"/>
  <c r="CU322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C322" i="3"/>
  <c r="CB322" i="3"/>
  <c r="CA322" i="3"/>
  <c r="BZ322" i="3"/>
  <c r="BY322" i="3"/>
  <c r="BX322" i="3"/>
  <c r="BW322" i="3"/>
  <c r="BV322" i="3"/>
  <c r="BU322" i="3"/>
  <c r="BT322" i="3"/>
  <c r="BS322" i="3"/>
  <c r="BR322" i="3"/>
  <c r="BQ322" i="3"/>
  <c r="BP322" i="3"/>
  <c r="BO322" i="3"/>
  <c r="BN322" i="3"/>
  <c r="BM322" i="3"/>
  <c r="BL322" i="3"/>
  <c r="BK322" i="3"/>
  <c r="BJ322" i="3"/>
  <c r="BI322" i="3"/>
  <c r="BH322" i="3"/>
  <c r="BG322" i="3"/>
  <c r="BF322" i="3"/>
  <c r="BE322" i="3"/>
  <c r="BD322" i="3"/>
  <c r="BC322" i="3"/>
  <c r="BB322" i="3"/>
  <c r="BA322" i="3"/>
  <c r="AZ322" i="3"/>
  <c r="AI322" i="3"/>
  <c r="AH322" i="3"/>
  <c r="AT322" i="3" s="1"/>
  <c r="AD322" i="3"/>
  <c r="AC322" i="3"/>
  <c r="Z322" i="3"/>
  <c r="U322" i="3"/>
  <c r="AY322" i="3" s="1"/>
  <c r="T322" i="3"/>
  <c r="R322" i="3"/>
  <c r="Q322" i="3"/>
  <c r="N322" i="3"/>
  <c r="M322" i="3"/>
  <c r="K322" i="3"/>
  <c r="J322" i="3"/>
  <c r="I322" i="3"/>
  <c r="D322" i="3"/>
  <c r="DW320" i="3"/>
  <c r="DV320" i="3"/>
  <c r="DU320" i="3"/>
  <c r="DT320" i="3"/>
  <c r="DS320" i="3"/>
  <c r="DR320" i="3"/>
  <c r="DQ320" i="3"/>
  <c r="DP320" i="3"/>
  <c r="DO320" i="3"/>
  <c r="DN320" i="3"/>
  <c r="DM320" i="3"/>
  <c r="DL320" i="3"/>
  <c r="DK320" i="3"/>
  <c r="DJ320" i="3"/>
  <c r="DI320" i="3"/>
  <c r="DH320" i="3"/>
  <c r="DG320" i="3"/>
  <c r="DF320" i="3"/>
  <c r="DE320" i="3"/>
  <c r="DD320" i="3"/>
  <c r="DC320" i="3"/>
  <c r="DB320" i="3"/>
  <c r="DA320" i="3"/>
  <c r="CZ320" i="3"/>
  <c r="CY320" i="3"/>
  <c r="CX320" i="3"/>
  <c r="CW320" i="3"/>
  <c r="CV320" i="3"/>
  <c r="CU320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C320" i="3"/>
  <c r="CB320" i="3"/>
  <c r="CA320" i="3"/>
  <c r="BZ320" i="3"/>
  <c r="BY320" i="3"/>
  <c r="BX320" i="3"/>
  <c r="BW320" i="3"/>
  <c r="BV320" i="3"/>
  <c r="BU320" i="3"/>
  <c r="BT320" i="3"/>
  <c r="BS320" i="3"/>
  <c r="BR320" i="3"/>
  <c r="BQ320" i="3"/>
  <c r="BP320" i="3"/>
  <c r="BO320" i="3"/>
  <c r="BN320" i="3"/>
  <c r="BM320" i="3"/>
  <c r="BL320" i="3"/>
  <c r="BK320" i="3"/>
  <c r="BJ320" i="3"/>
  <c r="BI320" i="3"/>
  <c r="BH320" i="3"/>
  <c r="BG320" i="3"/>
  <c r="BF320" i="3"/>
  <c r="BE320" i="3"/>
  <c r="BD320" i="3"/>
  <c r="BC320" i="3"/>
  <c r="BB320" i="3"/>
  <c r="BA320" i="3"/>
  <c r="AZ320" i="3"/>
  <c r="AP320" i="3"/>
  <c r="AI320" i="3"/>
  <c r="AC320" i="3"/>
  <c r="Z320" i="3"/>
  <c r="Y320" i="3"/>
  <c r="X320" i="3"/>
  <c r="W320" i="3"/>
  <c r="V320" i="3"/>
  <c r="U320" i="3"/>
  <c r="T320" i="3"/>
  <c r="R320" i="3"/>
  <c r="Q320" i="3"/>
  <c r="M320" i="3"/>
  <c r="K320" i="3"/>
  <c r="J320" i="3"/>
  <c r="I320" i="3"/>
  <c r="D320" i="3"/>
  <c r="DW321" i="3"/>
  <c r="DV321" i="3"/>
  <c r="DU321" i="3"/>
  <c r="DT321" i="3"/>
  <c r="DS321" i="3"/>
  <c r="DR321" i="3"/>
  <c r="DQ321" i="3"/>
  <c r="DP321" i="3"/>
  <c r="DO321" i="3"/>
  <c r="DN321" i="3"/>
  <c r="DM321" i="3"/>
  <c r="DL321" i="3"/>
  <c r="DK321" i="3"/>
  <c r="DJ321" i="3"/>
  <c r="DI321" i="3"/>
  <c r="DH321" i="3"/>
  <c r="DG321" i="3"/>
  <c r="DF321" i="3"/>
  <c r="DE321" i="3"/>
  <c r="DD321" i="3"/>
  <c r="DC321" i="3"/>
  <c r="DB321" i="3"/>
  <c r="DA321" i="3"/>
  <c r="CZ321" i="3"/>
  <c r="CY321" i="3"/>
  <c r="CX321" i="3"/>
  <c r="CW321" i="3"/>
  <c r="CV321" i="3"/>
  <c r="CU321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C321" i="3"/>
  <c r="CB321" i="3"/>
  <c r="CA321" i="3"/>
  <c r="BZ321" i="3"/>
  <c r="BY321" i="3"/>
  <c r="BX321" i="3"/>
  <c r="BW321" i="3"/>
  <c r="BV321" i="3"/>
  <c r="BU321" i="3"/>
  <c r="BT321" i="3"/>
  <c r="BS321" i="3"/>
  <c r="BR321" i="3"/>
  <c r="BQ321" i="3"/>
  <c r="BP321" i="3"/>
  <c r="BO321" i="3"/>
  <c r="BN321" i="3"/>
  <c r="BM321" i="3"/>
  <c r="BL321" i="3"/>
  <c r="BK321" i="3"/>
  <c r="BJ321" i="3"/>
  <c r="BI321" i="3"/>
  <c r="BH321" i="3"/>
  <c r="BG321" i="3"/>
  <c r="BF321" i="3"/>
  <c r="BE321" i="3"/>
  <c r="BD321" i="3"/>
  <c r="BC321" i="3"/>
  <c r="BB321" i="3"/>
  <c r="BA321" i="3"/>
  <c r="AZ321" i="3"/>
  <c r="AI321" i="3"/>
  <c r="AH321" i="3"/>
  <c r="AT321" i="3" s="1"/>
  <c r="AD321" i="3"/>
  <c r="AC321" i="3"/>
  <c r="Z321" i="3"/>
  <c r="U321" i="3"/>
  <c r="AY321" i="3" s="1"/>
  <c r="T321" i="3"/>
  <c r="R321" i="3"/>
  <c r="Q321" i="3"/>
  <c r="N321" i="3"/>
  <c r="M321" i="3"/>
  <c r="K321" i="3"/>
  <c r="J321" i="3"/>
  <c r="I321" i="3"/>
  <c r="D321" i="3"/>
  <c r="DW318" i="3"/>
  <c r="DV318" i="3"/>
  <c r="DU318" i="3"/>
  <c r="DT318" i="3"/>
  <c r="DS318" i="3"/>
  <c r="DR318" i="3"/>
  <c r="DQ318" i="3"/>
  <c r="DP318" i="3"/>
  <c r="DO318" i="3"/>
  <c r="DN318" i="3"/>
  <c r="DM318" i="3"/>
  <c r="DL318" i="3"/>
  <c r="DK318" i="3"/>
  <c r="DJ318" i="3"/>
  <c r="DI318" i="3"/>
  <c r="DH318" i="3"/>
  <c r="DG318" i="3"/>
  <c r="DF318" i="3"/>
  <c r="DE318" i="3"/>
  <c r="DD318" i="3"/>
  <c r="DC318" i="3"/>
  <c r="DB318" i="3"/>
  <c r="DA318" i="3"/>
  <c r="CZ318" i="3"/>
  <c r="CY318" i="3"/>
  <c r="CX318" i="3"/>
  <c r="CW318" i="3"/>
  <c r="CV318" i="3"/>
  <c r="CU31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C318" i="3"/>
  <c r="CB318" i="3"/>
  <c r="CA318" i="3"/>
  <c r="BZ318" i="3"/>
  <c r="BY318" i="3"/>
  <c r="BX318" i="3"/>
  <c r="BW318" i="3"/>
  <c r="BV318" i="3"/>
  <c r="BU318" i="3"/>
  <c r="BT318" i="3"/>
  <c r="BS318" i="3"/>
  <c r="BR318" i="3"/>
  <c r="BQ318" i="3"/>
  <c r="BP318" i="3"/>
  <c r="BO318" i="3"/>
  <c r="BN318" i="3"/>
  <c r="BM318" i="3"/>
  <c r="BL318" i="3"/>
  <c r="BK318" i="3"/>
  <c r="BJ318" i="3"/>
  <c r="BI318" i="3"/>
  <c r="BH318" i="3"/>
  <c r="BG318" i="3"/>
  <c r="BF318" i="3"/>
  <c r="BE318" i="3"/>
  <c r="BD318" i="3"/>
  <c r="BC318" i="3"/>
  <c r="BB318" i="3"/>
  <c r="BA318" i="3"/>
  <c r="AZ318" i="3"/>
  <c r="AC318" i="3"/>
  <c r="AA318" i="3"/>
  <c r="Z318" i="3"/>
  <c r="Y318" i="3"/>
  <c r="X318" i="3"/>
  <c r="W318" i="3"/>
  <c r="V318" i="3"/>
  <c r="U318" i="3"/>
  <c r="AY318" i="3" s="1"/>
  <c r="T318" i="3"/>
  <c r="R318" i="3"/>
  <c r="Q318" i="3"/>
  <c r="M318" i="3"/>
  <c r="K318" i="3"/>
  <c r="J318" i="3"/>
  <c r="I318" i="3"/>
  <c r="D318" i="3"/>
  <c r="DW317" i="3"/>
  <c r="DV317" i="3"/>
  <c r="DU317" i="3"/>
  <c r="DT317" i="3"/>
  <c r="DS317" i="3"/>
  <c r="DR317" i="3"/>
  <c r="DQ317" i="3"/>
  <c r="DP317" i="3"/>
  <c r="DO317" i="3"/>
  <c r="DN317" i="3"/>
  <c r="DM317" i="3"/>
  <c r="DL317" i="3"/>
  <c r="DK317" i="3"/>
  <c r="DJ317" i="3"/>
  <c r="DI317" i="3"/>
  <c r="DH317" i="3"/>
  <c r="DG317" i="3"/>
  <c r="DF317" i="3"/>
  <c r="DD317" i="3"/>
  <c r="DC317" i="3"/>
  <c r="DB317" i="3"/>
  <c r="DA317" i="3"/>
  <c r="CZ317" i="3"/>
  <c r="CY317" i="3"/>
  <c r="CX317" i="3"/>
  <c r="CW317" i="3"/>
  <c r="CV317" i="3"/>
  <c r="CU317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C317" i="3"/>
  <c r="CB317" i="3"/>
  <c r="CA317" i="3"/>
  <c r="BZ317" i="3"/>
  <c r="BY317" i="3"/>
  <c r="BX317" i="3"/>
  <c r="BW317" i="3"/>
  <c r="BV317" i="3"/>
  <c r="BU317" i="3"/>
  <c r="BT317" i="3"/>
  <c r="BS317" i="3"/>
  <c r="BR317" i="3"/>
  <c r="BQ317" i="3"/>
  <c r="BP317" i="3"/>
  <c r="BO317" i="3"/>
  <c r="BN317" i="3"/>
  <c r="BM317" i="3"/>
  <c r="BL317" i="3"/>
  <c r="BK317" i="3"/>
  <c r="BJ317" i="3"/>
  <c r="BI317" i="3"/>
  <c r="BH317" i="3"/>
  <c r="BG317" i="3"/>
  <c r="BF317" i="3"/>
  <c r="BE317" i="3"/>
  <c r="BD317" i="3"/>
  <c r="BC317" i="3"/>
  <c r="BB317" i="3"/>
  <c r="BA317" i="3"/>
  <c r="AZ317" i="3"/>
  <c r="AP317" i="3"/>
  <c r="AN317" i="3"/>
  <c r="AJ317" i="3"/>
  <c r="AD317" i="3"/>
  <c r="U317" i="3"/>
  <c r="T317" i="3"/>
  <c r="R317" i="3"/>
  <c r="Q317" i="3"/>
  <c r="N317" i="3"/>
  <c r="M317" i="3"/>
  <c r="K317" i="3"/>
  <c r="J317" i="3"/>
  <c r="I317" i="3"/>
  <c r="D317" i="3"/>
  <c r="DW319" i="3"/>
  <c r="DV319" i="3"/>
  <c r="DU319" i="3"/>
  <c r="DT319" i="3"/>
  <c r="DS319" i="3"/>
  <c r="DR319" i="3"/>
  <c r="DQ319" i="3"/>
  <c r="DP319" i="3"/>
  <c r="DO319" i="3"/>
  <c r="DN319" i="3"/>
  <c r="DM319" i="3"/>
  <c r="DL319" i="3"/>
  <c r="DK319" i="3"/>
  <c r="DJ319" i="3"/>
  <c r="DI319" i="3"/>
  <c r="DH319" i="3"/>
  <c r="DG319" i="3"/>
  <c r="DF319" i="3"/>
  <c r="DE319" i="3"/>
  <c r="DD319" i="3"/>
  <c r="DC319" i="3"/>
  <c r="DB319" i="3"/>
  <c r="DA319" i="3"/>
  <c r="CZ319" i="3"/>
  <c r="CY319" i="3"/>
  <c r="CX319" i="3"/>
  <c r="CW319" i="3"/>
  <c r="CV319" i="3"/>
  <c r="CU31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C319" i="3"/>
  <c r="CB319" i="3"/>
  <c r="CA319" i="3"/>
  <c r="BZ319" i="3"/>
  <c r="BY319" i="3"/>
  <c r="BX319" i="3"/>
  <c r="BW319" i="3"/>
  <c r="BV319" i="3"/>
  <c r="BU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C319" i="3"/>
  <c r="BB319" i="3"/>
  <c r="BA319" i="3"/>
  <c r="AZ319" i="3"/>
  <c r="AI319" i="3"/>
  <c r="AH319" i="3"/>
  <c r="AT319" i="3" s="1"/>
  <c r="W319" i="3"/>
  <c r="V319" i="3"/>
  <c r="U319" i="3"/>
  <c r="AY319" i="3" s="1"/>
  <c r="T319" i="3"/>
  <c r="R319" i="3"/>
  <c r="Q319" i="3"/>
  <c r="N319" i="3"/>
  <c r="M319" i="3"/>
  <c r="K319" i="3"/>
  <c r="J319" i="3"/>
  <c r="I319" i="3"/>
  <c r="D319" i="3"/>
  <c r="DW315" i="3"/>
  <c r="DV315" i="3"/>
  <c r="DU315" i="3"/>
  <c r="DT315" i="3"/>
  <c r="DS315" i="3"/>
  <c r="DR315" i="3"/>
  <c r="DQ315" i="3"/>
  <c r="DP315" i="3"/>
  <c r="DO315" i="3"/>
  <c r="DN315" i="3"/>
  <c r="DM315" i="3"/>
  <c r="DL315" i="3"/>
  <c r="DK315" i="3"/>
  <c r="DJ315" i="3"/>
  <c r="DI315" i="3"/>
  <c r="DH315" i="3"/>
  <c r="DG315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CA315" i="3"/>
  <c r="BZ315" i="3"/>
  <c r="BY315" i="3"/>
  <c r="BX315" i="3"/>
  <c r="BW315" i="3"/>
  <c r="BV315" i="3"/>
  <c r="BU315" i="3"/>
  <c r="BT315" i="3"/>
  <c r="BS315" i="3"/>
  <c r="BR315" i="3"/>
  <c r="BQ315" i="3"/>
  <c r="BP315" i="3"/>
  <c r="BO315" i="3"/>
  <c r="BN315" i="3"/>
  <c r="BM315" i="3"/>
  <c r="BL315" i="3"/>
  <c r="BK315" i="3"/>
  <c r="BJ315" i="3"/>
  <c r="BI315" i="3"/>
  <c r="BH315" i="3"/>
  <c r="BG315" i="3"/>
  <c r="BF315" i="3"/>
  <c r="BE315" i="3"/>
  <c r="BD315" i="3"/>
  <c r="BC315" i="3"/>
  <c r="BB315" i="3"/>
  <c r="BA315" i="3"/>
  <c r="AZ315" i="3"/>
  <c r="AW315" i="3"/>
  <c r="AV315" i="3"/>
  <c r="AU315" i="3"/>
  <c r="AN315" i="3"/>
  <c r="AK315" i="3"/>
  <c r="AJ315" i="3"/>
  <c r="AI315" i="3"/>
  <c r="AH315" i="3"/>
  <c r="AD315" i="3"/>
  <c r="U315" i="3"/>
  <c r="T315" i="3"/>
  <c r="R315" i="3"/>
  <c r="Q315" i="3"/>
  <c r="N315" i="3"/>
  <c r="M315" i="3"/>
  <c r="K315" i="3"/>
  <c r="J315" i="3"/>
  <c r="I315" i="3"/>
  <c r="D315" i="3"/>
  <c r="DW313" i="3"/>
  <c r="DV313" i="3"/>
  <c r="DU313" i="3"/>
  <c r="DT313" i="3"/>
  <c r="DS313" i="3"/>
  <c r="DR313" i="3"/>
  <c r="DQ313" i="3"/>
  <c r="DP313" i="3"/>
  <c r="DO313" i="3"/>
  <c r="DN313" i="3"/>
  <c r="DM313" i="3"/>
  <c r="DL313" i="3"/>
  <c r="DK313" i="3"/>
  <c r="DJ313" i="3"/>
  <c r="DI313" i="3"/>
  <c r="DH313" i="3"/>
  <c r="DG313" i="3"/>
  <c r="DF313" i="3"/>
  <c r="DE313" i="3"/>
  <c r="DD313" i="3"/>
  <c r="DC313" i="3"/>
  <c r="DB313" i="3"/>
  <c r="DA313" i="3"/>
  <c r="CZ313" i="3"/>
  <c r="CY313" i="3"/>
  <c r="CX313" i="3"/>
  <c r="CW313" i="3"/>
  <c r="CV313" i="3"/>
  <c r="CU313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C313" i="3"/>
  <c r="CB313" i="3"/>
  <c r="CA313" i="3"/>
  <c r="BZ313" i="3"/>
  <c r="BY313" i="3"/>
  <c r="BX313" i="3"/>
  <c r="BW313" i="3"/>
  <c r="BV313" i="3"/>
  <c r="BU31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C313" i="3"/>
  <c r="BB313" i="3"/>
  <c r="BA313" i="3"/>
  <c r="AZ313" i="3"/>
  <c r="AJ313" i="3"/>
  <c r="AI313" i="3"/>
  <c r="AH313" i="3"/>
  <c r="AT313" i="3" s="1"/>
  <c r="AF313" i="3"/>
  <c r="AD313" i="3"/>
  <c r="U313" i="3"/>
  <c r="AY313" i="3" s="1"/>
  <c r="T313" i="3"/>
  <c r="R313" i="3"/>
  <c r="Q313" i="3"/>
  <c r="M313" i="3"/>
  <c r="K313" i="3"/>
  <c r="J313" i="3"/>
  <c r="I313" i="3"/>
  <c r="D313" i="3"/>
  <c r="DW314" i="3"/>
  <c r="DV314" i="3"/>
  <c r="DU314" i="3"/>
  <c r="DT314" i="3"/>
  <c r="DS314" i="3"/>
  <c r="DR314" i="3"/>
  <c r="DQ314" i="3"/>
  <c r="DP314" i="3"/>
  <c r="DO314" i="3"/>
  <c r="DN314" i="3"/>
  <c r="DM314" i="3"/>
  <c r="DL314" i="3"/>
  <c r="DK314" i="3"/>
  <c r="DJ314" i="3"/>
  <c r="DI314" i="3"/>
  <c r="DH314" i="3"/>
  <c r="DG314" i="3"/>
  <c r="DF314" i="3"/>
  <c r="DE314" i="3"/>
  <c r="DD314" i="3"/>
  <c r="DC314" i="3"/>
  <c r="DB314" i="3"/>
  <c r="DA314" i="3"/>
  <c r="CZ314" i="3"/>
  <c r="CY314" i="3"/>
  <c r="CX314" i="3"/>
  <c r="CW314" i="3"/>
  <c r="CV314" i="3"/>
  <c r="CU314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C314" i="3"/>
  <c r="CB314" i="3"/>
  <c r="CA314" i="3"/>
  <c r="BZ314" i="3"/>
  <c r="BY314" i="3"/>
  <c r="BX314" i="3"/>
  <c r="BW314" i="3"/>
  <c r="BV314" i="3"/>
  <c r="BU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C314" i="3"/>
  <c r="BB314" i="3"/>
  <c r="BA314" i="3"/>
  <c r="AZ314" i="3"/>
  <c r="AX314" i="3"/>
  <c r="AW314" i="3"/>
  <c r="AU314" i="3"/>
  <c r="AJ314" i="3"/>
  <c r="AI314" i="3"/>
  <c r="AH314" i="3"/>
  <c r="AT314" i="3" s="1"/>
  <c r="Z314" i="3"/>
  <c r="Y314" i="3"/>
  <c r="X314" i="3"/>
  <c r="W314" i="3"/>
  <c r="V314" i="3"/>
  <c r="U314" i="3"/>
  <c r="AY314" i="3" s="1"/>
  <c r="T314" i="3"/>
  <c r="R314" i="3"/>
  <c r="Q314" i="3"/>
  <c r="N314" i="3"/>
  <c r="M314" i="3"/>
  <c r="K314" i="3"/>
  <c r="J314" i="3"/>
  <c r="I314" i="3"/>
  <c r="D314" i="3"/>
  <c r="DW312" i="3"/>
  <c r="DV312" i="3"/>
  <c r="DU312" i="3"/>
  <c r="DT312" i="3"/>
  <c r="DS312" i="3"/>
  <c r="DR312" i="3"/>
  <c r="DQ312" i="3"/>
  <c r="DP312" i="3"/>
  <c r="DO312" i="3"/>
  <c r="DN312" i="3"/>
  <c r="DM312" i="3"/>
  <c r="DL312" i="3"/>
  <c r="DK312" i="3"/>
  <c r="DJ312" i="3"/>
  <c r="DI312" i="3"/>
  <c r="DH312" i="3"/>
  <c r="DG312" i="3"/>
  <c r="DF312" i="3"/>
  <c r="DE312" i="3"/>
  <c r="DD312" i="3"/>
  <c r="DC312" i="3"/>
  <c r="DB312" i="3"/>
  <c r="DA312" i="3"/>
  <c r="CZ312" i="3"/>
  <c r="CY312" i="3"/>
  <c r="CX312" i="3"/>
  <c r="CW312" i="3"/>
  <c r="CV312" i="3"/>
  <c r="CU312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C312" i="3"/>
  <c r="CB312" i="3"/>
  <c r="CA312" i="3"/>
  <c r="BZ312" i="3"/>
  <c r="BY312" i="3"/>
  <c r="BX312" i="3"/>
  <c r="BW312" i="3"/>
  <c r="BV312" i="3"/>
  <c r="BU312" i="3"/>
  <c r="BT312" i="3"/>
  <c r="BS312" i="3"/>
  <c r="BR312" i="3"/>
  <c r="BQ312" i="3"/>
  <c r="BP312" i="3"/>
  <c r="BO312" i="3"/>
  <c r="BN312" i="3"/>
  <c r="BM312" i="3"/>
  <c r="BL312" i="3"/>
  <c r="BK312" i="3"/>
  <c r="BJ312" i="3"/>
  <c r="BI312" i="3"/>
  <c r="BH312" i="3"/>
  <c r="BG312" i="3"/>
  <c r="BF312" i="3"/>
  <c r="BE312" i="3"/>
  <c r="BD312" i="3"/>
  <c r="BC312" i="3"/>
  <c r="BB312" i="3"/>
  <c r="BA312" i="3"/>
  <c r="AZ312" i="3"/>
  <c r="AI312" i="3"/>
  <c r="AH312" i="3"/>
  <c r="AT312" i="3" s="1"/>
  <c r="AD312" i="3"/>
  <c r="AC312" i="3"/>
  <c r="Z312" i="3"/>
  <c r="V312" i="3"/>
  <c r="U312" i="3"/>
  <c r="AY312" i="3" s="1"/>
  <c r="T312" i="3"/>
  <c r="R312" i="3"/>
  <c r="Q312" i="3"/>
  <c r="N312" i="3"/>
  <c r="M312" i="3"/>
  <c r="K312" i="3"/>
  <c r="J312" i="3"/>
  <c r="I312" i="3"/>
  <c r="D312" i="3"/>
  <c r="DW316" i="3"/>
  <c r="DV316" i="3"/>
  <c r="DU316" i="3"/>
  <c r="DT316" i="3"/>
  <c r="DS316" i="3"/>
  <c r="DR316" i="3"/>
  <c r="DQ316" i="3"/>
  <c r="DP316" i="3"/>
  <c r="DO316" i="3"/>
  <c r="DN316" i="3"/>
  <c r="DM316" i="3"/>
  <c r="DL316" i="3"/>
  <c r="DK316" i="3"/>
  <c r="DJ316" i="3"/>
  <c r="DI316" i="3"/>
  <c r="DH316" i="3"/>
  <c r="DG316" i="3"/>
  <c r="DF316" i="3"/>
  <c r="DE316" i="3"/>
  <c r="DD316" i="3"/>
  <c r="DC316" i="3"/>
  <c r="DB316" i="3"/>
  <c r="DA316" i="3"/>
  <c r="CZ316" i="3"/>
  <c r="CY316" i="3"/>
  <c r="CX316" i="3"/>
  <c r="CW316" i="3"/>
  <c r="CV316" i="3"/>
  <c r="CU316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C316" i="3"/>
  <c r="CB316" i="3"/>
  <c r="CA316" i="3"/>
  <c r="BZ316" i="3"/>
  <c r="BY316" i="3"/>
  <c r="BX316" i="3"/>
  <c r="BW316" i="3"/>
  <c r="BV316" i="3"/>
  <c r="BU316" i="3"/>
  <c r="BT316" i="3"/>
  <c r="BS316" i="3"/>
  <c r="BR316" i="3"/>
  <c r="BQ316" i="3"/>
  <c r="BP316" i="3"/>
  <c r="BO316" i="3"/>
  <c r="BN316" i="3"/>
  <c r="BM316" i="3"/>
  <c r="BL316" i="3"/>
  <c r="BK316" i="3"/>
  <c r="BJ316" i="3"/>
  <c r="BI316" i="3"/>
  <c r="BH316" i="3"/>
  <c r="BG316" i="3"/>
  <c r="BF316" i="3"/>
  <c r="BE316" i="3"/>
  <c r="BD316" i="3"/>
  <c r="BC316" i="3"/>
  <c r="BB316" i="3"/>
  <c r="BA316" i="3"/>
  <c r="AZ316" i="3"/>
  <c r="AP316" i="3"/>
  <c r="AH316" i="3"/>
  <c r="AT316" i="3" s="1"/>
  <c r="Z316" i="3"/>
  <c r="Y316" i="3"/>
  <c r="X316" i="3"/>
  <c r="W316" i="3"/>
  <c r="V316" i="3"/>
  <c r="U316" i="3"/>
  <c r="AY316" i="3" s="1"/>
  <c r="T316" i="3"/>
  <c r="R316" i="3"/>
  <c r="Q316" i="3"/>
  <c r="M316" i="3"/>
  <c r="K316" i="3"/>
  <c r="J316" i="3"/>
  <c r="I316" i="3"/>
  <c r="D316" i="3"/>
  <c r="DW311" i="3"/>
  <c r="DV311" i="3"/>
  <c r="DU311" i="3"/>
  <c r="DT311" i="3"/>
  <c r="DS311" i="3"/>
  <c r="DR311" i="3"/>
  <c r="DQ311" i="3"/>
  <c r="DP311" i="3"/>
  <c r="DO311" i="3"/>
  <c r="DN311" i="3"/>
  <c r="DM311" i="3"/>
  <c r="DL311" i="3"/>
  <c r="DK311" i="3"/>
  <c r="DJ311" i="3"/>
  <c r="DI311" i="3"/>
  <c r="DH311" i="3"/>
  <c r="DG311" i="3"/>
  <c r="DF311" i="3"/>
  <c r="DE311" i="3"/>
  <c r="DD311" i="3"/>
  <c r="DC311" i="3"/>
  <c r="DB311" i="3"/>
  <c r="DA311" i="3"/>
  <c r="CZ311" i="3"/>
  <c r="CY311" i="3"/>
  <c r="CX311" i="3"/>
  <c r="CW311" i="3"/>
  <c r="CV311" i="3"/>
  <c r="CU311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C311" i="3"/>
  <c r="CB311" i="3"/>
  <c r="CA311" i="3"/>
  <c r="BZ311" i="3"/>
  <c r="BY311" i="3"/>
  <c r="BX311" i="3"/>
  <c r="BW311" i="3"/>
  <c r="BV311" i="3"/>
  <c r="BU311" i="3"/>
  <c r="BT311" i="3"/>
  <c r="BS311" i="3"/>
  <c r="BR311" i="3"/>
  <c r="BQ311" i="3"/>
  <c r="BP311" i="3"/>
  <c r="BO311" i="3"/>
  <c r="BN311" i="3"/>
  <c r="BM311" i="3"/>
  <c r="BL311" i="3"/>
  <c r="BK311" i="3"/>
  <c r="BJ311" i="3"/>
  <c r="BI311" i="3"/>
  <c r="BH311" i="3"/>
  <c r="BG311" i="3"/>
  <c r="BF311" i="3"/>
  <c r="BE311" i="3"/>
  <c r="BD311" i="3"/>
  <c r="BC311" i="3"/>
  <c r="BB311" i="3"/>
  <c r="BA311" i="3"/>
  <c r="AZ311" i="3"/>
  <c r="AD311" i="3"/>
  <c r="AC311" i="3"/>
  <c r="Z311" i="3"/>
  <c r="Y311" i="3"/>
  <c r="X311" i="3"/>
  <c r="W311" i="3"/>
  <c r="U311" i="3"/>
  <c r="T311" i="3"/>
  <c r="R311" i="3"/>
  <c r="Q311" i="3"/>
  <c r="N311" i="3"/>
  <c r="M311" i="3"/>
  <c r="K311" i="3"/>
  <c r="J311" i="3"/>
  <c r="I311" i="3"/>
  <c r="D311" i="3"/>
  <c r="DW310" i="3"/>
  <c r="DV310" i="3"/>
  <c r="DU310" i="3"/>
  <c r="DT310" i="3"/>
  <c r="DS310" i="3"/>
  <c r="DR310" i="3"/>
  <c r="DQ310" i="3"/>
  <c r="DP310" i="3"/>
  <c r="DO310" i="3"/>
  <c r="DN310" i="3"/>
  <c r="DM310" i="3"/>
  <c r="DL310" i="3"/>
  <c r="DK310" i="3"/>
  <c r="DJ310" i="3"/>
  <c r="DI310" i="3"/>
  <c r="DH310" i="3"/>
  <c r="DG310" i="3"/>
  <c r="DF310" i="3"/>
  <c r="DE310" i="3"/>
  <c r="DD310" i="3"/>
  <c r="DC310" i="3"/>
  <c r="DB310" i="3"/>
  <c r="DA310" i="3"/>
  <c r="CZ310" i="3"/>
  <c r="CY310" i="3"/>
  <c r="CX310" i="3"/>
  <c r="CW310" i="3"/>
  <c r="CV310" i="3"/>
  <c r="CU310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C310" i="3"/>
  <c r="CB310" i="3"/>
  <c r="CA310" i="3"/>
  <c r="BZ310" i="3"/>
  <c r="BY310" i="3"/>
  <c r="BX310" i="3"/>
  <c r="BW310" i="3"/>
  <c r="BV310" i="3"/>
  <c r="BU310" i="3"/>
  <c r="BT310" i="3"/>
  <c r="BS310" i="3"/>
  <c r="BR310" i="3"/>
  <c r="BQ310" i="3"/>
  <c r="BP310" i="3"/>
  <c r="BO310" i="3"/>
  <c r="BN310" i="3"/>
  <c r="BM310" i="3"/>
  <c r="BL310" i="3"/>
  <c r="BK310" i="3"/>
  <c r="BJ310" i="3"/>
  <c r="BI310" i="3"/>
  <c r="BH310" i="3"/>
  <c r="BG310" i="3"/>
  <c r="BF310" i="3"/>
  <c r="BE310" i="3"/>
  <c r="BD310" i="3"/>
  <c r="BC310" i="3"/>
  <c r="BB310" i="3"/>
  <c r="BA310" i="3"/>
  <c r="AZ310" i="3"/>
  <c r="AY310" i="3"/>
  <c r="AV310" i="3"/>
  <c r="AK310" i="3"/>
  <c r="AJ310" i="3"/>
  <c r="AI310" i="3"/>
  <c r="AH310" i="3"/>
  <c r="AD310" i="3"/>
  <c r="Z310" i="3"/>
  <c r="U310" i="3"/>
  <c r="T310" i="3"/>
  <c r="R310" i="3"/>
  <c r="Q310" i="3"/>
  <c r="M310" i="3"/>
  <c r="K310" i="3"/>
  <c r="J310" i="3"/>
  <c r="I310" i="3"/>
  <c r="D310" i="3"/>
  <c r="DW309" i="3"/>
  <c r="DV309" i="3"/>
  <c r="DU309" i="3"/>
  <c r="DT309" i="3"/>
  <c r="DS309" i="3"/>
  <c r="DR309" i="3"/>
  <c r="DQ309" i="3"/>
  <c r="DP309" i="3"/>
  <c r="DO309" i="3"/>
  <c r="DN309" i="3"/>
  <c r="DM309" i="3"/>
  <c r="DL309" i="3"/>
  <c r="DK309" i="3"/>
  <c r="DJ309" i="3"/>
  <c r="DI309" i="3"/>
  <c r="DH309" i="3"/>
  <c r="DG309" i="3"/>
  <c r="DF309" i="3"/>
  <c r="DE309" i="3"/>
  <c r="DD309" i="3"/>
  <c r="DC309" i="3"/>
  <c r="DB309" i="3"/>
  <c r="DA309" i="3"/>
  <c r="CZ309" i="3"/>
  <c r="CY309" i="3"/>
  <c r="CX309" i="3"/>
  <c r="CW309" i="3"/>
  <c r="CV309" i="3"/>
  <c r="CU30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C309" i="3"/>
  <c r="CB309" i="3"/>
  <c r="CA309" i="3"/>
  <c r="BZ309" i="3"/>
  <c r="BY309" i="3"/>
  <c r="BX309" i="3"/>
  <c r="BW309" i="3"/>
  <c r="BV309" i="3"/>
  <c r="BU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C309" i="3"/>
  <c r="BB309" i="3"/>
  <c r="BA309" i="3"/>
  <c r="AZ309" i="3"/>
  <c r="U309" i="3"/>
  <c r="T309" i="3"/>
  <c r="R309" i="3"/>
  <c r="Q309" i="3"/>
  <c r="M309" i="3"/>
  <c r="K309" i="3"/>
  <c r="J309" i="3"/>
  <c r="I309" i="3"/>
  <c r="D309" i="3"/>
  <c r="DW307" i="3"/>
  <c r="DV307" i="3"/>
  <c r="DU307" i="3"/>
  <c r="DT307" i="3"/>
  <c r="DS307" i="3"/>
  <c r="DR307" i="3"/>
  <c r="DQ307" i="3"/>
  <c r="DP307" i="3"/>
  <c r="DO307" i="3"/>
  <c r="DN307" i="3"/>
  <c r="DM307" i="3"/>
  <c r="DL307" i="3"/>
  <c r="DK307" i="3"/>
  <c r="DJ307" i="3"/>
  <c r="DI307" i="3"/>
  <c r="DH307" i="3"/>
  <c r="DG307" i="3"/>
  <c r="DF307" i="3"/>
  <c r="DE307" i="3"/>
  <c r="DD307" i="3"/>
  <c r="DC307" i="3"/>
  <c r="DB307" i="3"/>
  <c r="DA307" i="3"/>
  <c r="CZ307" i="3"/>
  <c r="CY307" i="3"/>
  <c r="CX307" i="3"/>
  <c r="CW307" i="3"/>
  <c r="CV307" i="3"/>
  <c r="CU307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C307" i="3"/>
  <c r="CB307" i="3"/>
  <c r="CA307" i="3"/>
  <c r="BZ307" i="3"/>
  <c r="BY307" i="3"/>
  <c r="BX307" i="3"/>
  <c r="BW307" i="3"/>
  <c r="BV307" i="3"/>
  <c r="BU307" i="3"/>
  <c r="BT307" i="3"/>
  <c r="BS307" i="3"/>
  <c r="BR307" i="3"/>
  <c r="BQ307" i="3"/>
  <c r="BP307" i="3"/>
  <c r="BO307" i="3"/>
  <c r="BN307" i="3"/>
  <c r="BM307" i="3"/>
  <c r="BL307" i="3"/>
  <c r="BK307" i="3"/>
  <c r="BJ307" i="3"/>
  <c r="BI307" i="3"/>
  <c r="BH307" i="3"/>
  <c r="BG307" i="3"/>
  <c r="BF307" i="3"/>
  <c r="BE307" i="3"/>
  <c r="BD307" i="3"/>
  <c r="BC307" i="3"/>
  <c r="BB307" i="3"/>
  <c r="BA307" i="3"/>
  <c r="AZ307" i="3"/>
  <c r="AI307" i="3"/>
  <c r="AH307" i="3"/>
  <c r="AT307" i="3" s="1"/>
  <c r="AD307" i="3"/>
  <c r="AC307" i="3"/>
  <c r="V307" i="3"/>
  <c r="U307" i="3"/>
  <c r="AY307" i="3" s="1"/>
  <c r="T307" i="3"/>
  <c r="R307" i="3"/>
  <c r="Q307" i="3"/>
  <c r="N307" i="3"/>
  <c r="M307" i="3"/>
  <c r="K307" i="3"/>
  <c r="J307" i="3"/>
  <c r="I307" i="3"/>
  <c r="D307" i="3"/>
  <c r="DW306" i="3"/>
  <c r="DV306" i="3"/>
  <c r="DU306" i="3"/>
  <c r="DT306" i="3"/>
  <c r="DS306" i="3"/>
  <c r="DR306" i="3"/>
  <c r="DQ306" i="3"/>
  <c r="DP306" i="3"/>
  <c r="DN306" i="3"/>
  <c r="DM306" i="3"/>
  <c r="DL306" i="3"/>
  <c r="DK306" i="3"/>
  <c r="DJ306" i="3"/>
  <c r="DI306" i="3"/>
  <c r="DH306" i="3"/>
  <c r="DG306" i="3"/>
  <c r="DF306" i="3"/>
  <c r="DE306" i="3"/>
  <c r="DD306" i="3"/>
  <c r="DC306" i="3"/>
  <c r="DB306" i="3"/>
  <c r="DA306" i="3"/>
  <c r="CY306" i="3"/>
  <c r="CX306" i="3"/>
  <c r="CW306" i="3"/>
  <c r="CV306" i="3"/>
  <c r="CU306" i="3"/>
  <c r="CT306" i="3"/>
  <c r="CS306" i="3"/>
  <c r="CR306" i="3"/>
  <c r="CQ306" i="3"/>
  <c r="CP306" i="3"/>
  <c r="CO306" i="3"/>
  <c r="CN306" i="3"/>
  <c r="CM306" i="3"/>
  <c r="CL306" i="3"/>
  <c r="CJ306" i="3"/>
  <c r="CI306" i="3"/>
  <c r="CH306" i="3"/>
  <c r="CG306" i="3"/>
  <c r="CF306" i="3"/>
  <c r="CE306" i="3"/>
  <c r="CD306" i="3"/>
  <c r="CC306" i="3"/>
  <c r="CB306" i="3"/>
  <c r="CA306" i="3"/>
  <c r="BZ306" i="3"/>
  <c r="BY306" i="3"/>
  <c r="BX306" i="3"/>
  <c r="BW306" i="3"/>
  <c r="BU306" i="3"/>
  <c r="BT306" i="3"/>
  <c r="BS306" i="3"/>
  <c r="BR306" i="3"/>
  <c r="BQ306" i="3"/>
  <c r="BP306" i="3"/>
  <c r="BO306" i="3"/>
  <c r="BN306" i="3"/>
  <c r="BM306" i="3"/>
  <c r="BL306" i="3"/>
  <c r="BK306" i="3"/>
  <c r="BJ306" i="3"/>
  <c r="BI306" i="3"/>
  <c r="BH306" i="3"/>
  <c r="BF306" i="3"/>
  <c r="BE306" i="3"/>
  <c r="BD306" i="3"/>
  <c r="BC306" i="3"/>
  <c r="BB306" i="3"/>
  <c r="BA306" i="3"/>
  <c r="AZ306" i="3"/>
  <c r="AH306" i="3"/>
  <c r="AD306" i="3"/>
  <c r="U306" i="3"/>
  <c r="T306" i="3"/>
  <c r="R306" i="3"/>
  <c r="Q306" i="3"/>
  <c r="M306" i="3"/>
  <c r="K306" i="3"/>
  <c r="J306" i="3"/>
  <c r="I306" i="3"/>
  <c r="D306" i="3"/>
  <c r="DW308" i="3"/>
  <c r="DV308" i="3"/>
  <c r="DU308" i="3"/>
  <c r="DT308" i="3"/>
  <c r="DS308" i="3"/>
  <c r="DR308" i="3"/>
  <c r="DQ308" i="3"/>
  <c r="DP308" i="3"/>
  <c r="DO308" i="3"/>
  <c r="DN308" i="3"/>
  <c r="DM308" i="3"/>
  <c r="DL308" i="3"/>
  <c r="DK308" i="3"/>
  <c r="DJ308" i="3"/>
  <c r="DI308" i="3"/>
  <c r="DH308" i="3"/>
  <c r="DG308" i="3"/>
  <c r="DF308" i="3"/>
  <c r="DE308" i="3"/>
  <c r="DD308" i="3"/>
  <c r="DC308" i="3"/>
  <c r="DB308" i="3"/>
  <c r="DA308" i="3"/>
  <c r="CY308" i="3"/>
  <c r="CX308" i="3"/>
  <c r="CW308" i="3"/>
  <c r="CV308" i="3"/>
  <c r="CU30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C308" i="3"/>
  <c r="CB308" i="3"/>
  <c r="CA308" i="3"/>
  <c r="BZ308" i="3"/>
  <c r="BY308" i="3"/>
  <c r="BX308" i="3"/>
  <c r="BW308" i="3"/>
  <c r="BV308" i="3"/>
  <c r="BU308" i="3"/>
  <c r="BT308" i="3"/>
  <c r="BS308" i="3"/>
  <c r="BR308" i="3"/>
  <c r="BQ308" i="3"/>
  <c r="BP308" i="3"/>
  <c r="BO308" i="3"/>
  <c r="BN308" i="3"/>
  <c r="BM308" i="3"/>
  <c r="BL308" i="3"/>
  <c r="BK308" i="3"/>
  <c r="BJ308" i="3"/>
  <c r="BI308" i="3"/>
  <c r="BH308" i="3"/>
  <c r="BG308" i="3"/>
  <c r="BF308" i="3"/>
  <c r="BE308" i="3"/>
  <c r="BD308" i="3"/>
  <c r="BC308" i="3"/>
  <c r="BB308" i="3"/>
  <c r="BA308" i="3"/>
  <c r="AZ308" i="3"/>
  <c r="AY308" i="3"/>
  <c r="AR308" i="3"/>
  <c r="AP308" i="3"/>
  <c r="AO308" i="3"/>
  <c r="AN308" i="3"/>
  <c r="AJ308" i="3"/>
  <c r="AH308" i="3"/>
  <c r="AF308" i="3"/>
  <c r="AD308" i="3"/>
  <c r="Y308" i="3"/>
  <c r="X308" i="3"/>
  <c r="U308" i="3"/>
  <c r="T308" i="3"/>
  <c r="R308" i="3"/>
  <c r="Q308" i="3"/>
  <c r="N308" i="3"/>
  <c r="M308" i="3"/>
  <c r="K308" i="3"/>
  <c r="J308" i="3"/>
  <c r="I308" i="3"/>
  <c r="D308" i="3"/>
  <c r="DW303" i="3"/>
  <c r="DV303" i="3"/>
  <c r="DU303" i="3"/>
  <c r="DT303" i="3"/>
  <c r="DS303" i="3"/>
  <c r="DR303" i="3"/>
  <c r="DQ303" i="3"/>
  <c r="DP303" i="3"/>
  <c r="DO303" i="3"/>
  <c r="DN303" i="3"/>
  <c r="DM303" i="3"/>
  <c r="DL303" i="3"/>
  <c r="DK303" i="3"/>
  <c r="DJ303" i="3"/>
  <c r="DI303" i="3"/>
  <c r="DH303" i="3"/>
  <c r="DG303" i="3"/>
  <c r="DF303" i="3"/>
  <c r="DE303" i="3"/>
  <c r="DD303" i="3"/>
  <c r="DC303" i="3"/>
  <c r="DB303" i="3"/>
  <c r="DA303" i="3"/>
  <c r="CZ303" i="3"/>
  <c r="CY303" i="3"/>
  <c r="CX303" i="3"/>
  <c r="CW303" i="3"/>
  <c r="CV303" i="3"/>
  <c r="CU303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C303" i="3"/>
  <c r="CB303" i="3"/>
  <c r="CA303" i="3"/>
  <c r="BZ303" i="3"/>
  <c r="BY303" i="3"/>
  <c r="BX303" i="3"/>
  <c r="BW303" i="3"/>
  <c r="BV303" i="3"/>
  <c r="BU303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BC303" i="3"/>
  <c r="BB303" i="3"/>
  <c r="BA303" i="3"/>
  <c r="AZ303" i="3"/>
  <c r="AX303" i="3"/>
  <c r="AO303" i="3"/>
  <c r="AJ303" i="3"/>
  <c r="AI303" i="3"/>
  <c r="AH303" i="3"/>
  <c r="AT303" i="3" s="1"/>
  <c r="AG303" i="3"/>
  <c r="Y303" i="3"/>
  <c r="X303" i="3"/>
  <c r="W303" i="3"/>
  <c r="V303" i="3"/>
  <c r="U303" i="3"/>
  <c r="AY303" i="3" s="1"/>
  <c r="T303" i="3"/>
  <c r="R303" i="3"/>
  <c r="Q303" i="3"/>
  <c r="M303" i="3"/>
  <c r="K303" i="3"/>
  <c r="J303" i="3"/>
  <c r="I303" i="3"/>
  <c r="D303" i="3"/>
  <c r="DW305" i="3"/>
  <c r="DV305" i="3"/>
  <c r="DU305" i="3"/>
  <c r="DT305" i="3"/>
  <c r="DS305" i="3"/>
  <c r="DR305" i="3"/>
  <c r="DQ305" i="3"/>
  <c r="DP305" i="3"/>
  <c r="DO305" i="3"/>
  <c r="DN305" i="3"/>
  <c r="DM305" i="3"/>
  <c r="DL305" i="3"/>
  <c r="DK305" i="3"/>
  <c r="DJ305" i="3"/>
  <c r="DI305" i="3"/>
  <c r="DH305" i="3"/>
  <c r="DG305" i="3"/>
  <c r="DF305" i="3"/>
  <c r="DE305" i="3"/>
  <c r="DD305" i="3"/>
  <c r="DC305" i="3"/>
  <c r="DB305" i="3"/>
  <c r="DA305" i="3"/>
  <c r="CZ305" i="3"/>
  <c r="CY305" i="3"/>
  <c r="CX305" i="3"/>
  <c r="CW305" i="3"/>
  <c r="CV305" i="3"/>
  <c r="CU305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C305" i="3"/>
  <c r="CB305" i="3"/>
  <c r="CA305" i="3"/>
  <c r="BZ305" i="3"/>
  <c r="BY305" i="3"/>
  <c r="BX305" i="3"/>
  <c r="BW305" i="3"/>
  <c r="BV305" i="3"/>
  <c r="BU305" i="3"/>
  <c r="BT305" i="3"/>
  <c r="BS305" i="3"/>
  <c r="BR305" i="3"/>
  <c r="BQ305" i="3"/>
  <c r="BP305" i="3"/>
  <c r="BO305" i="3"/>
  <c r="BN305" i="3"/>
  <c r="BM305" i="3"/>
  <c r="BL305" i="3"/>
  <c r="BK305" i="3"/>
  <c r="BJ305" i="3"/>
  <c r="BI305" i="3"/>
  <c r="BH305" i="3"/>
  <c r="BG305" i="3"/>
  <c r="BF305" i="3"/>
  <c r="BE305" i="3"/>
  <c r="BD305" i="3"/>
  <c r="BC305" i="3"/>
  <c r="BB305" i="3"/>
  <c r="BA305" i="3"/>
  <c r="AZ305" i="3"/>
  <c r="AY305" i="3"/>
  <c r="AU305" i="3"/>
  <c r="AN305" i="3"/>
  <c r="AJ305" i="3"/>
  <c r="AH305" i="3"/>
  <c r="AT305" i="3" s="1"/>
  <c r="X305" i="3"/>
  <c r="W305" i="3"/>
  <c r="V305" i="3"/>
  <c r="U305" i="3"/>
  <c r="T305" i="3"/>
  <c r="R305" i="3"/>
  <c r="Q305" i="3"/>
  <c r="M305" i="3"/>
  <c r="K305" i="3"/>
  <c r="J305" i="3"/>
  <c r="I305" i="3"/>
  <c r="D305" i="3"/>
  <c r="DW299" i="3"/>
  <c r="DV299" i="3"/>
  <c r="DU299" i="3"/>
  <c r="DT299" i="3"/>
  <c r="DS299" i="3"/>
  <c r="DR299" i="3"/>
  <c r="DQ299" i="3"/>
  <c r="DP299" i="3"/>
  <c r="DO299" i="3"/>
  <c r="DN299" i="3"/>
  <c r="DM299" i="3"/>
  <c r="DL299" i="3"/>
  <c r="DK299" i="3"/>
  <c r="DJ299" i="3"/>
  <c r="DI299" i="3"/>
  <c r="DH299" i="3"/>
  <c r="DG299" i="3"/>
  <c r="DF299" i="3"/>
  <c r="DE299" i="3"/>
  <c r="DD299" i="3"/>
  <c r="DC299" i="3"/>
  <c r="DB299" i="3"/>
  <c r="DA299" i="3"/>
  <c r="CZ299" i="3"/>
  <c r="CY299" i="3"/>
  <c r="CX299" i="3"/>
  <c r="CW299" i="3"/>
  <c r="CV299" i="3"/>
  <c r="CU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C299" i="3"/>
  <c r="CB299" i="3"/>
  <c r="CA299" i="3"/>
  <c r="BZ299" i="3"/>
  <c r="BY299" i="3"/>
  <c r="BX299" i="3"/>
  <c r="BW299" i="3"/>
  <c r="BV299" i="3"/>
  <c r="BU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C299" i="3"/>
  <c r="BB299" i="3"/>
  <c r="BA299" i="3"/>
  <c r="AZ299" i="3"/>
  <c r="AG299" i="3"/>
  <c r="AD299" i="3"/>
  <c r="AC299" i="3"/>
  <c r="Z299" i="3"/>
  <c r="X299" i="3"/>
  <c r="U299" i="3"/>
  <c r="AY299" i="3" s="1"/>
  <c r="T299" i="3"/>
  <c r="R299" i="3"/>
  <c r="Q299" i="3"/>
  <c r="N299" i="3"/>
  <c r="M299" i="3"/>
  <c r="K299" i="3"/>
  <c r="J299" i="3"/>
  <c r="I299" i="3"/>
  <c r="D299" i="3"/>
  <c r="DW304" i="3"/>
  <c r="DV304" i="3"/>
  <c r="DU304" i="3"/>
  <c r="DT304" i="3"/>
  <c r="DS304" i="3"/>
  <c r="DR304" i="3"/>
  <c r="DQ304" i="3"/>
  <c r="DP304" i="3"/>
  <c r="DO304" i="3"/>
  <c r="DN304" i="3"/>
  <c r="DM304" i="3"/>
  <c r="DL304" i="3"/>
  <c r="DK304" i="3"/>
  <c r="DJ304" i="3"/>
  <c r="DI304" i="3"/>
  <c r="DH304" i="3"/>
  <c r="DG304" i="3"/>
  <c r="DF304" i="3"/>
  <c r="DE304" i="3"/>
  <c r="DD304" i="3"/>
  <c r="DC304" i="3"/>
  <c r="DB304" i="3"/>
  <c r="DA304" i="3"/>
  <c r="CZ304" i="3"/>
  <c r="CY304" i="3"/>
  <c r="CX304" i="3"/>
  <c r="CW304" i="3"/>
  <c r="CV304" i="3"/>
  <c r="CU304" i="3"/>
  <c r="CT304" i="3"/>
  <c r="CS304" i="3"/>
  <c r="CR304" i="3"/>
  <c r="CQ304" i="3"/>
  <c r="CP304" i="3"/>
  <c r="CO304" i="3"/>
  <c r="CN304" i="3"/>
  <c r="CM304" i="3"/>
  <c r="CL304" i="3"/>
  <c r="CJ304" i="3"/>
  <c r="CI304" i="3"/>
  <c r="CH304" i="3"/>
  <c r="CG304" i="3"/>
  <c r="CF304" i="3"/>
  <c r="CE304" i="3"/>
  <c r="CD304" i="3"/>
  <c r="CC304" i="3"/>
  <c r="CB304" i="3"/>
  <c r="CA304" i="3"/>
  <c r="BZ304" i="3"/>
  <c r="BY304" i="3"/>
  <c r="BX304" i="3"/>
  <c r="BW304" i="3"/>
  <c r="BV304" i="3"/>
  <c r="BU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C304" i="3"/>
  <c r="BB304" i="3"/>
  <c r="BA304" i="3"/>
  <c r="AZ304" i="3"/>
  <c r="U304" i="3"/>
  <c r="T304" i="3"/>
  <c r="R304" i="3"/>
  <c r="Q304" i="3"/>
  <c r="M304" i="3"/>
  <c r="K304" i="3"/>
  <c r="J304" i="3"/>
  <c r="I304" i="3"/>
  <c r="D304" i="3"/>
  <c r="DW301" i="3"/>
  <c r="DV301" i="3"/>
  <c r="DU301" i="3"/>
  <c r="DT301" i="3"/>
  <c r="DS301" i="3"/>
  <c r="DR301" i="3"/>
  <c r="DQ301" i="3"/>
  <c r="DP301" i="3"/>
  <c r="DO301" i="3"/>
  <c r="DN301" i="3"/>
  <c r="DM301" i="3"/>
  <c r="DL301" i="3"/>
  <c r="DK301" i="3"/>
  <c r="DJ301" i="3"/>
  <c r="DI301" i="3"/>
  <c r="DH301" i="3"/>
  <c r="DG301" i="3"/>
  <c r="DF301" i="3"/>
  <c r="DE301" i="3"/>
  <c r="DD301" i="3"/>
  <c r="DC301" i="3"/>
  <c r="DB301" i="3"/>
  <c r="DA301" i="3"/>
  <c r="CZ301" i="3"/>
  <c r="CY301" i="3"/>
  <c r="CX301" i="3"/>
  <c r="CW301" i="3"/>
  <c r="CV301" i="3"/>
  <c r="CU301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C301" i="3"/>
  <c r="CB301" i="3"/>
  <c r="CA301" i="3"/>
  <c r="BZ301" i="3"/>
  <c r="BY301" i="3"/>
  <c r="BX301" i="3"/>
  <c r="BW301" i="3"/>
  <c r="BV301" i="3"/>
  <c r="BU301" i="3"/>
  <c r="BT301" i="3"/>
  <c r="BS301" i="3"/>
  <c r="BR301" i="3"/>
  <c r="BQ301" i="3"/>
  <c r="BP301" i="3"/>
  <c r="BO301" i="3"/>
  <c r="BN301" i="3"/>
  <c r="BM301" i="3"/>
  <c r="BL301" i="3"/>
  <c r="BK301" i="3"/>
  <c r="BJ301" i="3"/>
  <c r="BI301" i="3"/>
  <c r="BH301" i="3"/>
  <c r="BG301" i="3"/>
  <c r="BF301" i="3"/>
  <c r="BE301" i="3"/>
  <c r="BD301" i="3"/>
  <c r="BC301" i="3"/>
  <c r="BB301" i="3"/>
  <c r="BA301" i="3"/>
  <c r="AZ301" i="3"/>
  <c r="AY301" i="3"/>
  <c r="AV301" i="3"/>
  <c r="AU301" i="3"/>
  <c r="AK301" i="3"/>
  <c r="AJ301" i="3"/>
  <c r="AI301" i="3"/>
  <c r="AH301" i="3"/>
  <c r="AD301" i="3"/>
  <c r="Z301" i="3"/>
  <c r="U301" i="3"/>
  <c r="T301" i="3"/>
  <c r="R301" i="3"/>
  <c r="Q301" i="3"/>
  <c r="N301" i="3"/>
  <c r="M301" i="3"/>
  <c r="K301" i="3"/>
  <c r="J301" i="3"/>
  <c r="I301" i="3"/>
  <c r="D301" i="3"/>
  <c r="DW302" i="3"/>
  <c r="DV302" i="3"/>
  <c r="DU302" i="3"/>
  <c r="DT302" i="3"/>
  <c r="DS302" i="3"/>
  <c r="DR302" i="3"/>
  <c r="DQ302" i="3"/>
  <c r="DP302" i="3"/>
  <c r="DO302" i="3"/>
  <c r="DN302" i="3"/>
  <c r="DM302" i="3"/>
  <c r="DL302" i="3"/>
  <c r="DK302" i="3"/>
  <c r="DJ302" i="3"/>
  <c r="DI302" i="3"/>
  <c r="DH302" i="3"/>
  <c r="DG302" i="3"/>
  <c r="DF302" i="3"/>
  <c r="DE302" i="3"/>
  <c r="DD302" i="3"/>
  <c r="DC302" i="3"/>
  <c r="DB302" i="3"/>
  <c r="DA302" i="3"/>
  <c r="CZ302" i="3"/>
  <c r="CY302" i="3"/>
  <c r="CX302" i="3"/>
  <c r="CW302" i="3"/>
  <c r="CV302" i="3"/>
  <c r="CU302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C302" i="3"/>
  <c r="CB302" i="3"/>
  <c r="CA302" i="3"/>
  <c r="BZ302" i="3"/>
  <c r="BY302" i="3"/>
  <c r="BX302" i="3"/>
  <c r="BW302" i="3"/>
  <c r="BV302" i="3"/>
  <c r="BU302" i="3"/>
  <c r="BT302" i="3"/>
  <c r="BS302" i="3"/>
  <c r="BR302" i="3"/>
  <c r="BQ302" i="3"/>
  <c r="BP302" i="3"/>
  <c r="BO302" i="3"/>
  <c r="BN302" i="3"/>
  <c r="BM302" i="3"/>
  <c r="BL302" i="3"/>
  <c r="BK302" i="3"/>
  <c r="BJ302" i="3"/>
  <c r="BI302" i="3"/>
  <c r="BH302" i="3"/>
  <c r="BG302" i="3"/>
  <c r="BF302" i="3"/>
  <c r="BE302" i="3"/>
  <c r="BD302" i="3"/>
  <c r="BC302" i="3"/>
  <c r="BB302" i="3"/>
  <c r="BA302" i="3"/>
  <c r="AZ302" i="3"/>
  <c r="AX302" i="3"/>
  <c r="AP302" i="3"/>
  <c r="AO302" i="3"/>
  <c r="Z302" i="3"/>
  <c r="Y302" i="3"/>
  <c r="X302" i="3"/>
  <c r="W302" i="3"/>
  <c r="V302" i="3"/>
  <c r="U302" i="3"/>
  <c r="T302" i="3"/>
  <c r="R302" i="3"/>
  <c r="Q302" i="3"/>
  <c r="M302" i="3"/>
  <c r="K302" i="3"/>
  <c r="J302" i="3"/>
  <c r="I302" i="3"/>
  <c r="D302" i="3"/>
  <c r="DW298" i="3"/>
  <c r="DV298" i="3"/>
  <c r="DU298" i="3"/>
  <c r="DT298" i="3"/>
  <c r="DS298" i="3"/>
  <c r="DR298" i="3"/>
  <c r="DQ298" i="3"/>
  <c r="DP298" i="3"/>
  <c r="DO298" i="3"/>
  <c r="DN298" i="3"/>
  <c r="DM298" i="3"/>
  <c r="DL298" i="3"/>
  <c r="DK298" i="3"/>
  <c r="DJ298" i="3"/>
  <c r="DI298" i="3"/>
  <c r="DH298" i="3"/>
  <c r="DG298" i="3"/>
  <c r="DF298" i="3"/>
  <c r="DE298" i="3"/>
  <c r="DD298" i="3"/>
  <c r="DC298" i="3"/>
  <c r="DB298" i="3"/>
  <c r="DA298" i="3"/>
  <c r="CZ298" i="3"/>
  <c r="CY298" i="3"/>
  <c r="CX298" i="3"/>
  <c r="CW298" i="3"/>
  <c r="CV298" i="3"/>
  <c r="CU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C298" i="3"/>
  <c r="CB298" i="3"/>
  <c r="CA298" i="3"/>
  <c r="BZ298" i="3"/>
  <c r="BY298" i="3"/>
  <c r="BX298" i="3"/>
  <c r="BW298" i="3"/>
  <c r="BV298" i="3"/>
  <c r="BU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C298" i="3"/>
  <c r="BB298" i="3"/>
  <c r="BA298" i="3"/>
  <c r="AZ298" i="3"/>
  <c r="AY298" i="3"/>
  <c r="AV298" i="3"/>
  <c r="AU298" i="3"/>
  <c r="AK298" i="3"/>
  <c r="AJ298" i="3"/>
  <c r="AI298" i="3"/>
  <c r="U298" i="3"/>
  <c r="T298" i="3"/>
  <c r="R298" i="3"/>
  <c r="Q298" i="3"/>
  <c r="M298" i="3"/>
  <c r="K298" i="3"/>
  <c r="J298" i="3"/>
  <c r="I298" i="3"/>
  <c r="D298" i="3"/>
  <c r="DW297" i="3"/>
  <c r="DV297" i="3"/>
  <c r="DU297" i="3"/>
  <c r="DT297" i="3"/>
  <c r="DS297" i="3"/>
  <c r="DR297" i="3"/>
  <c r="DQ297" i="3"/>
  <c r="DP297" i="3"/>
  <c r="DO297" i="3"/>
  <c r="DN297" i="3"/>
  <c r="DM297" i="3"/>
  <c r="DL297" i="3"/>
  <c r="DK297" i="3"/>
  <c r="DJ297" i="3"/>
  <c r="DI297" i="3"/>
  <c r="DH297" i="3"/>
  <c r="DG297" i="3"/>
  <c r="DF297" i="3"/>
  <c r="DE297" i="3"/>
  <c r="DD297" i="3"/>
  <c r="DC297" i="3"/>
  <c r="DB297" i="3"/>
  <c r="DA297" i="3"/>
  <c r="CZ297" i="3"/>
  <c r="CY297" i="3"/>
  <c r="CX297" i="3"/>
  <c r="CW297" i="3"/>
  <c r="CV297" i="3"/>
  <c r="CU297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C297" i="3"/>
  <c r="CB297" i="3"/>
  <c r="CA297" i="3"/>
  <c r="BZ297" i="3"/>
  <c r="BY297" i="3"/>
  <c r="BX297" i="3"/>
  <c r="BW297" i="3"/>
  <c r="BV297" i="3"/>
  <c r="BU297" i="3"/>
  <c r="BT297" i="3"/>
  <c r="BS297" i="3"/>
  <c r="BR297" i="3"/>
  <c r="BQ297" i="3"/>
  <c r="BP297" i="3"/>
  <c r="BO297" i="3"/>
  <c r="BN297" i="3"/>
  <c r="BM297" i="3"/>
  <c r="BL297" i="3"/>
  <c r="BK297" i="3"/>
  <c r="BJ297" i="3"/>
  <c r="BI297" i="3"/>
  <c r="BH297" i="3"/>
  <c r="BG297" i="3"/>
  <c r="BF297" i="3"/>
  <c r="BE297" i="3"/>
  <c r="BD297" i="3"/>
  <c r="BC297" i="3"/>
  <c r="BB297" i="3"/>
  <c r="BA297" i="3"/>
  <c r="AZ297" i="3"/>
  <c r="X297" i="3"/>
  <c r="W297" i="3"/>
  <c r="V297" i="3"/>
  <c r="U297" i="3"/>
  <c r="AY297" i="3" s="1"/>
  <c r="T297" i="3"/>
  <c r="R297" i="3"/>
  <c r="Q297" i="3"/>
  <c r="N297" i="3"/>
  <c r="M297" i="3"/>
  <c r="K297" i="3"/>
  <c r="J297" i="3"/>
  <c r="I297" i="3"/>
  <c r="D297" i="3"/>
  <c r="DW295" i="3"/>
  <c r="DV295" i="3"/>
  <c r="DU295" i="3"/>
  <c r="DT295" i="3"/>
  <c r="DS295" i="3"/>
  <c r="DR295" i="3"/>
  <c r="DQ295" i="3"/>
  <c r="DP295" i="3"/>
  <c r="DO295" i="3"/>
  <c r="DN295" i="3"/>
  <c r="DM295" i="3"/>
  <c r="DL295" i="3"/>
  <c r="DK295" i="3"/>
  <c r="DJ295" i="3"/>
  <c r="DI295" i="3"/>
  <c r="DH295" i="3"/>
  <c r="DG295" i="3"/>
  <c r="DF295" i="3"/>
  <c r="DE295" i="3"/>
  <c r="DD295" i="3"/>
  <c r="DC295" i="3"/>
  <c r="DB295" i="3"/>
  <c r="DA295" i="3"/>
  <c r="CZ295" i="3"/>
  <c r="CY295" i="3"/>
  <c r="CX295" i="3"/>
  <c r="CW295" i="3"/>
  <c r="CV295" i="3"/>
  <c r="CU295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C295" i="3"/>
  <c r="CB295" i="3"/>
  <c r="CA295" i="3"/>
  <c r="BZ295" i="3"/>
  <c r="BY295" i="3"/>
  <c r="BX295" i="3"/>
  <c r="BW295" i="3"/>
  <c r="BV295" i="3"/>
  <c r="BU295" i="3"/>
  <c r="BT295" i="3"/>
  <c r="BS295" i="3"/>
  <c r="BR295" i="3"/>
  <c r="BQ295" i="3"/>
  <c r="BP295" i="3"/>
  <c r="BO295" i="3"/>
  <c r="BN295" i="3"/>
  <c r="BM295" i="3"/>
  <c r="BL295" i="3"/>
  <c r="BK295" i="3"/>
  <c r="BJ295" i="3"/>
  <c r="BI295" i="3"/>
  <c r="BH295" i="3"/>
  <c r="BG295" i="3"/>
  <c r="BF295" i="3"/>
  <c r="BE295" i="3"/>
  <c r="BD295" i="3"/>
  <c r="BC295" i="3"/>
  <c r="BB295" i="3"/>
  <c r="BA295" i="3"/>
  <c r="AZ295" i="3"/>
  <c r="AR295" i="3"/>
  <c r="AH295" i="3"/>
  <c r="AT295" i="3" s="1"/>
  <c r="AF295" i="3"/>
  <c r="AE295" i="3"/>
  <c r="AD295" i="3"/>
  <c r="AC295" i="3"/>
  <c r="Z295" i="3"/>
  <c r="Y295" i="3"/>
  <c r="U295" i="3"/>
  <c r="AY295" i="3" s="1"/>
  <c r="T295" i="3"/>
  <c r="R295" i="3"/>
  <c r="Q295" i="3"/>
  <c r="M295" i="3"/>
  <c r="K295" i="3"/>
  <c r="J295" i="3"/>
  <c r="I295" i="3"/>
  <c r="D295" i="3"/>
  <c r="DW292" i="3"/>
  <c r="DV292" i="3"/>
  <c r="DU292" i="3"/>
  <c r="DT292" i="3"/>
  <c r="DS292" i="3"/>
  <c r="DR292" i="3"/>
  <c r="DQ292" i="3"/>
  <c r="DP292" i="3"/>
  <c r="DO292" i="3"/>
  <c r="DN292" i="3"/>
  <c r="DM292" i="3"/>
  <c r="DL292" i="3"/>
  <c r="DK292" i="3"/>
  <c r="DJ292" i="3"/>
  <c r="DI292" i="3"/>
  <c r="DH292" i="3"/>
  <c r="DG292" i="3"/>
  <c r="DF292" i="3"/>
  <c r="DE292" i="3"/>
  <c r="DD292" i="3"/>
  <c r="DC292" i="3"/>
  <c r="DB292" i="3"/>
  <c r="DA292" i="3"/>
  <c r="CZ292" i="3"/>
  <c r="CY292" i="3"/>
  <c r="CX292" i="3"/>
  <c r="CW292" i="3"/>
  <c r="CV292" i="3"/>
  <c r="CU292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C292" i="3"/>
  <c r="CB292" i="3"/>
  <c r="CA292" i="3"/>
  <c r="BZ292" i="3"/>
  <c r="BY292" i="3"/>
  <c r="BX292" i="3"/>
  <c r="BW292" i="3"/>
  <c r="BV292" i="3"/>
  <c r="BU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C292" i="3"/>
  <c r="BB292" i="3"/>
  <c r="BA292" i="3"/>
  <c r="AZ292" i="3"/>
  <c r="AR292" i="3"/>
  <c r="AG292" i="3"/>
  <c r="AF292" i="3"/>
  <c r="AE292" i="3"/>
  <c r="AD292" i="3"/>
  <c r="AC292" i="3"/>
  <c r="Z292" i="3"/>
  <c r="U292" i="3"/>
  <c r="AY292" i="3" s="1"/>
  <c r="T292" i="3"/>
  <c r="R292" i="3"/>
  <c r="Q292" i="3"/>
  <c r="M292" i="3"/>
  <c r="K292" i="3"/>
  <c r="J292" i="3"/>
  <c r="I292" i="3"/>
  <c r="D292" i="3"/>
  <c r="DW296" i="3"/>
  <c r="DV296" i="3"/>
  <c r="DU296" i="3"/>
  <c r="DT296" i="3"/>
  <c r="DS296" i="3"/>
  <c r="DR296" i="3"/>
  <c r="DQ296" i="3"/>
  <c r="DP296" i="3"/>
  <c r="DO296" i="3"/>
  <c r="DN296" i="3"/>
  <c r="DM296" i="3"/>
  <c r="DL296" i="3"/>
  <c r="DK296" i="3"/>
  <c r="DJ296" i="3"/>
  <c r="DI296" i="3"/>
  <c r="DH296" i="3"/>
  <c r="DG296" i="3"/>
  <c r="DF296" i="3"/>
  <c r="DE296" i="3"/>
  <c r="DD296" i="3"/>
  <c r="DC296" i="3"/>
  <c r="DB296" i="3"/>
  <c r="DA296" i="3"/>
  <c r="CZ296" i="3"/>
  <c r="CY296" i="3"/>
  <c r="CX296" i="3"/>
  <c r="CW296" i="3"/>
  <c r="CV296" i="3"/>
  <c r="CU296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C296" i="3"/>
  <c r="CB296" i="3"/>
  <c r="CA296" i="3"/>
  <c r="BZ296" i="3"/>
  <c r="BY296" i="3"/>
  <c r="BX296" i="3"/>
  <c r="BW296" i="3"/>
  <c r="BV296" i="3"/>
  <c r="BU296" i="3"/>
  <c r="BT296" i="3"/>
  <c r="BS296" i="3"/>
  <c r="BR296" i="3"/>
  <c r="BQ296" i="3"/>
  <c r="BP296" i="3"/>
  <c r="BO296" i="3"/>
  <c r="BN296" i="3"/>
  <c r="BM296" i="3"/>
  <c r="BL296" i="3"/>
  <c r="BK296" i="3"/>
  <c r="BJ296" i="3"/>
  <c r="BI296" i="3"/>
  <c r="BH296" i="3"/>
  <c r="BG296" i="3"/>
  <c r="BF296" i="3"/>
  <c r="BE296" i="3"/>
  <c r="BD296" i="3"/>
  <c r="BC296" i="3"/>
  <c r="BB296" i="3"/>
  <c r="BA296" i="3"/>
  <c r="AZ296" i="3"/>
  <c r="AJ296" i="3"/>
  <c r="AI296" i="3"/>
  <c r="AH296" i="3"/>
  <c r="AT296" i="3" s="1"/>
  <c r="X296" i="3"/>
  <c r="W296" i="3"/>
  <c r="V296" i="3"/>
  <c r="U296" i="3"/>
  <c r="AY296" i="3" s="1"/>
  <c r="T296" i="3"/>
  <c r="R296" i="3"/>
  <c r="Q296" i="3"/>
  <c r="N296" i="3"/>
  <c r="M296" i="3"/>
  <c r="K296" i="3"/>
  <c r="J296" i="3"/>
  <c r="I296" i="3"/>
  <c r="D296" i="3"/>
  <c r="DW293" i="3"/>
  <c r="DV293" i="3"/>
  <c r="DU293" i="3"/>
  <c r="DT293" i="3"/>
  <c r="DS293" i="3"/>
  <c r="DR293" i="3"/>
  <c r="DQ293" i="3"/>
  <c r="DP293" i="3"/>
  <c r="DO293" i="3"/>
  <c r="DN293" i="3"/>
  <c r="DM293" i="3"/>
  <c r="DL293" i="3"/>
  <c r="DK293" i="3"/>
  <c r="DJ293" i="3"/>
  <c r="DI293" i="3"/>
  <c r="DH293" i="3"/>
  <c r="DG293" i="3"/>
  <c r="DF293" i="3"/>
  <c r="DE293" i="3"/>
  <c r="DD293" i="3"/>
  <c r="DC293" i="3"/>
  <c r="DB293" i="3"/>
  <c r="DA293" i="3"/>
  <c r="CZ293" i="3"/>
  <c r="CY293" i="3"/>
  <c r="CX293" i="3"/>
  <c r="CW293" i="3"/>
  <c r="CV293" i="3"/>
  <c r="CU293" i="3"/>
  <c r="CT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C293" i="3"/>
  <c r="CB293" i="3"/>
  <c r="CA293" i="3"/>
  <c r="BZ293" i="3"/>
  <c r="BY293" i="3"/>
  <c r="BX293" i="3"/>
  <c r="BW293" i="3"/>
  <c r="BV293" i="3"/>
  <c r="BU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C293" i="3"/>
  <c r="BB293" i="3"/>
  <c r="BA293" i="3"/>
  <c r="AZ293" i="3"/>
  <c r="AY293" i="3"/>
  <c r="AK293" i="3"/>
  <c r="AH293" i="3"/>
  <c r="AD293" i="3"/>
  <c r="AC293" i="3"/>
  <c r="X293" i="3"/>
  <c r="U293" i="3"/>
  <c r="T293" i="3"/>
  <c r="R293" i="3"/>
  <c r="Q293" i="3"/>
  <c r="N293" i="3"/>
  <c r="M293" i="3"/>
  <c r="K293" i="3"/>
  <c r="J293" i="3"/>
  <c r="I293" i="3"/>
  <c r="D293" i="3"/>
  <c r="DW288" i="3"/>
  <c r="DV288" i="3"/>
  <c r="DU288" i="3"/>
  <c r="DT288" i="3"/>
  <c r="DS288" i="3"/>
  <c r="DR288" i="3"/>
  <c r="DQ288" i="3"/>
  <c r="DP288" i="3"/>
  <c r="DO288" i="3"/>
  <c r="DN288" i="3"/>
  <c r="DM288" i="3"/>
  <c r="DL288" i="3"/>
  <c r="DK288" i="3"/>
  <c r="DJ288" i="3"/>
  <c r="DI288" i="3"/>
  <c r="DH288" i="3"/>
  <c r="DG288" i="3"/>
  <c r="DF288" i="3"/>
  <c r="DE288" i="3"/>
  <c r="DD288" i="3"/>
  <c r="DC288" i="3"/>
  <c r="DB288" i="3"/>
  <c r="DA288" i="3"/>
  <c r="CZ288" i="3"/>
  <c r="CY288" i="3"/>
  <c r="CX288" i="3"/>
  <c r="CW288" i="3"/>
  <c r="CV288" i="3"/>
  <c r="CU288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C288" i="3"/>
  <c r="CB288" i="3"/>
  <c r="CA288" i="3"/>
  <c r="BZ288" i="3"/>
  <c r="BY288" i="3"/>
  <c r="BX288" i="3"/>
  <c r="BW288" i="3"/>
  <c r="BV288" i="3"/>
  <c r="BU288" i="3"/>
  <c r="BT288" i="3"/>
  <c r="BS288" i="3"/>
  <c r="BR288" i="3"/>
  <c r="BQ288" i="3"/>
  <c r="BP288" i="3"/>
  <c r="BO288" i="3"/>
  <c r="BN288" i="3"/>
  <c r="BM288" i="3"/>
  <c r="BL288" i="3"/>
  <c r="BK288" i="3"/>
  <c r="BJ288" i="3"/>
  <c r="BI288" i="3"/>
  <c r="BH288" i="3"/>
  <c r="BG288" i="3"/>
  <c r="BF288" i="3"/>
  <c r="BE288" i="3"/>
  <c r="BD288" i="3"/>
  <c r="BC288" i="3"/>
  <c r="BB288" i="3"/>
  <c r="BA288" i="3"/>
  <c r="AZ288" i="3"/>
  <c r="AY288" i="3"/>
  <c r="AW288" i="3"/>
  <c r="AU288" i="3"/>
  <c r="AO288" i="3"/>
  <c r="AN288" i="3"/>
  <c r="AK288" i="3"/>
  <c r="AI288" i="3"/>
  <c r="AH288" i="3"/>
  <c r="AD288" i="3"/>
  <c r="X288" i="3"/>
  <c r="U288" i="3"/>
  <c r="T288" i="3"/>
  <c r="R288" i="3"/>
  <c r="Q288" i="3"/>
  <c r="M288" i="3"/>
  <c r="K288" i="3"/>
  <c r="J288" i="3"/>
  <c r="I288" i="3"/>
  <c r="D288" i="3"/>
  <c r="DW291" i="3"/>
  <c r="DV291" i="3"/>
  <c r="DU291" i="3"/>
  <c r="DT291" i="3"/>
  <c r="DS291" i="3"/>
  <c r="DR291" i="3"/>
  <c r="DQ291" i="3"/>
  <c r="DP291" i="3"/>
  <c r="DO291" i="3"/>
  <c r="DN291" i="3"/>
  <c r="DM291" i="3"/>
  <c r="DL291" i="3"/>
  <c r="DK291" i="3"/>
  <c r="DJ291" i="3"/>
  <c r="DI291" i="3"/>
  <c r="DH291" i="3"/>
  <c r="DG291" i="3"/>
  <c r="DF291" i="3"/>
  <c r="DE291" i="3"/>
  <c r="DD291" i="3"/>
  <c r="DC291" i="3"/>
  <c r="DB291" i="3"/>
  <c r="DA291" i="3"/>
  <c r="CY291" i="3"/>
  <c r="CX291" i="3"/>
  <c r="CW291" i="3"/>
  <c r="CV291" i="3"/>
  <c r="CU291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C291" i="3"/>
  <c r="CB291" i="3"/>
  <c r="CA291" i="3"/>
  <c r="BZ291" i="3"/>
  <c r="BY291" i="3"/>
  <c r="BX291" i="3"/>
  <c r="BW291" i="3"/>
  <c r="BV291" i="3"/>
  <c r="BU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C291" i="3"/>
  <c r="BB291" i="3"/>
  <c r="BA291" i="3"/>
  <c r="AZ291" i="3"/>
  <c r="AY291" i="3"/>
  <c r="AU291" i="3"/>
  <c r="AT291" i="3"/>
  <c r="AJ291" i="3"/>
  <c r="AI291" i="3"/>
  <c r="AD291" i="3"/>
  <c r="AC291" i="3"/>
  <c r="Y291" i="3"/>
  <c r="X291" i="3"/>
  <c r="U291" i="3"/>
  <c r="T291" i="3"/>
  <c r="R291" i="3"/>
  <c r="Q291" i="3"/>
  <c r="N291" i="3"/>
  <c r="M291" i="3"/>
  <c r="K291" i="3"/>
  <c r="J291" i="3"/>
  <c r="I291" i="3"/>
  <c r="D291" i="3"/>
  <c r="DW289" i="3"/>
  <c r="DV289" i="3"/>
  <c r="DU289" i="3"/>
  <c r="DT289" i="3"/>
  <c r="DS289" i="3"/>
  <c r="DR289" i="3"/>
  <c r="DQ289" i="3"/>
  <c r="DP289" i="3"/>
  <c r="DO289" i="3"/>
  <c r="DN289" i="3"/>
  <c r="DM289" i="3"/>
  <c r="DL289" i="3"/>
  <c r="DK289" i="3"/>
  <c r="DJ289" i="3"/>
  <c r="DI289" i="3"/>
  <c r="DH289" i="3"/>
  <c r="DG289" i="3"/>
  <c r="DF289" i="3"/>
  <c r="DE289" i="3"/>
  <c r="DD289" i="3"/>
  <c r="DC289" i="3"/>
  <c r="DB289" i="3"/>
  <c r="DA289" i="3"/>
  <c r="CY289" i="3"/>
  <c r="CX289" i="3"/>
  <c r="CW289" i="3"/>
  <c r="CV289" i="3"/>
  <c r="CU289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C289" i="3"/>
  <c r="CB289" i="3"/>
  <c r="CA289" i="3"/>
  <c r="BZ289" i="3"/>
  <c r="BY289" i="3"/>
  <c r="BX289" i="3"/>
  <c r="BW289" i="3"/>
  <c r="BV289" i="3"/>
  <c r="BU289" i="3"/>
  <c r="BT289" i="3"/>
  <c r="BS289" i="3"/>
  <c r="BR289" i="3"/>
  <c r="BQ289" i="3"/>
  <c r="BP289" i="3"/>
  <c r="BO289" i="3"/>
  <c r="BN289" i="3"/>
  <c r="BM289" i="3"/>
  <c r="BL289" i="3"/>
  <c r="BK289" i="3"/>
  <c r="BJ289" i="3"/>
  <c r="BI289" i="3"/>
  <c r="BH289" i="3"/>
  <c r="BG289" i="3"/>
  <c r="BF289" i="3"/>
  <c r="BE289" i="3"/>
  <c r="BD289" i="3"/>
  <c r="BC289" i="3"/>
  <c r="BB289" i="3"/>
  <c r="BA289" i="3"/>
  <c r="AZ289" i="3"/>
  <c r="AY289" i="3"/>
  <c r="AX289" i="3"/>
  <c r="AW289" i="3"/>
  <c r="AV289" i="3"/>
  <c r="AP289" i="3"/>
  <c r="AO289" i="3"/>
  <c r="AC289" i="3"/>
  <c r="Y289" i="3"/>
  <c r="X289" i="3"/>
  <c r="W289" i="3"/>
  <c r="V289" i="3"/>
  <c r="U289" i="3"/>
  <c r="T289" i="3"/>
  <c r="R289" i="3"/>
  <c r="Q289" i="3"/>
  <c r="M289" i="3"/>
  <c r="K289" i="3"/>
  <c r="J289" i="3"/>
  <c r="I289" i="3"/>
  <c r="D289" i="3"/>
  <c r="DW287" i="3"/>
  <c r="DV287" i="3"/>
  <c r="DU287" i="3"/>
  <c r="DT287" i="3"/>
  <c r="DS287" i="3"/>
  <c r="DR287" i="3"/>
  <c r="DQ287" i="3"/>
  <c r="DP287" i="3"/>
  <c r="DO287" i="3"/>
  <c r="DN287" i="3"/>
  <c r="DM287" i="3"/>
  <c r="DL287" i="3"/>
  <c r="DK287" i="3"/>
  <c r="DJ287" i="3"/>
  <c r="DI287" i="3"/>
  <c r="DH287" i="3"/>
  <c r="DG287" i="3"/>
  <c r="DF287" i="3"/>
  <c r="DE287" i="3"/>
  <c r="DD287" i="3"/>
  <c r="DC287" i="3"/>
  <c r="DB287" i="3"/>
  <c r="DA287" i="3"/>
  <c r="CZ287" i="3"/>
  <c r="CY287" i="3"/>
  <c r="CX287" i="3"/>
  <c r="CW287" i="3"/>
  <c r="CV287" i="3"/>
  <c r="CU287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C287" i="3"/>
  <c r="CB287" i="3"/>
  <c r="CA287" i="3"/>
  <c r="BZ287" i="3"/>
  <c r="BY287" i="3"/>
  <c r="BX287" i="3"/>
  <c r="BW287" i="3"/>
  <c r="BV287" i="3"/>
  <c r="BU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C287" i="3"/>
  <c r="BB287" i="3"/>
  <c r="BA287" i="3"/>
  <c r="AZ287" i="3"/>
  <c r="AY287" i="3"/>
  <c r="AV287" i="3"/>
  <c r="AT287" i="3"/>
  <c r="AP287" i="3"/>
  <c r="AO287" i="3"/>
  <c r="AK287" i="3"/>
  <c r="AJ287" i="3"/>
  <c r="AI287" i="3"/>
  <c r="AC287" i="3"/>
  <c r="Z287" i="3"/>
  <c r="U287" i="3"/>
  <c r="T287" i="3"/>
  <c r="R287" i="3"/>
  <c r="Q287" i="3"/>
  <c r="N287" i="3"/>
  <c r="M287" i="3"/>
  <c r="K287" i="3"/>
  <c r="J287" i="3"/>
  <c r="I287" i="3"/>
  <c r="D287" i="3"/>
  <c r="DW286" i="3"/>
  <c r="DV286" i="3"/>
  <c r="DU286" i="3"/>
  <c r="DT286" i="3"/>
  <c r="DS286" i="3"/>
  <c r="DR286" i="3"/>
  <c r="DQ286" i="3"/>
  <c r="DP286" i="3"/>
  <c r="DO286" i="3"/>
  <c r="DN286" i="3"/>
  <c r="DM286" i="3"/>
  <c r="DL286" i="3"/>
  <c r="DK286" i="3"/>
  <c r="DJ286" i="3"/>
  <c r="DI286" i="3"/>
  <c r="DH286" i="3"/>
  <c r="DG286" i="3"/>
  <c r="DF286" i="3"/>
  <c r="DE286" i="3"/>
  <c r="DD286" i="3"/>
  <c r="DC286" i="3"/>
  <c r="DB286" i="3"/>
  <c r="DA286" i="3"/>
  <c r="CZ286" i="3"/>
  <c r="CY286" i="3"/>
  <c r="CX286" i="3"/>
  <c r="CW286" i="3"/>
  <c r="CV286" i="3"/>
  <c r="CU286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C286" i="3"/>
  <c r="CB286" i="3"/>
  <c r="BZ286" i="3"/>
  <c r="BY286" i="3"/>
  <c r="BX286" i="3"/>
  <c r="BW286" i="3"/>
  <c r="BV286" i="3"/>
  <c r="BU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C286" i="3"/>
  <c r="BB286" i="3"/>
  <c r="BA286" i="3"/>
  <c r="AZ286" i="3"/>
  <c r="AY286" i="3"/>
  <c r="AT286" i="3"/>
  <c r="AP286" i="3"/>
  <c r="AI286" i="3"/>
  <c r="AH286" i="3"/>
  <c r="AC286" i="3"/>
  <c r="X286" i="3"/>
  <c r="U286" i="3"/>
  <c r="T286" i="3"/>
  <c r="R286" i="3"/>
  <c r="Q286" i="3"/>
  <c r="M286" i="3"/>
  <c r="K286" i="3"/>
  <c r="J286" i="3"/>
  <c r="I286" i="3"/>
  <c r="D286" i="3"/>
  <c r="DW284" i="3"/>
  <c r="DV284" i="3"/>
  <c r="DU284" i="3"/>
  <c r="DT284" i="3"/>
  <c r="DS284" i="3"/>
  <c r="DR284" i="3"/>
  <c r="DQ284" i="3"/>
  <c r="DP284" i="3"/>
  <c r="DO284" i="3"/>
  <c r="DN284" i="3"/>
  <c r="DM284" i="3"/>
  <c r="DL284" i="3"/>
  <c r="DK284" i="3"/>
  <c r="DJ284" i="3"/>
  <c r="DI284" i="3"/>
  <c r="DH284" i="3"/>
  <c r="DG284" i="3"/>
  <c r="DF284" i="3"/>
  <c r="DE284" i="3"/>
  <c r="DD284" i="3"/>
  <c r="DC284" i="3"/>
  <c r="DB284" i="3"/>
  <c r="DA284" i="3"/>
  <c r="CZ284" i="3"/>
  <c r="CY284" i="3"/>
  <c r="CX284" i="3"/>
  <c r="CW284" i="3"/>
  <c r="CV284" i="3"/>
  <c r="CU284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E284" i="3"/>
  <c r="CD284" i="3"/>
  <c r="CC284" i="3"/>
  <c r="CB284" i="3"/>
  <c r="CA284" i="3"/>
  <c r="BZ284" i="3"/>
  <c r="BY284" i="3"/>
  <c r="BX284" i="3"/>
  <c r="BW284" i="3"/>
  <c r="BV284" i="3"/>
  <c r="BU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C284" i="3"/>
  <c r="BB284" i="3"/>
  <c r="BA284" i="3"/>
  <c r="AZ284" i="3"/>
  <c r="AY284" i="3"/>
  <c r="AP284" i="3"/>
  <c r="AO284" i="3"/>
  <c r="AK284" i="3"/>
  <c r="AJ284" i="3"/>
  <c r="AI284" i="3"/>
  <c r="AH284" i="3"/>
  <c r="Y284" i="3"/>
  <c r="X284" i="3"/>
  <c r="U284" i="3"/>
  <c r="T284" i="3"/>
  <c r="R284" i="3"/>
  <c r="Q284" i="3"/>
  <c r="N284" i="3"/>
  <c r="M284" i="3"/>
  <c r="K284" i="3"/>
  <c r="J284" i="3"/>
  <c r="I284" i="3"/>
  <c r="D284" i="3"/>
  <c r="DW285" i="3"/>
  <c r="DV285" i="3"/>
  <c r="DU285" i="3"/>
  <c r="DT285" i="3"/>
  <c r="DS285" i="3"/>
  <c r="DR285" i="3"/>
  <c r="DQ285" i="3"/>
  <c r="DP285" i="3"/>
  <c r="DO285" i="3"/>
  <c r="DN285" i="3"/>
  <c r="DM285" i="3"/>
  <c r="DL285" i="3"/>
  <c r="DK285" i="3"/>
  <c r="DJ285" i="3"/>
  <c r="DI285" i="3"/>
  <c r="DH285" i="3"/>
  <c r="DG285" i="3"/>
  <c r="DF285" i="3"/>
  <c r="DE285" i="3"/>
  <c r="DD285" i="3"/>
  <c r="DC285" i="3"/>
  <c r="DB285" i="3"/>
  <c r="DA285" i="3"/>
  <c r="CZ285" i="3"/>
  <c r="CY285" i="3"/>
  <c r="CX285" i="3"/>
  <c r="CW285" i="3"/>
  <c r="CV285" i="3"/>
  <c r="CU285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C285" i="3"/>
  <c r="CB285" i="3"/>
  <c r="CA285" i="3"/>
  <c r="BZ285" i="3"/>
  <c r="BY285" i="3"/>
  <c r="BX285" i="3"/>
  <c r="BW285" i="3"/>
  <c r="BV285" i="3"/>
  <c r="BU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C285" i="3"/>
  <c r="BB285" i="3"/>
  <c r="BA285" i="3"/>
  <c r="AZ285" i="3"/>
  <c r="AO285" i="3"/>
  <c r="AH285" i="3"/>
  <c r="AT285" i="3" s="1"/>
  <c r="AD285" i="3"/>
  <c r="AC285" i="3"/>
  <c r="X285" i="3"/>
  <c r="U285" i="3"/>
  <c r="AY285" i="3" s="1"/>
  <c r="T285" i="3"/>
  <c r="R285" i="3"/>
  <c r="Q285" i="3"/>
  <c r="M285" i="3"/>
  <c r="K285" i="3"/>
  <c r="J285" i="3"/>
  <c r="I285" i="3"/>
  <c r="D285" i="3"/>
  <c r="DW282" i="3"/>
  <c r="DV282" i="3"/>
  <c r="DU282" i="3"/>
  <c r="DT282" i="3"/>
  <c r="DS282" i="3"/>
  <c r="DR282" i="3"/>
  <c r="DQ282" i="3"/>
  <c r="DP282" i="3"/>
  <c r="DO282" i="3"/>
  <c r="DN282" i="3"/>
  <c r="DM282" i="3"/>
  <c r="DL282" i="3"/>
  <c r="DK282" i="3"/>
  <c r="DJ282" i="3"/>
  <c r="DI282" i="3"/>
  <c r="DH282" i="3"/>
  <c r="DG282" i="3"/>
  <c r="DF282" i="3"/>
  <c r="DE282" i="3"/>
  <c r="DD282" i="3"/>
  <c r="DC282" i="3"/>
  <c r="DB282" i="3"/>
  <c r="DA282" i="3"/>
  <c r="CZ282" i="3"/>
  <c r="CY282" i="3"/>
  <c r="CX282" i="3"/>
  <c r="CW282" i="3"/>
  <c r="CV282" i="3"/>
  <c r="CU282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C282" i="3"/>
  <c r="CB282" i="3"/>
  <c r="CA282" i="3"/>
  <c r="BZ282" i="3"/>
  <c r="BY282" i="3"/>
  <c r="BX282" i="3"/>
  <c r="BW282" i="3"/>
  <c r="BV282" i="3"/>
  <c r="BU282" i="3"/>
  <c r="BT282" i="3"/>
  <c r="BS282" i="3"/>
  <c r="BR282" i="3"/>
  <c r="BQ282" i="3"/>
  <c r="BP282" i="3"/>
  <c r="BO282" i="3"/>
  <c r="BN282" i="3"/>
  <c r="BM282" i="3"/>
  <c r="BL282" i="3"/>
  <c r="BK282" i="3"/>
  <c r="BJ282" i="3"/>
  <c r="BI282" i="3"/>
  <c r="BH282" i="3"/>
  <c r="BG282" i="3"/>
  <c r="BF282" i="3"/>
  <c r="BE282" i="3"/>
  <c r="BD282" i="3"/>
  <c r="BC282" i="3"/>
  <c r="BB282" i="3"/>
  <c r="BA282" i="3"/>
  <c r="AZ282" i="3"/>
  <c r="AX282" i="3"/>
  <c r="AW282" i="3"/>
  <c r="AV282" i="3"/>
  <c r="AU282" i="3"/>
  <c r="AJ282" i="3"/>
  <c r="AF282" i="3"/>
  <c r="AE282" i="3"/>
  <c r="AD282" i="3"/>
  <c r="AC282" i="3"/>
  <c r="Z282" i="3"/>
  <c r="Y282" i="3"/>
  <c r="U282" i="3"/>
  <c r="AY282" i="3" s="1"/>
  <c r="T282" i="3"/>
  <c r="R282" i="3"/>
  <c r="Q282" i="3"/>
  <c r="N282" i="3"/>
  <c r="M282" i="3"/>
  <c r="K282" i="3"/>
  <c r="J282" i="3"/>
  <c r="I282" i="3"/>
  <c r="D282" i="3"/>
  <c r="DW279" i="3"/>
  <c r="DV279" i="3"/>
  <c r="DU279" i="3"/>
  <c r="DT279" i="3"/>
  <c r="DS279" i="3"/>
  <c r="DR279" i="3"/>
  <c r="DQ279" i="3"/>
  <c r="DP279" i="3"/>
  <c r="DO279" i="3"/>
  <c r="DN279" i="3"/>
  <c r="DM279" i="3"/>
  <c r="DL279" i="3"/>
  <c r="DK279" i="3"/>
  <c r="DJ279" i="3"/>
  <c r="DI279" i="3"/>
  <c r="DH279" i="3"/>
  <c r="DG279" i="3"/>
  <c r="DF279" i="3"/>
  <c r="DE279" i="3"/>
  <c r="DD279" i="3"/>
  <c r="DC279" i="3"/>
  <c r="DB279" i="3"/>
  <c r="DA279" i="3"/>
  <c r="CZ279" i="3"/>
  <c r="CY279" i="3"/>
  <c r="CX279" i="3"/>
  <c r="CW279" i="3"/>
  <c r="CV279" i="3"/>
  <c r="CU279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C279" i="3"/>
  <c r="CB279" i="3"/>
  <c r="CA279" i="3"/>
  <c r="BZ279" i="3"/>
  <c r="BY279" i="3"/>
  <c r="BX279" i="3"/>
  <c r="BW279" i="3"/>
  <c r="BV279" i="3"/>
  <c r="BU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C279" i="3"/>
  <c r="BB279" i="3"/>
  <c r="BA279" i="3"/>
  <c r="AZ279" i="3"/>
  <c r="U279" i="3"/>
  <c r="T279" i="3"/>
  <c r="R279" i="3"/>
  <c r="Q279" i="3"/>
  <c r="M279" i="3"/>
  <c r="K279" i="3"/>
  <c r="J279" i="3"/>
  <c r="I279" i="3"/>
  <c r="D279" i="3"/>
  <c r="DW280" i="3"/>
  <c r="DV280" i="3"/>
  <c r="DU280" i="3"/>
  <c r="DT280" i="3"/>
  <c r="DS280" i="3"/>
  <c r="DR280" i="3"/>
  <c r="DQ280" i="3"/>
  <c r="DP280" i="3"/>
  <c r="DO280" i="3"/>
  <c r="DN280" i="3"/>
  <c r="DM280" i="3"/>
  <c r="DL280" i="3"/>
  <c r="DK280" i="3"/>
  <c r="DJ280" i="3"/>
  <c r="DI280" i="3"/>
  <c r="DH280" i="3"/>
  <c r="DG280" i="3"/>
  <c r="DF280" i="3"/>
  <c r="DE280" i="3"/>
  <c r="DD280" i="3"/>
  <c r="DC280" i="3"/>
  <c r="DB280" i="3"/>
  <c r="DA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BY280" i="3"/>
  <c r="BX280" i="3"/>
  <c r="BW280" i="3"/>
  <c r="BV280" i="3"/>
  <c r="BU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C280" i="3"/>
  <c r="BB280" i="3"/>
  <c r="BA280" i="3"/>
  <c r="AZ280" i="3"/>
  <c r="AY280" i="3"/>
  <c r="AW280" i="3"/>
  <c r="AN280" i="3"/>
  <c r="AJ280" i="3"/>
  <c r="AI280" i="3"/>
  <c r="AH280" i="3"/>
  <c r="Z280" i="3"/>
  <c r="U280" i="3"/>
  <c r="T280" i="3"/>
  <c r="R280" i="3"/>
  <c r="Q280" i="3"/>
  <c r="M280" i="3"/>
  <c r="K280" i="3"/>
  <c r="J280" i="3"/>
  <c r="I280" i="3"/>
  <c r="D280" i="3"/>
  <c r="DW268" i="3"/>
  <c r="DV268" i="3"/>
  <c r="DU268" i="3"/>
  <c r="DT268" i="3"/>
  <c r="DS268" i="3"/>
  <c r="DR268" i="3"/>
  <c r="DQ268" i="3"/>
  <c r="DP268" i="3"/>
  <c r="DO268" i="3"/>
  <c r="DN268" i="3"/>
  <c r="DM268" i="3"/>
  <c r="DL268" i="3"/>
  <c r="DK268" i="3"/>
  <c r="DJ268" i="3"/>
  <c r="DI268" i="3"/>
  <c r="DH268" i="3"/>
  <c r="DG268" i="3"/>
  <c r="DF268" i="3"/>
  <c r="DE268" i="3"/>
  <c r="DD268" i="3"/>
  <c r="DC268" i="3"/>
  <c r="DB268" i="3"/>
  <c r="DA268" i="3"/>
  <c r="CZ268" i="3"/>
  <c r="CY268" i="3"/>
  <c r="CX268" i="3"/>
  <c r="CW268" i="3"/>
  <c r="CV268" i="3"/>
  <c r="CU268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C268" i="3"/>
  <c r="CB268" i="3"/>
  <c r="CA268" i="3"/>
  <c r="BZ268" i="3"/>
  <c r="BY268" i="3"/>
  <c r="BX268" i="3"/>
  <c r="BW268" i="3"/>
  <c r="BV268" i="3"/>
  <c r="BU268" i="3"/>
  <c r="BT268" i="3"/>
  <c r="BS268" i="3"/>
  <c r="BR268" i="3"/>
  <c r="BQ268" i="3"/>
  <c r="BP268" i="3"/>
  <c r="BO268" i="3"/>
  <c r="BN268" i="3"/>
  <c r="BM268" i="3"/>
  <c r="BL268" i="3"/>
  <c r="BK268" i="3"/>
  <c r="BJ268" i="3"/>
  <c r="BI268" i="3"/>
  <c r="BH268" i="3"/>
  <c r="BG268" i="3"/>
  <c r="BF268" i="3"/>
  <c r="BE268" i="3"/>
  <c r="BD268" i="3"/>
  <c r="BC268" i="3"/>
  <c r="BB268" i="3"/>
  <c r="BA268" i="3"/>
  <c r="AZ268" i="3"/>
  <c r="AI268" i="3"/>
  <c r="AH268" i="3"/>
  <c r="AT268" i="3" s="1"/>
  <c r="W268" i="3"/>
  <c r="V268" i="3"/>
  <c r="U268" i="3"/>
  <c r="AY268" i="3" s="1"/>
  <c r="T268" i="3"/>
  <c r="R268" i="3"/>
  <c r="Q268" i="3"/>
  <c r="N268" i="3"/>
  <c r="M268" i="3"/>
  <c r="K268" i="3"/>
  <c r="J268" i="3"/>
  <c r="I268" i="3"/>
  <c r="D268" i="3"/>
  <c r="DW275" i="3"/>
  <c r="DV275" i="3"/>
  <c r="DU275" i="3"/>
  <c r="DT275" i="3"/>
  <c r="DS275" i="3"/>
  <c r="DR275" i="3"/>
  <c r="DQ275" i="3"/>
  <c r="DP275" i="3"/>
  <c r="DO275" i="3"/>
  <c r="DN275" i="3"/>
  <c r="DM275" i="3"/>
  <c r="DL275" i="3"/>
  <c r="DK275" i="3"/>
  <c r="DJ275" i="3"/>
  <c r="DI275" i="3"/>
  <c r="DH275" i="3"/>
  <c r="DG275" i="3"/>
  <c r="DF275" i="3"/>
  <c r="DE275" i="3"/>
  <c r="DD275" i="3"/>
  <c r="DC275" i="3"/>
  <c r="DB275" i="3"/>
  <c r="DA275" i="3"/>
  <c r="CZ275" i="3"/>
  <c r="CY275" i="3"/>
  <c r="CX275" i="3"/>
  <c r="CW275" i="3"/>
  <c r="CV275" i="3"/>
  <c r="CU275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C275" i="3"/>
  <c r="CB275" i="3"/>
  <c r="CA275" i="3"/>
  <c r="BZ275" i="3"/>
  <c r="BY275" i="3"/>
  <c r="BX275" i="3"/>
  <c r="BW275" i="3"/>
  <c r="BV275" i="3"/>
  <c r="BU275" i="3"/>
  <c r="BT275" i="3"/>
  <c r="BS275" i="3"/>
  <c r="BR275" i="3"/>
  <c r="BQ275" i="3"/>
  <c r="BP275" i="3"/>
  <c r="BO275" i="3"/>
  <c r="BN275" i="3"/>
  <c r="BM275" i="3"/>
  <c r="BL275" i="3"/>
  <c r="BK275" i="3"/>
  <c r="BJ275" i="3"/>
  <c r="BI275" i="3"/>
  <c r="BH275" i="3"/>
  <c r="BG275" i="3"/>
  <c r="BF275" i="3"/>
  <c r="BE275" i="3"/>
  <c r="BD275" i="3"/>
  <c r="BC275" i="3"/>
  <c r="BB275" i="3"/>
  <c r="BA275" i="3"/>
  <c r="AZ275" i="3"/>
  <c r="U275" i="3"/>
  <c r="T275" i="3"/>
  <c r="R275" i="3"/>
  <c r="Q275" i="3"/>
  <c r="M275" i="3"/>
  <c r="K275" i="3"/>
  <c r="J275" i="3"/>
  <c r="I275" i="3"/>
  <c r="D275" i="3"/>
  <c r="DW273" i="3"/>
  <c r="DV273" i="3"/>
  <c r="DU273" i="3"/>
  <c r="DT273" i="3"/>
  <c r="DS273" i="3"/>
  <c r="DR273" i="3"/>
  <c r="DQ273" i="3"/>
  <c r="DP273" i="3"/>
  <c r="DO273" i="3"/>
  <c r="DN273" i="3"/>
  <c r="DM273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BY273" i="3"/>
  <c r="BX273" i="3"/>
  <c r="BW273" i="3"/>
  <c r="BV273" i="3"/>
  <c r="BU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C273" i="3"/>
  <c r="BB273" i="3"/>
  <c r="BA273" i="3"/>
  <c r="AZ273" i="3"/>
  <c r="AH273" i="3"/>
  <c r="AT273" i="3" s="1"/>
  <c r="AD273" i="3"/>
  <c r="AC273" i="3"/>
  <c r="Y273" i="3"/>
  <c r="X273" i="3"/>
  <c r="W273" i="3"/>
  <c r="V273" i="3"/>
  <c r="U273" i="3"/>
  <c r="AY273" i="3" s="1"/>
  <c r="T273" i="3"/>
  <c r="R273" i="3"/>
  <c r="Q273" i="3"/>
  <c r="M273" i="3"/>
  <c r="K273" i="3"/>
  <c r="J273" i="3"/>
  <c r="I273" i="3"/>
  <c r="D273" i="3"/>
  <c r="DW271" i="3"/>
  <c r="DV271" i="3"/>
  <c r="DU271" i="3"/>
  <c r="DT271" i="3"/>
  <c r="DS271" i="3"/>
  <c r="DR271" i="3"/>
  <c r="DQ271" i="3"/>
  <c r="DP271" i="3"/>
  <c r="DO271" i="3"/>
  <c r="DN271" i="3"/>
  <c r="DM271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BY271" i="3"/>
  <c r="BX271" i="3"/>
  <c r="BW271" i="3"/>
  <c r="BV271" i="3"/>
  <c r="BU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C271" i="3"/>
  <c r="BB271" i="3"/>
  <c r="BA271" i="3"/>
  <c r="AZ271" i="3"/>
  <c r="AI271" i="3"/>
  <c r="AH271" i="3"/>
  <c r="AT271" i="3" s="1"/>
  <c r="AD271" i="3"/>
  <c r="AC271" i="3"/>
  <c r="V271" i="3"/>
  <c r="U271" i="3"/>
  <c r="AY271" i="3" s="1"/>
  <c r="T271" i="3"/>
  <c r="R271" i="3"/>
  <c r="Q271" i="3"/>
  <c r="N271" i="3"/>
  <c r="M271" i="3"/>
  <c r="K271" i="3"/>
  <c r="J271" i="3"/>
  <c r="I271" i="3"/>
  <c r="D271" i="3"/>
  <c r="DW267" i="3"/>
  <c r="DV267" i="3"/>
  <c r="DU267" i="3"/>
  <c r="DT267" i="3"/>
  <c r="DS267" i="3"/>
  <c r="DR267" i="3"/>
  <c r="DQ267" i="3"/>
  <c r="DP267" i="3"/>
  <c r="DO267" i="3"/>
  <c r="DN267" i="3"/>
  <c r="DM267" i="3"/>
  <c r="DL267" i="3"/>
  <c r="DK267" i="3"/>
  <c r="DJ267" i="3"/>
  <c r="DI267" i="3"/>
  <c r="DH267" i="3"/>
  <c r="DG267" i="3"/>
  <c r="DF267" i="3"/>
  <c r="DE267" i="3"/>
  <c r="DD267" i="3"/>
  <c r="DC267" i="3"/>
  <c r="DB267" i="3"/>
  <c r="DA267" i="3"/>
  <c r="CY267" i="3"/>
  <c r="CX267" i="3"/>
  <c r="CW267" i="3"/>
  <c r="CV267" i="3"/>
  <c r="CU267" i="3"/>
  <c r="CT267" i="3"/>
  <c r="CS267" i="3"/>
  <c r="CR267" i="3"/>
  <c r="CQ267" i="3"/>
  <c r="CP267" i="3"/>
  <c r="CO267" i="3"/>
  <c r="CN267" i="3"/>
  <c r="CM267" i="3"/>
  <c r="CL267" i="3"/>
  <c r="CJ267" i="3"/>
  <c r="CI267" i="3"/>
  <c r="CH267" i="3"/>
  <c r="CG267" i="3"/>
  <c r="CF267" i="3"/>
  <c r="CE267" i="3"/>
  <c r="CD267" i="3"/>
  <c r="CC267" i="3"/>
  <c r="CB267" i="3"/>
  <c r="CA267" i="3"/>
  <c r="BZ267" i="3"/>
  <c r="BY267" i="3"/>
  <c r="BX267" i="3"/>
  <c r="BW267" i="3"/>
  <c r="BU267" i="3"/>
  <c r="BT267" i="3"/>
  <c r="BS267" i="3"/>
  <c r="BR267" i="3"/>
  <c r="BQ267" i="3"/>
  <c r="BP267" i="3"/>
  <c r="BO267" i="3"/>
  <c r="BN267" i="3"/>
  <c r="BM267" i="3"/>
  <c r="BL267" i="3"/>
  <c r="BK267" i="3"/>
  <c r="BJ267" i="3"/>
  <c r="BI267" i="3"/>
  <c r="BH267" i="3"/>
  <c r="BG267" i="3"/>
  <c r="BF267" i="3"/>
  <c r="BE267" i="3"/>
  <c r="BD267" i="3"/>
  <c r="BC267" i="3"/>
  <c r="BB267" i="3"/>
  <c r="BA267" i="3"/>
  <c r="AZ267" i="3"/>
  <c r="U267" i="3"/>
  <c r="T267" i="3"/>
  <c r="R267" i="3"/>
  <c r="Q267" i="3"/>
  <c r="M267" i="3"/>
  <c r="K267" i="3"/>
  <c r="J267" i="3"/>
  <c r="I267" i="3"/>
  <c r="D267" i="3"/>
  <c r="DW266" i="3"/>
  <c r="DV266" i="3"/>
  <c r="DU266" i="3"/>
  <c r="DT266" i="3"/>
  <c r="DS266" i="3"/>
  <c r="DR266" i="3"/>
  <c r="DQ266" i="3"/>
  <c r="DP266" i="3"/>
  <c r="DO266" i="3"/>
  <c r="DN266" i="3"/>
  <c r="DM266" i="3"/>
  <c r="DL266" i="3"/>
  <c r="DK266" i="3"/>
  <c r="DJ266" i="3"/>
  <c r="DI266" i="3"/>
  <c r="DH266" i="3"/>
  <c r="DG266" i="3"/>
  <c r="DF266" i="3"/>
  <c r="DE266" i="3"/>
  <c r="DD266" i="3"/>
  <c r="DC266" i="3"/>
  <c r="DB266" i="3"/>
  <c r="DA266" i="3"/>
  <c r="CZ266" i="3"/>
  <c r="CY266" i="3"/>
  <c r="CX266" i="3"/>
  <c r="CW266" i="3"/>
  <c r="CV266" i="3"/>
  <c r="CU266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C266" i="3"/>
  <c r="CB266" i="3"/>
  <c r="CA266" i="3"/>
  <c r="BZ266" i="3"/>
  <c r="BY266" i="3"/>
  <c r="BX266" i="3"/>
  <c r="BW266" i="3"/>
  <c r="BV266" i="3"/>
  <c r="BU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C266" i="3"/>
  <c r="BB266" i="3"/>
  <c r="BA266" i="3"/>
  <c r="AZ266" i="3"/>
  <c r="AW266" i="3"/>
  <c r="AV266" i="3"/>
  <c r="AU266" i="3"/>
  <c r="AS266" i="3"/>
  <c r="AP266" i="3"/>
  <c r="AN266" i="3"/>
  <c r="AC266" i="3"/>
  <c r="Z266" i="3"/>
  <c r="Y266" i="3"/>
  <c r="X266" i="3"/>
  <c r="U266" i="3"/>
  <c r="AY266" i="3" s="1"/>
  <c r="T266" i="3"/>
  <c r="R266" i="3"/>
  <c r="Q266" i="3"/>
  <c r="N266" i="3"/>
  <c r="M266" i="3"/>
  <c r="K266" i="3"/>
  <c r="J266" i="3"/>
  <c r="I266" i="3"/>
  <c r="D266" i="3"/>
  <c r="DW272" i="3"/>
  <c r="DV272" i="3"/>
  <c r="DU272" i="3"/>
  <c r="DT272" i="3"/>
  <c r="DS272" i="3"/>
  <c r="DR272" i="3"/>
  <c r="DQ272" i="3"/>
  <c r="DP272" i="3"/>
  <c r="DO272" i="3"/>
  <c r="DN272" i="3"/>
  <c r="DM272" i="3"/>
  <c r="DL272" i="3"/>
  <c r="DK272" i="3"/>
  <c r="DJ272" i="3"/>
  <c r="DI272" i="3"/>
  <c r="DH272" i="3"/>
  <c r="DG272" i="3"/>
  <c r="DF272" i="3"/>
  <c r="DE272" i="3"/>
  <c r="DD272" i="3"/>
  <c r="DC272" i="3"/>
  <c r="DB272" i="3"/>
  <c r="DA272" i="3"/>
  <c r="CZ272" i="3"/>
  <c r="CY272" i="3"/>
  <c r="CX272" i="3"/>
  <c r="CW272" i="3"/>
  <c r="CV272" i="3"/>
  <c r="CU272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C272" i="3"/>
  <c r="CB272" i="3"/>
  <c r="CA272" i="3"/>
  <c r="BZ272" i="3"/>
  <c r="BY272" i="3"/>
  <c r="BX272" i="3"/>
  <c r="BW272" i="3"/>
  <c r="BV272" i="3"/>
  <c r="BU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D272" i="3"/>
  <c r="BC272" i="3"/>
  <c r="BB272" i="3"/>
  <c r="BA272" i="3"/>
  <c r="AZ272" i="3"/>
  <c r="AS272" i="3"/>
  <c r="AI272" i="3"/>
  <c r="AH272" i="3"/>
  <c r="AT272" i="3" s="1"/>
  <c r="AG272" i="3"/>
  <c r="AF272" i="3"/>
  <c r="AE272" i="3"/>
  <c r="AD272" i="3"/>
  <c r="AC272" i="3"/>
  <c r="V272" i="3"/>
  <c r="U272" i="3"/>
  <c r="AY272" i="3" s="1"/>
  <c r="T272" i="3"/>
  <c r="R272" i="3"/>
  <c r="Q272" i="3"/>
  <c r="N272" i="3"/>
  <c r="M272" i="3"/>
  <c r="K272" i="3"/>
  <c r="J272" i="3"/>
  <c r="I272" i="3"/>
  <c r="D272" i="3"/>
  <c r="DW278" i="3"/>
  <c r="DV278" i="3"/>
  <c r="DU278" i="3"/>
  <c r="DT278" i="3"/>
  <c r="DS278" i="3"/>
  <c r="DR278" i="3"/>
  <c r="DQ278" i="3"/>
  <c r="DP278" i="3"/>
  <c r="DO278" i="3"/>
  <c r="DN278" i="3"/>
  <c r="DM278" i="3"/>
  <c r="DL278" i="3"/>
  <c r="DK278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BY278" i="3"/>
  <c r="BX278" i="3"/>
  <c r="BW278" i="3"/>
  <c r="BV278" i="3"/>
  <c r="BU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C278" i="3"/>
  <c r="BB278" i="3"/>
  <c r="BA278" i="3"/>
  <c r="AZ278" i="3"/>
  <c r="AH278" i="3"/>
  <c r="AT278" i="3" s="1"/>
  <c r="X278" i="3"/>
  <c r="V278" i="3"/>
  <c r="U278" i="3"/>
  <c r="AY278" i="3" s="1"/>
  <c r="T278" i="3"/>
  <c r="R278" i="3"/>
  <c r="Q278" i="3"/>
  <c r="N278" i="3"/>
  <c r="M278" i="3"/>
  <c r="K278" i="3"/>
  <c r="J278" i="3"/>
  <c r="I278" i="3"/>
  <c r="D278" i="3"/>
  <c r="DW276" i="3"/>
  <c r="DV276" i="3"/>
  <c r="DU276" i="3"/>
  <c r="DT276" i="3"/>
  <c r="DS276" i="3"/>
  <c r="DR276" i="3"/>
  <c r="DQ276" i="3"/>
  <c r="DP276" i="3"/>
  <c r="DO276" i="3"/>
  <c r="DN276" i="3"/>
  <c r="DM276" i="3"/>
  <c r="DL276" i="3"/>
  <c r="DK276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BY276" i="3"/>
  <c r="BX276" i="3"/>
  <c r="BW276" i="3"/>
  <c r="BV276" i="3"/>
  <c r="BU276" i="3"/>
  <c r="BT276" i="3"/>
  <c r="BS276" i="3"/>
  <c r="BR276" i="3"/>
  <c r="BQ276" i="3"/>
  <c r="BP276" i="3"/>
  <c r="BO276" i="3"/>
  <c r="BN276" i="3"/>
  <c r="BM276" i="3"/>
  <c r="BL276" i="3"/>
  <c r="BK276" i="3"/>
  <c r="BJ276" i="3"/>
  <c r="BI276" i="3"/>
  <c r="BH276" i="3"/>
  <c r="BG276" i="3"/>
  <c r="BF276" i="3"/>
  <c r="BE276" i="3"/>
  <c r="BD276" i="3"/>
  <c r="BC276" i="3"/>
  <c r="BB276" i="3"/>
  <c r="BA276" i="3"/>
  <c r="AZ276" i="3"/>
  <c r="AC276" i="3"/>
  <c r="Z276" i="3"/>
  <c r="Y276" i="3"/>
  <c r="X276" i="3"/>
  <c r="V276" i="3"/>
  <c r="U276" i="3"/>
  <c r="AY276" i="3" s="1"/>
  <c r="T276" i="3"/>
  <c r="R276" i="3"/>
  <c r="Q276" i="3"/>
  <c r="N276" i="3"/>
  <c r="M276" i="3"/>
  <c r="K276" i="3"/>
  <c r="J276" i="3"/>
  <c r="I276" i="3"/>
  <c r="D276" i="3"/>
  <c r="DW274" i="3"/>
  <c r="DV274" i="3"/>
  <c r="DU274" i="3"/>
  <c r="DT274" i="3"/>
  <c r="DS274" i="3"/>
  <c r="DR274" i="3"/>
  <c r="DQ274" i="3"/>
  <c r="DP274" i="3"/>
  <c r="DO274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BY274" i="3"/>
  <c r="BX274" i="3"/>
  <c r="BW274" i="3"/>
  <c r="BV274" i="3"/>
  <c r="BU274" i="3"/>
  <c r="BT274" i="3"/>
  <c r="BS274" i="3"/>
  <c r="BR274" i="3"/>
  <c r="BQ274" i="3"/>
  <c r="BP274" i="3"/>
  <c r="BO274" i="3"/>
  <c r="BN274" i="3"/>
  <c r="BM274" i="3"/>
  <c r="BL274" i="3"/>
  <c r="BK274" i="3"/>
  <c r="BJ274" i="3"/>
  <c r="BI274" i="3"/>
  <c r="BH274" i="3"/>
  <c r="BG274" i="3"/>
  <c r="BF274" i="3"/>
  <c r="BE274" i="3"/>
  <c r="BD274" i="3"/>
  <c r="BC274" i="3"/>
  <c r="BB274" i="3"/>
  <c r="BA274" i="3"/>
  <c r="AZ274" i="3"/>
  <c r="AS274" i="3"/>
  <c r="AP274" i="3"/>
  <c r="AO274" i="3"/>
  <c r="AI274" i="3"/>
  <c r="AD274" i="3"/>
  <c r="AC274" i="3"/>
  <c r="Z274" i="3"/>
  <c r="Y274" i="3"/>
  <c r="X274" i="3"/>
  <c r="W274" i="3"/>
  <c r="V274" i="3"/>
  <c r="U274" i="3"/>
  <c r="AY274" i="3" s="1"/>
  <c r="T274" i="3"/>
  <c r="R274" i="3"/>
  <c r="Q274" i="3"/>
  <c r="M274" i="3"/>
  <c r="K274" i="3"/>
  <c r="J274" i="3"/>
  <c r="I274" i="3"/>
  <c r="D274" i="3"/>
  <c r="DW263" i="3"/>
  <c r="DV263" i="3"/>
  <c r="DU263" i="3"/>
  <c r="DT263" i="3"/>
  <c r="DS263" i="3"/>
  <c r="DR263" i="3"/>
  <c r="DQ263" i="3"/>
  <c r="DP263" i="3"/>
  <c r="DO263" i="3"/>
  <c r="DN263" i="3"/>
  <c r="DM263" i="3"/>
  <c r="DL263" i="3"/>
  <c r="DK263" i="3"/>
  <c r="DJ263" i="3"/>
  <c r="DI263" i="3"/>
  <c r="DH263" i="3"/>
  <c r="DG263" i="3"/>
  <c r="DF263" i="3"/>
  <c r="DE263" i="3"/>
  <c r="DD263" i="3"/>
  <c r="DC263" i="3"/>
  <c r="DB263" i="3"/>
  <c r="DA263" i="3"/>
  <c r="CZ263" i="3"/>
  <c r="CY263" i="3"/>
  <c r="CX263" i="3"/>
  <c r="CW263" i="3"/>
  <c r="CV263" i="3"/>
  <c r="CU263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C263" i="3"/>
  <c r="CB263" i="3"/>
  <c r="CA263" i="3"/>
  <c r="BZ263" i="3"/>
  <c r="BY263" i="3"/>
  <c r="BX263" i="3"/>
  <c r="BW263" i="3"/>
  <c r="BV263" i="3"/>
  <c r="BU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C263" i="3"/>
  <c r="BB263" i="3"/>
  <c r="BA263" i="3"/>
  <c r="AZ263" i="3"/>
  <c r="U263" i="3"/>
  <c r="T263" i="3"/>
  <c r="R263" i="3"/>
  <c r="Q263" i="3"/>
  <c r="M263" i="3"/>
  <c r="K263" i="3"/>
  <c r="J263" i="3"/>
  <c r="I263" i="3"/>
  <c r="D263" i="3"/>
  <c r="DW264" i="3"/>
  <c r="DV264" i="3"/>
  <c r="DU264" i="3"/>
  <c r="DT264" i="3"/>
  <c r="DS264" i="3"/>
  <c r="DR264" i="3"/>
  <c r="DQ264" i="3"/>
  <c r="DP264" i="3"/>
  <c r="DO264" i="3"/>
  <c r="DN264" i="3"/>
  <c r="DM264" i="3"/>
  <c r="DL264" i="3"/>
  <c r="DK264" i="3"/>
  <c r="DJ264" i="3"/>
  <c r="DI264" i="3"/>
  <c r="DH264" i="3"/>
  <c r="DG264" i="3"/>
  <c r="DF264" i="3"/>
  <c r="DE264" i="3"/>
  <c r="DD264" i="3"/>
  <c r="DC264" i="3"/>
  <c r="DB264" i="3"/>
  <c r="DA264" i="3"/>
  <c r="CZ264" i="3"/>
  <c r="CY264" i="3"/>
  <c r="CX264" i="3"/>
  <c r="CW264" i="3"/>
  <c r="CV264" i="3"/>
  <c r="CU264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C264" i="3"/>
  <c r="CB264" i="3"/>
  <c r="CA264" i="3"/>
  <c r="BZ264" i="3"/>
  <c r="BY264" i="3"/>
  <c r="BX264" i="3"/>
  <c r="BW264" i="3"/>
  <c r="BV264" i="3"/>
  <c r="BU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C264" i="3"/>
  <c r="BB264" i="3"/>
  <c r="BA264" i="3"/>
  <c r="AZ264" i="3"/>
  <c r="AH264" i="3"/>
  <c r="AT264" i="3" s="1"/>
  <c r="AD264" i="3"/>
  <c r="AC264" i="3"/>
  <c r="Z264" i="3"/>
  <c r="U264" i="3"/>
  <c r="AY264" i="3" s="1"/>
  <c r="T264" i="3"/>
  <c r="R264" i="3"/>
  <c r="Q264" i="3"/>
  <c r="N264" i="3"/>
  <c r="M264" i="3"/>
  <c r="K264" i="3"/>
  <c r="J264" i="3"/>
  <c r="I264" i="3"/>
  <c r="D264" i="3"/>
  <c r="DW269" i="3"/>
  <c r="DV269" i="3"/>
  <c r="DU269" i="3"/>
  <c r="DT269" i="3"/>
  <c r="DS269" i="3"/>
  <c r="DR269" i="3"/>
  <c r="DQ269" i="3"/>
  <c r="DP269" i="3"/>
  <c r="DO269" i="3"/>
  <c r="DN269" i="3"/>
  <c r="DM269" i="3"/>
  <c r="DL269" i="3"/>
  <c r="DK269" i="3"/>
  <c r="DJ269" i="3"/>
  <c r="DI269" i="3"/>
  <c r="DH269" i="3"/>
  <c r="DG269" i="3"/>
  <c r="DF269" i="3"/>
  <c r="DE269" i="3"/>
  <c r="DD269" i="3"/>
  <c r="DC269" i="3"/>
  <c r="DB269" i="3"/>
  <c r="DA269" i="3"/>
  <c r="CZ269" i="3"/>
  <c r="CY269" i="3"/>
  <c r="CX269" i="3"/>
  <c r="CW269" i="3"/>
  <c r="CV269" i="3"/>
  <c r="CU269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C269" i="3"/>
  <c r="CB269" i="3"/>
  <c r="CA269" i="3"/>
  <c r="BZ269" i="3"/>
  <c r="BY269" i="3"/>
  <c r="BX269" i="3"/>
  <c r="BW269" i="3"/>
  <c r="BV269" i="3"/>
  <c r="BU269" i="3"/>
  <c r="BT269" i="3"/>
  <c r="BS269" i="3"/>
  <c r="BR269" i="3"/>
  <c r="BQ269" i="3"/>
  <c r="BP269" i="3"/>
  <c r="BO269" i="3"/>
  <c r="BN269" i="3"/>
  <c r="BM269" i="3"/>
  <c r="BL269" i="3"/>
  <c r="BK269" i="3"/>
  <c r="BJ269" i="3"/>
  <c r="BI269" i="3"/>
  <c r="BH269" i="3"/>
  <c r="BG269" i="3"/>
  <c r="BF269" i="3"/>
  <c r="BE269" i="3"/>
  <c r="BD269" i="3"/>
  <c r="BC269" i="3"/>
  <c r="BB269" i="3"/>
  <c r="BA269" i="3"/>
  <c r="AZ269" i="3"/>
  <c r="AU269" i="3"/>
  <c r="AO269" i="3"/>
  <c r="AN269" i="3"/>
  <c r="AK269" i="3"/>
  <c r="AJ269" i="3"/>
  <c r="AI269" i="3"/>
  <c r="AH269" i="3"/>
  <c r="AT269" i="3" s="1"/>
  <c r="AD269" i="3"/>
  <c r="AC269" i="3"/>
  <c r="Z269" i="3"/>
  <c r="Y269" i="3"/>
  <c r="X269" i="3"/>
  <c r="W269" i="3"/>
  <c r="V269" i="3"/>
  <c r="U269" i="3"/>
  <c r="AY269" i="3" s="1"/>
  <c r="T269" i="3"/>
  <c r="R269" i="3"/>
  <c r="Q269" i="3"/>
  <c r="M269" i="3"/>
  <c r="K269" i="3"/>
  <c r="J269" i="3"/>
  <c r="I269" i="3"/>
  <c r="D269" i="3"/>
  <c r="DW262" i="3"/>
  <c r="DV262" i="3"/>
  <c r="DU262" i="3"/>
  <c r="DT262" i="3"/>
  <c r="DS262" i="3"/>
  <c r="DR262" i="3"/>
  <c r="DQ262" i="3"/>
  <c r="DP262" i="3"/>
  <c r="DO262" i="3"/>
  <c r="DN262" i="3"/>
  <c r="DM262" i="3"/>
  <c r="DL262" i="3"/>
  <c r="DK262" i="3"/>
  <c r="DJ262" i="3"/>
  <c r="DI262" i="3"/>
  <c r="DH262" i="3"/>
  <c r="DG262" i="3"/>
  <c r="DF262" i="3"/>
  <c r="DE262" i="3"/>
  <c r="DD262" i="3"/>
  <c r="DC262" i="3"/>
  <c r="DB262" i="3"/>
  <c r="DA262" i="3"/>
  <c r="CZ262" i="3"/>
  <c r="CY262" i="3"/>
  <c r="CX262" i="3"/>
  <c r="CW262" i="3"/>
  <c r="CV262" i="3"/>
  <c r="CU262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C262" i="3"/>
  <c r="CB262" i="3"/>
  <c r="CA262" i="3"/>
  <c r="BZ262" i="3"/>
  <c r="BY262" i="3"/>
  <c r="BX262" i="3"/>
  <c r="BW262" i="3"/>
  <c r="BV262" i="3"/>
  <c r="BU262" i="3"/>
  <c r="BT262" i="3"/>
  <c r="BS262" i="3"/>
  <c r="BR262" i="3"/>
  <c r="BQ262" i="3"/>
  <c r="BP262" i="3"/>
  <c r="BO262" i="3"/>
  <c r="BN262" i="3"/>
  <c r="BM262" i="3"/>
  <c r="BL262" i="3"/>
  <c r="BK262" i="3"/>
  <c r="BJ262" i="3"/>
  <c r="BI262" i="3"/>
  <c r="BH262" i="3"/>
  <c r="BG262" i="3"/>
  <c r="BF262" i="3"/>
  <c r="BE262" i="3"/>
  <c r="BD262" i="3"/>
  <c r="BC262" i="3"/>
  <c r="BB262" i="3"/>
  <c r="BA262" i="3"/>
  <c r="AZ262" i="3"/>
  <c r="AI262" i="3"/>
  <c r="Y262" i="3"/>
  <c r="U262" i="3"/>
  <c r="AY262" i="3" s="1"/>
  <c r="T262" i="3"/>
  <c r="R262" i="3"/>
  <c r="Q262" i="3"/>
  <c r="N262" i="3"/>
  <c r="M262" i="3"/>
  <c r="K262" i="3"/>
  <c r="J262" i="3"/>
  <c r="I262" i="3"/>
  <c r="D262" i="3"/>
  <c r="DW255" i="3"/>
  <c r="DV255" i="3"/>
  <c r="DU255" i="3"/>
  <c r="DT255" i="3"/>
  <c r="DS255" i="3"/>
  <c r="DR255" i="3"/>
  <c r="DQ255" i="3"/>
  <c r="DP255" i="3"/>
  <c r="DO255" i="3"/>
  <c r="DN255" i="3"/>
  <c r="DM255" i="3"/>
  <c r="DL255" i="3"/>
  <c r="DK255" i="3"/>
  <c r="DJ255" i="3"/>
  <c r="DI255" i="3"/>
  <c r="DH255" i="3"/>
  <c r="DG255" i="3"/>
  <c r="DF255" i="3"/>
  <c r="DE255" i="3"/>
  <c r="DD255" i="3"/>
  <c r="DC255" i="3"/>
  <c r="DB255" i="3"/>
  <c r="DA255" i="3"/>
  <c r="CZ255" i="3"/>
  <c r="CY255" i="3"/>
  <c r="CX255" i="3"/>
  <c r="CW255" i="3"/>
  <c r="CV255" i="3"/>
  <c r="CU255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C255" i="3"/>
  <c r="CB255" i="3"/>
  <c r="CA255" i="3"/>
  <c r="BZ255" i="3"/>
  <c r="BY255" i="3"/>
  <c r="BX255" i="3"/>
  <c r="BW255" i="3"/>
  <c r="BV255" i="3"/>
  <c r="BU255" i="3"/>
  <c r="BT255" i="3"/>
  <c r="BS255" i="3"/>
  <c r="BR255" i="3"/>
  <c r="BQ255" i="3"/>
  <c r="BP255" i="3"/>
  <c r="BO255" i="3"/>
  <c r="BN255" i="3"/>
  <c r="BM255" i="3"/>
  <c r="BL255" i="3"/>
  <c r="BK255" i="3"/>
  <c r="BJ255" i="3"/>
  <c r="BI255" i="3"/>
  <c r="BH255" i="3"/>
  <c r="BG255" i="3"/>
  <c r="BF255" i="3"/>
  <c r="BE255" i="3"/>
  <c r="BD255" i="3"/>
  <c r="BC255" i="3"/>
  <c r="BB255" i="3"/>
  <c r="BA255" i="3"/>
  <c r="AZ255" i="3"/>
  <c r="AD255" i="3"/>
  <c r="AC255" i="3"/>
  <c r="Z255" i="3"/>
  <c r="Y255" i="3"/>
  <c r="X255" i="3"/>
  <c r="W255" i="3"/>
  <c r="V255" i="3"/>
  <c r="U255" i="3"/>
  <c r="AY255" i="3" s="1"/>
  <c r="T255" i="3"/>
  <c r="R255" i="3"/>
  <c r="Q255" i="3"/>
  <c r="N255" i="3"/>
  <c r="M255" i="3"/>
  <c r="K255" i="3"/>
  <c r="J255" i="3"/>
  <c r="I255" i="3"/>
  <c r="D255" i="3"/>
  <c r="DW254" i="3"/>
  <c r="DV254" i="3"/>
  <c r="DU254" i="3"/>
  <c r="DT254" i="3"/>
  <c r="DS254" i="3"/>
  <c r="DR254" i="3"/>
  <c r="DQ254" i="3"/>
  <c r="DP254" i="3"/>
  <c r="DO254" i="3"/>
  <c r="DN254" i="3"/>
  <c r="DM254" i="3"/>
  <c r="DL254" i="3"/>
  <c r="DK254" i="3"/>
  <c r="DJ254" i="3"/>
  <c r="DI254" i="3"/>
  <c r="DH254" i="3"/>
  <c r="DG254" i="3"/>
  <c r="DF254" i="3"/>
  <c r="DE254" i="3"/>
  <c r="DD254" i="3"/>
  <c r="DC254" i="3"/>
  <c r="DB254" i="3"/>
  <c r="DA254" i="3"/>
  <c r="CZ254" i="3"/>
  <c r="CY254" i="3"/>
  <c r="CX254" i="3"/>
  <c r="CW254" i="3"/>
  <c r="CV254" i="3"/>
  <c r="CU254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G254" i="3"/>
  <c r="CF254" i="3"/>
  <c r="CE254" i="3"/>
  <c r="CD254" i="3"/>
  <c r="CC254" i="3"/>
  <c r="CB254" i="3"/>
  <c r="CA254" i="3"/>
  <c r="BZ254" i="3"/>
  <c r="BY254" i="3"/>
  <c r="BX254" i="3"/>
  <c r="BW254" i="3"/>
  <c r="BV254" i="3"/>
  <c r="BU254" i="3"/>
  <c r="BT254" i="3"/>
  <c r="BS254" i="3"/>
  <c r="BR254" i="3"/>
  <c r="BQ254" i="3"/>
  <c r="BP254" i="3"/>
  <c r="BO254" i="3"/>
  <c r="BN254" i="3"/>
  <c r="BM254" i="3"/>
  <c r="BL254" i="3"/>
  <c r="BK254" i="3"/>
  <c r="BJ254" i="3"/>
  <c r="BI254" i="3"/>
  <c r="BH254" i="3"/>
  <c r="BG254" i="3"/>
  <c r="BF254" i="3"/>
  <c r="BE254" i="3"/>
  <c r="BD254" i="3"/>
  <c r="BC254" i="3"/>
  <c r="BB254" i="3"/>
  <c r="BA254" i="3"/>
  <c r="AZ254" i="3"/>
  <c r="AY254" i="3"/>
  <c r="AX254" i="3"/>
  <c r="AW254" i="3"/>
  <c r="AO254" i="3"/>
  <c r="AE254" i="3"/>
  <c r="AD254" i="3"/>
  <c r="AC254" i="3"/>
  <c r="Z254" i="3"/>
  <c r="Y254" i="3"/>
  <c r="X254" i="3"/>
  <c r="W254" i="3"/>
  <c r="V254" i="3"/>
  <c r="U254" i="3"/>
  <c r="T254" i="3"/>
  <c r="R254" i="3"/>
  <c r="Q254" i="3"/>
  <c r="M254" i="3"/>
  <c r="K254" i="3"/>
  <c r="J254" i="3"/>
  <c r="I254" i="3"/>
  <c r="D254" i="3"/>
  <c r="DW259" i="3"/>
  <c r="DV259" i="3"/>
  <c r="DU259" i="3"/>
  <c r="DT259" i="3"/>
  <c r="DS259" i="3"/>
  <c r="DR259" i="3"/>
  <c r="DQ259" i="3"/>
  <c r="DP259" i="3"/>
  <c r="DN259" i="3"/>
  <c r="DM259" i="3"/>
  <c r="DL259" i="3"/>
  <c r="DK259" i="3"/>
  <c r="DJ259" i="3"/>
  <c r="DI259" i="3"/>
  <c r="DH259" i="3"/>
  <c r="DG259" i="3"/>
  <c r="DF259" i="3"/>
  <c r="DE259" i="3"/>
  <c r="DD259" i="3"/>
  <c r="DC259" i="3"/>
  <c r="DB259" i="3"/>
  <c r="DA259" i="3"/>
  <c r="CZ259" i="3"/>
  <c r="CY259" i="3"/>
  <c r="CX259" i="3"/>
  <c r="CW259" i="3"/>
  <c r="CV259" i="3"/>
  <c r="CU259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C259" i="3"/>
  <c r="CB259" i="3"/>
  <c r="CA259" i="3"/>
  <c r="BZ259" i="3"/>
  <c r="BY259" i="3"/>
  <c r="BX259" i="3"/>
  <c r="BW259" i="3"/>
  <c r="BV259" i="3"/>
  <c r="BU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C259" i="3"/>
  <c r="BB259" i="3"/>
  <c r="BA259" i="3"/>
  <c r="AZ259" i="3"/>
  <c r="AI259" i="3"/>
  <c r="U259" i="3"/>
  <c r="AY259" i="3" s="1"/>
  <c r="T259" i="3"/>
  <c r="R259" i="3"/>
  <c r="Q259" i="3"/>
  <c r="N259" i="3"/>
  <c r="M259" i="3"/>
  <c r="K259" i="3"/>
  <c r="J259" i="3"/>
  <c r="I259" i="3"/>
  <c r="D259" i="3"/>
  <c r="DW258" i="3"/>
  <c r="DV258" i="3"/>
  <c r="DU258" i="3"/>
  <c r="DT258" i="3"/>
  <c r="DS258" i="3"/>
  <c r="DR258" i="3"/>
  <c r="DQ258" i="3"/>
  <c r="DP258" i="3"/>
  <c r="DO258" i="3"/>
  <c r="DN258" i="3"/>
  <c r="DM258" i="3"/>
  <c r="DL258" i="3"/>
  <c r="DK258" i="3"/>
  <c r="DJ258" i="3"/>
  <c r="DI258" i="3"/>
  <c r="DH258" i="3"/>
  <c r="DG258" i="3"/>
  <c r="DF258" i="3"/>
  <c r="DE258" i="3"/>
  <c r="DD258" i="3"/>
  <c r="DC258" i="3"/>
  <c r="DB258" i="3"/>
  <c r="DA258" i="3"/>
  <c r="CZ258" i="3"/>
  <c r="CY258" i="3"/>
  <c r="CX258" i="3"/>
  <c r="CW258" i="3"/>
  <c r="CV258" i="3"/>
  <c r="CU258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C258" i="3"/>
  <c r="CB258" i="3"/>
  <c r="CA258" i="3"/>
  <c r="BZ258" i="3"/>
  <c r="BY258" i="3"/>
  <c r="BX258" i="3"/>
  <c r="BW258" i="3"/>
  <c r="BV258" i="3"/>
  <c r="BU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C258" i="3"/>
  <c r="BB258" i="3"/>
  <c r="BA258" i="3"/>
  <c r="AZ258" i="3"/>
  <c r="U258" i="3"/>
  <c r="T258" i="3"/>
  <c r="R258" i="3"/>
  <c r="Q258" i="3"/>
  <c r="M258" i="3"/>
  <c r="K258" i="3"/>
  <c r="J258" i="3"/>
  <c r="I258" i="3"/>
  <c r="D258" i="3"/>
  <c r="DW261" i="3"/>
  <c r="DV261" i="3"/>
  <c r="DU261" i="3"/>
  <c r="DT261" i="3"/>
  <c r="DS261" i="3"/>
  <c r="DR261" i="3"/>
  <c r="DQ261" i="3"/>
  <c r="DP261" i="3"/>
  <c r="DO261" i="3"/>
  <c r="DN261" i="3"/>
  <c r="DM261" i="3"/>
  <c r="DL261" i="3"/>
  <c r="DK261" i="3"/>
  <c r="DJ261" i="3"/>
  <c r="DI261" i="3"/>
  <c r="DH261" i="3"/>
  <c r="DG261" i="3"/>
  <c r="DF261" i="3"/>
  <c r="DE261" i="3"/>
  <c r="DD261" i="3"/>
  <c r="DC261" i="3"/>
  <c r="DB261" i="3"/>
  <c r="DA261" i="3"/>
  <c r="CZ261" i="3"/>
  <c r="CY261" i="3"/>
  <c r="CX261" i="3"/>
  <c r="CW261" i="3"/>
  <c r="CV261" i="3"/>
  <c r="CU261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C261" i="3"/>
  <c r="CB261" i="3"/>
  <c r="CA261" i="3"/>
  <c r="BZ261" i="3"/>
  <c r="BY261" i="3"/>
  <c r="BX261" i="3"/>
  <c r="BW261" i="3"/>
  <c r="BV261" i="3"/>
  <c r="BU261" i="3"/>
  <c r="BT261" i="3"/>
  <c r="BS261" i="3"/>
  <c r="BR261" i="3"/>
  <c r="BQ261" i="3"/>
  <c r="BP261" i="3"/>
  <c r="BO261" i="3"/>
  <c r="BN261" i="3"/>
  <c r="BM261" i="3"/>
  <c r="BL261" i="3"/>
  <c r="BK261" i="3"/>
  <c r="BJ261" i="3"/>
  <c r="BI261" i="3"/>
  <c r="BH261" i="3"/>
  <c r="BG261" i="3"/>
  <c r="BF261" i="3"/>
  <c r="BE261" i="3"/>
  <c r="BD261" i="3"/>
  <c r="BC261" i="3"/>
  <c r="BB261" i="3"/>
  <c r="BA261" i="3"/>
  <c r="AZ261" i="3"/>
  <c r="AI261" i="3"/>
  <c r="AH261" i="3"/>
  <c r="AT261" i="3" s="1"/>
  <c r="AG261" i="3"/>
  <c r="V261" i="3"/>
  <c r="U261" i="3"/>
  <c r="AY261" i="3" s="1"/>
  <c r="T261" i="3"/>
  <c r="R261" i="3"/>
  <c r="Q261" i="3"/>
  <c r="N261" i="3"/>
  <c r="M261" i="3"/>
  <c r="K261" i="3"/>
  <c r="J261" i="3"/>
  <c r="I261" i="3"/>
  <c r="D261" i="3"/>
  <c r="DW250" i="3"/>
  <c r="DV250" i="3"/>
  <c r="DU250" i="3"/>
  <c r="DT250" i="3"/>
  <c r="DS250" i="3"/>
  <c r="DR250" i="3"/>
  <c r="DQ250" i="3"/>
  <c r="DP250" i="3"/>
  <c r="DO250" i="3"/>
  <c r="DN250" i="3"/>
  <c r="DM250" i="3"/>
  <c r="DL250" i="3"/>
  <c r="DK250" i="3"/>
  <c r="DJ250" i="3"/>
  <c r="DI250" i="3"/>
  <c r="DH250" i="3"/>
  <c r="DG250" i="3"/>
  <c r="DF250" i="3"/>
  <c r="DE250" i="3"/>
  <c r="DD250" i="3"/>
  <c r="DC250" i="3"/>
  <c r="DB250" i="3"/>
  <c r="DA250" i="3"/>
  <c r="CZ250" i="3"/>
  <c r="CY250" i="3"/>
  <c r="CX250" i="3"/>
  <c r="CW250" i="3"/>
  <c r="CV250" i="3"/>
  <c r="CU250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C250" i="3"/>
  <c r="CB250" i="3"/>
  <c r="CA250" i="3"/>
  <c r="BZ250" i="3"/>
  <c r="BY250" i="3"/>
  <c r="BX250" i="3"/>
  <c r="BW250" i="3"/>
  <c r="BV250" i="3"/>
  <c r="BU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C250" i="3"/>
  <c r="BB250" i="3"/>
  <c r="BA250" i="3"/>
  <c r="AZ250" i="3"/>
  <c r="AI250" i="3"/>
  <c r="W250" i="3"/>
  <c r="V250" i="3"/>
  <c r="U250" i="3"/>
  <c r="AY250" i="3" s="1"/>
  <c r="T250" i="3"/>
  <c r="R250" i="3"/>
  <c r="Q250" i="3"/>
  <c r="N250" i="3"/>
  <c r="M250" i="3"/>
  <c r="K250" i="3"/>
  <c r="J250" i="3"/>
  <c r="I250" i="3"/>
  <c r="D250" i="3"/>
  <c r="DW257" i="3"/>
  <c r="DV257" i="3"/>
  <c r="DU257" i="3"/>
  <c r="DT257" i="3"/>
  <c r="DS257" i="3"/>
  <c r="DR257" i="3"/>
  <c r="DQ257" i="3"/>
  <c r="DP257" i="3"/>
  <c r="DO257" i="3"/>
  <c r="DN257" i="3"/>
  <c r="DM257" i="3"/>
  <c r="DL257" i="3"/>
  <c r="DK257" i="3"/>
  <c r="DJ257" i="3"/>
  <c r="DI257" i="3"/>
  <c r="DH257" i="3"/>
  <c r="DG257" i="3"/>
  <c r="DF257" i="3"/>
  <c r="DE257" i="3"/>
  <c r="DD257" i="3"/>
  <c r="DC257" i="3"/>
  <c r="DB257" i="3"/>
  <c r="DA257" i="3"/>
  <c r="CY257" i="3"/>
  <c r="CX257" i="3"/>
  <c r="CW257" i="3"/>
  <c r="CV257" i="3"/>
  <c r="CU257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C257" i="3"/>
  <c r="CB257" i="3"/>
  <c r="CA257" i="3"/>
  <c r="BZ257" i="3"/>
  <c r="BY257" i="3"/>
  <c r="BX257" i="3"/>
  <c r="BW257" i="3"/>
  <c r="BV257" i="3"/>
  <c r="BU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C257" i="3"/>
  <c r="BB257" i="3"/>
  <c r="BA257" i="3"/>
  <c r="AZ257" i="3"/>
  <c r="U257" i="3"/>
  <c r="T257" i="3"/>
  <c r="R257" i="3"/>
  <c r="Q257" i="3"/>
  <c r="M257" i="3"/>
  <c r="K257" i="3"/>
  <c r="J257" i="3"/>
  <c r="I257" i="3"/>
  <c r="D257" i="3"/>
  <c r="DW252" i="3"/>
  <c r="DV252" i="3"/>
  <c r="DU252" i="3"/>
  <c r="DT252" i="3"/>
  <c r="DS252" i="3"/>
  <c r="DR252" i="3"/>
  <c r="DQ252" i="3"/>
  <c r="DP252" i="3"/>
  <c r="DN252" i="3"/>
  <c r="DM252" i="3"/>
  <c r="DL252" i="3"/>
  <c r="DK252" i="3"/>
  <c r="DJ252" i="3"/>
  <c r="DI252" i="3"/>
  <c r="DH252" i="3"/>
  <c r="DG252" i="3"/>
  <c r="DF252" i="3"/>
  <c r="DE252" i="3"/>
  <c r="DD252" i="3"/>
  <c r="DC252" i="3"/>
  <c r="DB252" i="3"/>
  <c r="DA252" i="3"/>
  <c r="CY252" i="3"/>
  <c r="CX252" i="3"/>
  <c r="CW252" i="3"/>
  <c r="CV252" i="3"/>
  <c r="CU252" i="3"/>
  <c r="CT252" i="3"/>
  <c r="CS252" i="3"/>
  <c r="CR252" i="3"/>
  <c r="CQ252" i="3"/>
  <c r="CP252" i="3"/>
  <c r="CO252" i="3"/>
  <c r="CN252" i="3"/>
  <c r="CM252" i="3"/>
  <c r="CL252" i="3"/>
  <c r="CJ252" i="3"/>
  <c r="CI252" i="3"/>
  <c r="CH252" i="3"/>
  <c r="CG252" i="3"/>
  <c r="CF252" i="3"/>
  <c r="CE252" i="3"/>
  <c r="CD252" i="3"/>
  <c r="CC252" i="3"/>
  <c r="CB252" i="3"/>
  <c r="CA252" i="3"/>
  <c r="BZ252" i="3"/>
  <c r="BY252" i="3"/>
  <c r="BX252" i="3"/>
  <c r="BW252" i="3"/>
  <c r="BU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C252" i="3"/>
  <c r="BB252" i="3"/>
  <c r="BA252" i="3"/>
  <c r="AZ252" i="3"/>
  <c r="U252" i="3"/>
  <c r="T252" i="3"/>
  <c r="R252" i="3"/>
  <c r="Q252" i="3"/>
  <c r="M252" i="3"/>
  <c r="K252" i="3"/>
  <c r="J252" i="3"/>
  <c r="I252" i="3"/>
  <c r="D252" i="3"/>
  <c r="DW251" i="3"/>
  <c r="DV251" i="3"/>
  <c r="DU251" i="3"/>
  <c r="DT251" i="3"/>
  <c r="DS251" i="3"/>
  <c r="DR251" i="3"/>
  <c r="DQ251" i="3"/>
  <c r="DP251" i="3"/>
  <c r="DO251" i="3"/>
  <c r="DN251" i="3"/>
  <c r="DM251" i="3"/>
  <c r="DL251" i="3"/>
  <c r="DK251" i="3"/>
  <c r="DJ251" i="3"/>
  <c r="DI251" i="3"/>
  <c r="DH251" i="3"/>
  <c r="DG251" i="3"/>
  <c r="DF251" i="3"/>
  <c r="DE251" i="3"/>
  <c r="DD251" i="3"/>
  <c r="DC251" i="3"/>
  <c r="DB251" i="3"/>
  <c r="DA251" i="3"/>
  <c r="CZ251" i="3"/>
  <c r="CY251" i="3"/>
  <c r="CX251" i="3"/>
  <c r="CW251" i="3"/>
  <c r="CV251" i="3"/>
  <c r="CU251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C251" i="3"/>
  <c r="CB251" i="3"/>
  <c r="CA251" i="3"/>
  <c r="BZ251" i="3"/>
  <c r="BY251" i="3"/>
  <c r="BX251" i="3"/>
  <c r="BW251" i="3"/>
  <c r="BV251" i="3"/>
  <c r="BU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C251" i="3"/>
  <c r="BB251" i="3"/>
  <c r="BA251" i="3"/>
  <c r="AZ251" i="3"/>
  <c r="AD251" i="3"/>
  <c r="AC251" i="3"/>
  <c r="Z251" i="3"/>
  <c r="Y251" i="3"/>
  <c r="V251" i="3"/>
  <c r="U251" i="3"/>
  <c r="AY251" i="3" s="1"/>
  <c r="T251" i="3"/>
  <c r="R251" i="3"/>
  <c r="Q251" i="3"/>
  <c r="N251" i="3"/>
  <c r="M251" i="3"/>
  <c r="K251" i="3"/>
  <c r="J251" i="3"/>
  <c r="I251" i="3"/>
  <c r="D251" i="3"/>
  <c r="DW248" i="3"/>
  <c r="DV248" i="3"/>
  <c r="DU248" i="3"/>
  <c r="DT248" i="3"/>
  <c r="DS248" i="3"/>
  <c r="DR248" i="3"/>
  <c r="DQ248" i="3"/>
  <c r="DP248" i="3"/>
  <c r="DO248" i="3"/>
  <c r="DN248" i="3"/>
  <c r="DM248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BY248" i="3"/>
  <c r="BX248" i="3"/>
  <c r="BW248" i="3"/>
  <c r="BV248" i="3"/>
  <c r="BU248" i="3"/>
  <c r="BT248" i="3"/>
  <c r="BS248" i="3"/>
  <c r="BR248" i="3"/>
  <c r="BQ248" i="3"/>
  <c r="BP248" i="3"/>
  <c r="BO248" i="3"/>
  <c r="BN248" i="3"/>
  <c r="BM248" i="3"/>
  <c r="BL248" i="3"/>
  <c r="BK248" i="3"/>
  <c r="BJ248" i="3"/>
  <c r="BI248" i="3"/>
  <c r="BH248" i="3"/>
  <c r="BG248" i="3"/>
  <c r="BF248" i="3"/>
  <c r="BE248" i="3"/>
  <c r="BD248" i="3"/>
  <c r="BC248" i="3"/>
  <c r="BB248" i="3"/>
  <c r="BA248" i="3"/>
  <c r="AZ248" i="3"/>
  <c r="AI248" i="3"/>
  <c r="AH248" i="3"/>
  <c r="AT248" i="3" s="1"/>
  <c r="AD248" i="3"/>
  <c r="AC248" i="3"/>
  <c r="U248" i="3"/>
  <c r="AY248" i="3" s="1"/>
  <c r="T248" i="3"/>
  <c r="R248" i="3"/>
  <c r="Q248" i="3"/>
  <c r="N248" i="3"/>
  <c r="M248" i="3"/>
  <c r="K248" i="3"/>
  <c r="J248" i="3"/>
  <c r="I248" i="3"/>
  <c r="D248" i="3"/>
  <c r="DW249" i="3"/>
  <c r="DV249" i="3"/>
  <c r="DU249" i="3"/>
  <c r="DT249" i="3"/>
  <c r="DS249" i="3"/>
  <c r="DR249" i="3"/>
  <c r="DQ249" i="3"/>
  <c r="DP249" i="3"/>
  <c r="DO249" i="3"/>
  <c r="DN249" i="3"/>
  <c r="DM249" i="3"/>
  <c r="DL249" i="3"/>
  <c r="DK249" i="3"/>
  <c r="DJ249" i="3"/>
  <c r="DI249" i="3"/>
  <c r="DH249" i="3"/>
  <c r="DG249" i="3"/>
  <c r="DF249" i="3"/>
  <c r="DE249" i="3"/>
  <c r="DD249" i="3"/>
  <c r="DC249" i="3"/>
  <c r="DB249" i="3"/>
  <c r="DA249" i="3"/>
  <c r="CZ249" i="3"/>
  <c r="CY249" i="3"/>
  <c r="CX249" i="3"/>
  <c r="CW249" i="3"/>
  <c r="CV249" i="3"/>
  <c r="CU249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BY249" i="3"/>
  <c r="BX249" i="3"/>
  <c r="BW249" i="3"/>
  <c r="BV249" i="3"/>
  <c r="BU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C249" i="3"/>
  <c r="BB249" i="3"/>
  <c r="BA249" i="3"/>
  <c r="AZ249" i="3"/>
  <c r="AI249" i="3"/>
  <c r="AH249" i="3"/>
  <c r="AT249" i="3" s="1"/>
  <c r="Z249" i="3"/>
  <c r="Y249" i="3"/>
  <c r="X249" i="3"/>
  <c r="V249" i="3"/>
  <c r="U249" i="3"/>
  <c r="AY249" i="3" s="1"/>
  <c r="T249" i="3"/>
  <c r="R249" i="3"/>
  <c r="Q249" i="3"/>
  <c r="N249" i="3"/>
  <c r="M249" i="3"/>
  <c r="K249" i="3"/>
  <c r="J249" i="3"/>
  <c r="I249" i="3"/>
  <c r="D249" i="3"/>
  <c r="DW256" i="3"/>
  <c r="DV256" i="3"/>
  <c r="DU256" i="3"/>
  <c r="DT256" i="3"/>
  <c r="DS256" i="3"/>
  <c r="DR256" i="3"/>
  <c r="DQ256" i="3"/>
  <c r="DP256" i="3"/>
  <c r="DO256" i="3"/>
  <c r="DN256" i="3"/>
  <c r="DM256" i="3"/>
  <c r="DL256" i="3"/>
  <c r="DK256" i="3"/>
  <c r="DJ256" i="3"/>
  <c r="DI256" i="3"/>
  <c r="DH256" i="3"/>
  <c r="DG256" i="3"/>
  <c r="DF256" i="3"/>
  <c r="DE256" i="3"/>
  <c r="DD256" i="3"/>
  <c r="DC256" i="3"/>
  <c r="DB256" i="3"/>
  <c r="DA256" i="3"/>
  <c r="CZ256" i="3"/>
  <c r="CY256" i="3"/>
  <c r="CX256" i="3"/>
  <c r="CW256" i="3"/>
  <c r="CV256" i="3"/>
  <c r="CU256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C256" i="3"/>
  <c r="CB256" i="3"/>
  <c r="CA256" i="3"/>
  <c r="BZ256" i="3"/>
  <c r="BY256" i="3"/>
  <c r="BX256" i="3"/>
  <c r="BW256" i="3"/>
  <c r="BV256" i="3"/>
  <c r="BU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C256" i="3"/>
  <c r="BB256" i="3"/>
  <c r="BA256" i="3"/>
  <c r="AZ256" i="3"/>
  <c r="AV256" i="3"/>
  <c r="AK256" i="3"/>
  <c r="AI256" i="3"/>
  <c r="AG256" i="3"/>
  <c r="Z256" i="3"/>
  <c r="Y256" i="3"/>
  <c r="X256" i="3"/>
  <c r="W256" i="3"/>
  <c r="V256" i="3"/>
  <c r="U256" i="3"/>
  <c r="AY256" i="3" s="1"/>
  <c r="T256" i="3"/>
  <c r="R256" i="3"/>
  <c r="Q256" i="3"/>
  <c r="M256" i="3"/>
  <c r="K256" i="3"/>
  <c r="J256" i="3"/>
  <c r="I256" i="3"/>
  <c r="D256" i="3"/>
  <c r="DW247" i="3"/>
  <c r="DV247" i="3"/>
  <c r="DU247" i="3"/>
  <c r="DT247" i="3"/>
  <c r="DS247" i="3"/>
  <c r="DR247" i="3"/>
  <c r="DQ247" i="3"/>
  <c r="DP247" i="3"/>
  <c r="DO247" i="3"/>
  <c r="DN247" i="3"/>
  <c r="DM247" i="3"/>
  <c r="DL247" i="3"/>
  <c r="DK247" i="3"/>
  <c r="DJ247" i="3"/>
  <c r="DI247" i="3"/>
  <c r="DH247" i="3"/>
  <c r="DG247" i="3"/>
  <c r="DF247" i="3"/>
  <c r="DE247" i="3"/>
  <c r="DD247" i="3"/>
  <c r="DC247" i="3"/>
  <c r="DB247" i="3"/>
  <c r="DA247" i="3"/>
  <c r="CZ247" i="3"/>
  <c r="CY247" i="3"/>
  <c r="CX247" i="3"/>
  <c r="CW247" i="3"/>
  <c r="CV247" i="3"/>
  <c r="CU247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CA247" i="3"/>
  <c r="BZ247" i="3"/>
  <c r="BY247" i="3"/>
  <c r="BX247" i="3"/>
  <c r="BW247" i="3"/>
  <c r="BV247" i="3"/>
  <c r="BU247" i="3"/>
  <c r="BT247" i="3"/>
  <c r="BS247" i="3"/>
  <c r="BR247" i="3"/>
  <c r="BQ247" i="3"/>
  <c r="BP247" i="3"/>
  <c r="BO247" i="3"/>
  <c r="BN247" i="3"/>
  <c r="BM247" i="3"/>
  <c r="BL247" i="3"/>
  <c r="BK247" i="3"/>
  <c r="BJ247" i="3"/>
  <c r="BI247" i="3"/>
  <c r="BH247" i="3"/>
  <c r="BG247" i="3"/>
  <c r="BF247" i="3"/>
  <c r="BE247" i="3"/>
  <c r="BD247" i="3"/>
  <c r="BC247" i="3"/>
  <c r="BB247" i="3"/>
  <c r="BA247" i="3"/>
  <c r="AZ247" i="3"/>
  <c r="AY247" i="3"/>
  <c r="AI247" i="3"/>
  <c r="AH247" i="3"/>
  <c r="AD247" i="3"/>
  <c r="AC247" i="3"/>
  <c r="Y247" i="3"/>
  <c r="W247" i="3"/>
  <c r="U247" i="3"/>
  <c r="T247" i="3"/>
  <c r="R247" i="3"/>
  <c r="Q247" i="3"/>
  <c r="M247" i="3"/>
  <c r="K247" i="3"/>
  <c r="J247" i="3"/>
  <c r="I247" i="3"/>
  <c r="D247" i="3"/>
  <c r="DW245" i="3"/>
  <c r="DV245" i="3"/>
  <c r="DU245" i="3"/>
  <c r="DT245" i="3"/>
  <c r="DS245" i="3"/>
  <c r="DR245" i="3"/>
  <c r="DQ245" i="3"/>
  <c r="DP245" i="3"/>
  <c r="DO245" i="3"/>
  <c r="DN245" i="3"/>
  <c r="DM245" i="3"/>
  <c r="DL245" i="3"/>
  <c r="DK245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BY245" i="3"/>
  <c r="BX245" i="3"/>
  <c r="BW245" i="3"/>
  <c r="BV245" i="3"/>
  <c r="BU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C245" i="3"/>
  <c r="BB245" i="3"/>
  <c r="BA245" i="3"/>
  <c r="AZ245" i="3"/>
  <c r="AX245" i="3"/>
  <c r="AW245" i="3"/>
  <c r="AV245" i="3"/>
  <c r="AO245" i="3"/>
  <c r="AN245" i="3"/>
  <c r="AK245" i="3"/>
  <c r="AJ245" i="3"/>
  <c r="AI245" i="3"/>
  <c r="AH245" i="3"/>
  <c r="AT245" i="3" s="1"/>
  <c r="X245" i="3"/>
  <c r="W245" i="3"/>
  <c r="V245" i="3"/>
  <c r="U245" i="3"/>
  <c r="AY245" i="3" s="1"/>
  <c r="T245" i="3"/>
  <c r="R245" i="3"/>
  <c r="Q245" i="3"/>
  <c r="M245" i="3"/>
  <c r="K245" i="3"/>
  <c r="J245" i="3"/>
  <c r="I245" i="3"/>
  <c r="D245" i="3"/>
  <c r="DW243" i="3"/>
  <c r="DV243" i="3"/>
  <c r="DU243" i="3"/>
  <c r="DT243" i="3"/>
  <c r="DS243" i="3"/>
  <c r="DR243" i="3"/>
  <c r="DQ243" i="3"/>
  <c r="DP243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Y243" i="3"/>
  <c r="BX243" i="3"/>
  <c r="BW243" i="3"/>
  <c r="BU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C243" i="3"/>
  <c r="BB243" i="3"/>
  <c r="BA243" i="3"/>
  <c r="AZ243" i="3"/>
  <c r="U243" i="3"/>
  <c r="T243" i="3"/>
  <c r="R243" i="3"/>
  <c r="Q243" i="3"/>
  <c r="M243" i="3"/>
  <c r="K243" i="3"/>
  <c r="J243" i="3"/>
  <c r="I243" i="3"/>
  <c r="D243" i="3"/>
  <c r="DW242" i="3"/>
  <c r="DV242" i="3"/>
  <c r="DU242" i="3"/>
  <c r="DT242" i="3"/>
  <c r="DS242" i="3"/>
  <c r="DR242" i="3"/>
  <c r="DQ242" i="3"/>
  <c r="DP242" i="3"/>
  <c r="DO242" i="3"/>
  <c r="DN242" i="3"/>
  <c r="DM242" i="3"/>
  <c r="DL242" i="3"/>
  <c r="DK242" i="3"/>
  <c r="DJ242" i="3"/>
  <c r="DI242" i="3"/>
  <c r="DH242" i="3"/>
  <c r="DG242" i="3"/>
  <c r="DF242" i="3"/>
  <c r="DE242" i="3"/>
  <c r="DD242" i="3"/>
  <c r="DC242" i="3"/>
  <c r="DB242" i="3"/>
  <c r="DA242" i="3"/>
  <c r="CZ242" i="3"/>
  <c r="CY242" i="3"/>
  <c r="CX242" i="3"/>
  <c r="CW242" i="3"/>
  <c r="CV242" i="3"/>
  <c r="CU242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B242" i="3"/>
  <c r="CA242" i="3"/>
  <c r="BZ242" i="3"/>
  <c r="BY242" i="3"/>
  <c r="BX242" i="3"/>
  <c r="BW242" i="3"/>
  <c r="BV242" i="3"/>
  <c r="BU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C242" i="3"/>
  <c r="BB242" i="3"/>
  <c r="BA242" i="3"/>
  <c r="AZ242" i="3"/>
  <c r="AK242" i="3"/>
  <c r="AI242" i="3"/>
  <c r="AH242" i="3"/>
  <c r="AT242" i="3" s="1"/>
  <c r="AF242" i="3"/>
  <c r="AE242" i="3"/>
  <c r="AD242" i="3"/>
  <c r="AC242" i="3"/>
  <c r="X242" i="3"/>
  <c r="W242" i="3"/>
  <c r="U242" i="3"/>
  <c r="T242" i="3"/>
  <c r="R242" i="3"/>
  <c r="Q242" i="3"/>
  <c r="M242" i="3"/>
  <c r="K242" i="3"/>
  <c r="J242" i="3"/>
  <c r="I242" i="3"/>
  <c r="D242" i="3"/>
  <c r="DW237" i="3"/>
  <c r="DV237" i="3"/>
  <c r="DU237" i="3"/>
  <c r="DT237" i="3"/>
  <c r="DS237" i="3"/>
  <c r="DR237" i="3"/>
  <c r="DQ237" i="3"/>
  <c r="DP237" i="3"/>
  <c r="DN237" i="3"/>
  <c r="DM237" i="3"/>
  <c r="DL237" i="3"/>
  <c r="DK237" i="3"/>
  <c r="DJ237" i="3"/>
  <c r="DI237" i="3"/>
  <c r="DH237" i="3"/>
  <c r="DG237" i="3"/>
  <c r="DF237" i="3"/>
  <c r="DE237" i="3"/>
  <c r="DD237" i="3"/>
  <c r="DC237" i="3"/>
  <c r="DB237" i="3"/>
  <c r="DA237" i="3"/>
  <c r="CY237" i="3"/>
  <c r="CX237" i="3"/>
  <c r="CW237" i="3"/>
  <c r="CV237" i="3"/>
  <c r="CU237" i="3"/>
  <c r="CT237" i="3"/>
  <c r="CS237" i="3"/>
  <c r="CR237" i="3"/>
  <c r="CQ237" i="3"/>
  <c r="CP237" i="3"/>
  <c r="CO237" i="3"/>
  <c r="CN237" i="3"/>
  <c r="CM237" i="3"/>
  <c r="CL237" i="3"/>
  <c r="CJ237" i="3"/>
  <c r="CI237" i="3"/>
  <c r="CH237" i="3"/>
  <c r="CG237" i="3"/>
  <c r="CF237" i="3"/>
  <c r="CE237" i="3"/>
  <c r="CD237" i="3"/>
  <c r="CC237" i="3"/>
  <c r="CB237" i="3"/>
  <c r="CA237" i="3"/>
  <c r="BZ237" i="3"/>
  <c r="BY237" i="3"/>
  <c r="BX237" i="3"/>
  <c r="BW237" i="3"/>
  <c r="BU237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C237" i="3"/>
  <c r="BB237" i="3"/>
  <c r="BA237" i="3"/>
  <c r="AZ237" i="3"/>
  <c r="U237" i="3"/>
  <c r="T237" i="3"/>
  <c r="R237" i="3"/>
  <c r="Q237" i="3"/>
  <c r="M237" i="3"/>
  <c r="K237" i="3"/>
  <c r="J237" i="3"/>
  <c r="I237" i="3"/>
  <c r="D237" i="3"/>
  <c r="DW236" i="3"/>
  <c r="DV236" i="3"/>
  <c r="DU236" i="3"/>
  <c r="DT236" i="3"/>
  <c r="DS236" i="3"/>
  <c r="DR236" i="3"/>
  <c r="DQ236" i="3"/>
  <c r="DP236" i="3"/>
  <c r="DO236" i="3"/>
  <c r="DN236" i="3"/>
  <c r="DM236" i="3"/>
  <c r="DL236" i="3"/>
  <c r="DK236" i="3"/>
  <c r="DJ236" i="3"/>
  <c r="DI236" i="3"/>
  <c r="DH236" i="3"/>
  <c r="DG236" i="3"/>
  <c r="DF236" i="3"/>
  <c r="DE236" i="3"/>
  <c r="DD236" i="3"/>
  <c r="DC236" i="3"/>
  <c r="DB236" i="3"/>
  <c r="DA236" i="3"/>
  <c r="CZ236" i="3"/>
  <c r="CY236" i="3"/>
  <c r="CX236" i="3"/>
  <c r="CW236" i="3"/>
  <c r="CV236" i="3"/>
  <c r="CU236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C236" i="3"/>
  <c r="CB236" i="3"/>
  <c r="CA236" i="3"/>
  <c r="BZ236" i="3"/>
  <c r="BY236" i="3"/>
  <c r="BX236" i="3"/>
  <c r="BW236" i="3"/>
  <c r="BV236" i="3"/>
  <c r="BU236" i="3"/>
  <c r="BT236" i="3"/>
  <c r="BS236" i="3"/>
  <c r="BR236" i="3"/>
  <c r="BQ236" i="3"/>
  <c r="BP236" i="3"/>
  <c r="BO236" i="3"/>
  <c r="BN236" i="3"/>
  <c r="BM236" i="3"/>
  <c r="BL236" i="3"/>
  <c r="BK236" i="3"/>
  <c r="BJ236" i="3"/>
  <c r="BI236" i="3"/>
  <c r="BH236" i="3"/>
  <c r="BG236" i="3"/>
  <c r="BF236" i="3"/>
  <c r="BE236" i="3"/>
  <c r="BD236" i="3"/>
  <c r="BC236" i="3"/>
  <c r="BB236" i="3"/>
  <c r="BA236" i="3"/>
  <c r="AZ236" i="3"/>
  <c r="AY236" i="3"/>
  <c r="AI236" i="3"/>
  <c r="AH236" i="3"/>
  <c r="AT236" i="3" s="1"/>
  <c r="X236" i="3"/>
  <c r="W236" i="3"/>
  <c r="V236" i="3"/>
  <c r="U236" i="3"/>
  <c r="T236" i="3"/>
  <c r="R236" i="3"/>
  <c r="Q236" i="3"/>
  <c r="N236" i="3"/>
  <c r="M236" i="3"/>
  <c r="K236" i="3"/>
  <c r="J236" i="3"/>
  <c r="I236" i="3"/>
  <c r="D236" i="3"/>
  <c r="DW240" i="3"/>
  <c r="DV240" i="3"/>
  <c r="DU240" i="3"/>
  <c r="DT240" i="3"/>
  <c r="DS240" i="3"/>
  <c r="DR240" i="3"/>
  <c r="DQ240" i="3"/>
  <c r="DP240" i="3"/>
  <c r="DO240" i="3"/>
  <c r="DN240" i="3"/>
  <c r="DM240" i="3"/>
  <c r="DL240" i="3"/>
  <c r="DK240" i="3"/>
  <c r="DJ240" i="3"/>
  <c r="DI240" i="3"/>
  <c r="DH240" i="3"/>
  <c r="DG240" i="3"/>
  <c r="DF240" i="3"/>
  <c r="DE240" i="3"/>
  <c r="DD240" i="3"/>
  <c r="DC240" i="3"/>
  <c r="DB240" i="3"/>
  <c r="DA240" i="3"/>
  <c r="CZ240" i="3"/>
  <c r="CY240" i="3"/>
  <c r="CX240" i="3"/>
  <c r="CW240" i="3"/>
  <c r="CV240" i="3"/>
  <c r="CU240" i="3"/>
  <c r="CT240" i="3"/>
  <c r="CS240" i="3"/>
  <c r="CR240" i="3"/>
  <c r="CQ240" i="3"/>
  <c r="CP240" i="3"/>
  <c r="CO240" i="3"/>
  <c r="CN240" i="3"/>
  <c r="CM240" i="3"/>
  <c r="CL240" i="3"/>
  <c r="CK240" i="3"/>
  <c r="CJ240" i="3"/>
  <c r="CI240" i="3"/>
  <c r="CH240" i="3"/>
  <c r="CG240" i="3"/>
  <c r="CF240" i="3"/>
  <c r="CE240" i="3"/>
  <c r="CD240" i="3"/>
  <c r="CC240" i="3"/>
  <c r="CB240" i="3"/>
  <c r="CA240" i="3"/>
  <c r="BZ240" i="3"/>
  <c r="BY240" i="3"/>
  <c r="BX240" i="3"/>
  <c r="BW240" i="3"/>
  <c r="BV240" i="3"/>
  <c r="BU240" i="3"/>
  <c r="BT240" i="3"/>
  <c r="BS240" i="3"/>
  <c r="BR240" i="3"/>
  <c r="BQ240" i="3"/>
  <c r="BP240" i="3"/>
  <c r="BO240" i="3"/>
  <c r="BN240" i="3"/>
  <c r="BM240" i="3"/>
  <c r="BL240" i="3"/>
  <c r="BK240" i="3"/>
  <c r="BJ240" i="3"/>
  <c r="BI240" i="3"/>
  <c r="BH240" i="3"/>
  <c r="BG240" i="3"/>
  <c r="BF240" i="3"/>
  <c r="BE240" i="3"/>
  <c r="BD240" i="3"/>
  <c r="BC240" i="3"/>
  <c r="BB240" i="3"/>
  <c r="BA240" i="3"/>
  <c r="AZ240" i="3"/>
  <c r="AX240" i="3"/>
  <c r="AV240" i="3"/>
  <c r="AU240" i="3"/>
  <c r="AO240" i="3"/>
  <c r="AK240" i="3"/>
  <c r="AD240" i="3"/>
  <c r="AC240" i="3"/>
  <c r="Z240" i="3"/>
  <c r="Y240" i="3"/>
  <c r="X240" i="3"/>
  <c r="V240" i="3"/>
  <c r="U240" i="3"/>
  <c r="T240" i="3"/>
  <c r="R240" i="3"/>
  <c r="Q240" i="3"/>
  <c r="N240" i="3"/>
  <c r="M240" i="3"/>
  <c r="K240" i="3"/>
  <c r="J240" i="3"/>
  <c r="I240" i="3"/>
  <c r="D240" i="3"/>
  <c r="DW235" i="3"/>
  <c r="DV235" i="3"/>
  <c r="DU235" i="3"/>
  <c r="DT235" i="3"/>
  <c r="DS235" i="3"/>
  <c r="DR235" i="3"/>
  <c r="DQ235" i="3"/>
  <c r="DP235" i="3"/>
  <c r="DO235" i="3"/>
  <c r="DN235" i="3"/>
  <c r="DM235" i="3"/>
  <c r="DL235" i="3"/>
  <c r="DK235" i="3"/>
  <c r="DJ235" i="3"/>
  <c r="DI235" i="3"/>
  <c r="DH235" i="3"/>
  <c r="DG235" i="3"/>
  <c r="DF235" i="3"/>
  <c r="DE235" i="3"/>
  <c r="DD235" i="3"/>
  <c r="DC235" i="3"/>
  <c r="DB235" i="3"/>
  <c r="DA235" i="3"/>
  <c r="CZ235" i="3"/>
  <c r="CY235" i="3"/>
  <c r="CX235" i="3"/>
  <c r="CW235" i="3"/>
  <c r="CV235" i="3"/>
  <c r="CU235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C235" i="3"/>
  <c r="CB235" i="3"/>
  <c r="CA235" i="3"/>
  <c r="BZ235" i="3"/>
  <c r="BY235" i="3"/>
  <c r="BX235" i="3"/>
  <c r="BW235" i="3"/>
  <c r="BV235" i="3"/>
  <c r="BU235" i="3"/>
  <c r="BT235" i="3"/>
  <c r="BS235" i="3"/>
  <c r="BR235" i="3"/>
  <c r="BQ235" i="3"/>
  <c r="BP235" i="3"/>
  <c r="BO235" i="3"/>
  <c r="BN235" i="3"/>
  <c r="BM235" i="3"/>
  <c r="BL235" i="3"/>
  <c r="BK235" i="3"/>
  <c r="BJ235" i="3"/>
  <c r="BI235" i="3"/>
  <c r="BH235" i="3"/>
  <c r="BG235" i="3"/>
  <c r="BF235" i="3"/>
  <c r="BE235" i="3"/>
  <c r="BD235" i="3"/>
  <c r="BC235" i="3"/>
  <c r="BB235" i="3"/>
  <c r="BA235" i="3"/>
  <c r="AZ235" i="3"/>
  <c r="AG235" i="3"/>
  <c r="AD235" i="3"/>
  <c r="AC235" i="3"/>
  <c r="Z235" i="3"/>
  <c r="Y235" i="3"/>
  <c r="X235" i="3"/>
  <c r="W235" i="3"/>
  <c r="U235" i="3"/>
  <c r="T235" i="3"/>
  <c r="R235" i="3"/>
  <c r="Q235" i="3"/>
  <c r="N235" i="3"/>
  <c r="M235" i="3"/>
  <c r="K235" i="3"/>
  <c r="J235" i="3"/>
  <c r="I235" i="3"/>
  <c r="D235" i="3"/>
  <c r="DW244" i="3"/>
  <c r="DV244" i="3"/>
  <c r="DU244" i="3"/>
  <c r="DT244" i="3"/>
  <c r="DS244" i="3"/>
  <c r="DR244" i="3"/>
  <c r="DQ244" i="3"/>
  <c r="DP244" i="3"/>
  <c r="DO244" i="3"/>
  <c r="DN244" i="3"/>
  <c r="DM244" i="3"/>
  <c r="DL244" i="3"/>
  <c r="DK244" i="3"/>
  <c r="DJ244" i="3"/>
  <c r="DI244" i="3"/>
  <c r="DH244" i="3"/>
  <c r="DG244" i="3"/>
  <c r="DF244" i="3"/>
  <c r="DE244" i="3"/>
  <c r="DD244" i="3"/>
  <c r="DC244" i="3"/>
  <c r="DB244" i="3"/>
  <c r="DA244" i="3"/>
  <c r="CZ244" i="3"/>
  <c r="CY244" i="3"/>
  <c r="CX244" i="3"/>
  <c r="CW244" i="3"/>
  <c r="CV244" i="3"/>
  <c r="CU244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CA244" i="3"/>
  <c r="BZ244" i="3"/>
  <c r="BY244" i="3"/>
  <c r="BX244" i="3"/>
  <c r="BW244" i="3"/>
  <c r="BV244" i="3"/>
  <c r="BU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C244" i="3"/>
  <c r="BB244" i="3"/>
  <c r="BA244" i="3"/>
  <c r="AZ244" i="3"/>
  <c r="AD244" i="3"/>
  <c r="AC244" i="3"/>
  <c r="Z244" i="3"/>
  <c r="Y244" i="3"/>
  <c r="X244" i="3"/>
  <c r="W244" i="3"/>
  <c r="U244" i="3"/>
  <c r="AY244" i="3" s="1"/>
  <c r="T244" i="3"/>
  <c r="R244" i="3"/>
  <c r="Q244" i="3"/>
  <c r="M244" i="3"/>
  <c r="K244" i="3"/>
  <c r="J244" i="3"/>
  <c r="I244" i="3"/>
  <c r="D244" i="3"/>
  <c r="DW238" i="3"/>
  <c r="DV238" i="3"/>
  <c r="DU238" i="3"/>
  <c r="DT238" i="3"/>
  <c r="DS238" i="3"/>
  <c r="DR238" i="3"/>
  <c r="DQ238" i="3"/>
  <c r="DP238" i="3"/>
  <c r="DO238" i="3"/>
  <c r="DN238" i="3"/>
  <c r="DM238" i="3"/>
  <c r="DL238" i="3"/>
  <c r="DK238" i="3"/>
  <c r="DJ238" i="3"/>
  <c r="DI238" i="3"/>
  <c r="DH238" i="3"/>
  <c r="DG238" i="3"/>
  <c r="DF238" i="3"/>
  <c r="DE238" i="3"/>
  <c r="DD238" i="3"/>
  <c r="DC238" i="3"/>
  <c r="DB238" i="3"/>
  <c r="DA238" i="3"/>
  <c r="CZ238" i="3"/>
  <c r="CY238" i="3"/>
  <c r="CX238" i="3"/>
  <c r="CW238" i="3"/>
  <c r="CV238" i="3"/>
  <c r="CU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C238" i="3"/>
  <c r="CB238" i="3"/>
  <c r="CA238" i="3"/>
  <c r="BZ238" i="3"/>
  <c r="BY238" i="3"/>
  <c r="BX238" i="3"/>
  <c r="BW238" i="3"/>
  <c r="BV238" i="3"/>
  <c r="BU238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C238" i="3"/>
  <c r="BB238" i="3"/>
  <c r="BA238" i="3"/>
  <c r="AZ238" i="3"/>
  <c r="Z238" i="3"/>
  <c r="Y238" i="3"/>
  <c r="X238" i="3"/>
  <c r="W238" i="3"/>
  <c r="V238" i="3"/>
  <c r="U238" i="3"/>
  <c r="AY238" i="3" s="1"/>
  <c r="T238" i="3"/>
  <c r="R238" i="3"/>
  <c r="Q238" i="3"/>
  <c r="M238" i="3"/>
  <c r="K238" i="3"/>
  <c r="J238" i="3"/>
  <c r="I238" i="3"/>
  <c r="D238" i="3"/>
  <c r="DW239" i="3"/>
  <c r="DV239" i="3"/>
  <c r="DU239" i="3"/>
  <c r="DT239" i="3"/>
  <c r="DS239" i="3"/>
  <c r="DR239" i="3"/>
  <c r="DQ239" i="3"/>
  <c r="DP239" i="3"/>
  <c r="DO239" i="3"/>
  <c r="DN239" i="3"/>
  <c r="DM239" i="3"/>
  <c r="DL239" i="3"/>
  <c r="DK239" i="3"/>
  <c r="DJ239" i="3"/>
  <c r="DI239" i="3"/>
  <c r="DH239" i="3"/>
  <c r="DG239" i="3"/>
  <c r="DF239" i="3"/>
  <c r="DE239" i="3"/>
  <c r="DD239" i="3"/>
  <c r="DC239" i="3"/>
  <c r="DB239" i="3"/>
  <c r="DA239" i="3"/>
  <c r="CZ239" i="3"/>
  <c r="CY239" i="3"/>
  <c r="CX239" i="3"/>
  <c r="CW239" i="3"/>
  <c r="CV239" i="3"/>
  <c r="CU239" i="3"/>
  <c r="CT239" i="3"/>
  <c r="CS239" i="3"/>
  <c r="CR239" i="3"/>
  <c r="CQ239" i="3"/>
  <c r="CP239" i="3"/>
  <c r="CO239" i="3"/>
  <c r="CN239" i="3"/>
  <c r="CM239" i="3"/>
  <c r="CL239" i="3"/>
  <c r="CK239" i="3"/>
  <c r="CJ239" i="3"/>
  <c r="CI239" i="3"/>
  <c r="CH239" i="3"/>
  <c r="CG239" i="3"/>
  <c r="CF239" i="3"/>
  <c r="CE239" i="3"/>
  <c r="CD239" i="3"/>
  <c r="CC239" i="3"/>
  <c r="CB239" i="3"/>
  <c r="CA239" i="3"/>
  <c r="BZ239" i="3"/>
  <c r="BY239" i="3"/>
  <c r="BX239" i="3"/>
  <c r="BW239" i="3"/>
  <c r="BV239" i="3"/>
  <c r="BU239" i="3"/>
  <c r="BT239" i="3"/>
  <c r="BS239" i="3"/>
  <c r="BR239" i="3"/>
  <c r="BQ239" i="3"/>
  <c r="BP239" i="3"/>
  <c r="BO239" i="3"/>
  <c r="BN239" i="3"/>
  <c r="BM239" i="3"/>
  <c r="BL239" i="3"/>
  <c r="BK239" i="3"/>
  <c r="BJ239" i="3"/>
  <c r="BI239" i="3"/>
  <c r="BH239" i="3"/>
  <c r="BG239" i="3"/>
  <c r="BF239" i="3"/>
  <c r="BE239" i="3"/>
  <c r="BD239" i="3"/>
  <c r="BC239" i="3"/>
  <c r="BB239" i="3"/>
  <c r="BA239" i="3"/>
  <c r="AZ239" i="3"/>
  <c r="AC239" i="3"/>
  <c r="Y239" i="3"/>
  <c r="W239" i="3"/>
  <c r="V239" i="3"/>
  <c r="U239" i="3"/>
  <c r="AY239" i="3" s="1"/>
  <c r="T239" i="3"/>
  <c r="R239" i="3"/>
  <c r="Q239" i="3"/>
  <c r="N239" i="3"/>
  <c r="M239" i="3"/>
  <c r="K239" i="3"/>
  <c r="J239" i="3"/>
  <c r="I239" i="3"/>
  <c r="D239" i="3"/>
  <c r="DW234" i="3"/>
  <c r="DV234" i="3"/>
  <c r="DU234" i="3"/>
  <c r="DT234" i="3"/>
  <c r="DS234" i="3"/>
  <c r="DR234" i="3"/>
  <c r="DQ234" i="3"/>
  <c r="DP234" i="3"/>
  <c r="DO234" i="3"/>
  <c r="DN234" i="3"/>
  <c r="DM234" i="3"/>
  <c r="DL234" i="3"/>
  <c r="DK234" i="3"/>
  <c r="DJ234" i="3"/>
  <c r="DI234" i="3"/>
  <c r="DH234" i="3"/>
  <c r="DG234" i="3"/>
  <c r="DF234" i="3"/>
  <c r="DE234" i="3"/>
  <c r="DD234" i="3"/>
  <c r="DC234" i="3"/>
  <c r="DB234" i="3"/>
  <c r="DA234" i="3"/>
  <c r="CZ234" i="3"/>
  <c r="CY234" i="3"/>
  <c r="CX234" i="3"/>
  <c r="CW234" i="3"/>
  <c r="CV234" i="3"/>
  <c r="CU234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C234" i="3"/>
  <c r="CB234" i="3"/>
  <c r="CA234" i="3"/>
  <c r="BZ234" i="3"/>
  <c r="BY234" i="3"/>
  <c r="BX234" i="3"/>
  <c r="BW234" i="3"/>
  <c r="BV234" i="3"/>
  <c r="BU234" i="3"/>
  <c r="BT234" i="3"/>
  <c r="BS234" i="3"/>
  <c r="BR234" i="3"/>
  <c r="BQ234" i="3"/>
  <c r="BP234" i="3"/>
  <c r="BO234" i="3"/>
  <c r="BN234" i="3"/>
  <c r="BM234" i="3"/>
  <c r="BL234" i="3"/>
  <c r="BK234" i="3"/>
  <c r="BJ234" i="3"/>
  <c r="BI234" i="3"/>
  <c r="BH234" i="3"/>
  <c r="BG234" i="3"/>
  <c r="BF234" i="3"/>
  <c r="BE234" i="3"/>
  <c r="BD234" i="3"/>
  <c r="BC234" i="3"/>
  <c r="BB234" i="3"/>
  <c r="BA234" i="3"/>
  <c r="AZ234" i="3"/>
  <c r="AJ234" i="3"/>
  <c r="AI234" i="3"/>
  <c r="AH234" i="3"/>
  <c r="AT234" i="3" s="1"/>
  <c r="AD234" i="3"/>
  <c r="AC234" i="3"/>
  <c r="Z234" i="3"/>
  <c r="U234" i="3"/>
  <c r="AY234" i="3" s="1"/>
  <c r="T234" i="3"/>
  <c r="R234" i="3"/>
  <c r="Q234" i="3"/>
  <c r="M234" i="3"/>
  <c r="K234" i="3"/>
  <c r="J234" i="3"/>
  <c r="I234" i="3"/>
  <c r="D234" i="3"/>
  <c r="DW233" i="3"/>
  <c r="DV233" i="3"/>
  <c r="DU233" i="3"/>
  <c r="DT233" i="3"/>
  <c r="DS233" i="3"/>
  <c r="DR233" i="3"/>
  <c r="DQ233" i="3"/>
  <c r="DP233" i="3"/>
  <c r="DO233" i="3"/>
  <c r="DN233" i="3"/>
  <c r="DM233" i="3"/>
  <c r="DL233" i="3"/>
  <c r="DK233" i="3"/>
  <c r="DJ233" i="3"/>
  <c r="DI233" i="3"/>
  <c r="DH233" i="3"/>
  <c r="DG233" i="3"/>
  <c r="DF233" i="3"/>
  <c r="DE233" i="3"/>
  <c r="DD233" i="3"/>
  <c r="DC233" i="3"/>
  <c r="DB233" i="3"/>
  <c r="DA233" i="3"/>
  <c r="CZ233" i="3"/>
  <c r="CY233" i="3"/>
  <c r="CX233" i="3"/>
  <c r="CW233" i="3"/>
  <c r="CV233" i="3"/>
  <c r="CU233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C233" i="3"/>
  <c r="CB233" i="3"/>
  <c r="CA233" i="3"/>
  <c r="BZ233" i="3"/>
  <c r="BY233" i="3"/>
  <c r="BX233" i="3"/>
  <c r="BW233" i="3"/>
  <c r="BV233" i="3"/>
  <c r="BU233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C233" i="3"/>
  <c r="BB233" i="3"/>
  <c r="BA233" i="3"/>
  <c r="AZ233" i="3"/>
  <c r="AI233" i="3"/>
  <c r="AH233" i="3"/>
  <c r="AT233" i="3" s="1"/>
  <c r="AD233" i="3"/>
  <c r="AC233" i="3"/>
  <c r="Z233" i="3"/>
  <c r="Y233" i="3"/>
  <c r="X233" i="3"/>
  <c r="U233" i="3"/>
  <c r="AY233" i="3" s="1"/>
  <c r="T233" i="3"/>
  <c r="R233" i="3"/>
  <c r="Q233" i="3"/>
  <c r="N233" i="3"/>
  <c r="M233" i="3"/>
  <c r="K233" i="3"/>
  <c r="J233" i="3"/>
  <c r="I233" i="3"/>
  <c r="D233" i="3"/>
  <c r="DW232" i="3"/>
  <c r="DV232" i="3"/>
  <c r="DU232" i="3"/>
  <c r="DT232" i="3"/>
  <c r="DS232" i="3"/>
  <c r="DR232" i="3"/>
  <c r="DQ232" i="3"/>
  <c r="DP232" i="3"/>
  <c r="DO232" i="3"/>
  <c r="DN232" i="3"/>
  <c r="DM232" i="3"/>
  <c r="DL232" i="3"/>
  <c r="DK232" i="3"/>
  <c r="DJ232" i="3"/>
  <c r="DI232" i="3"/>
  <c r="DH232" i="3"/>
  <c r="DG232" i="3"/>
  <c r="DF232" i="3"/>
  <c r="DE232" i="3"/>
  <c r="DD232" i="3"/>
  <c r="DC232" i="3"/>
  <c r="DB232" i="3"/>
  <c r="DA232" i="3"/>
  <c r="CZ232" i="3"/>
  <c r="CY232" i="3"/>
  <c r="CX232" i="3"/>
  <c r="CW232" i="3"/>
  <c r="CV232" i="3"/>
  <c r="CU232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C232" i="3"/>
  <c r="CB232" i="3"/>
  <c r="CA232" i="3"/>
  <c r="BZ232" i="3"/>
  <c r="BY232" i="3"/>
  <c r="BX232" i="3"/>
  <c r="BW232" i="3"/>
  <c r="BV232" i="3"/>
  <c r="BU232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C232" i="3"/>
  <c r="BB232" i="3"/>
  <c r="BA232" i="3"/>
  <c r="AZ232" i="3"/>
  <c r="AX232" i="3"/>
  <c r="AR232" i="3"/>
  <c r="AP232" i="3"/>
  <c r="AF232" i="3"/>
  <c r="AE232" i="3"/>
  <c r="AD232" i="3"/>
  <c r="AC232" i="3"/>
  <c r="Z232" i="3"/>
  <c r="Y232" i="3"/>
  <c r="X232" i="3"/>
  <c r="U232" i="3"/>
  <c r="AY232" i="3" s="1"/>
  <c r="T232" i="3"/>
  <c r="R232" i="3"/>
  <c r="Q232" i="3"/>
  <c r="M232" i="3"/>
  <c r="K232" i="3"/>
  <c r="J232" i="3"/>
  <c r="I232" i="3"/>
  <c r="D232" i="3"/>
  <c r="DW231" i="3"/>
  <c r="DV231" i="3"/>
  <c r="DU231" i="3"/>
  <c r="DT231" i="3"/>
  <c r="DS231" i="3"/>
  <c r="DR231" i="3"/>
  <c r="DQ231" i="3"/>
  <c r="DP231" i="3"/>
  <c r="DO231" i="3"/>
  <c r="DN231" i="3"/>
  <c r="DM231" i="3"/>
  <c r="DL231" i="3"/>
  <c r="DK231" i="3"/>
  <c r="DJ231" i="3"/>
  <c r="DI231" i="3"/>
  <c r="DH231" i="3"/>
  <c r="DG231" i="3"/>
  <c r="DF231" i="3"/>
  <c r="DE231" i="3"/>
  <c r="DD231" i="3"/>
  <c r="DC231" i="3"/>
  <c r="DB231" i="3"/>
  <c r="DA231" i="3"/>
  <c r="CZ231" i="3"/>
  <c r="CY231" i="3"/>
  <c r="CX231" i="3"/>
  <c r="CW231" i="3"/>
  <c r="CV231" i="3"/>
  <c r="CU231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C231" i="3"/>
  <c r="CB231" i="3"/>
  <c r="CA231" i="3"/>
  <c r="BZ231" i="3"/>
  <c r="BY231" i="3"/>
  <c r="BX231" i="3"/>
  <c r="BW231" i="3"/>
  <c r="BV231" i="3"/>
  <c r="BU231" i="3"/>
  <c r="BT231" i="3"/>
  <c r="BS231" i="3"/>
  <c r="BR231" i="3"/>
  <c r="BQ231" i="3"/>
  <c r="BP231" i="3"/>
  <c r="BO231" i="3"/>
  <c r="BN231" i="3"/>
  <c r="BM231" i="3"/>
  <c r="BL231" i="3"/>
  <c r="BK231" i="3"/>
  <c r="BJ231" i="3"/>
  <c r="BI231" i="3"/>
  <c r="BH231" i="3"/>
  <c r="BG231" i="3"/>
  <c r="BF231" i="3"/>
  <c r="BE231" i="3"/>
  <c r="BD231" i="3"/>
  <c r="BC231" i="3"/>
  <c r="BB231" i="3"/>
  <c r="BA231" i="3"/>
  <c r="AZ231" i="3"/>
  <c r="AX231" i="3"/>
  <c r="AH231" i="3"/>
  <c r="AT231" i="3" s="1"/>
  <c r="AE231" i="3"/>
  <c r="AD231" i="3"/>
  <c r="AC231" i="3"/>
  <c r="Z231" i="3"/>
  <c r="Y231" i="3"/>
  <c r="X231" i="3"/>
  <c r="U231" i="3"/>
  <c r="AY231" i="3" s="1"/>
  <c r="T231" i="3"/>
  <c r="R231" i="3"/>
  <c r="Q231" i="3"/>
  <c r="M231" i="3"/>
  <c r="K231" i="3"/>
  <c r="J231" i="3"/>
  <c r="I231" i="3"/>
  <c r="D231" i="3"/>
  <c r="DW229" i="3"/>
  <c r="DV229" i="3"/>
  <c r="DU229" i="3"/>
  <c r="DT229" i="3"/>
  <c r="DS229" i="3"/>
  <c r="DR229" i="3"/>
  <c r="DQ229" i="3"/>
  <c r="DP229" i="3"/>
  <c r="DO229" i="3"/>
  <c r="DN229" i="3"/>
  <c r="DM229" i="3"/>
  <c r="DL229" i="3"/>
  <c r="DK229" i="3"/>
  <c r="DJ229" i="3"/>
  <c r="DI229" i="3"/>
  <c r="DH229" i="3"/>
  <c r="DG229" i="3"/>
  <c r="DF229" i="3"/>
  <c r="DE229" i="3"/>
  <c r="DD229" i="3"/>
  <c r="DC229" i="3"/>
  <c r="DB229" i="3"/>
  <c r="DA229" i="3"/>
  <c r="CZ229" i="3"/>
  <c r="CY229" i="3"/>
  <c r="CX229" i="3"/>
  <c r="CW229" i="3"/>
  <c r="CV229" i="3"/>
  <c r="CU229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C229" i="3"/>
  <c r="CB229" i="3"/>
  <c r="CA229" i="3"/>
  <c r="BZ229" i="3"/>
  <c r="BY229" i="3"/>
  <c r="BX229" i="3"/>
  <c r="BW229" i="3"/>
  <c r="BV229" i="3"/>
  <c r="BU229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C229" i="3"/>
  <c r="BB229" i="3"/>
  <c r="BA229" i="3"/>
  <c r="AZ229" i="3"/>
  <c r="AW229" i="3"/>
  <c r="AV229" i="3"/>
  <c r="AT229" i="3"/>
  <c r="AO229" i="3"/>
  <c r="AN229" i="3"/>
  <c r="AK229" i="3"/>
  <c r="AJ229" i="3"/>
  <c r="AI229" i="3"/>
  <c r="AD229" i="3"/>
  <c r="Y229" i="3"/>
  <c r="X229" i="3"/>
  <c r="W229" i="3"/>
  <c r="V229" i="3"/>
  <c r="U229" i="3"/>
  <c r="T229" i="3"/>
  <c r="R229" i="3"/>
  <c r="Q229" i="3"/>
  <c r="M229" i="3"/>
  <c r="K229" i="3"/>
  <c r="J229" i="3"/>
  <c r="I229" i="3"/>
  <c r="D229" i="3"/>
  <c r="DW223" i="3"/>
  <c r="DV223" i="3"/>
  <c r="DU223" i="3"/>
  <c r="DT223" i="3"/>
  <c r="DS223" i="3"/>
  <c r="DR223" i="3"/>
  <c r="DQ223" i="3"/>
  <c r="DP223" i="3"/>
  <c r="DO223" i="3"/>
  <c r="DN223" i="3"/>
  <c r="DM223" i="3"/>
  <c r="DL223" i="3"/>
  <c r="DK223" i="3"/>
  <c r="DJ223" i="3"/>
  <c r="DI223" i="3"/>
  <c r="DH223" i="3"/>
  <c r="DG223" i="3"/>
  <c r="DF223" i="3"/>
  <c r="DE223" i="3"/>
  <c r="DD223" i="3"/>
  <c r="DC223" i="3"/>
  <c r="DB223" i="3"/>
  <c r="DA223" i="3"/>
  <c r="CZ223" i="3"/>
  <c r="CY223" i="3"/>
  <c r="CX223" i="3"/>
  <c r="CW223" i="3"/>
  <c r="CV223" i="3"/>
  <c r="CU223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C223" i="3"/>
  <c r="CB223" i="3"/>
  <c r="CA223" i="3"/>
  <c r="BZ223" i="3"/>
  <c r="BY223" i="3"/>
  <c r="BX223" i="3"/>
  <c r="BW223" i="3"/>
  <c r="BV223" i="3"/>
  <c r="BU223" i="3"/>
  <c r="BT223" i="3"/>
  <c r="BS223" i="3"/>
  <c r="BR223" i="3"/>
  <c r="BQ223" i="3"/>
  <c r="BP223" i="3"/>
  <c r="BO223" i="3"/>
  <c r="BN223" i="3"/>
  <c r="BM223" i="3"/>
  <c r="BL223" i="3"/>
  <c r="BK223" i="3"/>
  <c r="BJ223" i="3"/>
  <c r="BI223" i="3"/>
  <c r="BH223" i="3"/>
  <c r="BG223" i="3"/>
  <c r="BF223" i="3"/>
  <c r="BE223" i="3"/>
  <c r="BD223" i="3"/>
  <c r="BC223" i="3"/>
  <c r="BB223" i="3"/>
  <c r="BA223" i="3"/>
  <c r="AZ223" i="3"/>
  <c r="AW223" i="3"/>
  <c r="AN223" i="3"/>
  <c r="AD223" i="3"/>
  <c r="AC223" i="3"/>
  <c r="Z223" i="3"/>
  <c r="X223" i="3"/>
  <c r="W223" i="3"/>
  <c r="V223" i="3"/>
  <c r="U223" i="3"/>
  <c r="AY223" i="3" s="1"/>
  <c r="T223" i="3"/>
  <c r="R223" i="3"/>
  <c r="Q223" i="3"/>
  <c r="N223" i="3"/>
  <c r="M223" i="3"/>
  <c r="K223" i="3"/>
  <c r="J223" i="3"/>
  <c r="I223" i="3"/>
  <c r="D223" i="3"/>
  <c r="DW230" i="3"/>
  <c r="DV230" i="3"/>
  <c r="DU230" i="3"/>
  <c r="DT230" i="3"/>
  <c r="DS230" i="3"/>
  <c r="DR230" i="3"/>
  <c r="DQ230" i="3"/>
  <c r="DP230" i="3"/>
  <c r="DO230" i="3"/>
  <c r="DN230" i="3"/>
  <c r="DM230" i="3"/>
  <c r="DL230" i="3"/>
  <c r="DK230" i="3"/>
  <c r="DJ230" i="3"/>
  <c r="DI230" i="3"/>
  <c r="DH230" i="3"/>
  <c r="DG230" i="3"/>
  <c r="DF230" i="3"/>
  <c r="DE230" i="3"/>
  <c r="DD230" i="3"/>
  <c r="DC230" i="3"/>
  <c r="DB230" i="3"/>
  <c r="DA230" i="3"/>
  <c r="CZ230" i="3"/>
  <c r="CY230" i="3"/>
  <c r="CX230" i="3"/>
  <c r="CW230" i="3"/>
  <c r="CV230" i="3"/>
  <c r="CU230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C230" i="3"/>
  <c r="CB230" i="3"/>
  <c r="CA230" i="3"/>
  <c r="BZ230" i="3"/>
  <c r="BY230" i="3"/>
  <c r="BX230" i="3"/>
  <c r="BW230" i="3"/>
  <c r="BV230" i="3"/>
  <c r="BU230" i="3"/>
  <c r="BT230" i="3"/>
  <c r="BS230" i="3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C230" i="3"/>
  <c r="BB230" i="3"/>
  <c r="BA230" i="3"/>
  <c r="AZ230" i="3"/>
  <c r="AV230" i="3"/>
  <c r="AK230" i="3"/>
  <c r="Z230" i="3"/>
  <c r="Y230" i="3"/>
  <c r="X230" i="3"/>
  <c r="W230" i="3"/>
  <c r="V230" i="3"/>
  <c r="U230" i="3"/>
  <c r="AY230" i="3" s="1"/>
  <c r="T230" i="3"/>
  <c r="R230" i="3"/>
  <c r="Q230" i="3"/>
  <c r="N230" i="3"/>
  <c r="M230" i="3"/>
  <c r="K230" i="3"/>
  <c r="J230" i="3"/>
  <c r="I230" i="3"/>
  <c r="D230" i="3"/>
  <c r="DW227" i="3"/>
  <c r="DV227" i="3"/>
  <c r="DU227" i="3"/>
  <c r="DT227" i="3"/>
  <c r="DS227" i="3"/>
  <c r="DR227" i="3"/>
  <c r="DQ227" i="3"/>
  <c r="DP227" i="3"/>
  <c r="DN227" i="3"/>
  <c r="DM227" i="3"/>
  <c r="DL227" i="3"/>
  <c r="DK227" i="3"/>
  <c r="DJ227" i="3"/>
  <c r="DI227" i="3"/>
  <c r="DH227" i="3"/>
  <c r="DG227" i="3"/>
  <c r="DF227" i="3"/>
  <c r="DE227" i="3"/>
  <c r="DD227" i="3"/>
  <c r="DC227" i="3"/>
  <c r="DB227" i="3"/>
  <c r="DA227" i="3"/>
  <c r="CY227" i="3"/>
  <c r="CX227" i="3"/>
  <c r="CW227" i="3"/>
  <c r="CV227" i="3"/>
  <c r="CU227" i="3"/>
  <c r="CT227" i="3"/>
  <c r="CS227" i="3"/>
  <c r="CR227" i="3"/>
  <c r="CQ227" i="3"/>
  <c r="CP227" i="3"/>
  <c r="CO227" i="3"/>
  <c r="CN227" i="3"/>
  <c r="CM227" i="3"/>
  <c r="CL227" i="3"/>
  <c r="CJ227" i="3"/>
  <c r="CI227" i="3"/>
  <c r="CH227" i="3"/>
  <c r="CG227" i="3"/>
  <c r="CF227" i="3"/>
  <c r="CE227" i="3"/>
  <c r="CD227" i="3"/>
  <c r="CC227" i="3"/>
  <c r="CB227" i="3"/>
  <c r="CA227" i="3"/>
  <c r="BZ227" i="3"/>
  <c r="BY227" i="3"/>
  <c r="BX227" i="3"/>
  <c r="BW227" i="3"/>
  <c r="BU227" i="3"/>
  <c r="BT227" i="3"/>
  <c r="BS227" i="3"/>
  <c r="BR227" i="3"/>
  <c r="BQ227" i="3"/>
  <c r="BP227" i="3"/>
  <c r="BO227" i="3"/>
  <c r="BN227" i="3"/>
  <c r="BM227" i="3"/>
  <c r="BL227" i="3"/>
  <c r="BK227" i="3"/>
  <c r="BJ227" i="3"/>
  <c r="BI227" i="3"/>
  <c r="BH227" i="3"/>
  <c r="BF227" i="3"/>
  <c r="BE227" i="3"/>
  <c r="BD227" i="3"/>
  <c r="BC227" i="3"/>
  <c r="BB227" i="3"/>
  <c r="BA227" i="3"/>
  <c r="AZ227" i="3"/>
  <c r="U227" i="3"/>
  <c r="T227" i="3"/>
  <c r="R227" i="3"/>
  <c r="Q227" i="3"/>
  <c r="M227" i="3"/>
  <c r="K227" i="3"/>
  <c r="J227" i="3"/>
  <c r="I227" i="3"/>
  <c r="D227" i="3"/>
  <c r="DW228" i="3"/>
  <c r="DV228" i="3"/>
  <c r="DU228" i="3"/>
  <c r="DT228" i="3"/>
  <c r="DS228" i="3"/>
  <c r="DR228" i="3"/>
  <c r="DQ228" i="3"/>
  <c r="DP228" i="3"/>
  <c r="DO228" i="3"/>
  <c r="DN228" i="3"/>
  <c r="DM228" i="3"/>
  <c r="DL228" i="3"/>
  <c r="DK228" i="3"/>
  <c r="DJ228" i="3"/>
  <c r="DI228" i="3"/>
  <c r="DH228" i="3"/>
  <c r="DG228" i="3"/>
  <c r="DF228" i="3"/>
  <c r="DE228" i="3"/>
  <c r="DD228" i="3"/>
  <c r="DC228" i="3"/>
  <c r="DB228" i="3"/>
  <c r="DA228" i="3"/>
  <c r="CZ228" i="3"/>
  <c r="CY228" i="3"/>
  <c r="CX228" i="3"/>
  <c r="CW228" i="3"/>
  <c r="CV228" i="3"/>
  <c r="CU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C228" i="3"/>
  <c r="CB228" i="3"/>
  <c r="CA228" i="3"/>
  <c r="BZ228" i="3"/>
  <c r="BY228" i="3"/>
  <c r="BX228" i="3"/>
  <c r="BW228" i="3"/>
  <c r="BV228" i="3"/>
  <c r="BU228" i="3"/>
  <c r="BT228" i="3"/>
  <c r="BS228" i="3"/>
  <c r="BR228" i="3"/>
  <c r="BQ228" i="3"/>
  <c r="BP228" i="3"/>
  <c r="BO228" i="3"/>
  <c r="BN228" i="3"/>
  <c r="BM228" i="3"/>
  <c r="BL228" i="3"/>
  <c r="BK228" i="3"/>
  <c r="BJ228" i="3"/>
  <c r="BI228" i="3"/>
  <c r="BH228" i="3"/>
  <c r="BG228" i="3"/>
  <c r="BF228" i="3"/>
  <c r="BE228" i="3"/>
  <c r="BD228" i="3"/>
  <c r="BC228" i="3"/>
  <c r="BB228" i="3"/>
  <c r="BA228" i="3"/>
  <c r="AZ228" i="3"/>
  <c r="AR228" i="3"/>
  <c r="AI228" i="3"/>
  <c r="AH228" i="3"/>
  <c r="AT228" i="3" s="1"/>
  <c r="AF228" i="3"/>
  <c r="AE228" i="3"/>
  <c r="AD228" i="3"/>
  <c r="AC228" i="3"/>
  <c r="U228" i="3"/>
  <c r="AY228" i="3" s="1"/>
  <c r="T228" i="3"/>
  <c r="R228" i="3"/>
  <c r="Q228" i="3"/>
  <c r="N228" i="3"/>
  <c r="M228" i="3"/>
  <c r="K228" i="3"/>
  <c r="J228" i="3"/>
  <c r="I228" i="3"/>
  <c r="D228" i="3"/>
  <c r="DW222" i="3"/>
  <c r="DV222" i="3"/>
  <c r="DU222" i="3"/>
  <c r="DT222" i="3"/>
  <c r="DS222" i="3"/>
  <c r="DR222" i="3"/>
  <c r="DQ222" i="3"/>
  <c r="DP222" i="3"/>
  <c r="DO222" i="3"/>
  <c r="DN222" i="3"/>
  <c r="DM222" i="3"/>
  <c r="DL222" i="3"/>
  <c r="DK222" i="3"/>
  <c r="DJ222" i="3"/>
  <c r="DI222" i="3"/>
  <c r="DH222" i="3"/>
  <c r="DG222" i="3"/>
  <c r="DF222" i="3"/>
  <c r="DE222" i="3"/>
  <c r="DD222" i="3"/>
  <c r="DC222" i="3"/>
  <c r="DB222" i="3"/>
  <c r="DA222" i="3"/>
  <c r="CZ222" i="3"/>
  <c r="CY222" i="3"/>
  <c r="CX222" i="3"/>
  <c r="CW222" i="3"/>
  <c r="CV222" i="3"/>
  <c r="CU222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C222" i="3"/>
  <c r="CB222" i="3"/>
  <c r="CA222" i="3"/>
  <c r="BZ222" i="3"/>
  <c r="BY222" i="3"/>
  <c r="BX222" i="3"/>
  <c r="BW222" i="3"/>
  <c r="BV222" i="3"/>
  <c r="BU222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C222" i="3"/>
  <c r="BB222" i="3"/>
  <c r="BA222" i="3"/>
  <c r="AZ222" i="3"/>
  <c r="AW222" i="3"/>
  <c r="AT222" i="3"/>
  <c r="AS222" i="3"/>
  <c r="AK222" i="3"/>
  <c r="AJ222" i="3"/>
  <c r="AI222" i="3"/>
  <c r="AH222" i="3"/>
  <c r="AG222" i="3"/>
  <c r="AD222" i="3"/>
  <c r="W222" i="3"/>
  <c r="U222" i="3"/>
  <c r="T222" i="3"/>
  <c r="R222" i="3"/>
  <c r="Q222" i="3"/>
  <c r="M222" i="3"/>
  <c r="K222" i="3"/>
  <c r="J222" i="3"/>
  <c r="I222" i="3"/>
  <c r="D222" i="3"/>
  <c r="DW226" i="3"/>
  <c r="DV226" i="3"/>
  <c r="DU226" i="3"/>
  <c r="DT226" i="3"/>
  <c r="DS226" i="3"/>
  <c r="DR226" i="3"/>
  <c r="DQ226" i="3"/>
  <c r="DP226" i="3"/>
  <c r="DO226" i="3"/>
  <c r="DN226" i="3"/>
  <c r="DM226" i="3"/>
  <c r="DL226" i="3"/>
  <c r="DK226" i="3"/>
  <c r="DJ226" i="3"/>
  <c r="DI226" i="3"/>
  <c r="DH226" i="3"/>
  <c r="DG226" i="3"/>
  <c r="DF226" i="3"/>
  <c r="DE226" i="3"/>
  <c r="DD226" i="3"/>
  <c r="DC226" i="3"/>
  <c r="DB226" i="3"/>
  <c r="DA226" i="3"/>
  <c r="CZ226" i="3"/>
  <c r="CY226" i="3"/>
  <c r="CX226" i="3"/>
  <c r="CW226" i="3"/>
  <c r="CV226" i="3"/>
  <c r="CU226" i="3"/>
  <c r="CT226" i="3"/>
  <c r="CS226" i="3"/>
  <c r="CR226" i="3"/>
  <c r="CQ226" i="3"/>
  <c r="CP226" i="3"/>
  <c r="CO226" i="3"/>
  <c r="CN226" i="3"/>
  <c r="CM226" i="3"/>
  <c r="CL226" i="3"/>
  <c r="CK226" i="3"/>
  <c r="CJ226" i="3"/>
  <c r="CI226" i="3"/>
  <c r="CH226" i="3"/>
  <c r="CG226" i="3"/>
  <c r="CF226" i="3"/>
  <c r="CE226" i="3"/>
  <c r="CD226" i="3"/>
  <c r="CC226" i="3"/>
  <c r="CB226" i="3"/>
  <c r="CA226" i="3"/>
  <c r="BZ226" i="3"/>
  <c r="BY226" i="3"/>
  <c r="BX226" i="3"/>
  <c r="BW226" i="3"/>
  <c r="BV226" i="3"/>
  <c r="BU226" i="3"/>
  <c r="BT226" i="3"/>
  <c r="BS226" i="3"/>
  <c r="BR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C226" i="3"/>
  <c r="BB226" i="3"/>
  <c r="BA226" i="3"/>
  <c r="AZ226" i="3"/>
  <c r="AO226" i="3"/>
  <c r="AC226" i="3"/>
  <c r="Z226" i="3"/>
  <c r="Y226" i="3"/>
  <c r="X226" i="3"/>
  <c r="U226" i="3"/>
  <c r="AY226" i="3" s="1"/>
  <c r="T226" i="3"/>
  <c r="R226" i="3"/>
  <c r="Q226" i="3"/>
  <c r="M226" i="3"/>
  <c r="K226" i="3"/>
  <c r="J226" i="3"/>
  <c r="I226" i="3"/>
  <c r="D226" i="3"/>
  <c r="DW203" i="3"/>
  <c r="DV203" i="3"/>
  <c r="DU203" i="3"/>
  <c r="DT203" i="3"/>
  <c r="DS203" i="3"/>
  <c r="DR203" i="3"/>
  <c r="DQ203" i="3"/>
  <c r="DP203" i="3"/>
  <c r="DN203" i="3"/>
  <c r="DM203" i="3"/>
  <c r="DL203" i="3"/>
  <c r="DK203" i="3"/>
  <c r="DJ203" i="3"/>
  <c r="DI203" i="3"/>
  <c r="DH203" i="3"/>
  <c r="DG203" i="3"/>
  <c r="DF203" i="3"/>
  <c r="DE203" i="3"/>
  <c r="DD203" i="3"/>
  <c r="DC203" i="3"/>
  <c r="DB203" i="3"/>
  <c r="DA203" i="3"/>
  <c r="CY203" i="3"/>
  <c r="CX203" i="3"/>
  <c r="CW203" i="3"/>
  <c r="CV203" i="3"/>
  <c r="CU203" i="3"/>
  <c r="CT203" i="3"/>
  <c r="CS203" i="3"/>
  <c r="CR203" i="3"/>
  <c r="CQ203" i="3"/>
  <c r="CP203" i="3"/>
  <c r="CO203" i="3"/>
  <c r="CN203" i="3"/>
  <c r="CM203" i="3"/>
  <c r="CL203" i="3"/>
  <c r="CJ203" i="3"/>
  <c r="CI203" i="3"/>
  <c r="CH203" i="3"/>
  <c r="CG203" i="3"/>
  <c r="CF203" i="3"/>
  <c r="CE203" i="3"/>
  <c r="CD203" i="3"/>
  <c r="CC203" i="3"/>
  <c r="CB203" i="3"/>
  <c r="CA203" i="3"/>
  <c r="BZ203" i="3"/>
  <c r="BY203" i="3"/>
  <c r="BX203" i="3"/>
  <c r="BW203" i="3"/>
  <c r="BU203" i="3"/>
  <c r="BT203" i="3"/>
  <c r="BS203" i="3"/>
  <c r="BR203" i="3"/>
  <c r="BQ203" i="3"/>
  <c r="BP203" i="3"/>
  <c r="BO203" i="3"/>
  <c r="BN203" i="3"/>
  <c r="BM203" i="3"/>
  <c r="BL203" i="3"/>
  <c r="BK203" i="3"/>
  <c r="BJ203" i="3"/>
  <c r="BI203" i="3"/>
  <c r="BH203" i="3"/>
  <c r="BG203" i="3"/>
  <c r="BF203" i="3"/>
  <c r="BE203" i="3"/>
  <c r="BD203" i="3"/>
  <c r="BC203" i="3"/>
  <c r="BB203" i="3"/>
  <c r="BA203" i="3"/>
  <c r="AZ203" i="3"/>
  <c r="U203" i="3"/>
  <c r="T203" i="3"/>
  <c r="R203" i="3"/>
  <c r="Q203" i="3"/>
  <c r="M203" i="3"/>
  <c r="K203" i="3"/>
  <c r="J203" i="3"/>
  <c r="I203" i="3"/>
  <c r="D203" i="3"/>
  <c r="DW220" i="3"/>
  <c r="DV220" i="3"/>
  <c r="DU220" i="3"/>
  <c r="DT220" i="3"/>
  <c r="DS220" i="3"/>
  <c r="DR220" i="3"/>
  <c r="DQ220" i="3"/>
  <c r="DP220" i="3"/>
  <c r="DO220" i="3"/>
  <c r="DN220" i="3"/>
  <c r="DM220" i="3"/>
  <c r="DL220" i="3"/>
  <c r="DK220" i="3"/>
  <c r="DJ220" i="3"/>
  <c r="DI220" i="3"/>
  <c r="DH220" i="3"/>
  <c r="DG220" i="3"/>
  <c r="DF220" i="3"/>
  <c r="DE220" i="3"/>
  <c r="DD220" i="3"/>
  <c r="DC220" i="3"/>
  <c r="DB220" i="3"/>
  <c r="DA220" i="3"/>
  <c r="CZ220" i="3"/>
  <c r="CY220" i="3"/>
  <c r="CX220" i="3"/>
  <c r="CW220" i="3"/>
  <c r="CV220" i="3"/>
  <c r="CU220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C220" i="3"/>
  <c r="CB220" i="3"/>
  <c r="CA220" i="3"/>
  <c r="BZ220" i="3"/>
  <c r="BY220" i="3"/>
  <c r="BX220" i="3"/>
  <c r="BW220" i="3"/>
  <c r="BV220" i="3"/>
  <c r="BU220" i="3"/>
  <c r="BT220" i="3"/>
  <c r="BS220" i="3"/>
  <c r="BR220" i="3"/>
  <c r="BQ220" i="3"/>
  <c r="BP220" i="3"/>
  <c r="BO220" i="3"/>
  <c r="BN220" i="3"/>
  <c r="BM220" i="3"/>
  <c r="BL220" i="3"/>
  <c r="BK220" i="3"/>
  <c r="BJ220" i="3"/>
  <c r="BI220" i="3"/>
  <c r="BH220" i="3"/>
  <c r="BG220" i="3"/>
  <c r="BF220" i="3"/>
  <c r="BE220" i="3"/>
  <c r="BD220" i="3"/>
  <c r="BC220" i="3"/>
  <c r="BB220" i="3"/>
  <c r="BA220" i="3"/>
  <c r="AZ220" i="3"/>
  <c r="AJ220" i="3"/>
  <c r="AH220" i="3"/>
  <c r="AT220" i="3" s="1"/>
  <c r="AD220" i="3"/>
  <c r="AC220" i="3"/>
  <c r="Z220" i="3"/>
  <c r="Y220" i="3"/>
  <c r="U220" i="3"/>
  <c r="AY220" i="3" s="1"/>
  <c r="T220" i="3"/>
  <c r="R220" i="3"/>
  <c r="Q220" i="3"/>
  <c r="M220" i="3"/>
  <c r="K220" i="3"/>
  <c r="J220" i="3"/>
  <c r="I220" i="3"/>
  <c r="D220" i="3"/>
  <c r="DW221" i="3"/>
  <c r="DV221" i="3"/>
  <c r="DU221" i="3"/>
  <c r="DT221" i="3"/>
  <c r="DS221" i="3"/>
  <c r="DR221" i="3"/>
  <c r="DQ221" i="3"/>
  <c r="DP221" i="3"/>
  <c r="DO221" i="3"/>
  <c r="DN221" i="3"/>
  <c r="DM221" i="3"/>
  <c r="DL221" i="3"/>
  <c r="DK221" i="3"/>
  <c r="DJ221" i="3"/>
  <c r="DI221" i="3"/>
  <c r="DH221" i="3"/>
  <c r="DG221" i="3"/>
  <c r="DF221" i="3"/>
  <c r="DE221" i="3"/>
  <c r="DD221" i="3"/>
  <c r="DC221" i="3"/>
  <c r="DB221" i="3"/>
  <c r="DA221" i="3"/>
  <c r="CZ221" i="3"/>
  <c r="CY221" i="3"/>
  <c r="CX221" i="3"/>
  <c r="CW221" i="3"/>
  <c r="CV221" i="3"/>
  <c r="CU221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C221" i="3"/>
  <c r="CB221" i="3"/>
  <c r="CA221" i="3"/>
  <c r="BZ221" i="3"/>
  <c r="BY221" i="3"/>
  <c r="BX221" i="3"/>
  <c r="BW221" i="3"/>
  <c r="BV221" i="3"/>
  <c r="BU221" i="3"/>
  <c r="BT221" i="3"/>
  <c r="BS221" i="3"/>
  <c r="BR221" i="3"/>
  <c r="BQ221" i="3"/>
  <c r="BP221" i="3"/>
  <c r="BO221" i="3"/>
  <c r="BN221" i="3"/>
  <c r="BM221" i="3"/>
  <c r="BL221" i="3"/>
  <c r="BK221" i="3"/>
  <c r="BJ221" i="3"/>
  <c r="BI221" i="3"/>
  <c r="BH221" i="3"/>
  <c r="BG221" i="3"/>
  <c r="BF221" i="3"/>
  <c r="BE221" i="3"/>
  <c r="BD221" i="3"/>
  <c r="BC221" i="3"/>
  <c r="BB221" i="3"/>
  <c r="BA221" i="3"/>
  <c r="AZ221" i="3"/>
  <c r="Z221" i="3"/>
  <c r="Y221" i="3"/>
  <c r="X221" i="3"/>
  <c r="V221" i="3"/>
  <c r="U221" i="3"/>
  <c r="AY221" i="3" s="1"/>
  <c r="T221" i="3"/>
  <c r="R221" i="3"/>
  <c r="Q221" i="3"/>
  <c r="M221" i="3"/>
  <c r="K221" i="3"/>
  <c r="J221" i="3"/>
  <c r="I221" i="3"/>
  <c r="D221" i="3"/>
  <c r="DW225" i="3"/>
  <c r="DV225" i="3"/>
  <c r="DU225" i="3"/>
  <c r="DT225" i="3"/>
  <c r="DS225" i="3"/>
  <c r="DR225" i="3"/>
  <c r="DQ225" i="3"/>
  <c r="DP225" i="3"/>
  <c r="DO225" i="3"/>
  <c r="DN225" i="3"/>
  <c r="DM225" i="3"/>
  <c r="DL225" i="3"/>
  <c r="DK225" i="3"/>
  <c r="DJ225" i="3"/>
  <c r="DI225" i="3"/>
  <c r="DH225" i="3"/>
  <c r="DG225" i="3"/>
  <c r="DF225" i="3"/>
  <c r="DE225" i="3"/>
  <c r="DD225" i="3"/>
  <c r="DC225" i="3"/>
  <c r="DB225" i="3"/>
  <c r="DA225" i="3"/>
  <c r="CZ225" i="3"/>
  <c r="CY225" i="3"/>
  <c r="CX225" i="3"/>
  <c r="CW225" i="3"/>
  <c r="CV225" i="3"/>
  <c r="CU22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C225" i="3"/>
  <c r="CB225" i="3"/>
  <c r="CA225" i="3"/>
  <c r="BZ225" i="3"/>
  <c r="BY225" i="3"/>
  <c r="BX225" i="3"/>
  <c r="BW225" i="3"/>
  <c r="BV225" i="3"/>
  <c r="BU225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C225" i="3"/>
  <c r="BB225" i="3"/>
  <c r="BA225" i="3"/>
  <c r="AZ225" i="3"/>
  <c r="AI225" i="3"/>
  <c r="AH225" i="3"/>
  <c r="AT225" i="3" s="1"/>
  <c r="AD225" i="3"/>
  <c r="U225" i="3"/>
  <c r="AY225" i="3" s="1"/>
  <c r="T225" i="3"/>
  <c r="R225" i="3"/>
  <c r="Q225" i="3"/>
  <c r="N225" i="3"/>
  <c r="M225" i="3"/>
  <c r="K225" i="3"/>
  <c r="J225" i="3"/>
  <c r="I225" i="3"/>
  <c r="D225" i="3"/>
  <c r="DW224" i="3"/>
  <c r="DV224" i="3"/>
  <c r="DU224" i="3"/>
  <c r="DT224" i="3"/>
  <c r="DS224" i="3"/>
  <c r="DR224" i="3"/>
  <c r="DQ224" i="3"/>
  <c r="DP224" i="3"/>
  <c r="DO224" i="3"/>
  <c r="DN224" i="3"/>
  <c r="DM224" i="3"/>
  <c r="DL224" i="3"/>
  <c r="DK224" i="3"/>
  <c r="DJ224" i="3"/>
  <c r="DI224" i="3"/>
  <c r="DH224" i="3"/>
  <c r="DG224" i="3"/>
  <c r="DF224" i="3"/>
  <c r="DE224" i="3"/>
  <c r="DD224" i="3"/>
  <c r="DC224" i="3"/>
  <c r="DB224" i="3"/>
  <c r="DA224" i="3"/>
  <c r="CZ224" i="3"/>
  <c r="CY224" i="3"/>
  <c r="CX224" i="3"/>
  <c r="CW224" i="3"/>
  <c r="CV224" i="3"/>
  <c r="CU22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C224" i="3"/>
  <c r="CB224" i="3"/>
  <c r="CA224" i="3"/>
  <c r="BZ224" i="3"/>
  <c r="BY224" i="3"/>
  <c r="BX224" i="3"/>
  <c r="BW224" i="3"/>
  <c r="BV224" i="3"/>
  <c r="BU224" i="3"/>
  <c r="BT224" i="3"/>
  <c r="BS224" i="3"/>
  <c r="BR224" i="3"/>
  <c r="BQ224" i="3"/>
  <c r="BP224" i="3"/>
  <c r="BO224" i="3"/>
  <c r="BN224" i="3"/>
  <c r="BM224" i="3"/>
  <c r="BL224" i="3"/>
  <c r="BK224" i="3"/>
  <c r="BJ224" i="3"/>
  <c r="BI224" i="3"/>
  <c r="BH224" i="3"/>
  <c r="BG224" i="3"/>
  <c r="BF224" i="3"/>
  <c r="BE224" i="3"/>
  <c r="BD224" i="3"/>
  <c r="BC224" i="3"/>
  <c r="BB224" i="3"/>
  <c r="BA224" i="3"/>
  <c r="AZ224" i="3"/>
  <c r="AY224" i="3"/>
  <c r="AD224" i="3"/>
  <c r="AC224" i="3"/>
  <c r="Z224" i="3"/>
  <c r="Y224" i="3"/>
  <c r="U224" i="3"/>
  <c r="T224" i="3"/>
  <c r="R224" i="3"/>
  <c r="Q224" i="3"/>
  <c r="M224" i="3"/>
  <c r="K224" i="3"/>
  <c r="J224" i="3"/>
  <c r="I224" i="3"/>
  <c r="D224" i="3"/>
  <c r="DW217" i="3"/>
  <c r="DV217" i="3"/>
  <c r="DU217" i="3"/>
  <c r="DT217" i="3"/>
  <c r="DS217" i="3"/>
  <c r="DR217" i="3"/>
  <c r="DQ217" i="3"/>
  <c r="DP217" i="3"/>
  <c r="DO217" i="3"/>
  <c r="DN217" i="3"/>
  <c r="DM217" i="3"/>
  <c r="DL217" i="3"/>
  <c r="DK217" i="3"/>
  <c r="DJ217" i="3"/>
  <c r="DI217" i="3"/>
  <c r="DH217" i="3"/>
  <c r="DG217" i="3"/>
  <c r="DF217" i="3"/>
  <c r="DE217" i="3"/>
  <c r="DD217" i="3"/>
  <c r="DC217" i="3"/>
  <c r="DB217" i="3"/>
  <c r="DA217" i="3"/>
  <c r="CZ217" i="3"/>
  <c r="CY217" i="3"/>
  <c r="CX217" i="3"/>
  <c r="CW217" i="3"/>
  <c r="CV217" i="3"/>
  <c r="CU217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C217" i="3"/>
  <c r="CB217" i="3"/>
  <c r="CA217" i="3"/>
  <c r="BZ217" i="3"/>
  <c r="BY217" i="3"/>
  <c r="BX217" i="3"/>
  <c r="BW217" i="3"/>
  <c r="BV217" i="3"/>
  <c r="BU217" i="3"/>
  <c r="BT217" i="3"/>
  <c r="BS217" i="3"/>
  <c r="BR217" i="3"/>
  <c r="BQ217" i="3"/>
  <c r="BP217" i="3"/>
  <c r="BO217" i="3"/>
  <c r="BN217" i="3"/>
  <c r="BM217" i="3"/>
  <c r="BL217" i="3"/>
  <c r="BK217" i="3"/>
  <c r="BJ217" i="3"/>
  <c r="BI217" i="3"/>
  <c r="BH217" i="3"/>
  <c r="BG217" i="3"/>
  <c r="BF217" i="3"/>
  <c r="BE217" i="3"/>
  <c r="BD217" i="3"/>
  <c r="BC217" i="3"/>
  <c r="BB217" i="3"/>
  <c r="BA217" i="3"/>
  <c r="AZ217" i="3"/>
  <c r="AY217" i="3"/>
  <c r="AI217" i="3"/>
  <c r="AH217" i="3"/>
  <c r="AD217" i="3"/>
  <c r="AC217" i="3"/>
  <c r="U217" i="3"/>
  <c r="T217" i="3"/>
  <c r="R217" i="3"/>
  <c r="Q217" i="3"/>
  <c r="M217" i="3"/>
  <c r="K217" i="3"/>
  <c r="J217" i="3"/>
  <c r="I217" i="3"/>
  <c r="D217" i="3"/>
  <c r="DW214" i="3"/>
  <c r="DV214" i="3"/>
  <c r="DU214" i="3"/>
  <c r="DT214" i="3"/>
  <c r="DS214" i="3"/>
  <c r="DR214" i="3"/>
  <c r="DQ214" i="3"/>
  <c r="DP214" i="3"/>
  <c r="DO214" i="3"/>
  <c r="DN214" i="3"/>
  <c r="DM214" i="3"/>
  <c r="DL214" i="3"/>
  <c r="DK214" i="3"/>
  <c r="DJ214" i="3"/>
  <c r="DI214" i="3"/>
  <c r="DH214" i="3"/>
  <c r="DG214" i="3"/>
  <c r="DF214" i="3"/>
  <c r="DE214" i="3"/>
  <c r="DD214" i="3"/>
  <c r="DC214" i="3"/>
  <c r="DB214" i="3"/>
  <c r="DA214" i="3"/>
  <c r="CZ214" i="3"/>
  <c r="CY214" i="3"/>
  <c r="CX214" i="3"/>
  <c r="CW214" i="3"/>
  <c r="CV214" i="3"/>
  <c r="CU214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C214" i="3"/>
  <c r="CB214" i="3"/>
  <c r="CA214" i="3"/>
  <c r="BZ214" i="3"/>
  <c r="BY214" i="3"/>
  <c r="BX214" i="3"/>
  <c r="BW214" i="3"/>
  <c r="BV214" i="3"/>
  <c r="BU214" i="3"/>
  <c r="BT214" i="3"/>
  <c r="BS214" i="3"/>
  <c r="BR214" i="3"/>
  <c r="BQ214" i="3"/>
  <c r="BP214" i="3"/>
  <c r="BO214" i="3"/>
  <c r="BN214" i="3"/>
  <c r="BM214" i="3"/>
  <c r="BL214" i="3"/>
  <c r="BK214" i="3"/>
  <c r="BJ214" i="3"/>
  <c r="BI214" i="3"/>
  <c r="BH214" i="3"/>
  <c r="BG214" i="3"/>
  <c r="BF214" i="3"/>
  <c r="BE214" i="3"/>
  <c r="BD214" i="3"/>
  <c r="BC214" i="3"/>
  <c r="BB214" i="3"/>
  <c r="BA214" i="3"/>
  <c r="AZ214" i="3"/>
  <c r="AI214" i="3"/>
  <c r="AH214" i="3"/>
  <c r="AT214" i="3" s="1"/>
  <c r="AD214" i="3"/>
  <c r="X214" i="3"/>
  <c r="V214" i="3"/>
  <c r="U214" i="3"/>
  <c r="AY214" i="3" s="1"/>
  <c r="T214" i="3"/>
  <c r="R214" i="3"/>
  <c r="Q214" i="3"/>
  <c r="N214" i="3"/>
  <c r="M214" i="3"/>
  <c r="K214" i="3"/>
  <c r="J214" i="3"/>
  <c r="I214" i="3"/>
  <c r="D214" i="3"/>
  <c r="DW218" i="3"/>
  <c r="DV218" i="3"/>
  <c r="DU218" i="3"/>
  <c r="DT218" i="3"/>
  <c r="DS218" i="3"/>
  <c r="DR218" i="3"/>
  <c r="DQ218" i="3"/>
  <c r="DP218" i="3"/>
  <c r="DO218" i="3"/>
  <c r="DN218" i="3"/>
  <c r="DM218" i="3"/>
  <c r="DL218" i="3"/>
  <c r="DK218" i="3"/>
  <c r="DJ218" i="3"/>
  <c r="DI218" i="3"/>
  <c r="DH218" i="3"/>
  <c r="DG218" i="3"/>
  <c r="DF218" i="3"/>
  <c r="DE218" i="3"/>
  <c r="DD218" i="3"/>
  <c r="DC218" i="3"/>
  <c r="DB218" i="3"/>
  <c r="DA218" i="3"/>
  <c r="CZ218" i="3"/>
  <c r="CY218" i="3"/>
  <c r="CX218" i="3"/>
  <c r="CW218" i="3"/>
  <c r="CV218" i="3"/>
  <c r="CU218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C218" i="3"/>
  <c r="CB218" i="3"/>
  <c r="CA218" i="3"/>
  <c r="BZ218" i="3"/>
  <c r="BY218" i="3"/>
  <c r="BX218" i="3"/>
  <c r="BW218" i="3"/>
  <c r="BV218" i="3"/>
  <c r="BU218" i="3"/>
  <c r="BT218" i="3"/>
  <c r="BS218" i="3"/>
  <c r="BR218" i="3"/>
  <c r="BQ218" i="3"/>
  <c r="BP218" i="3"/>
  <c r="BO218" i="3"/>
  <c r="BN218" i="3"/>
  <c r="BM218" i="3"/>
  <c r="BL218" i="3"/>
  <c r="BK218" i="3"/>
  <c r="BJ218" i="3"/>
  <c r="BI218" i="3"/>
  <c r="BH218" i="3"/>
  <c r="BG218" i="3"/>
  <c r="BF218" i="3"/>
  <c r="BE218" i="3"/>
  <c r="BD218" i="3"/>
  <c r="BC218" i="3"/>
  <c r="BB218" i="3"/>
  <c r="BA218" i="3"/>
  <c r="AZ218" i="3"/>
  <c r="AI218" i="3"/>
  <c r="AH218" i="3"/>
  <c r="AT218" i="3" s="1"/>
  <c r="Y218" i="3"/>
  <c r="V218" i="3"/>
  <c r="U218" i="3"/>
  <c r="T218" i="3"/>
  <c r="R218" i="3"/>
  <c r="Q218" i="3"/>
  <c r="N218" i="3"/>
  <c r="M218" i="3"/>
  <c r="K218" i="3"/>
  <c r="J218" i="3"/>
  <c r="I218" i="3"/>
  <c r="D218" i="3"/>
  <c r="DW213" i="3"/>
  <c r="DV213" i="3"/>
  <c r="DU213" i="3"/>
  <c r="DT213" i="3"/>
  <c r="DS213" i="3"/>
  <c r="DR213" i="3"/>
  <c r="DQ213" i="3"/>
  <c r="DP213" i="3"/>
  <c r="DO213" i="3"/>
  <c r="DN213" i="3"/>
  <c r="DM213" i="3"/>
  <c r="DL213" i="3"/>
  <c r="DK213" i="3"/>
  <c r="DJ213" i="3"/>
  <c r="DI213" i="3"/>
  <c r="DH213" i="3"/>
  <c r="DG213" i="3"/>
  <c r="DF213" i="3"/>
  <c r="DE213" i="3"/>
  <c r="DD213" i="3"/>
  <c r="DC213" i="3"/>
  <c r="DB213" i="3"/>
  <c r="DA213" i="3"/>
  <c r="CZ213" i="3"/>
  <c r="CY213" i="3"/>
  <c r="CX213" i="3"/>
  <c r="CW213" i="3"/>
  <c r="CV213" i="3"/>
  <c r="CU213" i="3"/>
  <c r="CT213" i="3"/>
  <c r="CS213" i="3"/>
  <c r="CR213" i="3"/>
  <c r="CQ213" i="3"/>
  <c r="CP213" i="3"/>
  <c r="CO213" i="3"/>
  <c r="CN213" i="3"/>
  <c r="CM213" i="3"/>
  <c r="CL213" i="3"/>
  <c r="CK213" i="3"/>
  <c r="CJ213" i="3"/>
  <c r="CI213" i="3"/>
  <c r="CH213" i="3"/>
  <c r="CG213" i="3"/>
  <c r="CF213" i="3"/>
  <c r="CE213" i="3"/>
  <c r="CD213" i="3"/>
  <c r="CC213" i="3"/>
  <c r="CB213" i="3"/>
  <c r="CA213" i="3"/>
  <c r="BZ213" i="3"/>
  <c r="BY213" i="3"/>
  <c r="BX213" i="3"/>
  <c r="BW213" i="3"/>
  <c r="BV213" i="3"/>
  <c r="BU213" i="3"/>
  <c r="BT213" i="3"/>
  <c r="BS213" i="3"/>
  <c r="BR213" i="3"/>
  <c r="BQ213" i="3"/>
  <c r="BP213" i="3"/>
  <c r="BO213" i="3"/>
  <c r="BN213" i="3"/>
  <c r="BM213" i="3"/>
  <c r="BL213" i="3"/>
  <c r="BK213" i="3"/>
  <c r="BJ213" i="3"/>
  <c r="BI213" i="3"/>
  <c r="BH213" i="3"/>
  <c r="BG213" i="3"/>
  <c r="BF213" i="3"/>
  <c r="BE213" i="3"/>
  <c r="BD213" i="3"/>
  <c r="BC213" i="3"/>
  <c r="BB213" i="3"/>
  <c r="BA213" i="3"/>
  <c r="AZ213" i="3"/>
  <c r="AY213" i="3"/>
  <c r="AP213" i="3"/>
  <c r="AD213" i="3"/>
  <c r="AC213" i="3"/>
  <c r="Z213" i="3"/>
  <c r="Y213" i="3"/>
  <c r="X213" i="3"/>
  <c r="V213" i="3"/>
  <c r="U213" i="3"/>
  <c r="T213" i="3"/>
  <c r="R213" i="3"/>
  <c r="Q213" i="3"/>
  <c r="M213" i="3"/>
  <c r="K213" i="3"/>
  <c r="J213" i="3"/>
  <c r="I213" i="3"/>
  <c r="D213" i="3"/>
  <c r="DW212" i="3"/>
  <c r="DV212" i="3"/>
  <c r="DU212" i="3"/>
  <c r="DT212" i="3"/>
  <c r="DS212" i="3"/>
  <c r="DR212" i="3"/>
  <c r="DQ212" i="3"/>
  <c r="DP212" i="3"/>
  <c r="DO212" i="3"/>
  <c r="DN212" i="3"/>
  <c r="DM212" i="3"/>
  <c r="DL212" i="3"/>
  <c r="DK212" i="3"/>
  <c r="DJ212" i="3"/>
  <c r="DI212" i="3"/>
  <c r="DH212" i="3"/>
  <c r="DG212" i="3"/>
  <c r="DF212" i="3"/>
  <c r="DE212" i="3"/>
  <c r="DD212" i="3"/>
  <c r="DC212" i="3"/>
  <c r="DB212" i="3"/>
  <c r="DA212" i="3"/>
  <c r="CZ212" i="3"/>
  <c r="CY212" i="3"/>
  <c r="CX212" i="3"/>
  <c r="CW212" i="3"/>
  <c r="CV212" i="3"/>
  <c r="CU21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C212" i="3"/>
  <c r="CB212" i="3"/>
  <c r="CA212" i="3"/>
  <c r="BZ212" i="3"/>
  <c r="BY212" i="3"/>
  <c r="BX212" i="3"/>
  <c r="BW212" i="3"/>
  <c r="BV212" i="3"/>
  <c r="BU212" i="3"/>
  <c r="BT212" i="3"/>
  <c r="BS212" i="3"/>
  <c r="BR212" i="3"/>
  <c r="BQ212" i="3"/>
  <c r="BP212" i="3"/>
  <c r="BO212" i="3"/>
  <c r="BN212" i="3"/>
  <c r="BM212" i="3"/>
  <c r="BL212" i="3"/>
  <c r="BK212" i="3"/>
  <c r="BJ212" i="3"/>
  <c r="BI212" i="3"/>
  <c r="BH212" i="3"/>
  <c r="BG212" i="3"/>
  <c r="BF212" i="3"/>
  <c r="BE212" i="3"/>
  <c r="BD212" i="3"/>
  <c r="BC212" i="3"/>
  <c r="BB212" i="3"/>
  <c r="BA212" i="3"/>
  <c r="AZ212" i="3"/>
  <c r="U212" i="3"/>
  <c r="T212" i="3"/>
  <c r="R212" i="3"/>
  <c r="Q212" i="3"/>
  <c r="M212" i="3"/>
  <c r="K212" i="3"/>
  <c r="J212" i="3"/>
  <c r="I212" i="3"/>
  <c r="D212" i="3"/>
  <c r="DW211" i="3"/>
  <c r="DV211" i="3"/>
  <c r="DU211" i="3"/>
  <c r="DT211" i="3"/>
  <c r="DS211" i="3"/>
  <c r="DR211" i="3"/>
  <c r="DQ211" i="3"/>
  <c r="DP211" i="3"/>
  <c r="DO211" i="3"/>
  <c r="DN211" i="3"/>
  <c r="DM211" i="3"/>
  <c r="DL211" i="3"/>
  <c r="DK211" i="3"/>
  <c r="DJ211" i="3"/>
  <c r="DI211" i="3"/>
  <c r="DH211" i="3"/>
  <c r="DG211" i="3"/>
  <c r="DF211" i="3"/>
  <c r="DE211" i="3"/>
  <c r="DD211" i="3"/>
  <c r="DC211" i="3"/>
  <c r="DB211" i="3"/>
  <c r="DA211" i="3"/>
  <c r="CZ211" i="3"/>
  <c r="CY211" i="3"/>
  <c r="CX211" i="3"/>
  <c r="CW211" i="3"/>
  <c r="CV211" i="3"/>
  <c r="CU21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C211" i="3"/>
  <c r="CB211" i="3"/>
  <c r="CA211" i="3"/>
  <c r="BZ211" i="3"/>
  <c r="BY211" i="3"/>
  <c r="BX211" i="3"/>
  <c r="BW211" i="3"/>
  <c r="BV211" i="3"/>
  <c r="BU211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BC211" i="3"/>
  <c r="BB211" i="3"/>
  <c r="BA211" i="3"/>
  <c r="AZ211" i="3"/>
  <c r="U211" i="3"/>
  <c r="T211" i="3"/>
  <c r="R211" i="3"/>
  <c r="Q211" i="3"/>
  <c r="M211" i="3"/>
  <c r="K211" i="3"/>
  <c r="J211" i="3"/>
  <c r="I211" i="3"/>
  <c r="D211" i="3"/>
  <c r="DW210" i="3"/>
  <c r="DV210" i="3"/>
  <c r="DU210" i="3"/>
  <c r="DT210" i="3"/>
  <c r="DS210" i="3"/>
  <c r="DR210" i="3"/>
  <c r="DQ210" i="3"/>
  <c r="DP210" i="3"/>
  <c r="DO210" i="3"/>
  <c r="DN210" i="3"/>
  <c r="DM210" i="3"/>
  <c r="DL210" i="3"/>
  <c r="DK210" i="3"/>
  <c r="DJ210" i="3"/>
  <c r="DI210" i="3"/>
  <c r="DH210" i="3"/>
  <c r="DG210" i="3"/>
  <c r="DF210" i="3"/>
  <c r="DE210" i="3"/>
  <c r="DD210" i="3"/>
  <c r="DC210" i="3"/>
  <c r="DB210" i="3"/>
  <c r="DA210" i="3"/>
  <c r="CZ210" i="3"/>
  <c r="CY210" i="3"/>
  <c r="CX210" i="3"/>
  <c r="CW210" i="3"/>
  <c r="CV210" i="3"/>
  <c r="CU210" i="3"/>
  <c r="CT210" i="3"/>
  <c r="CS210" i="3"/>
  <c r="CR210" i="3"/>
  <c r="CQ210" i="3"/>
  <c r="CP210" i="3"/>
  <c r="CO210" i="3"/>
  <c r="CN210" i="3"/>
  <c r="CM210" i="3"/>
  <c r="CL210" i="3"/>
  <c r="CK210" i="3"/>
  <c r="CJ210" i="3"/>
  <c r="CI210" i="3"/>
  <c r="CH210" i="3"/>
  <c r="CG210" i="3"/>
  <c r="CF210" i="3"/>
  <c r="CE210" i="3"/>
  <c r="CD210" i="3"/>
  <c r="CC210" i="3"/>
  <c r="CB210" i="3"/>
  <c r="CA210" i="3"/>
  <c r="BZ210" i="3"/>
  <c r="BY210" i="3"/>
  <c r="BX210" i="3"/>
  <c r="BW210" i="3"/>
  <c r="BV210" i="3"/>
  <c r="BU210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C210" i="3"/>
  <c r="BB210" i="3"/>
  <c r="BA210" i="3"/>
  <c r="AZ210" i="3"/>
  <c r="AD210" i="3"/>
  <c r="AC210" i="3"/>
  <c r="Z210" i="3"/>
  <c r="X210" i="3"/>
  <c r="W210" i="3"/>
  <c r="V210" i="3"/>
  <c r="U210" i="3"/>
  <c r="AY210" i="3" s="1"/>
  <c r="T210" i="3"/>
  <c r="R210" i="3"/>
  <c r="Q210" i="3"/>
  <c r="N210" i="3"/>
  <c r="M210" i="3"/>
  <c r="K210" i="3"/>
  <c r="J210" i="3"/>
  <c r="I210" i="3"/>
  <c r="D210" i="3"/>
  <c r="DW219" i="3"/>
  <c r="DV219" i="3"/>
  <c r="DU219" i="3"/>
  <c r="DT219" i="3"/>
  <c r="DS219" i="3"/>
  <c r="DR219" i="3"/>
  <c r="DQ219" i="3"/>
  <c r="DP219" i="3"/>
  <c r="DO219" i="3"/>
  <c r="DN219" i="3"/>
  <c r="DM219" i="3"/>
  <c r="DL219" i="3"/>
  <c r="DK219" i="3"/>
  <c r="DJ219" i="3"/>
  <c r="DI219" i="3"/>
  <c r="DH219" i="3"/>
  <c r="DG219" i="3"/>
  <c r="DF219" i="3"/>
  <c r="DE219" i="3"/>
  <c r="DD219" i="3"/>
  <c r="DC219" i="3"/>
  <c r="DB219" i="3"/>
  <c r="DA219" i="3"/>
  <c r="CZ219" i="3"/>
  <c r="CY219" i="3"/>
  <c r="CX219" i="3"/>
  <c r="CW219" i="3"/>
  <c r="CV219" i="3"/>
  <c r="CU219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C219" i="3"/>
  <c r="CB219" i="3"/>
  <c r="CA219" i="3"/>
  <c r="BZ219" i="3"/>
  <c r="BY219" i="3"/>
  <c r="BX219" i="3"/>
  <c r="BW219" i="3"/>
  <c r="BV219" i="3"/>
  <c r="BU219" i="3"/>
  <c r="BT219" i="3"/>
  <c r="BS219" i="3"/>
  <c r="BR219" i="3"/>
  <c r="BQ219" i="3"/>
  <c r="BP219" i="3"/>
  <c r="BO219" i="3"/>
  <c r="BN219" i="3"/>
  <c r="BM219" i="3"/>
  <c r="BL219" i="3"/>
  <c r="BK219" i="3"/>
  <c r="BJ219" i="3"/>
  <c r="BI219" i="3"/>
  <c r="BH219" i="3"/>
  <c r="BG219" i="3"/>
  <c r="BF219" i="3"/>
  <c r="BE219" i="3"/>
  <c r="BD219" i="3"/>
  <c r="BC219" i="3"/>
  <c r="BB219" i="3"/>
  <c r="BA219" i="3"/>
  <c r="AZ219" i="3"/>
  <c r="AN219" i="3"/>
  <c r="Z219" i="3"/>
  <c r="Y219" i="3"/>
  <c r="X219" i="3"/>
  <c r="U219" i="3"/>
  <c r="AY219" i="3" s="1"/>
  <c r="T219" i="3"/>
  <c r="R219" i="3"/>
  <c r="Q219" i="3"/>
  <c r="N219" i="3"/>
  <c r="M219" i="3"/>
  <c r="K219" i="3"/>
  <c r="J219" i="3"/>
  <c r="I219" i="3"/>
  <c r="D219" i="3"/>
  <c r="DW215" i="3"/>
  <c r="DV215" i="3"/>
  <c r="DU215" i="3"/>
  <c r="DT215" i="3"/>
  <c r="DS215" i="3"/>
  <c r="DR215" i="3"/>
  <c r="DQ215" i="3"/>
  <c r="DP215" i="3"/>
  <c r="DO215" i="3"/>
  <c r="DN215" i="3"/>
  <c r="DM215" i="3"/>
  <c r="DL215" i="3"/>
  <c r="DK215" i="3"/>
  <c r="DJ215" i="3"/>
  <c r="DI215" i="3"/>
  <c r="DH215" i="3"/>
  <c r="DG215" i="3"/>
  <c r="DF215" i="3"/>
  <c r="DE215" i="3"/>
  <c r="DD215" i="3"/>
  <c r="DC215" i="3"/>
  <c r="DB215" i="3"/>
  <c r="DA215" i="3"/>
  <c r="CZ215" i="3"/>
  <c r="CY215" i="3"/>
  <c r="CX215" i="3"/>
  <c r="CW215" i="3"/>
  <c r="CV215" i="3"/>
  <c r="CU215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C215" i="3"/>
  <c r="CB215" i="3"/>
  <c r="CA215" i="3"/>
  <c r="BZ215" i="3"/>
  <c r="BY215" i="3"/>
  <c r="BX215" i="3"/>
  <c r="BW215" i="3"/>
  <c r="BV215" i="3"/>
  <c r="BU215" i="3"/>
  <c r="BT215" i="3"/>
  <c r="BS215" i="3"/>
  <c r="BR215" i="3"/>
  <c r="BQ215" i="3"/>
  <c r="BP215" i="3"/>
  <c r="BO215" i="3"/>
  <c r="BN215" i="3"/>
  <c r="BM215" i="3"/>
  <c r="BL215" i="3"/>
  <c r="BK215" i="3"/>
  <c r="BJ215" i="3"/>
  <c r="BI215" i="3"/>
  <c r="BH215" i="3"/>
  <c r="BG215" i="3"/>
  <c r="BF215" i="3"/>
  <c r="BE215" i="3"/>
  <c r="BD215" i="3"/>
  <c r="BC215" i="3"/>
  <c r="BB215" i="3"/>
  <c r="BA215" i="3"/>
  <c r="AZ215" i="3"/>
  <c r="AW215" i="3"/>
  <c r="AV215" i="3"/>
  <c r="AN215" i="3"/>
  <c r="AK215" i="3"/>
  <c r="AI215" i="3"/>
  <c r="AH215" i="3"/>
  <c r="AT215" i="3" s="1"/>
  <c r="Y215" i="3"/>
  <c r="X215" i="3"/>
  <c r="W215" i="3"/>
  <c r="V215" i="3"/>
  <c r="U215" i="3"/>
  <c r="AY215" i="3" s="1"/>
  <c r="T215" i="3"/>
  <c r="R215" i="3"/>
  <c r="Q215" i="3"/>
  <c r="M215" i="3"/>
  <c r="K215" i="3"/>
  <c r="J215" i="3"/>
  <c r="I215" i="3"/>
  <c r="D215" i="3"/>
  <c r="DW205" i="3"/>
  <c r="DV205" i="3"/>
  <c r="DU205" i="3"/>
  <c r="DT205" i="3"/>
  <c r="DS205" i="3"/>
  <c r="DR205" i="3"/>
  <c r="DQ205" i="3"/>
  <c r="DP205" i="3"/>
  <c r="DO205" i="3"/>
  <c r="DN205" i="3"/>
  <c r="DM205" i="3"/>
  <c r="DL205" i="3"/>
  <c r="DK205" i="3"/>
  <c r="DJ205" i="3"/>
  <c r="DI205" i="3"/>
  <c r="DH205" i="3"/>
  <c r="DG205" i="3"/>
  <c r="DF205" i="3"/>
  <c r="DE205" i="3"/>
  <c r="DD205" i="3"/>
  <c r="DC205" i="3"/>
  <c r="DB205" i="3"/>
  <c r="DA205" i="3"/>
  <c r="CZ205" i="3"/>
  <c r="CY205" i="3"/>
  <c r="CX205" i="3"/>
  <c r="CW205" i="3"/>
  <c r="CV205" i="3"/>
  <c r="CU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C205" i="3"/>
  <c r="CB205" i="3"/>
  <c r="CA205" i="3"/>
  <c r="BZ205" i="3"/>
  <c r="BY205" i="3"/>
  <c r="BX205" i="3"/>
  <c r="BW205" i="3"/>
  <c r="BV205" i="3"/>
  <c r="BU205" i="3"/>
  <c r="BT205" i="3"/>
  <c r="BS205" i="3"/>
  <c r="BR205" i="3"/>
  <c r="BQ205" i="3"/>
  <c r="BP205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BC205" i="3"/>
  <c r="BB205" i="3"/>
  <c r="BA205" i="3"/>
  <c r="AZ205" i="3"/>
  <c r="AI205" i="3"/>
  <c r="AH205" i="3"/>
  <c r="AT205" i="3" s="1"/>
  <c r="Y205" i="3"/>
  <c r="X205" i="3"/>
  <c r="W205" i="3"/>
  <c r="V205" i="3"/>
  <c r="U205" i="3"/>
  <c r="AY205" i="3" s="1"/>
  <c r="T205" i="3"/>
  <c r="R205" i="3"/>
  <c r="Q205" i="3"/>
  <c r="N205" i="3"/>
  <c r="M205" i="3"/>
  <c r="K205" i="3"/>
  <c r="J205" i="3"/>
  <c r="I205" i="3"/>
  <c r="D205" i="3"/>
  <c r="DW209" i="3"/>
  <c r="DV209" i="3"/>
  <c r="DU209" i="3"/>
  <c r="DT209" i="3"/>
  <c r="DS209" i="3"/>
  <c r="DR209" i="3"/>
  <c r="DQ209" i="3"/>
  <c r="DP209" i="3"/>
  <c r="DO209" i="3"/>
  <c r="DN209" i="3"/>
  <c r="DM209" i="3"/>
  <c r="DL209" i="3"/>
  <c r="DK209" i="3"/>
  <c r="DJ209" i="3"/>
  <c r="DI209" i="3"/>
  <c r="DH209" i="3"/>
  <c r="DG209" i="3"/>
  <c r="DF209" i="3"/>
  <c r="DE209" i="3"/>
  <c r="DD209" i="3"/>
  <c r="DC209" i="3"/>
  <c r="DB209" i="3"/>
  <c r="DA209" i="3"/>
  <c r="CZ209" i="3"/>
  <c r="CY209" i="3"/>
  <c r="CX209" i="3"/>
  <c r="CW209" i="3"/>
  <c r="CV209" i="3"/>
  <c r="CU209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C209" i="3"/>
  <c r="CB209" i="3"/>
  <c r="CA209" i="3"/>
  <c r="BZ209" i="3"/>
  <c r="BY209" i="3"/>
  <c r="BX209" i="3"/>
  <c r="BW209" i="3"/>
  <c r="BV209" i="3"/>
  <c r="BU209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C209" i="3"/>
  <c r="BB209" i="3"/>
  <c r="BA209" i="3"/>
  <c r="AZ209" i="3"/>
  <c r="U209" i="3"/>
  <c r="T209" i="3"/>
  <c r="R209" i="3"/>
  <c r="Q209" i="3"/>
  <c r="M209" i="3"/>
  <c r="K209" i="3"/>
  <c r="J209" i="3"/>
  <c r="I209" i="3"/>
  <c r="D209" i="3"/>
  <c r="DW201" i="3"/>
  <c r="DV201" i="3"/>
  <c r="DU201" i="3"/>
  <c r="DT201" i="3"/>
  <c r="DS201" i="3"/>
  <c r="DR201" i="3"/>
  <c r="DQ201" i="3"/>
  <c r="DP201" i="3"/>
  <c r="DN201" i="3"/>
  <c r="DM201" i="3"/>
  <c r="DL201" i="3"/>
  <c r="DK201" i="3"/>
  <c r="DJ201" i="3"/>
  <c r="DI201" i="3"/>
  <c r="DH201" i="3"/>
  <c r="DG201" i="3"/>
  <c r="DF201" i="3"/>
  <c r="DE201" i="3"/>
  <c r="DD201" i="3"/>
  <c r="DC201" i="3"/>
  <c r="DB201" i="3"/>
  <c r="DA201" i="3"/>
  <c r="CY201" i="3"/>
  <c r="CX201" i="3"/>
  <c r="CW201" i="3"/>
  <c r="CV201" i="3"/>
  <c r="CU201" i="3"/>
  <c r="CT201" i="3"/>
  <c r="CS201" i="3"/>
  <c r="CR201" i="3"/>
  <c r="CQ201" i="3"/>
  <c r="CP201" i="3"/>
  <c r="CO201" i="3"/>
  <c r="CN201" i="3"/>
  <c r="CM201" i="3"/>
  <c r="CL201" i="3"/>
  <c r="CJ201" i="3"/>
  <c r="CI201" i="3"/>
  <c r="CH201" i="3"/>
  <c r="CG201" i="3"/>
  <c r="CF201" i="3"/>
  <c r="CE201" i="3"/>
  <c r="CD201" i="3"/>
  <c r="CC201" i="3"/>
  <c r="CB201" i="3"/>
  <c r="CA201" i="3"/>
  <c r="BZ201" i="3"/>
  <c r="BY201" i="3"/>
  <c r="BX201" i="3"/>
  <c r="BW201" i="3"/>
  <c r="BU201" i="3"/>
  <c r="BT201" i="3"/>
  <c r="BS201" i="3"/>
  <c r="BR201" i="3"/>
  <c r="BQ201" i="3"/>
  <c r="BP201" i="3"/>
  <c r="BO201" i="3"/>
  <c r="BN201" i="3"/>
  <c r="BM201" i="3"/>
  <c r="BL201" i="3"/>
  <c r="BK201" i="3"/>
  <c r="BJ201" i="3"/>
  <c r="BI201" i="3"/>
  <c r="BH201" i="3"/>
  <c r="BG201" i="3"/>
  <c r="BF201" i="3"/>
  <c r="BE201" i="3"/>
  <c r="BD201" i="3"/>
  <c r="BC201" i="3"/>
  <c r="BB201" i="3"/>
  <c r="BA201" i="3"/>
  <c r="AZ201" i="3"/>
  <c r="V201" i="3"/>
  <c r="U201" i="3"/>
  <c r="T201" i="3"/>
  <c r="R201" i="3"/>
  <c r="Q201" i="3"/>
  <c r="M201" i="3"/>
  <c r="K201" i="3"/>
  <c r="J201" i="3"/>
  <c r="I201" i="3"/>
  <c r="D201" i="3"/>
  <c r="DW208" i="3"/>
  <c r="DV208" i="3"/>
  <c r="DU208" i="3"/>
  <c r="DT208" i="3"/>
  <c r="DS208" i="3"/>
  <c r="DR208" i="3"/>
  <c r="DQ208" i="3"/>
  <c r="DP208" i="3"/>
  <c r="DO208" i="3"/>
  <c r="DN208" i="3"/>
  <c r="DM208" i="3"/>
  <c r="DL208" i="3"/>
  <c r="DK208" i="3"/>
  <c r="DJ208" i="3"/>
  <c r="DI208" i="3"/>
  <c r="DH208" i="3"/>
  <c r="DG208" i="3"/>
  <c r="DF208" i="3"/>
  <c r="DE208" i="3"/>
  <c r="DD208" i="3"/>
  <c r="DC208" i="3"/>
  <c r="DB208" i="3"/>
  <c r="DA208" i="3"/>
  <c r="CZ208" i="3"/>
  <c r="CY208" i="3"/>
  <c r="CX208" i="3"/>
  <c r="CW208" i="3"/>
  <c r="CV208" i="3"/>
  <c r="CU208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C208" i="3"/>
  <c r="CB208" i="3"/>
  <c r="CA208" i="3"/>
  <c r="BZ208" i="3"/>
  <c r="BY208" i="3"/>
  <c r="BX208" i="3"/>
  <c r="BW208" i="3"/>
  <c r="BV208" i="3"/>
  <c r="BU208" i="3"/>
  <c r="BT208" i="3"/>
  <c r="BS208" i="3"/>
  <c r="BR208" i="3"/>
  <c r="BQ208" i="3"/>
  <c r="BP208" i="3"/>
  <c r="BO208" i="3"/>
  <c r="BN208" i="3"/>
  <c r="BM208" i="3"/>
  <c r="BL208" i="3"/>
  <c r="BK208" i="3"/>
  <c r="BJ208" i="3"/>
  <c r="BI208" i="3"/>
  <c r="BH208" i="3"/>
  <c r="BG208" i="3"/>
  <c r="BF208" i="3"/>
  <c r="BE208" i="3"/>
  <c r="BD208" i="3"/>
  <c r="BC208" i="3"/>
  <c r="BB208" i="3"/>
  <c r="BA208" i="3"/>
  <c r="AZ208" i="3"/>
  <c r="AV208" i="3"/>
  <c r="AK208" i="3"/>
  <c r="AI208" i="3"/>
  <c r="AH208" i="3"/>
  <c r="AT208" i="3" s="1"/>
  <c r="AG208" i="3"/>
  <c r="AD208" i="3"/>
  <c r="AC208" i="3"/>
  <c r="Y208" i="3"/>
  <c r="X208" i="3"/>
  <c r="W208" i="3"/>
  <c r="V208" i="3"/>
  <c r="U208" i="3"/>
  <c r="AY208" i="3" s="1"/>
  <c r="T208" i="3"/>
  <c r="R208" i="3"/>
  <c r="Q208" i="3"/>
  <c r="N208" i="3"/>
  <c r="M208" i="3"/>
  <c r="K208" i="3"/>
  <c r="J208" i="3"/>
  <c r="I208" i="3"/>
  <c r="D208" i="3"/>
  <c r="DW199" i="3"/>
  <c r="DV199" i="3"/>
  <c r="DU199" i="3"/>
  <c r="DT199" i="3"/>
  <c r="DS199" i="3"/>
  <c r="DR199" i="3"/>
  <c r="DQ199" i="3"/>
  <c r="DP199" i="3"/>
  <c r="DN199" i="3"/>
  <c r="DM199" i="3"/>
  <c r="DL199" i="3"/>
  <c r="DK199" i="3"/>
  <c r="DJ199" i="3"/>
  <c r="DI199" i="3"/>
  <c r="DH199" i="3"/>
  <c r="DG199" i="3"/>
  <c r="DF199" i="3"/>
  <c r="DE199" i="3"/>
  <c r="DD199" i="3"/>
  <c r="DC199" i="3"/>
  <c r="DB199" i="3"/>
  <c r="DA199" i="3"/>
  <c r="CY199" i="3"/>
  <c r="CX199" i="3"/>
  <c r="CW199" i="3"/>
  <c r="CV199" i="3"/>
  <c r="CU199" i="3"/>
  <c r="CT199" i="3"/>
  <c r="CS199" i="3"/>
  <c r="CR199" i="3"/>
  <c r="CQ199" i="3"/>
  <c r="CP199" i="3"/>
  <c r="CO199" i="3"/>
  <c r="CN199" i="3"/>
  <c r="CM199" i="3"/>
  <c r="CL199" i="3"/>
  <c r="CJ199" i="3"/>
  <c r="CI199" i="3"/>
  <c r="CH199" i="3"/>
  <c r="CG199" i="3"/>
  <c r="CF199" i="3"/>
  <c r="CE199" i="3"/>
  <c r="CD199" i="3"/>
  <c r="CC199" i="3"/>
  <c r="CB199" i="3"/>
  <c r="CA199" i="3"/>
  <c r="BZ199" i="3"/>
  <c r="BY199" i="3"/>
  <c r="BX199" i="3"/>
  <c r="BW199" i="3"/>
  <c r="BU199" i="3"/>
  <c r="BT199" i="3"/>
  <c r="BS199" i="3"/>
  <c r="BR199" i="3"/>
  <c r="BQ199" i="3"/>
  <c r="BP199" i="3"/>
  <c r="BO199" i="3"/>
  <c r="BN199" i="3"/>
  <c r="BM199" i="3"/>
  <c r="BL199" i="3"/>
  <c r="BK199" i="3"/>
  <c r="BJ199" i="3"/>
  <c r="BI199" i="3"/>
  <c r="BH199" i="3"/>
  <c r="BG199" i="3"/>
  <c r="BF199" i="3"/>
  <c r="BE199" i="3"/>
  <c r="BD199" i="3"/>
  <c r="BC199" i="3"/>
  <c r="BB199" i="3"/>
  <c r="BA199" i="3"/>
  <c r="AZ199" i="3"/>
  <c r="Z199" i="3"/>
  <c r="U199" i="3"/>
  <c r="T199" i="3"/>
  <c r="R199" i="3"/>
  <c r="Q199" i="3"/>
  <c r="M199" i="3"/>
  <c r="K199" i="3"/>
  <c r="J199" i="3"/>
  <c r="I199" i="3"/>
  <c r="D199" i="3"/>
  <c r="DW197" i="3"/>
  <c r="DV197" i="3"/>
  <c r="DU197" i="3"/>
  <c r="DT197" i="3"/>
  <c r="DS197" i="3"/>
  <c r="DR197" i="3"/>
  <c r="DQ197" i="3"/>
  <c r="DP197" i="3"/>
  <c r="DO197" i="3"/>
  <c r="DN197" i="3"/>
  <c r="DM197" i="3"/>
  <c r="DL197" i="3"/>
  <c r="DK197" i="3"/>
  <c r="DJ197" i="3"/>
  <c r="DI197" i="3"/>
  <c r="DH197" i="3"/>
  <c r="DG197" i="3"/>
  <c r="DF197" i="3"/>
  <c r="DE197" i="3"/>
  <c r="DD197" i="3"/>
  <c r="DC197" i="3"/>
  <c r="DB197" i="3"/>
  <c r="DA197" i="3"/>
  <c r="CZ197" i="3"/>
  <c r="CY197" i="3"/>
  <c r="CX197" i="3"/>
  <c r="CW197" i="3"/>
  <c r="CV197" i="3"/>
  <c r="CU197" i="3"/>
  <c r="CT197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CA197" i="3"/>
  <c r="BZ197" i="3"/>
  <c r="BY197" i="3"/>
  <c r="BX197" i="3"/>
  <c r="BW197" i="3"/>
  <c r="BV197" i="3"/>
  <c r="BU197" i="3"/>
  <c r="BT197" i="3"/>
  <c r="BS197" i="3"/>
  <c r="BR197" i="3"/>
  <c r="BQ197" i="3"/>
  <c r="BP197" i="3"/>
  <c r="BO197" i="3"/>
  <c r="BN197" i="3"/>
  <c r="BM197" i="3"/>
  <c r="BL197" i="3"/>
  <c r="BK197" i="3"/>
  <c r="BJ197" i="3"/>
  <c r="BI197" i="3"/>
  <c r="BH197" i="3"/>
  <c r="BG197" i="3"/>
  <c r="BF197" i="3"/>
  <c r="BE197" i="3"/>
  <c r="BD197" i="3"/>
  <c r="BC197" i="3"/>
  <c r="BB197" i="3"/>
  <c r="BA197" i="3"/>
  <c r="AZ197" i="3"/>
  <c r="AX197" i="3"/>
  <c r="AR197" i="3"/>
  <c r="AK197" i="3"/>
  <c r="AJ197" i="3"/>
  <c r="AF197" i="3"/>
  <c r="AE197" i="3"/>
  <c r="AD197" i="3"/>
  <c r="AC197" i="3"/>
  <c r="Z197" i="3"/>
  <c r="Y197" i="3"/>
  <c r="X197" i="3"/>
  <c r="W197" i="3"/>
  <c r="V197" i="3"/>
  <c r="U197" i="3"/>
  <c r="AY197" i="3" s="1"/>
  <c r="T197" i="3"/>
  <c r="R197" i="3"/>
  <c r="Q197" i="3"/>
  <c r="M197" i="3"/>
  <c r="K197" i="3"/>
  <c r="J197" i="3"/>
  <c r="I197" i="3"/>
  <c r="D197" i="3"/>
  <c r="DW206" i="3"/>
  <c r="DV206" i="3"/>
  <c r="DU206" i="3"/>
  <c r="DT206" i="3"/>
  <c r="DS206" i="3"/>
  <c r="DR206" i="3"/>
  <c r="DQ206" i="3"/>
  <c r="DP206" i="3"/>
  <c r="DO206" i="3"/>
  <c r="DN206" i="3"/>
  <c r="DM206" i="3"/>
  <c r="DL206" i="3"/>
  <c r="DK206" i="3"/>
  <c r="DJ206" i="3"/>
  <c r="DI206" i="3"/>
  <c r="DH206" i="3"/>
  <c r="DG206" i="3"/>
  <c r="DF206" i="3"/>
  <c r="DE206" i="3"/>
  <c r="DD206" i="3"/>
  <c r="DC206" i="3"/>
  <c r="DB206" i="3"/>
  <c r="DA206" i="3"/>
  <c r="CZ206" i="3"/>
  <c r="CY206" i="3"/>
  <c r="CX206" i="3"/>
  <c r="CW206" i="3"/>
  <c r="CV206" i="3"/>
  <c r="CU206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C206" i="3"/>
  <c r="CB206" i="3"/>
  <c r="CA206" i="3"/>
  <c r="BZ206" i="3"/>
  <c r="BY206" i="3"/>
  <c r="BX206" i="3"/>
  <c r="BW206" i="3"/>
  <c r="BV206" i="3"/>
  <c r="BU206" i="3"/>
  <c r="BT206" i="3"/>
  <c r="BS206" i="3"/>
  <c r="BR206" i="3"/>
  <c r="BQ206" i="3"/>
  <c r="BP206" i="3"/>
  <c r="BO206" i="3"/>
  <c r="BN206" i="3"/>
  <c r="BM206" i="3"/>
  <c r="BL206" i="3"/>
  <c r="BK206" i="3"/>
  <c r="BJ206" i="3"/>
  <c r="BI206" i="3"/>
  <c r="BH206" i="3"/>
  <c r="BG206" i="3"/>
  <c r="BF206" i="3"/>
  <c r="BE206" i="3"/>
  <c r="BD206" i="3"/>
  <c r="BC206" i="3"/>
  <c r="BB206" i="3"/>
  <c r="BA206" i="3"/>
  <c r="AZ206" i="3"/>
  <c r="AP206" i="3"/>
  <c r="AI206" i="3"/>
  <c r="AH206" i="3"/>
  <c r="AT206" i="3" s="1"/>
  <c r="AD206" i="3"/>
  <c r="Y206" i="3"/>
  <c r="X206" i="3"/>
  <c r="W206" i="3"/>
  <c r="V206" i="3"/>
  <c r="U206" i="3"/>
  <c r="AY206" i="3" s="1"/>
  <c r="T206" i="3"/>
  <c r="R206" i="3"/>
  <c r="Q206" i="3"/>
  <c r="M206" i="3"/>
  <c r="K206" i="3"/>
  <c r="J206" i="3"/>
  <c r="I206" i="3"/>
  <c r="D206" i="3"/>
  <c r="DW207" i="3"/>
  <c r="DV207" i="3"/>
  <c r="DU207" i="3"/>
  <c r="DT207" i="3"/>
  <c r="DS207" i="3"/>
  <c r="DR207" i="3"/>
  <c r="DQ207" i="3"/>
  <c r="DP207" i="3"/>
  <c r="DO207" i="3"/>
  <c r="DN207" i="3"/>
  <c r="DM207" i="3"/>
  <c r="DL207" i="3"/>
  <c r="DK207" i="3"/>
  <c r="DJ207" i="3"/>
  <c r="DI207" i="3"/>
  <c r="DH207" i="3"/>
  <c r="DG207" i="3"/>
  <c r="DF207" i="3"/>
  <c r="DE207" i="3"/>
  <c r="DD207" i="3"/>
  <c r="DC207" i="3"/>
  <c r="DB207" i="3"/>
  <c r="DA207" i="3"/>
  <c r="CZ207" i="3"/>
  <c r="CY207" i="3"/>
  <c r="CX207" i="3"/>
  <c r="CW207" i="3"/>
  <c r="CV207" i="3"/>
  <c r="CU207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C207" i="3"/>
  <c r="CB207" i="3"/>
  <c r="CA207" i="3"/>
  <c r="BZ207" i="3"/>
  <c r="BY207" i="3"/>
  <c r="BX207" i="3"/>
  <c r="BW207" i="3"/>
  <c r="BV207" i="3"/>
  <c r="BU207" i="3"/>
  <c r="BT207" i="3"/>
  <c r="BS207" i="3"/>
  <c r="BR207" i="3"/>
  <c r="BQ207" i="3"/>
  <c r="BP207" i="3"/>
  <c r="BO207" i="3"/>
  <c r="BN207" i="3"/>
  <c r="BM207" i="3"/>
  <c r="BL207" i="3"/>
  <c r="BK207" i="3"/>
  <c r="BJ207" i="3"/>
  <c r="BI207" i="3"/>
  <c r="BH207" i="3"/>
  <c r="BG207" i="3"/>
  <c r="BF207" i="3"/>
  <c r="BE207" i="3"/>
  <c r="BD207" i="3"/>
  <c r="BC207" i="3"/>
  <c r="BB207" i="3"/>
  <c r="BA207" i="3"/>
  <c r="AZ207" i="3"/>
  <c r="U207" i="3"/>
  <c r="T207" i="3"/>
  <c r="R207" i="3"/>
  <c r="Q207" i="3"/>
  <c r="M207" i="3"/>
  <c r="K207" i="3"/>
  <c r="J207" i="3"/>
  <c r="I207" i="3"/>
  <c r="D207" i="3"/>
  <c r="DW202" i="3"/>
  <c r="DV202" i="3"/>
  <c r="DU202" i="3"/>
  <c r="DT202" i="3"/>
  <c r="DS202" i="3"/>
  <c r="DR202" i="3"/>
  <c r="DQ202" i="3"/>
  <c r="DP202" i="3"/>
  <c r="DO202" i="3"/>
  <c r="DN202" i="3"/>
  <c r="DM202" i="3"/>
  <c r="DL202" i="3"/>
  <c r="DK202" i="3"/>
  <c r="DJ202" i="3"/>
  <c r="DI202" i="3"/>
  <c r="DH202" i="3"/>
  <c r="DG202" i="3"/>
  <c r="DF202" i="3"/>
  <c r="DE202" i="3"/>
  <c r="DD202" i="3"/>
  <c r="DC202" i="3"/>
  <c r="DB202" i="3"/>
  <c r="DA202" i="3"/>
  <c r="CZ202" i="3"/>
  <c r="CY202" i="3"/>
  <c r="CX202" i="3"/>
  <c r="CW202" i="3"/>
  <c r="CV202" i="3"/>
  <c r="CU202" i="3"/>
  <c r="CT202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CA202" i="3"/>
  <c r="BZ202" i="3"/>
  <c r="BY202" i="3"/>
  <c r="BX202" i="3"/>
  <c r="BW202" i="3"/>
  <c r="BV202" i="3"/>
  <c r="BU202" i="3"/>
  <c r="BT202" i="3"/>
  <c r="BS202" i="3"/>
  <c r="BR202" i="3"/>
  <c r="BQ202" i="3"/>
  <c r="BP202" i="3"/>
  <c r="BO202" i="3"/>
  <c r="BN202" i="3"/>
  <c r="BM202" i="3"/>
  <c r="BL202" i="3"/>
  <c r="BK202" i="3"/>
  <c r="BJ202" i="3"/>
  <c r="BI202" i="3"/>
  <c r="BH202" i="3"/>
  <c r="BG202" i="3"/>
  <c r="BF202" i="3"/>
  <c r="BE202" i="3"/>
  <c r="BD202" i="3"/>
  <c r="BC202" i="3"/>
  <c r="BB202" i="3"/>
  <c r="BA202" i="3"/>
  <c r="AZ202" i="3"/>
  <c r="AR202" i="3"/>
  <c r="AO202" i="3"/>
  <c r="AN202" i="3"/>
  <c r="AK202" i="3"/>
  <c r="AJ202" i="3"/>
  <c r="AI202" i="3"/>
  <c r="AH202" i="3"/>
  <c r="AT202" i="3" s="1"/>
  <c r="AF202" i="3"/>
  <c r="AE202" i="3"/>
  <c r="AD202" i="3"/>
  <c r="AC202" i="3"/>
  <c r="V202" i="3"/>
  <c r="U202" i="3"/>
  <c r="AY202" i="3" s="1"/>
  <c r="T202" i="3"/>
  <c r="R202" i="3"/>
  <c r="Q202" i="3"/>
  <c r="M202" i="3"/>
  <c r="K202" i="3"/>
  <c r="J202" i="3"/>
  <c r="I202" i="3"/>
  <c r="D202" i="3"/>
  <c r="DW200" i="3"/>
  <c r="DV200" i="3"/>
  <c r="DU200" i="3"/>
  <c r="DT200" i="3"/>
  <c r="DS200" i="3"/>
  <c r="DR200" i="3"/>
  <c r="DQ200" i="3"/>
  <c r="DP200" i="3"/>
  <c r="DO200" i="3"/>
  <c r="DN200" i="3"/>
  <c r="DM200" i="3"/>
  <c r="DL200" i="3"/>
  <c r="DK200" i="3"/>
  <c r="DJ200" i="3"/>
  <c r="DI200" i="3"/>
  <c r="DH200" i="3"/>
  <c r="DG200" i="3"/>
  <c r="DF200" i="3"/>
  <c r="DE200" i="3"/>
  <c r="DD200" i="3"/>
  <c r="DC200" i="3"/>
  <c r="DB200" i="3"/>
  <c r="DA200" i="3"/>
  <c r="CZ200" i="3"/>
  <c r="CY200" i="3"/>
  <c r="CX200" i="3"/>
  <c r="CW200" i="3"/>
  <c r="CV200" i="3"/>
  <c r="CU200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CA200" i="3"/>
  <c r="BZ200" i="3"/>
  <c r="BY200" i="3"/>
  <c r="BX200" i="3"/>
  <c r="BW200" i="3"/>
  <c r="BV200" i="3"/>
  <c r="BU200" i="3"/>
  <c r="BT200" i="3"/>
  <c r="BS200" i="3"/>
  <c r="BR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C200" i="3"/>
  <c r="BB200" i="3"/>
  <c r="BA200" i="3"/>
  <c r="AZ200" i="3"/>
  <c r="AI200" i="3"/>
  <c r="AH200" i="3"/>
  <c r="AT200" i="3" s="1"/>
  <c r="AC200" i="3"/>
  <c r="Z200" i="3"/>
  <c r="Y200" i="3"/>
  <c r="X200" i="3"/>
  <c r="W200" i="3"/>
  <c r="U200" i="3"/>
  <c r="AY200" i="3" s="1"/>
  <c r="T200" i="3"/>
  <c r="R200" i="3"/>
  <c r="Q200" i="3"/>
  <c r="M200" i="3"/>
  <c r="K200" i="3"/>
  <c r="J200" i="3"/>
  <c r="I200" i="3"/>
  <c r="D200" i="3"/>
  <c r="DW194" i="3"/>
  <c r="DV194" i="3"/>
  <c r="DU194" i="3"/>
  <c r="DT194" i="3"/>
  <c r="DS194" i="3"/>
  <c r="DR194" i="3"/>
  <c r="DQ194" i="3"/>
  <c r="DP194" i="3"/>
  <c r="DO194" i="3"/>
  <c r="DN194" i="3"/>
  <c r="DM194" i="3"/>
  <c r="DL194" i="3"/>
  <c r="DK194" i="3"/>
  <c r="DJ194" i="3"/>
  <c r="DI194" i="3"/>
  <c r="DH194" i="3"/>
  <c r="DG194" i="3"/>
  <c r="DF194" i="3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W194" i="3"/>
  <c r="BV194" i="3"/>
  <c r="BU194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C194" i="3"/>
  <c r="BB194" i="3"/>
  <c r="BA194" i="3"/>
  <c r="AZ194" i="3"/>
  <c r="U194" i="3"/>
  <c r="T194" i="3"/>
  <c r="R194" i="3"/>
  <c r="Q194" i="3"/>
  <c r="M194" i="3"/>
  <c r="K194" i="3"/>
  <c r="J194" i="3"/>
  <c r="I194" i="3"/>
  <c r="D194" i="3"/>
  <c r="DW196" i="3"/>
  <c r="DV196" i="3"/>
  <c r="DU196" i="3"/>
  <c r="DT196" i="3"/>
  <c r="DS196" i="3"/>
  <c r="DR196" i="3"/>
  <c r="DQ196" i="3"/>
  <c r="DP196" i="3"/>
  <c r="DO196" i="3"/>
  <c r="DN196" i="3"/>
  <c r="DM196" i="3"/>
  <c r="DL196" i="3"/>
  <c r="DK196" i="3"/>
  <c r="DJ196" i="3"/>
  <c r="DI196" i="3"/>
  <c r="DH196" i="3"/>
  <c r="DG196" i="3"/>
  <c r="DF196" i="3"/>
  <c r="DE196" i="3"/>
  <c r="DD196" i="3"/>
  <c r="DC196" i="3"/>
  <c r="DB196" i="3"/>
  <c r="DA196" i="3"/>
  <c r="CY196" i="3"/>
  <c r="CX196" i="3"/>
  <c r="CW196" i="3"/>
  <c r="CV196" i="3"/>
  <c r="CU196" i="3"/>
  <c r="CT196" i="3"/>
  <c r="CS196" i="3"/>
  <c r="CR196" i="3"/>
  <c r="CQ196" i="3"/>
  <c r="CP196" i="3"/>
  <c r="CO196" i="3"/>
  <c r="CN196" i="3"/>
  <c r="CM196" i="3"/>
  <c r="CL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BV196" i="3"/>
  <c r="BU196" i="3"/>
  <c r="BT196" i="3"/>
  <c r="BS196" i="3"/>
  <c r="BR196" i="3"/>
  <c r="BQ196" i="3"/>
  <c r="BP196" i="3"/>
  <c r="BO196" i="3"/>
  <c r="BN196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BA196" i="3"/>
  <c r="AZ196" i="3"/>
  <c r="U196" i="3"/>
  <c r="T196" i="3"/>
  <c r="R196" i="3"/>
  <c r="Q196" i="3"/>
  <c r="M196" i="3"/>
  <c r="K196" i="3"/>
  <c r="J196" i="3"/>
  <c r="I196" i="3"/>
  <c r="D196" i="3"/>
  <c r="DW193" i="3"/>
  <c r="DV193" i="3"/>
  <c r="DU193" i="3"/>
  <c r="DT193" i="3"/>
  <c r="DS193" i="3"/>
  <c r="DR193" i="3"/>
  <c r="DQ193" i="3"/>
  <c r="DP193" i="3"/>
  <c r="DO193" i="3"/>
  <c r="DN193" i="3"/>
  <c r="DM193" i="3"/>
  <c r="DL193" i="3"/>
  <c r="DK193" i="3"/>
  <c r="DJ193" i="3"/>
  <c r="DI193" i="3"/>
  <c r="DH193" i="3"/>
  <c r="DG193" i="3"/>
  <c r="DF193" i="3"/>
  <c r="DE193" i="3"/>
  <c r="DD193" i="3"/>
  <c r="DC193" i="3"/>
  <c r="DB193" i="3"/>
  <c r="DA193" i="3"/>
  <c r="CY193" i="3"/>
  <c r="CX193" i="3"/>
  <c r="CW193" i="3"/>
  <c r="CV193" i="3"/>
  <c r="CU193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CA193" i="3"/>
  <c r="BZ193" i="3"/>
  <c r="BY193" i="3"/>
  <c r="BX193" i="3"/>
  <c r="BW193" i="3"/>
  <c r="BV193" i="3"/>
  <c r="BU193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C193" i="3"/>
  <c r="BB193" i="3"/>
  <c r="BA193" i="3"/>
  <c r="AZ193" i="3"/>
  <c r="AY193" i="3"/>
  <c r="AU193" i="3"/>
  <c r="AT193" i="3"/>
  <c r="AJ193" i="3"/>
  <c r="AI193" i="3"/>
  <c r="AH193" i="3"/>
  <c r="AD193" i="3"/>
  <c r="AC193" i="3"/>
  <c r="U193" i="3"/>
  <c r="T193" i="3"/>
  <c r="R193" i="3"/>
  <c r="Q193" i="3"/>
  <c r="M193" i="3"/>
  <c r="K193" i="3"/>
  <c r="J193" i="3"/>
  <c r="I193" i="3"/>
  <c r="D193" i="3"/>
  <c r="DW188" i="3"/>
  <c r="DV188" i="3"/>
  <c r="DU188" i="3"/>
  <c r="DT188" i="3"/>
  <c r="DS188" i="3"/>
  <c r="DR188" i="3"/>
  <c r="DQ188" i="3"/>
  <c r="DP188" i="3"/>
  <c r="DO188" i="3"/>
  <c r="DN188" i="3"/>
  <c r="DM188" i="3"/>
  <c r="DL188" i="3"/>
  <c r="DK188" i="3"/>
  <c r="DJ188" i="3"/>
  <c r="DI188" i="3"/>
  <c r="DH188" i="3"/>
  <c r="DG188" i="3"/>
  <c r="DF188" i="3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W188" i="3"/>
  <c r="BV188" i="3"/>
  <c r="BU188" i="3"/>
  <c r="BT188" i="3"/>
  <c r="BS188" i="3"/>
  <c r="BR188" i="3"/>
  <c r="BQ188" i="3"/>
  <c r="BP188" i="3"/>
  <c r="BO188" i="3"/>
  <c r="BN188" i="3"/>
  <c r="BM188" i="3"/>
  <c r="BL188" i="3"/>
  <c r="BK188" i="3"/>
  <c r="BJ188" i="3"/>
  <c r="BI188" i="3"/>
  <c r="BH188" i="3"/>
  <c r="BG188" i="3"/>
  <c r="BF188" i="3"/>
  <c r="BE188" i="3"/>
  <c r="BD188" i="3"/>
  <c r="BC188" i="3"/>
  <c r="BB188" i="3"/>
  <c r="BA188" i="3"/>
  <c r="AZ188" i="3"/>
  <c r="Z188" i="3"/>
  <c r="Y188" i="3"/>
  <c r="X188" i="3"/>
  <c r="W188" i="3"/>
  <c r="V188" i="3"/>
  <c r="U188" i="3"/>
  <c r="AY188" i="3" s="1"/>
  <c r="T188" i="3"/>
  <c r="R188" i="3"/>
  <c r="Q188" i="3"/>
  <c r="N188" i="3"/>
  <c r="M188" i="3"/>
  <c r="K188" i="3"/>
  <c r="J188" i="3"/>
  <c r="I188" i="3"/>
  <c r="D188" i="3"/>
  <c r="DW189" i="3"/>
  <c r="DV189" i="3"/>
  <c r="DU189" i="3"/>
  <c r="DT189" i="3"/>
  <c r="DS189" i="3"/>
  <c r="DR189" i="3"/>
  <c r="DQ189" i="3"/>
  <c r="DP189" i="3"/>
  <c r="DO189" i="3"/>
  <c r="DN189" i="3"/>
  <c r="DM189" i="3"/>
  <c r="DL189" i="3"/>
  <c r="DK189" i="3"/>
  <c r="DJ189" i="3"/>
  <c r="DI189" i="3"/>
  <c r="DH189" i="3"/>
  <c r="DG189" i="3"/>
  <c r="DF189" i="3"/>
  <c r="DE189" i="3"/>
  <c r="DD189" i="3"/>
  <c r="DC189" i="3"/>
  <c r="DB189" i="3"/>
  <c r="DA189" i="3"/>
  <c r="CY189" i="3"/>
  <c r="CX189" i="3"/>
  <c r="CW189" i="3"/>
  <c r="CV189" i="3"/>
  <c r="CU189" i="3"/>
  <c r="CT189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B189" i="3"/>
  <c r="CA189" i="3"/>
  <c r="BZ189" i="3"/>
  <c r="BY189" i="3"/>
  <c r="BX189" i="3"/>
  <c r="BW189" i="3"/>
  <c r="BV189" i="3"/>
  <c r="BU189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C189" i="3"/>
  <c r="BB189" i="3"/>
  <c r="BA189" i="3"/>
  <c r="AZ189" i="3"/>
  <c r="AY189" i="3"/>
  <c r="AD189" i="3"/>
  <c r="Z189" i="3"/>
  <c r="X189" i="3"/>
  <c r="W189" i="3"/>
  <c r="V189" i="3"/>
  <c r="U189" i="3"/>
  <c r="T189" i="3"/>
  <c r="R189" i="3"/>
  <c r="Q189" i="3"/>
  <c r="M189" i="3"/>
  <c r="K189" i="3"/>
  <c r="J189" i="3"/>
  <c r="I189" i="3"/>
  <c r="D189" i="3"/>
  <c r="DW192" i="3"/>
  <c r="DV192" i="3"/>
  <c r="DU192" i="3"/>
  <c r="DT192" i="3"/>
  <c r="DS192" i="3"/>
  <c r="DR192" i="3"/>
  <c r="DQ192" i="3"/>
  <c r="DP192" i="3"/>
  <c r="DO192" i="3"/>
  <c r="DN192" i="3"/>
  <c r="DM192" i="3"/>
  <c r="DL192" i="3"/>
  <c r="DK192" i="3"/>
  <c r="DJ192" i="3"/>
  <c r="DI192" i="3"/>
  <c r="DH192" i="3"/>
  <c r="DG192" i="3"/>
  <c r="DF192" i="3"/>
  <c r="DE192" i="3"/>
  <c r="DD192" i="3"/>
  <c r="DC192" i="3"/>
  <c r="DB192" i="3"/>
  <c r="DA192" i="3"/>
  <c r="CZ192" i="3"/>
  <c r="CY192" i="3"/>
  <c r="CX192" i="3"/>
  <c r="CW192" i="3"/>
  <c r="CV192" i="3"/>
  <c r="CU192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CA192" i="3"/>
  <c r="BZ192" i="3"/>
  <c r="BY192" i="3"/>
  <c r="BX192" i="3"/>
  <c r="BW192" i="3"/>
  <c r="BV192" i="3"/>
  <c r="BU192" i="3"/>
  <c r="BT192" i="3"/>
  <c r="BS192" i="3"/>
  <c r="BR192" i="3"/>
  <c r="BQ192" i="3"/>
  <c r="BP192" i="3"/>
  <c r="BO192" i="3"/>
  <c r="BN192" i="3"/>
  <c r="BM192" i="3"/>
  <c r="BL192" i="3"/>
  <c r="BK192" i="3"/>
  <c r="BJ192" i="3"/>
  <c r="BI192" i="3"/>
  <c r="BH192" i="3"/>
  <c r="BG192" i="3"/>
  <c r="BF192" i="3"/>
  <c r="BE192" i="3"/>
  <c r="BD192" i="3"/>
  <c r="BC192" i="3"/>
  <c r="BB192" i="3"/>
  <c r="BA192" i="3"/>
  <c r="AZ192" i="3"/>
  <c r="AI192" i="3"/>
  <c r="AH192" i="3"/>
  <c r="AT192" i="3" s="1"/>
  <c r="AC192" i="3"/>
  <c r="Z192" i="3"/>
  <c r="Y192" i="3"/>
  <c r="X192" i="3"/>
  <c r="U192" i="3"/>
  <c r="AY192" i="3" s="1"/>
  <c r="T192" i="3"/>
  <c r="R192" i="3"/>
  <c r="Q192" i="3"/>
  <c r="N192" i="3"/>
  <c r="M192" i="3"/>
  <c r="K192" i="3"/>
  <c r="J192" i="3"/>
  <c r="I192" i="3"/>
  <c r="D192" i="3"/>
  <c r="DW195" i="3"/>
  <c r="DV195" i="3"/>
  <c r="DU195" i="3"/>
  <c r="DT195" i="3"/>
  <c r="DS195" i="3"/>
  <c r="DR195" i="3"/>
  <c r="DQ195" i="3"/>
  <c r="DP195" i="3"/>
  <c r="DO195" i="3"/>
  <c r="DN195" i="3"/>
  <c r="DM195" i="3"/>
  <c r="DL195" i="3"/>
  <c r="DK195" i="3"/>
  <c r="DJ195" i="3"/>
  <c r="DI195" i="3"/>
  <c r="DH195" i="3"/>
  <c r="DG195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BV195" i="3"/>
  <c r="BU195" i="3"/>
  <c r="BT195" i="3"/>
  <c r="BS195" i="3"/>
  <c r="BR195" i="3"/>
  <c r="BQ195" i="3"/>
  <c r="BP195" i="3"/>
  <c r="BO195" i="3"/>
  <c r="BN195" i="3"/>
  <c r="BM195" i="3"/>
  <c r="BL195" i="3"/>
  <c r="BK195" i="3"/>
  <c r="BJ195" i="3"/>
  <c r="BI195" i="3"/>
  <c r="BH195" i="3"/>
  <c r="BG195" i="3"/>
  <c r="BF195" i="3"/>
  <c r="BE195" i="3"/>
  <c r="BD195" i="3"/>
  <c r="BC195" i="3"/>
  <c r="BB195" i="3"/>
  <c r="BA195" i="3"/>
  <c r="AZ195" i="3"/>
  <c r="AH195" i="3"/>
  <c r="AT195" i="3" s="1"/>
  <c r="AD195" i="3"/>
  <c r="AC195" i="3"/>
  <c r="Z195" i="3"/>
  <c r="Y195" i="3"/>
  <c r="X195" i="3"/>
  <c r="W195" i="3"/>
  <c r="U195" i="3"/>
  <c r="AY195" i="3" s="1"/>
  <c r="T195" i="3"/>
  <c r="R195" i="3"/>
  <c r="Q195" i="3"/>
  <c r="M195" i="3"/>
  <c r="K195" i="3"/>
  <c r="J195" i="3"/>
  <c r="I195" i="3"/>
  <c r="D195" i="3"/>
  <c r="DW190" i="3"/>
  <c r="DV190" i="3"/>
  <c r="DU190" i="3"/>
  <c r="DT190" i="3"/>
  <c r="DS190" i="3"/>
  <c r="DR190" i="3"/>
  <c r="DQ190" i="3"/>
  <c r="DP190" i="3"/>
  <c r="DO190" i="3"/>
  <c r="DN190" i="3"/>
  <c r="DM190" i="3"/>
  <c r="DL190" i="3"/>
  <c r="DK190" i="3"/>
  <c r="DJ190" i="3"/>
  <c r="DI190" i="3"/>
  <c r="DH190" i="3"/>
  <c r="DG190" i="3"/>
  <c r="DF190" i="3"/>
  <c r="DE190" i="3"/>
  <c r="DD190" i="3"/>
  <c r="DC190" i="3"/>
  <c r="DB190" i="3"/>
  <c r="DA190" i="3"/>
  <c r="CZ190" i="3"/>
  <c r="CY190" i="3"/>
  <c r="CX190" i="3"/>
  <c r="CW190" i="3"/>
  <c r="CV190" i="3"/>
  <c r="CU190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CA190" i="3"/>
  <c r="BZ190" i="3"/>
  <c r="BY190" i="3"/>
  <c r="BX190" i="3"/>
  <c r="BW190" i="3"/>
  <c r="BV190" i="3"/>
  <c r="BU190" i="3"/>
  <c r="BT190" i="3"/>
  <c r="BS190" i="3"/>
  <c r="BR190" i="3"/>
  <c r="BQ190" i="3"/>
  <c r="BP190" i="3"/>
  <c r="BO190" i="3"/>
  <c r="BN190" i="3"/>
  <c r="BM190" i="3"/>
  <c r="BL190" i="3"/>
  <c r="BK190" i="3"/>
  <c r="BJ190" i="3"/>
  <c r="BI190" i="3"/>
  <c r="BH190" i="3"/>
  <c r="BG190" i="3"/>
  <c r="BF190" i="3"/>
  <c r="BE190" i="3"/>
  <c r="BD190" i="3"/>
  <c r="BC190" i="3"/>
  <c r="BB190" i="3"/>
  <c r="BA190" i="3"/>
  <c r="AZ190" i="3"/>
  <c r="AV190" i="3"/>
  <c r="AK190" i="3"/>
  <c r="AI190" i="3"/>
  <c r="AH190" i="3"/>
  <c r="AT190" i="3" s="1"/>
  <c r="Y190" i="3"/>
  <c r="X190" i="3"/>
  <c r="W190" i="3"/>
  <c r="V190" i="3"/>
  <c r="U190" i="3"/>
  <c r="AY190" i="3" s="1"/>
  <c r="T190" i="3"/>
  <c r="R190" i="3"/>
  <c r="Q190" i="3"/>
  <c r="N190" i="3"/>
  <c r="M190" i="3"/>
  <c r="K190" i="3"/>
  <c r="J190" i="3"/>
  <c r="I190" i="3"/>
  <c r="D190" i="3"/>
  <c r="DW184" i="3"/>
  <c r="DV184" i="3"/>
  <c r="DU184" i="3"/>
  <c r="DT184" i="3"/>
  <c r="DS184" i="3"/>
  <c r="DR184" i="3"/>
  <c r="DQ184" i="3"/>
  <c r="DP184" i="3"/>
  <c r="DO184" i="3"/>
  <c r="DN184" i="3"/>
  <c r="DM184" i="3"/>
  <c r="DL184" i="3"/>
  <c r="DK184" i="3"/>
  <c r="DJ184" i="3"/>
  <c r="DI184" i="3"/>
  <c r="DH184" i="3"/>
  <c r="DG184" i="3"/>
  <c r="DF184" i="3"/>
  <c r="DE184" i="3"/>
  <c r="DD184" i="3"/>
  <c r="DC184" i="3"/>
  <c r="DB184" i="3"/>
  <c r="DA184" i="3"/>
  <c r="CZ184" i="3"/>
  <c r="CY184" i="3"/>
  <c r="CX184" i="3"/>
  <c r="CW184" i="3"/>
  <c r="CV184" i="3"/>
  <c r="CU184" i="3"/>
  <c r="CT184" i="3"/>
  <c r="CS184" i="3"/>
  <c r="CR184" i="3"/>
  <c r="CQ184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CA184" i="3"/>
  <c r="BZ184" i="3"/>
  <c r="BY184" i="3"/>
  <c r="BX184" i="3"/>
  <c r="BW184" i="3"/>
  <c r="BV184" i="3"/>
  <c r="BU184" i="3"/>
  <c r="BT184" i="3"/>
  <c r="BS184" i="3"/>
  <c r="BR184" i="3"/>
  <c r="BQ184" i="3"/>
  <c r="BP184" i="3"/>
  <c r="BO184" i="3"/>
  <c r="BN184" i="3"/>
  <c r="BM184" i="3"/>
  <c r="BL184" i="3"/>
  <c r="BK184" i="3"/>
  <c r="BJ184" i="3"/>
  <c r="BI184" i="3"/>
  <c r="BH184" i="3"/>
  <c r="BG184" i="3"/>
  <c r="BF184" i="3"/>
  <c r="BE184" i="3"/>
  <c r="BD184" i="3"/>
  <c r="BC184" i="3"/>
  <c r="BB184" i="3"/>
  <c r="BA184" i="3"/>
  <c r="AZ184" i="3"/>
  <c r="AI184" i="3"/>
  <c r="AH184" i="3"/>
  <c r="AT184" i="3" s="1"/>
  <c r="AF184" i="3"/>
  <c r="AE184" i="3"/>
  <c r="AD184" i="3"/>
  <c r="AC184" i="3"/>
  <c r="Z184" i="3"/>
  <c r="Y184" i="3"/>
  <c r="U184" i="3"/>
  <c r="AY184" i="3" s="1"/>
  <c r="T184" i="3"/>
  <c r="R184" i="3"/>
  <c r="Q184" i="3"/>
  <c r="M184" i="3"/>
  <c r="K184" i="3"/>
  <c r="J184" i="3"/>
  <c r="I184" i="3"/>
  <c r="D184" i="3"/>
  <c r="DW183" i="3"/>
  <c r="DV183" i="3"/>
  <c r="DU183" i="3"/>
  <c r="DT183" i="3"/>
  <c r="DS183" i="3"/>
  <c r="DR183" i="3"/>
  <c r="DQ183" i="3"/>
  <c r="DP183" i="3"/>
  <c r="DO183" i="3"/>
  <c r="DN183" i="3"/>
  <c r="DM183" i="3"/>
  <c r="DL183" i="3"/>
  <c r="DK183" i="3"/>
  <c r="DJ183" i="3"/>
  <c r="DI183" i="3"/>
  <c r="DH183" i="3"/>
  <c r="DG183" i="3"/>
  <c r="DF183" i="3"/>
  <c r="DE183" i="3"/>
  <c r="DD183" i="3"/>
  <c r="DC183" i="3"/>
  <c r="DB183" i="3"/>
  <c r="DA183" i="3"/>
  <c r="CZ183" i="3"/>
  <c r="CY183" i="3"/>
  <c r="CX183" i="3"/>
  <c r="CW183" i="3"/>
  <c r="CV183" i="3"/>
  <c r="CU183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C183" i="3"/>
  <c r="CB183" i="3"/>
  <c r="CA183" i="3"/>
  <c r="BZ183" i="3"/>
  <c r="BY183" i="3"/>
  <c r="BX183" i="3"/>
  <c r="BW183" i="3"/>
  <c r="BV183" i="3"/>
  <c r="BU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C183" i="3"/>
  <c r="BB183" i="3"/>
  <c r="BA183" i="3"/>
  <c r="AZ183" i="3"/>
  <c r="AY183" i="3"/>
  <c r="AJ183" i="3"/>
  <c r="AI183" i="3"/>
  <c r="AC183" i="3"/>
  <c r="Z183" i="3"/>
  <c r="Y183" i="3"/>
  <c r="X183" i="3"/>
  <c r="U183" i="3"/>
  <c r="T183" i="3"/>
  <c r="R183" i="3"/>
  <c r="Q183" i="3"/>
  <c r="M183" i="3"/>
  <c r="K183" i="3"/>
  <c r="J183" i="3"/>
  <c r="I183" i="3"/>
  <c r="D183" i="3"/>
  <c r="DW191" i="3"/>
  <c r="DV191" i="3"/>
  <c r="DU191" i="3"/>
  <c r="DT191" i="3"/>
  <c r="DS191" i="3"/>
  <c r="DR191" i="3"/>
  <c r="DQ191" i="3"/>
  <c r="DP191" i="3"/>
  <c r="DO191" i="3"/>
  <c r="DN191" i="3"/>
  <c r="DM191" i="3"/>
  <c r="DL191" i="3"/>
  <c r="DK191" i="3"/>
  <c r="DJ191" i="3"/>
  <c r="DI191" i="3"/>
  <c r="DH191" i="3"/>
  <c r="DG191" i="3"/>
  <c r="DF191" i="3"/>
  <c r="DE191" i="3"/>
  <c r="DD191" i="3"/>
  <c r="DC191" i="3"/>
  <c r="DB191" i="3"/>
  <c r="DA191" i="3"/>
  <c r="CY191" i="3"/>
  <c r="CX191" i="3"/>
  <c r="CW191" i="3"/>
  <c r="CV191" i="3"/>
  <c r="CU191" i="3"/>
  <c r="CT191" i="3"/>
  <c r="CS191" i="3"/>
  <c r="CR191" i="3"/>
  <c r="CQ191" i="3"/>
  <c r="CP191" i="3"/>
  <c r="CO191" i="3"/>
  <c r="CN191" i="3"/>
  <c r="CM191" i="3"/>
  <c r="CL191" i="3"/>
  <c r="CJ191" i="3"/>
  <c r="CI191" i="3"/>
  <c r="CH191" i="3"/>
  <c r="CG191" i="3"/>
  <c r="CF191" i="3"/>
  <c r="CE191" i="3"/>
  <c r="CD191" i="3"/>
  <c r="CC191" i="3"/>
  <c r="CB191" i="3"/>
  <c r="CA191" i="3"/>
  <c r="BZ191" i="3"/>
  <c r="BY191" i="3"/>
  <c r="BX191" i="3"/>
  <c r="BW191" i="3"/>
  <c r="BV191" i="3"/>
  <c r="BU191" i="3"/>
  <c r="BT191" i="3"/>
  <c r="BS191" i="3"/>
  <c r="BR191" i="3"/>
  <c r="BQ191" i="3"/>
  <c r="BP191" i="3"/>
  <c r="BO191" i="3"/>
  <c r="BN191" i="3"/>
  <c r="BM191" i="3"/>
  <c r="BL191" i="3"/>
  <c r="BK191" i="3"/>
  <c r="BJ191" i="3"/>
  <c r="BI191" i="3"/>
  <c r="BH191" i="3"/>
  <c r="BG191" i="3"/>
  <c r="BF191" i="3"/>
  <c r="BE191" i="3"/>
  <c r="BD191" i="3"/>
  <c r="BC191" i="3"/>
  <c r="BB191" i="3"/>
  <c r="BA191" i="3"/>
  <c r="AZ191" i="3"/>
  <c r="U191" i="3"/>
  <c r="T191" i="3"/>
  <c r="R191" i="3"/>
  <c r="Q191" i="3"/>
  <c r="M191" i="3"/>
  <c r="K191" i="3"/>
  <c r="J191" i="3"/>
  <c r="I191" i="3"/>
  <c r="D191" i="3"/>
  <c r="DW187" i="3"/>
  <c r="DV187" i="3"/>
  <c r="DU187" i="3"/>
  <c r="DT187" i="3"/>
  <c r="DS187" i="3"/>
  <c r="DR187" i="3"/>
  <c r="DQ187" i="3"/>
  <c r="DP187" i="3"/>
  <c r="DO187" i="3"/>
  <c r="DN187" i="3"/>
  <c r="DM187" i="3"/>
  <c r="DL187" i="3"/>
  <c r="DK187" i="3"/>
  <c r="DJ187" i="3"/>
  <c r="DI187" i="3"/>
  <c r="DH187" i="3"/>
  <c r="DG187" i="3"/>
  <c r="DF187" i="3"/>
  <c r="DE187" i="3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CA187" i="3"/>
  <c r="BZ187" i="3"/>
  <c r="BY187" i="3"/>
  <c r="BX187" i="3"/>
  <c r="BW187" i="3"/>
  <c r="BV187" i="3"/>
  <c r="BU187" i="3"/>
  <c r="BT187" i="3"/>
  <c r="BS187" i="3"/>
  <c r="BR187" i="3"/>
  <c r="BQ187" i="3"/>
  <c r="BP187" i="3"/>
  <c r="BO187" i="3"/>
  <c r="BN187" i="3"/>
  <c r="BM187" i="3"/>
  <c r="BL187" i="3"/>
  <c r="BK187" i="3"/>
  <c r="BJ187" i="3"/>
  <c r="BI187" i="3"/>
  <c r="BH187" i="3"/>
  <c r="BG187" i="3"/>
  <c r="BF187" i="3"/>
  <c r="BE187" i="3"/>
  <c r="BD187" i="3"/>
  <c r="BC187" i="3"/>
  <c r="BB187" i="3"/>
  <c r="BA187" i="3"/>
  <c r="AZ187" i="3"/>
  <c r="U187" i="3"/>
  <c r="T187" i="3"/>
  <c r="R187" i="3"/>
  <c r="Q187" i="3"/>
  <c r="M187" i="3"/>
  <c r="K187" i="3"/>
  <c r="J187" i="3"/>
  <c r="I187" i="3"/>
  <c r="D187" i="3"/>
  <c r="DW186" i="3"/>
  <c r="DV186" i="3"/>
  <c r="DU186" i="3"/>
  <c r="DT186" i="3"/>
  <c r="DS186" i="3"/>
  <c r="DR186" i="3"/>
  <c r="DQ186" i="3"/>
  <c r="DP186" i="3"/>
  <c r="DO186" i="3"/>
  <c r="DN186" i="3"/>
  <c r="DM186" i="3"/>
  <c r="DL186" i="3"/>
  <c r="DK186" i="3"/>
  <c r="DJ186" i="3"/>
  <c r="DI186" i="3"/>
  <c r="DH186" i="3"/>
  <c r="DG186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CA186" i="3"/>
  <c r="BZ186" i="3"/>
  <c r="BY186" i="3"/>
  <c r="BX186" i="3"/>
  <c r="BW186" i="3"/>
  <c r="BV186" i="3"/>
  <c r="BU186" i="3"/>
  <c r="BT186" i="3"/>
  <c r="BS186" i="3"/>
  <c r="BR186" i="3"/>
  <c r="BQ186" i="3"/>
  <c r="BP186" i="3"/>
  <c r="BO186" i="3"/>
  <c r="BN186" i="3"/>
  <c r="BM186" i="3"/>
  <c r="BL186" i="3"/>
  <c r="BK186" i="3"/>
  <c r="BJ186" i="3"/>
  <c r="BI186" i="3"/>
  <c r="BH186" i="3"/>
  <c r="BG186" i="3"/>
  <c r="BF186" i="3"/>
  <c r="BE186" i="3"/>
  <c r="BD186" i="3"/>
  <c r="BC186" i="3"/>
  <c r="BB186" i="3"/>
  <c r="BA186" i="3"/>
  <c r="AZ186" i="3"/>
  <c r="AY186" i="3"/>
  <c r="AP186" i="3"/>
  <c r="AO186" i="3"/>
  <c r="AH186" i="3"/>
  <c r="AD186" i="3"/>
  <c r="Z186" i="3"/>
  <c r="Y186" i="3"/>
  <c r="X186" i="3"/>
  <c r="V186" i="3"/>
  <c r="U186" i="3"/>
  <c r="T186" i="3"/>
  <c r="R186" i="3"/>
  <c r="Q186" i="3"/>
  <c r="M186" i="3"/>
  <c r="K186" i="3"/>
  <c r="J186" i="3"/>
  <c r="I186" i="3"/>
  <c r="D186" i="3"/>
  <c r="DW181" i="3"/>
  <c r="DV181" i="3"/>
  <c r="DU181" i="3"/>
  <c r="DT181" i="3"/>
  <c r="DS181" i="3"/>
  <c r="DR181" i="3"/>
  <c r="DQ181" i="3"/>
  <c r="DP181" i="3"/>
  <c r="DO181" i="3"/>
  <c r="DN181" i="3"/>
  <c r="DM181" i="3"/>
  <c r="DL181" i="3"/>
  <c r="DK181" i="3"/>
  <c r="DJ181" i="3"/>
  <c r="DI181" i="3"/>
  <c r="DH181" i="3"/>
  <c r="DG181" i="3"/>
  <c r="DF181" i="3"/>
  <c r="DE181" i="3"/>
  <c r="DD181" i="3"/>
  <c r="DC181" i="3"/>
  <c r="DB181" i="3"/>
  <c r="DA181" i="3"/>
  <c r="CZ181" i="3"/>
  <c r="CY181" i="3"/>
  <c r="CX181" i="3"/>
  <c r="CW181" i="3"/>
  <c r="CV181" i="3"/>
  <c r="CU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C181" i="3"/>
  <c r="CB181" i="3"/>
  <c r="CA181" i="3"/>
  <c r="BZ181" i="3"/>
  <c r="BY181" i="3"/>
  <c r="BX181" i="3"/>
  <c r="BW181" i="3"/>
  <c r="BV181" i="3"/>
  <c r="BU181" i="3"/>
  <c r="BT181" i="3"/>
  <c r="BS181" i="3"/>
  <c r="BR181" i="3"/>
  <c r="BQ181" i="3"/>
  <c r="BP181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BC181" i="3"/>
  <c r="BB181" i="3"/>
  <c r="BA181" i="3"/>
  <c r="AZ181" i="3"/>
  <c r="AI181" i="3"/>
  <c r="AH181" i="3"/>
  <c r="AT181" i="3" s="1"/>
  <c r="AD181" i="3"/>
  <c r="AC181" i="3"/>
  <c r="Z181" i="3"/>
  <c r="Y181" i="3"/>
  <c r="X181" i="3"/>
  <c r="U181" i="3"/>
  <c r="AY181" i="3" s="1"/>
  <c r="T181" i="3"/>
  <c r="R181" i="3"/>
  <c r="Q181" i="3"/>
  <c r="M181" i="3"/>
  <c r="K181" i="3"/>
  <c r="J181" i="3"/>
  <c r="I181" i="3"/>
  <c r="D181" i="3"/>
  <c r="DW180" i="3"/>
  <c r="DV180" i="3"/>
  <c r="DU180" i="3"/>
  <c r="DT180" i="3"/>
  <c r="DS180" i="3"/>
  <c r="DR180" i="3"/>
  <c r="DQ180" i="3"/>
  <c r="DP180" i="3"/>
  <c r="DO180" i="3"/>
  <c r="DN180" i="3"/>
  <c r="DM180" i="3"/>
  <c r="DL180" i="3"/>
  <c r="DK180" i="3"/>
  <c r="DJ180" i="3"/>
  <c r="DI180" i="3"/>
  <c r="DH180" i="3"/>
  <c r="DG180" i="3"/>
  <c r="DF180" i="3"/>
  <c r="DE180" i="3"/>
  <c r="DD180" i="3"/>
  <c r="DC180" i="3"/>
  <c r="DB180" i="3"/>
  <c r="DA180" i="3"/>
  <c r="CZ180" i="3"/>
  <c r="CY180" i="3"/>
  <c r="CX180" i="3"/>
  <c r="CW180" i="3"/>
  <c r="CV180" i="3"/>
  <c r="CU180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C180" i="3"/>
  <c r="CB180" i="3"/>
  <c r="CA180" i="3"/>
  <c r="BZ180" i="3"/>
  <c r="BY180" i="3"/>
  <c r="BX180" i="3"/>
  <c r="BW180" i="3"/>
  <c r="BV180" i="3"/>
  <c r="BU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C180" i="3"/>
  <c r="BB180" i="3"/>
  <c r="BA180" i="3"/>
  <c r="AZ180" i="3"/>
  <c r="AY180" i="3"/>
  <c r="AT180" i="3"/>
  <c r="AH180" i="3"/>
  <c r="AD180" i="3"/>
  <c r="AC180" i="3"/>
  <c r="Z180" i="3"/>
  <c r="Y180" i="3"/>
  <c r="X180" i="3"/>
  <c r="V180" i="3"/>
  <c r="U180" i="3"/>
  <c r="T180" i="3"/>
  <c r="R180" i="3"/>
  <c r="Q180" i="3"/>
  <c r="M180" i="3"/>
  <c r="K180" i="3"/>
  <c r="J180" i="3"/>
  <c r="I180" i="3"/>
  <c r="D180" i="3"/>
  <c r="DW182" i="3"/>
  <c r="DV182" i="3"/>
  <c r="DU182" i="3"/>
  <c r="DT182" i="3"/>
  <c r="DS182" i="3"/>
  <c r="DR182" i="3"/>
  <c r="DQ182" i="3"/>
  <c r="DP182" i="3"/>
  <c r="DO182" i="3"/>
  <c r="DN182" i="3"/>
  <c r="DM182" i="3"/>
  <c r="DL182" i="3"/>
  <c r="DK182" i="3"/>
  <c r="DJ182" i="3"/>
  <c r="DI182" i="3"/>
  <c r="DH182" i="3"/>
  <c r="DG182" i="3"/>
  <c r="DF182" i="3"/>
  <c r="DE182" i="3"/>
  <c r="DD182" i="3"/>
  <c r="DC182" i="3"/>
  <c r="DB182" i="3"/>
  <c r="DA182" i="3"/>
  <c r="CY182" i="3"/>
  <c r="CX182" i="3"/>
  <c r="CW182" i="3"/>
  <c r="CV182" i="3"/>
  <c r="CU182" i="3"/>
  <c r="CT182" i="3"/>
  <c r="CS182" i="3"/>
  <c r="CR182" i="3"/>
  <c r="CQ182" i="3"/>
  <c r="CP182" i="3"/>
  <c r="CO182" i="3"/>
  <c r="CN182" i="3"/>
  <c r="CM182" i="3"/>
  <c r="CL182" i="3"/>
  <c r="CJ182" i="3"/>
  <c r="CI182" i="3"/>
  <c r="CH182" i="3"/>
  <c r="CG182" i="3"/>
  <c r="CF182" i="3"/>
  <c r="CE182" i="3"/>
  <c r="CD182" i="3"/>
  <c r="CC182" i="3"/>
  <c r="CB182" i="3"/>
  <c r="CA182" i="3"/>
  <c r="BZ182" i="3"/>
  <c r="BY182" i="3"/>
  <c r="BX182" i="3"/>
  <c r="BW182" i="3"/>
  <c r="BU182" i="3"/>
  <c r="BT182" i="3"/>
  <c r="BS182" i="3"/>
  <c r="BR182" i="3"/>
  <c r="BQ182" i="3"/>
  <c r="BP182" i="3"/>
  <c r="BO182" i="3"/>
  <c r="BN182" i="3"/>
  <c r="BM182" i="3"/>
  <c r="BL182" i="3"/>
  <c r="BK182" i="3"/>
  <c r="BJ182" i="3"/>
  <c r="BI182" i="3"/>
  <c r="BH182" i="3"/>
  <c r="BG182" i="3"/>
  <c r="BF182" i="3"/>
  <c r="BE182" i="3"/>
  <c r="BD182" i="3"/>
  <c r="BC182" i="3"/>
  <c r="BB182" i="3"/>
  <c r="BA182" i="3"/>
  <c r="AZ182" i="3"/>
  <c r="U182" i="3"/>
  <c r="T182" i="3"/>
  <c r="R182" i="3"/>
  <c r="Q182" i="3"/>
  <c r="M182" i="3"/>
  <c r="K182" i="3"/>
  <c r="J182" i="3"/>
  <c r="I182" i="3"/>
  <c r="D182" i="3"/>
  <c r="DW185" i="3"/>
  <c r="DV185" i="3"/>
  <c r="DU185" i="3"/>
  <c r="DT185" i="3"/>
  <c r="DS185" i="3"/>
  <c r="DR185" i="3"/>
  <c r="DQ185" i="3"/>
  <c r="DP185" i="3"/>
  <c r="DO185" i="3"/>
  <c r="DN185" i="3"/>
  <c r="DM185" i="3"/>
  <c r="DL185" i="3"/>
  <c r="DK185" i="3"/>
  <c r="DJ185" i="3"/>
  <c r="DI185" i="3"/>
  <c r="DH185" i="3"/>
  <c r="DG185" i="3"/>
  <c r="DF185" i="3"/>
  <c r="DE185" i="3"/>
  <c r="DD185" i="3"/>
  <c r="DC185" i="3"/>
  <c r="DB185" i="3"/>
  <c r="DA185" i="3"/>
  <c r="CZ185" i="3"/>
  <c r="CY185" i="3"/>
  <c r="CX185" i="3"/>
  <c r="CW185" i="3"/>
  <c r="CV185" i="3"/>
  <c r="CU185" i="3"/>
  <c r="CT185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W185" i="3"/>
  <c r="BV185" i="3"/>
  <c r="BU185" i="3"/>
  <c r="BT185" i="3"/>
  <c r="BS185" i="3"/>
  <c r="BR185" i="3"/>
  <c r="BQ185" i="3"/>
  <c r="BP185" i="3"/>
  <c r="BO185" i="3"/>
  <c r="BN185" i="3"/>
  <c r="BM185" i="3"/>
  <c r="BL185" i="3"/>
  <c r="BK185" i="3"/>
  <c r="BJ185" i="3"/>
  <c r="BI185" i="3"/>
  <c r="BH185" i="3"/>
  <c r="BG185" i="3"/>
  <c r="BF185" i="3"/>
  <c r="BE185" i="3"/>
  <c r="BD185" i="3"/>
  <c r="BC185" i="3"/>
  <c r="BB185" i="3"/>
  <c r="BA185" i="3"/>
  <c r="AZ185" i="3"/>
  <c r="U185" i="3"/>
  <c r="T185" i="3"/>
  <c r="R185" i="3"/>
  <c r="Q185" i="3"/>
  <c r="M185" i="3"/>
  <c r="K185" i="3"/>
  <c r="J185" i="3"/>
  <c r="I185" i="3"/>
  <c r="D185" i="3"/>
  <c r="DW178" i="3"/>
  <c r="DV178" i="3"/>
  <c r="DU178" i="3"/>
  <c r="DT178" i="3"/>
  <c r="DS178" i="3"/>
  <c r="DR178" i="3"/>
  <c r="DQ178" i="3"/>
  <c r="DP178" i="3"/>
  <c r="DO178" i="3"/>
  <c r="DN178" i="3"/>
  <c r="DM178" i="3"/>
  <c r="DL178" i="3"/>
  <c r="DK178" i="3"/>
  <c r="DJ178" i="3"/>
  <c r="DI178" i="3"/>
  <c r="DH178" i="3"/>
  <c r="DG178" i="3"/>
  <c r="DF178" i="3"/>
  <c r="DE178" i="3"/>
  <c r="DD178" i="3"/>
  <c r="DC178" i="3"/>
  <c r="DB178" i="3"/>
  <c r="DA178" i="3"/>
  <c r="CZ178" i="3"/>
  <c r="CY178" i="3"/>
  <c r="CX178" i="3"/>
  <c r="CW178" i="3"/>
  <c r="CV178" i="3"/>
  <c r="CU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CA178" i="3"/>
  <c r="BZ178" i="3"/>
  <c r="BY178" i="3"/>
  <c r="BX178" i="3"/>
  <c r="BW178" i="3"/>
  <c r="BV178" i="3"/>
  <c r="BU178" i="3"/>
  <c r="BT178" i="3"/>
  <c r="BS178" i="3"/>
  <c r="BR178" i="3"/>
  <c r="BQ178" i="3"/>
  <c r="BP178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BC178" i="3"/>
  <c r="BB178" i="3"/>
  <c r="BA178" i="3"/>
  <c r="AZ178" i="3"/>
  <c r="AX178" i="3"/>
  <c r="AP178" i="3"/>
  <c r="AO178" i="3"/>
  <c r="AN178" i="3"/>
  <c r="AH178" i="3"/>
  <c r="AD178" i="3"/>
  <c r="AC178" i="3"/>
  <c r="Z178" i="3"/>
  <c r="Y178" i="3"/>
  <c r="W178" i="3"/>
  <c r="V178" i="3"/>
  <c r="U178" i="3"/>
  <c r="T178" i="3"/>
  <c r="R178" i="3"/>
  <c r="Q178" i="3"/>
  <c r="M178" i="3"/>
  <c r="K178" i="3"/>
  <c r="J178" i="3"/>
  <c r="I178" i="3"/>
  <c r="D178" i="3"/>
  <c r="DW172" i="3"/>
  <c r="DV172" i="3"/>
  <c r="DU172" i="3"/>
  <c r="DT172" i="3"/>
  <c r="DS172" i="3"/>
  <c r="DR172" i="3"/>
  <c r="DQ172" i="3"/>
  <c r="DP172" i="3"/>
  <c r="DO172" i="3"/>
  <c r="DN172" i="3"/>
  <c r="DM172" i="3"/>
  <c r="DL172" i="3"/>
  <c r="DK172" i="3"/>
  <c r="DJ172" i="3"/>
  <c r="DI172" i="3"/>
  <c r="DH172" i="3"/>
  <c r="DG172" i="3"/>
  <c r="DF172" i="3"/>
  <c r="DE172" i="3"/>
  <c r="DD172" i="3"/>
  <c r="DC172" i="3"/>
  <c r="DB172" i="3"/>
  <c r="DA172" i="3"/>
  <c r="CZ172" i="3"/>
  <c r="CY172" i="3"/>
  <c r="CX172" i="3"/>
  <c r="CW172" i="3"/>
  <c r="CV172" i="3"/>
  <c r="CU172" i="3"/>
  <c r="CT172" i="3"/>
  <c r="CS172" i="3"/>
  <c r="CR172" i="3"/>
  <c r="CQ172" i="3"/>
  <c r="CP172" i="3"/>
  <c r="CO172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B172" i="3"/>
  <c r="CA172" i="3"/>
  <c r="BZ172" i="3"/>
  <c r="BY172" i="3"/>
  <c r="BX172" i="3"/>
  <c r="BW172" i="3"/>
  <c r="BV172" i="3"/>
  <c r="BU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C172" i="3"/>
  <c r="BB172" i="3"/>
  <c r="BA172" i="3"/>
  <c r="AZ172" i="3"/>
  <c r="U172" i="3"/>
  <c r="T172" i="3"/>
  <c r="R172" i="3"/>
  <c r="Q172" i="3"/>
  <c r="M172" i="3"/>
  <c r="K172" i="3"/>
  <c r="J172" i="3"/>
  <c r="I172" i="3"/>
  <c r="D172" i="3"/>
  <c r="DW177" i="3"/>
  <c r="DV177" i="3"/>
  <c r="DU177" i="3"/>
  <c r="DT177" i="3"/>
  <c r="DS177" i="3"/>
  <c r="DR177" i="3"/>
  <c r="DQ177" i="3"/>
  <c r="DP177" i="3"/>
  <c r="DO177" i="3"/>
  <c r="DN177" i="3"/>
  <c r="DM177" i="3"/>
  <c r="DL177" i="3"/>
  <c r="DK177" i="3"/>
  <c r="DJ177" i="3"/>
  <c r="DI177" i="3"/>
  <c r="DH177" i="3"/>
  <c r="DG177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CA177" i="3"/>
  <c r="BZ177" i="3"/>
  <c r="BY177" i="3"/>
  <c r="BX177" i="3"/>
  <c r="BW177" i="3"/>
  <c r="BV177" i="3"/>
  <c r="BU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C177" i="3"/>
  <c r="BB177" i="3"/>
  <c r="BA177" i="3"/>
  <c r="AZ177" i="3"/>
  <c r="AI177" i="3"/>
  <c r="AD177" i="3"/>
  <c r="AC177" i="3"/>
  <c r="Z177" i="3"/>
  <c r="W177" i="3"/>
  <c r="V177" i="3"/>
  <c r="U177" i="3"/>
  <c r="AY177" i="3" s="1"/>
  <c r="T177" i="3"/>
  <c r="R177" i="3"/>
  <c r="Q177" i="3"/>
  <c r="N177" i="3"/>
  <c r="M177" i="3"/>
  <c r="K177" i="3"/>
  <c r="J177" i="3"/>
  <c r="I177" i="3"/>
  <c r="D177" i="3"/>
  <c r="DW179" i="3"/>
  <c r="DV179" i="3"/>
  <c r="DU179" i="3"/>
  <c r="DT179" i="3"/>
  <c r="DS179" i="3"/>
  <c r="DR179" i="3"/>
  <c r="DQ179" i="3"/>
  <c r="DP179" i="3"/>
  <c r="DO179" i="3"/>
  <c r="DN179" i="3"/>
  <c r="DM179" i="3"/>
  <c r="DL179" i="3"/>
  <c r="DK179" i="3"/>
  <c r="DJ179" i="3"/>
  <c r="DI179" i="3"/>
  <c r="DH179" i="3"/>
  <c r="DG179" i="3"/>
  <c r="DF179" i="3"/>
  <c r="DE179" i="3"/>
  <c r="DD179" i="3"/>
  <c r="DC179" i="3"/>
  <c r="DB179" i="3"/>
  <c r="DA179" i="3"/>
  <c r="CZ179" i="3"/>
  <c r="CY179" i="3"/>
  <c r="CX179" i="3"/>
  <c r="CW179" i="3"/>
  <c r="CV179" i="3"/>
  <c r="CU179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B179" i="3"/>
  <c r="CA179" i="3"/>
  <c r="BZ179" i="3"/>
  <c r="BY179" i="3"/>
  <c r="BX179" i="3"/>
  <c r="BW179" i="3"/>
  <c r="BV179" i="3"/>
  <c r="BU179" i="3"/>
  <c r="BT179" i="3"/>
  <c r="BS179" i="3"/>
  <c r="BR179" i="3"/>
  <c r="BQ179" i="3"/>
  <c r="BP179" i="3"/>
  <c r="BO179" i="3"/>
  <c r="BN179" i="3"/>
  <c r="BM179" i="3"/>
  <c r="BL179" i="3"/>
  <c r="BK179" i="3"/>
  <c r="BJ179" i="3"/>
  <c r="BI179" i="3"/>
  <c r="BH179" i="3"/>
  <c r="BG179" i="3"/>
  <c r="BF179" i="3"/>
  <c r="BE179" i="3"/>
  <c r="BD179" i="3"/>
  <c r="BC179" i="3"/>
  <c r="BB179" i="3"/>
  <c r="BA179" i="3"/>
  <c r="AZ179" i="3"/>
  <c r="AD179" i="3"/>
  <c r="Z179" i="3"/>
  <c r="Y179" i="3"/>
  <c r="X179" i="3"/>
  <c r="W179" i="3"/>
  <c r="V179" i="3"/>
  <c r="U179" i="3"/>
  <c r="AY179" i="3" s="1"/>
  <c r="T179" i="3"/>
  <c r="R179" i="3"/>
  <c r="Q179" i="3"/>
  <c r="N179" i="3"/>
  <c r="M179" i="3"/>
  <c r="K179" i="3"/>
  <c r="J179" i="3"/>
  <c r="I179" i="3"/>
  <c r="D179" i="3"/>
  <c r="DW176" i="3"/>
  <c r="DV176" i="3"/>
  <c r="DU176" i="3"/>
  <c r="DT176" i="3"/>
  <c r="DS176" i="3"/>
  <c r="DR176" i="3"/>
  <c r="DQ176" i="3"/>
  <c r="DP176" i="3"/>
  <c r="DO176" i="3"/>
  <c r="DN176" i="3"/>
  <c r="DM176" i="3"/>
  <c r="DL176" i="3"/>
  <c r="DK176" i="3"/>
  <c r="DJ176" i="3"/>
  <c r="DI176" i="3"/>
  <c r="DH176" i="3"/>
  <c r="DG176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CA176" i="3"/>
  <c r="BZ176" i="3"/>
  <c r="BY176" i="3"/>
  <c r="BX176" i="3"/>
  <c r="BW176" i="3"/>
  <c r="BV176" i="3"/>
  <c r="BU176" i="3"/>
  <c r="BT176" i="3"/>
  <c r="BS176" i="3"/>
  <c r="BR176" i="3"/>
  <c r="BQ176" i="3"/>
  <c r="BP176" i="3"/>
  <c r="BO176" i="3"/>
  <c r="BN176" i="3"/>
  <c r="BM176" i="3"/>
  <c r="BL176" i="3"/>
  <c r="BK176" i="3"/>
  <c r="BJ176" i="3"/>
  <c r="BI176" i="3"/>
  <c r="BH176" i="3"/>
  <c r="BG176" i="3"/>
  <c r="BF176" i="3"/>
  <c r="BE176" i="3"/>
  <c r="BD176" i="3"/>
  <c r="BC176" i="3"/>
  <c r="BB176" i="3"/>
  <c r="BA176" i="3"/>
  <c r="AZ176" i="3"/>
  <c r="U176" i="3"/>
  <c r="T176" i="3"/>
  <c r="R176" i="3"/>
  <c r="Q176" i="3"/>
  <c r="M176" i="3"/>
  <c r="K176" i="3"/>
  <c r="J176" i="3"/>
  <c r="I176" i="3"/>
  <c r="D176" i="3"/>
  <c r="DW173" i="3"/>
  <c r="DV173" i="3"/>
  <c r="DU173" i="3"/>
  <c r="DT173" i="3"/>
  <c r="DS173" i="3"/>
  <c r="DR173" i="3"/>
  <c r="DQ173" i="3"/>
  <c r="DP173" i="3"/>
  <c r="DO173" i="3"/>
  <c r="DN173" i="3"/>
  <c r="DM173" i="3"/>
  <c r="DL173" i="3"/>
  <c r="DK173" i="3"/>
  <c r="DJ173" i="3"/>
  <c r="DI173" i="3"/>
  <c r="DH173" i="3"/>
  <c r="DG173" i="3"/>
  <c r="DF173" i="3"/>
  <c r="DE173" i="3"/>
  <c r="DD173" i="3"/>
  <c r="DC173" i="3"/>
  <c r="DB173" i="3"/>
  <c r="DA173" i="3"/>
  <c r="CZ173" i="3"/>
  <c r="CY173" i="3"/>
  <c r="CX173" i="3"/>
  <c r="CW173" i="3"/>
  <c r="CV173" i="3"/>
  <c r="CU173" i="3"/>
  <c r="CT173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B173" i="3"/>
  <c r="CA173" i="3"/>
  <c r="BZ173" i="3"/>
  <c r="BY173" i="3"/>
  <c r="BX173" i="3"/>
  <c r="BW173" i="3"/>
  <c r="BV173" i="3"/>
  <c r="BU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C173" i="3"/>
  <c r="BB173" i="3"/>
  <c r="BA173" i="3"/>
  <c r="AZ173" i="3"/>
  <c r="AS173" i="3"/>
  <c r="AP173" i="3"/>
  <c r="AK173" i="3"/>
  <c r="Z173" i="3"/>
  <c r="Y173" i="3"/>
  <c r="X173" i="3"/>
  <c r="W173" i="3"/>
  <c r="U173" i="3"/>
  <c r="AY173" i="3" s="1"/>
  <c r="T173" i="3"/>
  <c r="R173" i="3"/>
  <c r="Q173" i="3"/>
  <c r="N173" i="3"/>
  <c r="M173" i="3"/>
  <c r="K173" i="3"/>
  <c r="J173" i="3"/>
  <c r="I173" i="3"/>
  <c r="D173" i="3"/>
  <c r="DW175" i="3"/>
  <c r="DV175" i="3"/>
  <c r="DU175" i="3"/>
  <c r="DT175" i="3"/>
  <c r="DS175" i="3"/>
  <c r="DR175" i="3"/>
  <c r="DQ175" i="3"/>
  <c r="DP175" i="3"/>
  <c r="DO175" i="3"/>
  <c r="DN175" i="3"/>
  <c r="DM175" i="3"/>
  <c r="DL175" i="3"/>
  <c r="DK175" i="3"/>
  <c r="DJ175" i="3"/>
  <c r="DI175" i="3"/>
  <c r="DH175" i="3"/>
  <c r="DG175" i="3"/>
  <c r="DF175" i="3"/>
  <c r="DE175" i="3"/>
  <c r="DD175" i="3"/>
  <c r="DC175" i="3"/>
  <c r="DB175" i="3"/>
  <c r="DA175" i="3"/>
  <c r="CY175" i="3"/>
  <c r="CX175" i="3"/>
  <c r="CW175" i="3"/>
  <c r="CV175" i="3"/>
  <c r="CU175" i="3"/>
  <c r="CT175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CA175" i="3"/>
  <c r="BZ175" i="3"/>
  <c r="BY175" i="3"/>
  <c r="BX175" i="3"/>
  <c r="BW175" i="3"/>
  <c r="BV175" i="3"/>
  <c r="BU175" i="3"/>
  <c r="BT175" i="3"/>
  <c r="BS175" i="3"/>
  <c r="BR175" i="3"/>
  <c r="BQ175" i="3"/>
  <c r="BP175" i="3"/>
  <c r="BO175" i="3"/>
  <c r="BN175" i="3"/>
  <c r="BM175" i="3"/>
  <c r="BL175" i="3"/>
  <c r="BK175" i="3"/>
  <c r="BJ175" i="3"/>
  <c r="BI175" i="3"/>
  <c r="BH175" i="3"/>
  <c r="BG175" i="3"/>
  <c r="BF175" i="3"/>
  <c r="BE175" i="3"/>
  <c r="BD175" i="3"/>
  <c r="BC175" i="3"/>
  <c r="BB175" i="3"/>
  <c r="BA175" i="3"/>
  <c r="AZ175" i="3"/>
  <c r="AX175" i="3"/>
  <c r="AT175" i="3"/>
  <c r="AP175" i="3"/>
  <c r="AO175" i="3"/>
  <c r="AN175" i="3"/>
  <c r="AI175" i="3"/>
  <c r="AH175" i="3"/>
  <c r="Z175" i="3"/>
  <c r="Y175" i="3"/>
  <c r="X175" i="3"/>
  <c r="W175" i="3"/>
  <c r="V175" i="3"/>
  <c r="U175" i="3"/>
  <c r="T175" i="3"/>
  <c r="R175" i="3"/>
  <c r="Q175" i="3"/>
  <c r="M175" i="3"/>
  <c r="K175" i="3"/>
  <c r="J175" i="3"/>
  <c r="I175" i="3"/>
  <c r="D175" i="3"/>
  <c r="DW170" i="3"/>
  <c r="DV170" i="3"/>
  <c r="DU170" i="3"/>
  <c r="DT170" i="3"/>
  <c r="DS170" i="3"/>
  <c r="DR170" i="3"/>
  <c r="DQ170" i="3"/>
  <c r="DP170" i="3"/>
  <c r="DO170" i="3"/>
  <c r="DN170" i="3"/>
  <c r="DM170" i="3"/>
  <c r="DL170" i="3"/>
  <c r="DK170" i="3"/>
  <c r="DJ170" i="3"/>
  <c r="DI170" i="3"/>
  <c r="DH170" i="3"/>
  <c r="DG170" i="3"/>
  <c r="DF170" i="3"/>
  <c r="DE170" i="3"/>
  <c r="DD170" i="3"/>
  <c r="DC170" i="3"/>
  <c r="DB170" i="3"/>
  <c r="DA170" i="3"/>
  <c r="CY170" i="3"/>
  <c r="CX170" i="3"/>
  <c r="CW170" i="3"/>
  <c r="CV170" i="3"/>
  <c r="CU170" i="3"/>
  <c r="CT170" i="3"/>
  <c r="CS170" i="3"/>
  <c r="CR170" i="3"/>
  <c r="CQ170" i="3"/>
  <c r="CP170" i="3"/>
  <c r="CO170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B170" i="3"/>
  <c r="CA170" i="3"/>
  <c r="BZ170" i="3"/>
  <c r="BY170" i="3"/>
  <c r="BX170" i="3"/>
  <c r="BW170" i="3"/>
  <c r="BV170" i="3"/>
  <c r="BU170" i="3"/>
  <c r="BT170" i="3"/>
  <c r="BS170" i="3"/>
  <c r="BR170" i="3"/>
  <c r="BQ170" i="3"/>
  <c r="BP170" i="3"/>
  <c r="BO170" i="3"/>
  <c r="BN170" i="3"/>
  <c r="BM170" i="3"/>
  <c r="BL170" i="3"/>
  <c r="BK170" i="3"/>
  <c r="BJ170" i="3"/>
  <c r="BI170" i="3"/>
  <c r="BH170" i="3"/>
  <c r="BG170" i="3"/>
  <c r="BF170" i="3"/>
  <c r="BE170" i="3"/>
  <c r="BD170" i="3"/>
  <c r="BC170" i="3"/>
  <c r="BB170" i="3"/>
  <c r="BA170" i="3"/>
  <c r="AZ170" i="3"/>
  <c r="AY170" i="3"/>
  <c r="AP170" i="3"/>
  <c r="AO170" i="3"/>
  <c r="AN170" i="3"/>
  <c r="AK170" i="3"/>
  <c r="AE170" i="3"/>
  <c r="AD170" i="3"/>
  <c r="AC170" i="3"/>
  <c r="Z170" i="3"/>
  <c r="Y170" i="3"/>
  <c r="X170" i="3"/>
  <c r="U170" i="3"/>
  <c r="T170" i="3"/>
  <c r="R170" i="3"/>
  <c r="Q170" i="3"/>
  <c r="N170" i="3"/>
  <c r="M170" i="3"/>
  <c r="K170" i="3"/>
  <c r="J170" i="3"/>
  <c r="I170" i="3"/>
  <c r="D170" i="3"/>
  <c r="DW169" i="3"/>
  <c r="DV169" i="3"/>
  <c r="DU169" i="3"/>
  <c r="DT169" i="3"/>
  <c r="DS169" i="3"/>
  <c r="DR169" i="3"/>
  <c r="DQ169" i="3"/>
  <c r="DP169" i="3"/>
  <c r="DO169" i="3"/>
  <c r="DN169" i="3"/>
  <c r="DM169" i="3"/>
  <c r="DL169" i="3"/>
  <c r="DK169" i="3"/>
  <c r="DJ169" i="3"/>
  <c r="DI169" i="3"/>
  <c r="DH169" i="3"/>
  <c r="DG169" i="3"/>
  <c r="DF169" i="3"/>
  <c r="DE169" i="3"/>
  <c r="DD169" i="3"/>
  <c r="DC169" i="3"/>
  <c r="DB169" i="3"/>
  <c r="DA169" i="3"/>
  <c r="CZ169" i="3"/>
  <c r="CY169" i="3"/>
  <c r="CX169" i="3"/>
  <c r="CW169" i="3"/>
  <c r="CV169" i="3"/>
  <c r="CU169" i="3"/>
  <c r="CT169" i="3"/>
  <c r="CS169" i="3"/>
  <c r="CR169" i="3"/>
  <c r="CQ169" i="3"/>
  <c r="CP169" i="3"/>
  <c r="CO169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B169" i="3"/>
  <c r="CA169" i="3"/>
  <c r="BZ169" i="3"/>
  <c r="BY169" i="3"/>
  <c r="BX169" i="3"/>
  <c r="BW169" i="3"/>
  <c r="BV169" i="3"/>
  <c r="BU169" i="3"/>
  <c r="BT169" i="3"/>
  <c r="BS169" i="3"/>
  <c r="BR169" i="3"/>
  <c r="BQ169" i="3"/>
  <c r="BP169" i="3"/>
  <c r="BO169" i="3"/>
  <c r="BN169" i="3"/>
  <c r="BM169" i="3"/>
  <c r="BL169" i="3"/>
  <c r="BK169" i="3"/>
  <c r="BJ169" i="3"/>
  <c r="BI169" i="3"/>
  <c r="BH169" i="3"/>
  <c r="BG169" i="3"/>
  <c r="BF169" i="3"/>
  <c r="BE169" i="3"/>
  <c r="BD169" i="3"/>
  <c r="BC169" i="3"/>
  <c r="BB169" i="3"/>
  <c r="BA169" i="3"/>
  <c r="AZ169" i="3"/>
  <c r="U169" i="3"/>
  <c r="T169" i="3"/>
  <c r="R169" i="3"/>
  <c r="Q169" i="3"/>
  <c r="M169" i="3"/>
  <c r="K169" i="3"/>
  <c r="J169" i="3"/>
  <c r="I169" i="3"/>
  <c r="D169" i="3"/>
  <c r="DW174" i="3"/>
  <c r="DV174" i="3"/>
  <c r="DU174" i="3"/>
  <c r="DT174" i="3"/>
  <c r="DS174" i="3"/>
  <c r="DR174" i="3"/>
  <c r="DQ174" i="3"/>
  <c r="DP174" i="3"/>
  <c r="DO174" i="3"/>
  <c r="DN174" i="3"/>
  <c r="DM174" i="3"/>
  <c r="DL174" i="3"/>
  <c r="DK174" i="3"/>
  <c r="DJ174" i="3"/>
  <c r="DI174" i="3"/>
  <c r="DH174" i="3"/>
  <c r="DG174" i="3"/>
  <c r="DF174" i="3"/>
  <c r="DE174" i="3"/>
  <c r="DD174" i="3"/>
  <c r="DC174" i="3"/>
  <c r="DB174" i="3"/>
  <c r="DA174" i="3"/>
  <c r="CZ174" i="3"/>
  <c r="CY174" i="3"/>
  <c r="CX174" i="3"/>
  <c r="CW174" i="3"/>
  <c r="CV174" i="3"/>
  <c r="CU174" i="3"/>
  <c r="CT174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B174" i="3"/>
  <c r="CA174" i="3"/>
  <c r="BZ174" i="3"/>
  <c r="BY174" i="3"/>
  <c r="BX174" i="3"/>
  <c r="BW174" i="3"/>
  <c r="BV174" i="3"/>
  <c r="BU174" i="3"/>
  <c r="BT174" i="3"/>
  <c r="BS174" i="3"/>
  <c r="BR174" i="3"/>
  <c r="BQ174" i="3"/>
  <c r="BP174" i="3"/>
  <c r="BO174" i="3"/>
  <c r="BN174" i="3"/>
  <c r="BM174" i="3"/>
  <c r="BL174" i="3"/>
  <c r="BK174" i="3"/>
  <c r="BJ174" i="3"/>
  <c r="BI174" i="3"/>
  <c r="BH174" i="3"/>
  <c r="BG174" i="3"/>
  <c r="BF174" i="3"/>
  <c r="BE174" i="3"/>
  <c r="BD174" i="3"/>
  <c r="BC174" i="3"/>
  <c r="BB174" i="3"/>
  <c r="BA174" i="3"/>
  <c r="AZ174" i="3"/>
  <c r="AY174" i="3"/>
  <c r="AU174" i="3"/>
  <c r="AT174" i="3"/>
  <c r="AJ174" i="3"/>
  <c r="AI174" i="3"/>
  <c r="AH174" i="3"/>
  <c r="AD174" i="3"/>
  <c r="AC174" i="3"/>
  <c r="Z174" i="3"/>
  <c r="Y174" i="3"/>
  <c r="X174" i="3"/>
  <c r="U174" i="3"/>
  <c r="T174" i="3"/>
  <c r="R174" i="3"/>
  <c r="Q174" i="3"/>
  <c r="M174" i="3"/>
  <c r="K174" i="3"/>
  <c r="J174" i="3"/>
  <c r="I174" i="3"/>
  <c r="D174" i="3"/>
  <c r="DW166" i="3"/>
  <c r="DV166" i="3"/>
  <c r="DU166" i="3"/>
  <c r="DT166" i="3"/>
  <c r="DS166" i="3"/>
  <c r="DR166" i="3"/>
  <c r="DQ166" i="3"/>
  <c r="DP166" i="3"/>
  <c r="DO166" i="3"/>
  <c r="DN166" i="3"/>
  <c r="DM166" i="3"/>
  <c r="DL166" i="3"/>
  <c r="DK166" i="3"/>
  <c r="DJ166" i="3"/>
  <c r="DI166" i="3"/>
  <c r="DH166" i="3"/>
  <c r="DG166" i="3"/>
  <c r="DF166" i="3"/>
  <c r="DE166" i="3"/>
  <c r="DD166" i="3"/>
  <c r="DC166" i="3"/>
  <c r="DB166" i="3"/>
  <c r="DA166" i="3"/>
  <c r="CZ166" i="3"/>
  <c r="CY166" i="3"/>
  <c r="CX166" i="3"/>
  <c r="CW166" i="3"/>
  <c r="CV166" i="3"/>
  <c r="CU166" i="3"/>
  <c r="CT166" i="3"/>
  <c r="CS166" i="3"/>
  <c r="CR166" i="3"/>
  <c r="CQ166" i="3"/>
  <c r="CP166" i="3"/>
  <c r="CO166" i="3"/>
  <c r="CN166" i="3"/>
  <c r="CM166" i="3"/>
  <c r="CL166" i="3"/>
  <c r="CK166" i="3"/>
  <c r="CJ166" i="3"/>
  <c r="CI166" i="3"/>
  <c r="CH166" i="3"/>
  <c r="CG166" i="3"/>
  <c r="CF166" i="3"/>
  <c r="CE166" i="3"/>
  <c r="CD166" i="3"/>
  <c r="CC166" i="3"/>
  <c r="CB166" i="3"/>
  <c r="CA166" i="3"/>
  <c r="BZ166" i="3"/>
  <c r="BY166" i="3"/>
  <c r="BX166" i="3"/>
  <c r="BW166" i="3"/>
  <c r="BV166" i="3"/>
  <c r="BU166" i="3"/>
  <c r="BT166" i="3"/>
  <c r="BS166" i="3"/>
  <c r="BR166" i="3"/>
  <c r="BQ166" i="3"/>
  <c r="BP166" i="3"/>
  <c r="BO166" i="3"/>
  <c r="BN166" i="3"/>
  <c r="BM166" i="3"/>
  <c r="BL166" i="3"/>
  <c r="BK166" i="3"/>
  <c r="BJ166" i="3"/>
  <c r="BI166" i="3"/>
  <c r="BH166" i="3"/>
  <c r="BG166" i="3"/>
  <c r="BF166" i="3"/>
  <c r="BE166" i="3"/>
  <c r="BD166" i="3"/>
  <c r="BC166" i="3"/>
  <c r="BB166" i="3"/>
  <c r="BA166" i="3"/>
  <c r="AZ166" i="3"/>
  <c r="AU166" i="3"/>
  <c r="AT166" i="3"/>
  <c r="AP166" i="3"/>
  <c r="AO166" i="3"/>
  <c r="AN166" i="3"/>
  <c r="AJ166" i="3"/>
  <c r="AI166" i="3"/>
  <c r="AH166" i="3"/>
  <c r="AD166" i="3"/>
  <c r="AC166" i="3"/>
  <c r="Z166" i="3"/>
  <c r="V166" i="3"/>
  <c r="U166" i="3"/>
  <c r="T166" i="3"/>
  <c r="R166" i="3"/>
  <c r="Q166" i="3"/>
  <c r="N166" i="3"/>
  <c r="M166" i="3"/>
  <c r="K166" i="3"/>
  <c r="J166" i="3"/>
  <c r="I166" i="3"/>
  <c r="D166" i="3"/>
  <c r="DW167" i="3"/>
  <c r="DV167" i="3"/>
  <c r="DU167" i="3"/>
  <c r="DT167" i="3"/>
  <c r="DS167" i="3"/>
  <c r="DR167" i="3"/>
  <c r="DQ167" i="3"/>
  <c r="DP167" i="3"/>
  <c r="DO167" i="3"/>
  <c r="DN167" i="3"/>
  <c r="DM167" i="3"/>
  <c r="DL167" i="3"/>
  <c r="DK167" i="3"/>
  <c r="DJ167" i="3"/>
  <c r="DI167" i="3"/>
  <c r="DH167" i="3"/>
  <c r="DG167" i="3"/>
  <c r="DF167" i="3"/>
  <c r="DE167" i="3"/>
  <c r="DD167" i="3"/>
  <c r="DC167" i="3"/>
  <c r="DB167" i="3"/>
  <c r="DA167" i="3"/>
  <c r="CZ167" i="3"/>
  <c r="CY167" i="3"/>
  <c r="CX167" i="3"/>
  <c r="CW167" i="3"/>
  <c r="CV167" i="3"/>
  <c r="CU167" i="3"/>
  <c r="CT167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CE167" i="3"/>
  <c r="CD167" i="3"/>
  <c r="CC167" i="3"/>
  <c r="CB167" i="3"/>
  <c r="CA167" i="3"/>
  <c r="BZ167" i="3"/>
  <c r="BY167" i="3"/>
  <c r="BX167" i="3"/>
  <c r="BW167" i="3"/>
  <c r="BV167" i="3"/>
  <c r="BU167" i="3"/>
  <c r="BT167" i="3"/>
  <c r="BS167" i="3"/>
  <c r="BR167" i="3"/>
  <c r="BQ167" i="3"/>
  <c r="BP167" i="3"/>
  <c r="BO167" i="3"/>
  <c r="BN167" i="3"/>
  <c r="BM167" i="3"/>
  <c r="BL167" i="3"/>
  <c r="BK167" i="3"/>
  <c r="BJ167" i="3"/>
  <c r="BI167" i="3"/>
  <c r="BH167" i="3"/>
  <c r="BG167" i="3"/>
  <c r="BF167" i="3"/>
  <c r="BE167" i="3"/>
  <c r="BD167" i="3"/>
  <c r="BC167" i="3"/>
  <c r="BB167" i="3"/>
  <c r="BA167" i="3"/>
  <c r="AZ167" i="3"/>
  <c r="AI167" i="3"/>
  <c r="AH167" i="3"/>
  <c r="AT167" i="3" s="1"/>
  <c r="W167" i="3"/>
  <c r="V167" i="3"/>
  <c r="U167" i="3"/>
  <c r="AY167" i="3" s="1"/>
  <c r="T167" i="3"/>
  <c r="R167" i="3"/>
  <c r="Q167" i="3"/>
  <c r="M167" i="3"/>
  <c r="K167" i="3"/>
  <c r="J167" i="3"/>
  <c r="I167" i="3"/>
  <c r="D167" i="3"/>
  <c r="DW168" i="3"/>
  <c r="DV168" i="3"/>
  <c r="DU168" i="3"/>
  <c r="DT168" i="3"/>
  <c r="DS168" i="3"/>
  <c r="DR168" i="3"/>
  <c r="DQ168" i="3"/>
  <c r="DP168" i="3"/>
  <c r="DO168" i="3"/>
  <c r="DN168" i="3"/>
  <c r="DM168" i="3"/>
  <c r="DL168" i="3"/>
  <c r="DK168" i="3"/>
  <c r="DJ168" i="3"/>
  <c r="DI168" i="3"/>
  <c r="DH168" i="3"/>
  <c r="DG168" i="3"/>
  <c r="DF168" i="3"/>
  <c r="DE168" i="3"/>
  <c r="DD168" i="3"/>
  <c r="DC168" i="3"/>
  <c r="DB168" i="3"/>
  <c r="DA168" i="3"/>
  <c r="CZ168" i="3"/>
  <c r="CY168" i="3"/>
  <c r="CX168" i="3"/>
  <c r="CW168" i="3"/>
  <c r="CV168" i="3"/>
  <c r="CU168" i="3"/>
  <c r="CT168" i="3"/>
  <c r="CS168" i="3"/>
  <c r="CR168" i="3"/>
  <c r="CQ168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CA168" i="3"/>
  <c r="BZ168" i="3"/>
  <c r="BY168" i="3"/>
  <c r="BX168" i="3"/>
  <c r="BW168" i="3"/>
  <c r="BV168" i="3"/>
  <c r="BU168" i="3"/>
  <c r="BT168" i="3"/>
  <c r="BS168" i="3"/>
  <c r="BR168" i="3"/>
  <c r="BQ168" i="3"/>
  <c r="BP168" i="3"/>
  <c r="BO168" i="3"/>
  <c r="BN168" i="3"/>
  <c r="BM168" i="3"/>
  <c r="BL168" i="3"/>
  <c r="BK168" i="3"/>
  <c r="BJ168" i="3"/>
  <c r="BI168" i="3"/>
  <c r="BH168" i="3"/>
  <c r="BG168" i="3"/>
  <c r="BF168" i="3"/>
  <c r="BE168" i="3"/>
  <c r="BD168" i="3"/>
  <c r="BC168" i="3"/>
  <c r="BB168" i="3"/>
  <c r="BA168" i="3"/>
  <c r="AZ168" i="3"/>
  <c r="AD168" i="3"/>
  <c r="AC168" i="3"/>
  <c r="Z168" i="3"/>
  <c r="W168" i="3"/>
  <c r="V168" i="3"/>
  <c r="U168" i="3"/>
  <c r="AY168" i="3" s="1"/>
  <c r="T168" i="3"/>
  <c r="R168" i="3"/>
  <c r="Q168" i="3"/>
  <c r="M168" i="3"/>
  <c r="K168" i="3"/>
  <c r="J168" i="3"/>
  <c r="I168" i="3"/>
  <c r="D168" i="3"/>
  <c r="DW161" i="3"/>
  <c r="DV161" i="3"/>
  <c r="DU161" i="3"/>
  <c r="DT161" i="3"/>
  <c r="DS161" i="3"/>
  <c r="DR161" i="3"/>
  <c r="DQ161" i="3"/>
  <c r="DP161" i="3"/>
  <c r="DN161" i="3"/>
  <c r="DM161" i="3"/>
  <c r="DL161" i="3"/>
  <c r="DK161" i="3"/>
  <c r="DJ161" i="3"/>
  <c r="DI161" i="3"/>
  <c r="DH161" i="3"/>
  <c r="DG161" i="3"/>
  <c r="DF161" i="3"/>
  <c r="DE161" i="3"/>
  <c r="DD161" i="3"/>
  <c r="DC161" i="3"/>
  <c r="DB161" i="3"/>
  <c r="DA161" i="3"/>
  <c r="CY161" i="3"/>
  <c r="CX161" i="3"/>
  <c r="CW161" i="3"/>
  <c r="CV161" i="3"/>
  <c r="CU161" i="3"/>
  <c r="CT161" i="3"/>
  <c r="CS161" i="3"/>
  <c r="CR161" i="3"/>
  <c r="CQ161" i="3"/>
  <c r="CP161" i="3"/>
  <c r="CO161" i="3"/>
  <c r="CN161" i="3"/>
  <c r="CM161" i="3"/>
  <c r="CL161" i="3"/>
  <c r="CJ161" i="3"/>
  <c r="CI161" i="3"/>
  <c r="CH161" i="3"/>
  <c r="CG161" i="3"/>
  <c r="CF161" i="3"/>
  <c r="CE161" i="3"/>
  <c r="CD161" i="3"/>
  <c r="CC161" i="3"/>
  <c r="CB161" i="3"/>
  <c r="CA161" i="3"/>
  <c r="BZ161" i="3"/>
  <c r="BY161" i="3"/>
  <c r="BX161" i="3"/>
  <c r="BW161" i="3"/>
  <c r="BU161" i="3"/>
  <c r="BT161" i="3"/>
  <c r="BS161" i="3"/>
  <c r="BR161" i="3"/>
  <c r="BQ161" i="3"/>
  <c r="BP161" i="3"/>
  <c r="BO161" i="3"/>
  <c r="BN161" i="3"/>
  <c r="BM161" i="3"/>
  <c r="BL161" i="3"/>
  <c r="BK161" i="3"/>
  <c r="BJ161" i="3"/>
  <c r="BI161" i="3"/>
  <c r="BH161" i="3"/>
  <c r="BF161" i="3"/>
  <c r="BE161" i="3"/>
  <c r="BD161" i="3"/>
  <c r="BC161" i="3"/>
  <c r="BB161" i="3"/>
  <c r="BA161" i="3"/>
  <c r="AZ161" i="3"/>
  <c r="U161" i="3"/>
  <c r="T161" i="3"/>
  <c r="R161" i="3"/>
  <c r="Q161" i="3"/>
  <c r="M161" i="3"/>
  <c r="K161" i="3"/>
  <c r="J161" i="3"/>
  <c r="I161" i="3"/>
  <c r="D161" i="3"/>
  <c r="DW163" i="3"/>
  <c r="DV163" i="3"/>
  <c r="DU163" i="3"/>
  <c r="DT163" i="3"/>
  <c r="DS163" i="3"/>
  <c r="DR163" i="3"/>
  <c r="DQ163" i="3"/>
  <c r="DP163" i="3"/>
  <c r="DO163" i="3"/>
  <c r="DN163" i="3"/>
  <c r="DM163" i="3"/>
  <c r="DL163" i="3"/>
  <c r="DK163" i="3"/>
  <c r="DJ163" i="3"/>
  <c r="DI163" i="3"/>
  <c r="DH163" i="3"/>
  <c r="DG163" i="3"/>
  <c r="DF163" i="3"/>
  <c r="DE163" i="3"/>
  <c r="DD163" i="3"/>
  <c r="DC163" i="3"/>
  <c r="DB163" i="3"/>
  <c r="DA163" i="3"/>
  <c r="CY163" i="3"/>
  <c r="CX163" i="3"/>
  <c r="CW163" i="3"/>
  <c r="CV163" i="3"/>
  <c r="CU163" i="3"/>
  <c r="CT163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CA163" i="3"/>
  <c r="BZ163" i="3"/>
  <c r="BY163" i="3"/>
  <c r="BX163" i="3"/>
  <c r="BW163" i="3"/>
  <c r="BV163" i="3"/>
  <c r="BU163" i="3"/>
  <c r="BT163" i="3"/>
  <c r="BS163" i="3"/>
  <c r="BR163" i="3"/>
  <c r="BQ163" i="3"/>
  <c r="BP163" i="3"/>
  <c r="BO163" i="3"/>
  <c r="BN163" i="3"/>
  <c r="BM163" i="3"/>
  <c r="BL163" i="3"/>
  <c r="BK163" i="3"/>
  <c r="BJ163" i="3"/>
  <c r="BI163" i="3"/>
  <c r="BH163" i="3"/>
  <c r="BG163" i="3"/>
  <c r="BF163" i="3"/>
  <c r="BE163" i="3"/>
  <c r="BD163" i="3"/>
  <c r="BC163" i="3"/>
  <c r="BB163" i="3"/>
  <c r="BA163" i="3"/>
  <c r="AZ163" i="3"/>
  <c r="AX163" i="3"/>
  <c r="AU163" i="3"/>
  <c r="AP163" i="3"/>
  <c r="AO163" i="3"/>
  <c r="AN163" i="3"/>
  <c r="AJ163" i="3"/>
  <c r="AI163" i="3"/>
  <c r="AC163" i="3"/>
  <c r="Z163" i="3"/>
  <c r="Y163" i="3"/>
  <c r="X163" i="3"/>
  <c r="W163" i="3"/>
  <c r="U163" i="3"/>
  <c r="T163" i="3"/>
  <c r="R163" i="3"/>
  <c r="Q163" i="3"/>
  <c r="N163" i="3"/>
  <c r="M163" i="3"/>
  <c r="K163" i="3"/>
  <c r="J163" i="3"/>
  <c r="I163" i="3"/>
  <c r="D163" i="3"/>
  <c r="DW164" i="3"/>
  <c r="DV164" i="3"/>
  <c r="DU164" i="3"/>
  <c r="DT164" i="3"/>
  <c r="DS164" i="3"/>
  <c r="DR164" i="3"/>
  <c r="DQ164" i="3"/>
  <c r="DP164" i="3"/>
  <c r="DO164" i="3"/>
  <c r="DN164" i="3"/>
  <c r="DM164" i="3"/>
  <c r="DL164" i="3"/>
  <c r="DK164" i="3"/>
  <c r="DJ164" i="3"/>
  <c r="DI164" i="3"/>
  <c r="DH164" i="3"/>
  <c r="DG164" i="3"/>
  <c r="DF164" i="3"/>
  <c r="DE164" i="3"/>
  <c r="DD164" i="3"/>
  <c r="DC164" i="3"/>
  <c r="DB164" i="3"/>
  <c r="DA164" i="3"/>
  <c r="CZ164" i="3"/>
  <c r="CY164" i="3"/>
  <c r="CX164" i="3"/>
  <c r="CW164" i="3"/>
  <c r="CV164" i="3"/>
  <c r="CU164" i="3"/>
  <c r="CT164" i="3"/>
  <c r="CS164" i="3"/>
  <c r="CR164" i="3"/>
  <c r="CQ164" i="3"/>
  <c r="CP164" i="3"/>
  <c r="CO164" i="3"/>
  <c r="CN164" i="3"/>
  <c r="CM164" i="3"/>
  <c r="CL164" i="3"/>
  <c r="CK164" i="3"/>
  <c r="CJ164" i="3"/>
  <c r="CI164" i="3"/>
  <c r="CH164" i="3"/>
  <c r="CG164" i="3"/>
  <c r="CF164" i="3"/>
  <c r="CE164" i="3"/>
  <c r="CD164" i="3"/>
  <c r="CC164" i="3"/>
  <c r="CB164" i="3"/>
  <c r="CA164" i="3"/>
  <c r="BZ164" i="3"/>
  <c r="BY164" i="3"/>
  <c r="BX164" i="3"/>
  <c r="BW164" i="3"/>
  <c r="BV164" i="3"/>
  <c r="BU164" i="3"/>
  <c r="BT164" i="3"/>
  <c r="BS164" i="3"/>
  <c r="BR164" i="3"/>
  <c r="BQ164" i="3"/>
  <c r="BP164" i="3"/>
  <c r="BO164" i="3"/>
  <c r="BN164" i="3"/>
  <c r="BM164" i="3"/>
  <c r="BL164" i="3"/>
  <c r="BK164" i="3"/>
  <c r="BJ164" i="3"/>
  <c r="BI164" i="3"/>
  <c r="BH164" i="3"/>
  <c r="BG164" i="3"/>
  <c r="BF164" i="3"/>
  <c r="BE164" i="3"/>
  <c r="BD164" i="3"/>
  <c r="BC164" i="3"/>
  <c r="BB164" i="3"/>
  <c r="BA164" i="3"/>
  <c r="AZ164" i="3"/>
  <c r="AF164" i="3"/>
  <c r="AE164" i="3"/>
  <c r="AD164" i="3"/>
  <c r="AC164" i="3"/>
  <c r="Z164" i="3"/>
  <c r="Y164" i="3"/>
  <c r="X164" i="3"/>
  <c r="W164" i="3"/>
  <c r="V164" i="3"/>
  <c r="U164" i="3"/>
  <c r="AY164" i="3" s="1"/>
  <c r="T164" i="3"/>
  <c r="R164" i="3"/>
  <c r="Q164" i="3"/>
  <c r="M164" i="3"/>
  <c r="K164" i="3"/>
  <c r="J164" i="3"/>
  <c r="I164" i="3"/>
  <c r="D164" i="3"/>
  <c r="DW162" i="3"/>
  <c r="DV162" i="3"/>
  <c r="DU162" i="3"/>
  <c r="DT162" i="3"/>
  <c r="DS162" i="3"/>
  <c r="DR162" i="3"/>
  <c r="DQ162" i="3"/>
  <c r="DP162" i="3"/>
  <c r="DO162" i="3"/>
  <c r="DN162" i="3"/>
  <c r="DM162" i="3"/>
  <c r="DL162" i="3"/>
  <c r="DK162" i="3"/>
  <c r="DJ162" i="3"/>
  <c r="DI162" i="3"/>
  <c r="DH162" i="3"/>
  <c r="DG162" i="3"/>
  <c r="DF162" i="3"/>
  <c r="DE162" i="3"/>
  <c r="DD162" i="3"/>
  <c r="DC162" i="3"/>
  <c r="DB162" i="3"/>
  <c r="DA162" i="3"/>
  <c r="CZ162" i="3"/>
  <c r="CY162" i="3"/>
  <c r="CX162" i="3"/>
  <c r="CW162" i="3"/>
  <c r="CV162" i="3"/>
  <c r="CU162" i="3"/>
  <c r="CT162" i="3"/>
  <c r="CS162" i="3"/>
  <c r="CR162" i="3"/>
  <c r="CQ162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CA162" i="3"/>
  <c r="BZ162" i="3"/>
  <c r="BY162" i="3"/>
  <c r="BX162" i="3"/>
  <c r="BW162" i="3"/>
  <c r="BV162" i="3"/>
  <c r="BU162" i="3"/>
  <c r="BT162" i="3"/>
  <c r="BS162" i="3"/>
  <c r="BR162" i="3"/>
  <c r="BQ162" i="3"/>
  <c r="BP162" i="3"/>
  <c r="BO162" i="3"/>
  <c r="BN162" i="3"/>
  <c r="BM162" i="3"/>
  <c r="BL162" i="3"/>
  <c r="BK162" i="3"/>
  <c r="BJ162" i="3"/>
  <c r="BI162" i="3"/>
  <c r="BH162" i="3"/>
  <c r="BG162" i="3"/>
  <c r="BF162" i="3"/>
  <c r="BE162" i="3"/>
  <c r="BD162" i="3"/>
  <c r="BC162" i="3"/>
  <c r="BB162" i="3"/>
  <c r="BA162" i="3"/>
  <c r="AZ162" i="3"/>
  <c r="AU162" i="3"/>
  <c r="AK162" i="3"/>
  <c r="AJ162" i="3"/>
  <c r="Z162" i="3"/>
  <c r="Y162" i="3"/>
  <c r="X162" i="3"/>
  <c r="W162" i="3"/>
  <c r="V162" i="3"/>
  <c r="U162" i="3"/>
  <c r="AY162" i="3" s="1"/>
  <c r="T162" i="3"/>
  <c r="R162" i="3"/>
  <c r="Q162" i="3"/>
  <c r="M162" i="3"/>
  <c r="K162" i="3"/>
  <c r="J162" i="3"/>
  <c r="I162" i="3"/>
  <c r="D162" i="3"/>
  <c r="DW159" i="3"/>
  <c r="DV159" i="3"/>
  <c r="DU159" i="3"/>
  <c r="DT159" i="3"/>
  <c r="DS159" i="3"/>
  <c r="DR159" i="3"/>
  <c r="DQ159" i="3"/>
  <c r="DP159" i="3"/>
  <c r="DO159" i="3"/>
  <c r="DN159" i="3"/>
  <c r="DM159" i="3"/>
  <c r="DL159" i="3"/>
  <c r="DK159" i="3"/>
  <c r="DJ159" i="3"/>
  <c r="DI159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Z159" i="3"/>
  <c r="W159" i="3"/>
  <c r="V159" i="3"/>
  <c r="U159" i="3"/>
  <c r="AY159" i="3" s="1"/>
  <c r="T159" i="3"/>
  <c r="R159" i="3"/>
  <c r="Q159" i="3"/>
  <c r="N159" i="3"/>
  <c r="M159" i="3"/>
  <c r="K159" i="3"/>
  <c r="J159" i="3"/>
  <c r="I159" i="3"/>
  <c r="D159" i="3"/>
  <c r="DW165" i="3"/>
  <c r="DV165" i="3"/>
  <c r="DU165" i="3"/>
  <c r="DT165" i="3"/>
  <c r="DS165" i="3"/>
  <c r="DR165" i="3"/>
  <c r="DQ165" i="3"/>
  <c r="DP165" i="3"/>
  <c r="DO165" i="3"/>
  <c r="DN165" i="3"/>
  <c r="DM165" i="3"/>
  <c r="DL165" i="3"/>
  <c r="DK165" i="3"/>
  <c r="DJ165" i="3"/>
  <c r="DI165" i="3"/>
  <c r="DH165" i="3"/>
  <c r="DG165" i="3"/>
  <c r="DF165" i="3"/>
  <c r="DE165" i="3"/>
  <c r="DD165" i="3"/>
  <c r="DC165" i="3"/>
  <c r="DB165" i="3"/>
  <c r="DA165" i="3"/>
  <c r="CZ165" i="3"/>
  <c r="CY165" i="3"/>
  <c r="CX165" i="3"/>
  <c r="CW165" i="3"/>
  <c r="CV165" i="3"/>
  <c r="CU165" i="3"/>
  <c r="CT165" i="3"/>
  <c r="CS165" i="3"/>
  <c r="CR165" i="3"/>
  <c r="CQ165" i="3"/>
  <c r="CP165" i="3"/>
  <c r="CO165" i="3"/>
  <c r="CN165" i="3"/>
  <c r="CM165" i="3"/>
  <c r="CL165" i="3"/>
  <c r="CK165" i="3"/>
  <c r="CJ165" i="3"/>
  <c r="CI165" i="3"/>
  <c r="CH165" i="3"/>
  <c r="CG165" i="3"/>
  <c r="CF165" i="3"/>
  <c r="CE165" i="3"/>
  <c r="CD165" i="3"/>
  <c r="CC165" i="3"/>
  <c r="CB165" i="3"/>
  <c r="CA165" i="3"/>
  <c r="BZ165" i="3"/>
  <c r="BY165" i="3"/>
  <c r="BX165" i="3"/>
  <c r="BW165" i="3"/>
  <c r="BV165" i="3"/>
  <c r="BU165" i="3"/>
  <c r="BT165" i="3"/>
  <c r="BS165" i="3"/>
  <c r="BR165" i="3"/>
  <c r="BQ165" i="3"/>
  <c r="BP165" i="3"/>
  <c r="BO165" i="3"/>
  <c r="BN165" i="3"/>
  <c r="BM165" i="3"/>
  <c r="BL165" i="3"/>
  <c r="BK165" i="3"/>
  <c r="BJ165" i="3"/>
  <c r="BI165" i="3"/>
  <c r="BH165" i="3"/>
  <c r="BG165" i="3"/>
  <c r="BF165" i="3"/>
  <c r="BE165" i="3"/>
  <c r="BD165" i="3"/>
  <c r="BC165" i="3"/>
  <c r="BB165" i="3"/>
  <c r="BA165" i="3"/>
  <c r="AZ165" i="3"/>
  <c r="AI165" i="3"/>
  <c r="AH165" i="3"/>
  <c r="AT165" i="3" s="1"/>
  <c r="V165" i="3"/>
  <c r="U165" i="3"/>
  <c r="AY165" i="3" s="1"/>
  <c r="T165" i="3"/>
  <c r="R165" i="3"/>
  <c r="Q165" i="3"/>
  <c r="N165" i="3"/>
  <c r="M165" i="3"/>
  <c r="K165" i="3"/>
  <c r="J165" i="3"/>
  <c r="I165" i="3"/>
  <c r="D165" i="3"/>
  <c r="DW153" i="3"/>
  <c r="DV153" i="3"/>
  <c r="DU153" i="3"/>
  <c r="DT153" i="3"/>
  <c r="DS153" i="3"/>
  <c r="DR153" i="3"/>
  <c r="DQ153" i="3"/>
  <c r="DP153" i="3"/>
  <c r="DO153" i="3"/>
  <c r="DN153" i="3"/>
  <c r="DM153" i="3"/>
  <c r="DL153" i="3"/>
  <c r="DK153" i="3"/>
  <c r="DJ153" i="3"/>
  <c r="DI153" i="3"/>
  <c r="DH153" i="3"/>
  <c r="DG153" i="3"/>
  <c r="DF153" i="3"/>
  <c r="DE153" i="3"/>
  <c r="DD153" i="3"/>
  <c r="DC153" i="3"/>
  <c r="DB153" i="3"/>
  <c r="DA153" i="3"/>
  <c r="CZ153" i="3"/>
  <c r="CY153" i="3"/>
  <c r="CX153" i="3"/>
  <c r="CW153" i="3"/>
  <c r="CV153" i="3"/>
  <c r="CU153" i="3"/>
  <c r="CT153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CA153" i="3"/>
  <c r="BZ153" i="3"/>
  <c r="BY153" i="3"/>
  <c r="BX153" i="3"/>
  <c r="BW153" i="3"/>
  <c r="BV153" i="3"/>
  <c r="BU153" i="3"/>
  <c r="BT153" i="3"/>
  <c r="BS153" i="3"/>
  <c r="BR153" i="3"/>
  <c r="BQ153" i="3"/>
  <c r="BP153" i="3"/>
  <c r="BO153" i="3"/>
  <c r="BN153" i="3"/>
  <c r="BM153" i="3"/>
  <c r="BL153" i="3"/>
  <c r="BK153" i="3"/>
  <c r="BJ153" i="3"/>
  <c r="BI153" i="3"/>
  <c r="BH153" i="3"/>
  <c r="BG153" i="3"/>
  <c r="BF153" i="3"/>
  <c r="BE153" i="3"/>
  <c r="BD153" i="3"/>
  <c r="BC153" i="3"/>
  <c r="BB153" i="3"/>
  <c r="BA153" i="3"/>
  <c r="AZ153" i="3"/>
  <c r="AC153" i="3"/>
  <c r="U153" i="3"/>
  <c r="T153" i="3"/>
  <c r="R153" i="3"/>
  <c r="Q153" i="3"/>
  <c r="M153" i="3"/>
  <c r="K153" i="3"/>
  <c r="J153" i="3"/>
  <c r="I153" i="3"/>
  <c r="D153" i="3"/>
  <c r="DW160" i="3"/>
  <c r="DV160" i="3"/>
  <c r="DU160" i="3"/>
  <c r="DT160" i="3"/>
  <c r="DS160" i="3"/>
  <c r="DR160" i="3"/>
  <c r="DQ160" i="3"/>
  <c r="DP160" i="3"/>
  <c r="DO160" i="3"/>
  <c r="DN160" i="3"/>
  <c r="DM160" i="3"/>
  <c r="DL160" i="3"/>
  <c r="DK160" i="3"/>
  <c r="DJ160" i="3"/>
  <c r="DI160" i="3"/>
  <c r="DH160" i="3"/>
  <c r="DG160" i="3"/>
  <c r="DF160" i="3"/>
  <c r="DE160" i="3"/>
  <c r="DD160" i="3"/>
  <c r="DC160" i="3"/>
  <c r="DB160" i="3"/>
  <c r="DA160" i="3"/>
  <c r="CZ160" i="3"/>
  <c r="CY160" i="3"/>
  <c r="CX160" i="3"/>
  <c r="CW160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C160" i="3"/>
  <c r="BB160" i="3"/>
  <c r="BA160" i="3"/>
  <c r="AZ160" i="3"/>
  <c r="AI160" i="3"/>
  <c r="AH160" i="3"/>
  <c r="AT160" i="3" s="1"/>
  <c r="AD160" i="3"/>
  <c r="AC160" i="3"/>
  <c r="W160" i="3"/>
  <c r="V160" i="3"/>
  <c r="U160" i="3"/>
  <c r="AY160" i="3" s="1"/>
  <c r="T160" i="3"/>
  <c r="R160" i="3"/>
  <c r="Q160" i="3"/>
  <c r="N160" i="3"/>
  <c r="M160" i="3"/>
  <c r="K160" i="3"/>
  <c r="J160" i="3"/>
  <c r="I160" i="3"/>
  <c r="D160" i="3"/>
  <c r="DW156" i="3"/>
  <c r="DV156" i="3"/>
  <c r="DU156" i="3"/>
  <c r="DT156" i="3"/>
  <c r="DS156" i="3"/>
  <c r="DR156" i="3"/>
  <c r="DQ156" i="3"/>
  <c r="DP156" i="3"/>
  <c r="DO156" i="3"/>
  <c r="DN156" i="3"/>
  <c r="DM156" i="3"/>
  <c r="DL156" i="3"/>
  <c r="DK156" i="3"/>
  <c r="DJ156" i="3"/>
  <c r="DI156" i="3"/>
  <c r="DH156" i="3"/>
  <c r="DG156" i="3"/>
  <c r="DF156" i="3"/>
  <c r="DE156" i="3"/>
  <c r="DD156" i="3"/>
  <c r="DC156" i="3"/>
  <c r="DB156" i="3"/>
  <c r="DA156" i="3"/>
  <c r="CZ156" i="3"/>
  <c r="CY156" i="3"/>
  <c r="CX156" i="3"/>
  <c r="CW156" i="3"/>
  <c r="CV156" i="3"/>
  <c r="CU156" i="3"/>
  <c r="CT156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CA156" i="3"/>
  <c r="BZ156" i="3"/>
  <c r="BY156" i="3"/>
  <c r="BX156" i="3"/>
  <c r="BW156" i="3"/>
  <c r="BV156" i="3"/>
  <c r="BU156" i="3"/>
  <c r="BT156" i="3"/>
  <c r="BS156" i="3"/>
  <c r="BR156" i="3"/>
  <c r="BQ156" i="3"/>
  <c r="BP156" i="3"/>
  <c r="BO156" i="3"/>
  <c r="BN156" i="3"/>
  <c r="BM156" i="3"/>
  <c r="BL156" i="3"/>
  <c r="BK156" i="3"/>
  <c r="BJ156" i="3"/>
  <c r="BI156" i="3"/>
  <c r="BH156" i="3"/>
  <c r="BG156" i="3"/>
  <c r="BF156" i="3"/>
  <c r="BE156" i="3"/>
  <c r="BD156" i="3"/>
  <c r="BC156" i="3"/>
  <c r="BB156" i="3"/>
  <c r="BA156" i="3"/>
  <c r="AZ156" i="3"/>
  <c r="AY156" i="3"/>
  <c r="AH156" i="3"/>
  <c r="AT156" i="3" s="1"/>
  <c r="X156" i="3"/>
  <c r="W156" i="3"/>
  <c r="V156" i="3"/>
  <c r="U156" i="3"/>
  <c r="T156" i="3"/>
  <c r="R156" i="3"/>
  <c r="Q156" i="3"/>
  <c r="N156" i="3"/>
  <c r="M156" i="3"/>
  <c r="K156" i="3"/>
  <c r="J156" i="3"/>
  <c r="I156" i="3"/>
  <c r="D156" i="3"/>
  <c r="DW158" i="3"/>
  <c r="DV158" i="3"/>
  <c r="DU158" i="3"/>
  <c r="DT158" i="3"/>
  <c r="DS158" i="3"/>
  <c r="DR158" i="3"/>
  <c r="DQ158" i="3"/>
  <c r="DP158" i="3"/>
  <c r="DO158" i="3"/>
  <c r="DN158" i="3"/>
  <c r="DM158" i="3"/>
  <c r="DL158" i="3"/>
  <c r="DK158" i="3"/>
  <c r="DJ158" i="3"/>
  <c r="DI158" i="3"/>
  <c r="DH158" i="3"/>
  <c r="DG158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BS158" i="3"/>
  <c r="BR158" i="3"/>
  <c r="BQ158" i="3"/>
  <c r="BP158" i="3"/>
  <c r="BO158" i="3"/>
  <c r="BN158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Z158" i="3"/>
  <c r="AC158" i="3"/>
  <c r="Z158" i="3"/>
  <c r="Y158" i="3"/>
  <c r="X158" i="3"/>
  <c r="W158" i="3"/>
  <c r="V158" i="3"/>
  <c r="U158" i="3"/>
  <c r="AY158" i="3" s="1"/>
  <c r="T158" i="3"/>
  <c r="R158" i="3"/>
  <c r="Q158" i="3"/>
  <c r="N158" i="3"/>
  <c r="M158" i="3"/>
  <c r="K158" i="3"/>
  <c r="J158" i="3"/>
  <c r="I158" i="3"/>
  <c r="D158" i="3"/>
  <c r="DW157" i="3"/>
  <c r="DV157" i="3"/>
  <c r="DU157" i="3"/>
  <c r="DT157" i="3"/>
  <c r="DS157" i="3"/>
  <c r="DR157" i="3"/>
  <c r="DQ157" i="3"/>
  <c r="DP157" i="3"/>
  <c r="DO157" i="3"/>
  <c r="DN157" i="3"/>
  <c r="DM157" i="3"/>
  <c r="DL157" i="3"/>
  <c r="DK157" i="3"/>
  <c r="DJ157" i="3"/>
  <c r="DI157" i="3"/>
  <c r="DH157" i="3"/>
  <c r="DG157" i="3"/>
  <c r="DF157" i="3"/>
  <c r="DE157" i="3"/>
  <c r="DD157" i="3"/>
  <c r="DC157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Z157" i="3"/>
  <c r="AX157" i="3"/>
  <c r="AW157" i="3"/>
  <c r="AV157" i="3"/>
  <c r="AU157" i="3"/>
  <c r="AP157" i="3"/>
  <c r="AN157" i="3"/>
  <c r="AJ157" i="3"/>
  <c r="AI157" i="3"/>
  <c r="AH157" i="3"/>
  <c r="Z157" i="3"/>
  <c r="Y157" i="3"/>
  <c r="X157" i="3"/>
  <c r="W157" i="3"/>
  <c r="U157" i="3"/>
  <c r="T157" i="3"/>
  <c r="R157" i="3"/>
  <c r="Q157" i="3"/>
  <c r="N157" i="3"/>
  <c r="M157" i="3"/>
  <c r="K157" i="3"/>
  <c r="J157" i="3"/>
  <c r="I157" i="3"/>
  <c r="D157" i="3"/>
  <c r="DW152" i="3"/>
  <c r="DV152" i="3"/>
  <c r="DU152" i="3"/>
  <c r="DT152" i="3"/>
  <c r="DS152" i="3"/>
  <c r="DR152" i="3"/>
  <c r="DQ152" i="3"/>
  <c r="DP152" i="3"/>
  <c r="DO152" i="3"/>
  <c r="DN152" i="3"/>
  <c r="DM152" i="3"/>
  <c r="DL152" i="3"/>
  <c r="DK152" i="3"/>
  <c r="DJ152" i="3"/>
  <c r="DI152" i="3"/>
  <c r="DH152" i="3"/>
  <c r="DG152" i="3"/>
  <c r="DF152" i="3"/>
  <c r="DE152" i="3"/>
  <c r="DD152" i="3"/>
  <c r="DC152" i="3"/>
  <c r="DB152" i="3"/>
  <c r="DA152" i="3"/>
  <c r="CZ152" i="3"/>
  <c r="CY152" i="3"/>
  <c r="CX152" i="3"/>
  <c r="CW152" i="3"/>
  <c r="CV152" i="3"/>
  <c r="CU152" i="3"/>
  <c r="CT152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CA152" i="3"/>
  <c r="BZ152" i="3"/>
  <c r="BY152" i="3"/>
  <c r="BX152" i="3"/>
  <c r="BW152" i="3"/>
  <c r="BV152" i="3"/>
  <c r="BU152" i="3"/>
  <c r="BT152" i="3"/>
  <c r="BS152" i="3"/>
  <c r="BR152" i="3"/>
  <c r="BQ152" i="3"/>
  <c r="BP152" i="3"/>
  <c r="BO152" i="3"/>
  <c r="BN152" i="3"/>
  <c r="BM152" i="3"/>
  <c r="BL152" i="3"/>
  <c r="BK152" i="3"/>
  <c r="BJ152" i="3"/>
  <c r="BI152" i="3"/>
  <c r="BH152" i="3"/>
  <c r="BG152" i="3"/>
  <c r="BF152" i="3"/>
  <c r="BE152" i="3"/>
  <c r="BD152" i="3"/>
  <c r="BC152" i="3"/>
  <c r="BB152" i="3"/>
  <c r="BA152" i="3"/>
  <c r="AZ152" i="3"/>
  <c r="AH152" i="3"/>
  <c r="AT152" i="3" s="1"/>
  <c r="AF152" i="3"/>
  <c r="AD152" i="3"/>
  <c r="Z152" i="3"/>
  <c r="U152" i="3"/>
  <c r="T152" i="3"/>
  <c r="R152" i="3"/>
  <c r="Q152" i="3"/>
  <c r="M152" i="3"/>
  <c r="K152" i="3"/>
  <c r="J152" i="3"/>
  <c r="I152" i="3"/>
  <c r="D152" i="3"/>
  <c r="DW155" i="3"/>
  <c r="DV155" i="3"/>
  <c r="DU155" i="3"/>
  <c r="DT155" i="3"/>
  <c r="DS155" i="3"/>
  <c r="DR155" i="3"/>
  <c r="DQ155" i="3"/>
  <c r="DP155" i="3"/>
  <c r="DO155" i="3"/>
  <c r="DN155" i="3"/>
  <c r="DM155" i="3"/>
  <c r="DL155" i="3"/>
  <c r="DK155" i="3"/>
  <c r="DJ155" i="3"/>
  <c r="DI155" i="3"/>
  <c r="DH155" i="3"/>
  <c r="DG155" i="3"/>
  <c r="DF155" i="3"/>
  <c r="DE155" i="3"/>
  <c r="DD155" i="3"/>
  <c r="DC155" i="3"/>
  <c r="DB155" i="3"/>
  <c r="DA155" i="3"/>
  <c r="CZ155" i="3"/>
  <c r="CY155" i="3"/>
  <c r="CX155" i="3"/>
  <c r="CW155" i="3"/>
  <c r="CV155" i="3"/>
  <c r="CU155" i="3"/>
  <c r="CT155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CA155" i="3"/>
  <c r="BZ155" i="3"/>
  <c r="BY155" i="3"/>
  <c r="BX155" i="3"/>
  <c r="BW155" i="3"/>
  <c r="BV155" i="3"/>
  <c r="BU155" i="3"/>
  <c r="BT155" i="3"/>
  <c r="BS155" i="3"/>
  <c r="BR155" i="3"/>
  <c r="BQ155" i="3"/>
  <c r="BP155" i="3"/>
  <c r="BO155" i="3"/>
  <c r="BN155" i="3"/>
  <c r="BM155" i="3"/>
  <c r="BL155" i="3"/>
  <c r="BK155" i="3"/>
  <c r="BJ155" i="3"/>
  <c r="BI155" i="3"/>
  <c r="BH155" i="3"/>
  <c r="BG155" i="3"/>
  <c r="BF155" i="3"/>
  <c r="BE155" i="3"/>
  <c r="BD155" i="3"/>
  <c r="BC155" i="3"/>
  <c r="BB155" i="3"/>
  <c r="BA155" i="3"/>
  <c r="AZ155" i="3"/>
  <c r="AX155" i="3"/>
  <c r="AV155" i="3"/>
  <c r="AU155" i="3"/>
  <c r="AS155" i="3"/>
  <c r="AO155" i="3"/>
  <c r="AJ155" i="3"/>
  <c r="AG155" i="3"/>
  <c r="AD155" i="3"/>
  <c r="AC155" i="3"/>
  <c r="Z155" i="3"/>
  <c r="X155" i="3"/>
  <c r="W155" i="3"/>
  <c r="V155" i="3"/>
  <c r="U155" i="3"/>
  <c r="AY155" i="3" s="1"/>
  <c r="T155" i="3"/>
  <c r="R155" i="3"/>
  <c r="Q155" i="3"/>
  <c r="N155" i="3"/>
  <c r="M155" i="3"/>
  <c r="K155" i="3"/>
  <c r="J155" i="3"/>
  <c r="I155" i="3"/>
  <c r="D155" i="3"/>
  <c r="DW154" i="3"/>
  <c r="DV154" i="3"/>
  <c r="DU154" i="3"/>
  <c r="DT154" i="3"/>
  <c r="DS154" i="3"/>
  <c r="DR154" i="3"/>
  <c r="DQ154" i="3"/>
  <c r="DP154" i="3"/>
  <c r="DO154" i="3"/>
  <c r="DN154" i="3"/>
  <c r="DM154" i="3"/>
  <c r="DL154" i="3"/>
  <c r="DK154" i="3"/>
  <c r="DJ154" i="3"/>
  <c r="DI154" i="3"/>
  <c r="DH154" i="3"/>
  <c r="DG154" i="3"/>
  <c r="DF154" i="3"/>
  <c r="DE154" i="3"/>
  <c r="DD154" i="3"/>
  <c r="DC154" i="3"/>
  <c r="DB154" i="3"/>
  <c r="DA154" i="3"/>
  <c r="CY154" i="3"/>
  <c r="CX154" i="3"/>
  <c r="CW154" i="3"/>
  <c r="CV154" i="3"/>
  <c r="CU154" i="3"/>
  <c r="CT154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BS154" i="3"/>
  <c r="BR154" i="3"/>
  <c r="BQ154" i="3"/>
  <c r="BP154" i="3"/>
  <c r="BO154" i="3"/>
  <c r="BN154" i="3"/>
  <c r="BM154" i="3"/>
  <c r="BL154" i="3"/>
  <c r="BK154" i="3"/>
  <c r="BJ154" i="3"/>
  <c r="BI154" i="3"/>
  <c r="BH154" i="3"/>
  <c r="BG154" i="3"/>
  <c r="BF154" i="3"/>
  <c r="BE154" i="3"/>
  <c r="BD154" i="3"/>
  <c r="BC154" i="3"/>
  <c r="BB154" i="3"/>
  <c r="BA154" i="3"/>
  <c r="AZ154" i="3"/>
  <c r="U154" i="3"/>
  <c r="T154" i="3"/>
  <c r="R154" i="3"/>
  <c r="Q154" i="3"/>
  <c r="M154" i="3"/>
  <c r="K154" i="3"/>
  <c r="J154" i="3"/>
  <c r="I154" i="3"/>
  <c r="D154" i="3"/>
  <c r="DW149" i="3"/>
  <c r="DV149" i="3"/>
  <c r="DU149" i="3"/>
  <c r="DT149" i="3"/>
  <c r="DS149" i="3"/>
  <c r="DR149" i="3"/>
  <c r="DQ149" i="3"/>
  <c r="DP149" i="3"/>
  <c r="DO149" i="3"/>
  <c r="DN149" i="3"/>
  <c r="DM149" i="3"/>
  <c r="DL149" i="3"/>
  <c r="DK149" i="3"/>
  <c r="DJ149" i="3"/>
  <c r="DI149" i="3"/>
  <c r="DH149" i="3"/>
  <c r="DG149" i="3"/>
  <c r="DF149" i="3"/>
  <c r="DE149" i="3"/>
  <c r="DD149" i="3"/>
  <c r="DC149" i="3"/>
  <c r="DB149" i="3"/>
  <c r="DA149" i="3"/>
  <c r="CZ149" i="3"/>
  <c r="CY149" i="3"/>
  <c r="CX149" i="3"/>
  <c r="CW149" i="3"/>
  <c r="CV149" i="3"/>
  <c r="CU149" i="3"/>
  <c r="CT149" i="3"/>
  <c r="CS149" i="3"/>
  <c r="CR149" i="3"/>
  <c r="CQ149" i="3"/>
  <c r="CP149" i="3"/>
  <c r="CO149" i="3"/>
  <c r="CN149" i="3"/>
  <c r="CM149" i="3"/>
  <c r="CL149" i="3"/>
  <c r="CK149" i="3"/>
  <c r="CJ149" i="3"/>
  <c r="CI149" i="3"/>
  <c r="CH149" i="3"/>
  <c r="CG149" i="3"/>
  <c r="CF149" i="3"/>
  <c r="CE149" i="3"/>
  <c r="CD149" i="3"/>
  <c r="CC149" i="3"/>
  <c r="CB149" i="3"/>
  <c r="CA149" i="3"/>
  <c r="BZ149" i="3"/>
  <c r="BY149" i="3"/>
  <c r="BX149" i="3"/>
  <c r="BW149" i="3"/>
  <c r="BV149" i="3"/>
  <c r="BU149" i="3"/>
  <c r="BT149" i="3"/>
  <c r="BS149" i="3"/>
  <c r="BR149" i="3"/>
  <c r="BQ149" i="3"/>
  <c r="BP149" i="3"/>
  <c r="BO149" i="3"/>
  <c r="BN149" i="3"/>
  <c r="BM149" i="3"/>
  <c r="BL149" i="3"/>
  <c r="BK149" i="3"/>
  <c r="BJ149" i="3"/>
  <c r="BI149" i="3"/>
  <c r="BH149" i="3"/>
  <c r="BG149" i="3"/>
  <c r="BF149" i="3"/>
  <c r="BE149" i="3"/>
  <c r="BD149" i="3"/>
  <c r="BC149" i="3"/>
  <c r="BB149" i="3"/>
  <c r="BA149" i="3"/>
  <c r="AZ149" i="3"/>
  <c r="U149" i="3"/>
  <c r="T149" i="3"/>
  <c r="R149" i="3"/>
  <c r="Q149" i="3"/>
  <c r="M149" i="3"/>
  <c r="K149" i="3"/>
  <c r="J149" i="3"/>
  <c r="I149" i="3"/>
  <c r="D149" i="3"/>
  <c r="DW139" i="3"/>
  <c r="DV139" i="3"/>
  <c r="DU139" i="3"/>
  <c r="DT139" i="3"/>
  <c r="DS139" i="3"/>
  <c r="DR139" i="3"/>
  <c r="DQ139" i="3"/>
  <c r="DP139" i="3"/>
  <c r="DO139" i="3"/>
  <c r="DN139" i="3"/>
  <c r="DM139" i="3"/>
  <c r="DL139" i="3"/>
  <c r="DK139" i="3"/>
  <c r="DJ139" i="3"/>
  <c r="DI139" i="3"/>
  <c r="DH139" i="3"/>
  <c r="DG139" i="3"/>
  <c r="DF139" i="3"/>
  <c r="DE139" i="3"/>
  <c r="DD139" i="3"/>
  <c r="DC139" i="3"/>
  <c r="DB139" i="3"/>
  <c r="DA139" i="3"/>
  <c r="CY139" i="3"/>
  <c r="CX139" i="3"/>
  <c r="CW139" i="3"/>
  <c r="CV139" i="3"/>
  <c r="CU139" i="3"/>
  <c r="CT139" i="3"/>
  <c r="CS139" i="3"/>
  <c r="CR139" i="3"/>
  <c r="CQ139" i="3"/>
  <c r="CP139" i="3"/>
  <c r="CO139" i="3"/>
  <c r="CN139" i="3"/>
  <c r="CM139" i="3"/>
  <c r="CL139" i="3"/>
  <c r="CJ139" i="3"/>
  <c r="CI139" i="3"/>
  <c r="CH139" i="3"/>
  <c r="CG139" i="3"/>
  <c r="CF139" i="3"/>
  <c r="CE139" i="3"/>
  <c r="CD139" i="3"/>
  <c r="CC139" i="3"/>
  <c r="CB139" i="3"/>
  <c r="CA139" i="3"/>
  <c r="BZ139" i="3"/>
  <c r="BY139" i="3"/>
  <c r="BX139" i="3"/>
  <c r="BW139" i="3"/>
  <c r="BU139" i="3"/>
  <c r="BT139" i="3"/>
  <c r="BS139" i="3"/>
  <c r="BR139" i="3"/>
  <c r="BQ139" i="3"/>
  <c r="BP139" i="3"/>
  <c r="BO139" i="3"/>
  <c r="BN139" i="3"/>
  <c r="BM139" i="3"/>
  <c r="BL139" i="3"/>
  <c r="BK139" i="3"/>
  <c r="BJ139" i="3"/>
  <c r="BI139" i="3"/>
  <c r="BH139" i="3"/>
  <c r="BF139" i="3"/>
  <c r="BE139" i="3"/>
  <c r="BD139" i="3"/>
  <c r="BC139" i="3"/>
  <c r="BB139" i="3"/>
  <c r="BA139" i="3"/>
  <c r="AZ139" i="3"/>
  <c r="U139" i="3"/>
  <c r="T139" i="3"/>
  <c r="R139" i="3"/>
  <c r="Q139" i="3"/>
  <c r="M139" i="3"/>
  <c r="K139" i="3"/>
  <c r="J139" i="3"/>
  <c r="I139" i="3"/>
  <c r="D139" i="3"/>
  <c r="DW147" i="3"/>
  <c r="DV147" i="3"/>
  <c r="DU147" i="3"/>
  <c r="DT147" i="3"/>
  <c r="DS147" i="3"/>
  <c r="DR147" i="3"/>
  <c r="DQ147" i="3"/>
  <c r="DP147" i="3"/>
  <c r="DO147" i="3"/>
  <c r="DN147" i="3"/>
  <c r="DM147" i="3"/>
  <c r="DL147" i="3"/>
  <c r="DK147" i="3"/>
  <c r="DJ147" i="3"/>
  <c r="DI147" i="3"/>
  <c r="DH147" i="3"/>
  <c r="DG147" i="3"/>
  <c r="DF147" i="3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CA147" i="3"/>
  <c r="BZ147" i="3"/>
  <c r="BY147" i="3"/>
  <c r="BX147" i="3"/>
  <c r="BW147" i="3"/>
  <c r="BV147" i="3"/>
  <c r="BU147" i="3"/>
  <c r="BT147" i="3"/>
  <c r="BS147" i="3"/>
  <c r="BR147" i="3"/>
  <c r="BQ147" i="3"/>
  <c r="BP147" i="3"/>
  <c r="BO147" i="3"/>
  <c r="BN147" i="3"/>
  <c r="BM147" i="3"/>
  <c r="BL147" i="3"/>
  <c r="BK147" i="3"/>
  <c r="BJ147" i="3"/>
  <c r="BI147" i="3"/>
  <c r="BH147" i="3"/>
  <c r="BG147" i="3"/>
  <c r="BF147" i="3"/>
  <c r="BE147" i="3"/>
  <c r="BD147" i="3"/>
  <c r="BC147" i="3"/>
  <c r="BB147" i="3"/>
  <c r="BA147" i="3"/>
  <c r="AZ147" i="3"/>
  <c r="AJ147" i="3"/>
  <c r="AF147" i="3"/>
  <c r="AE147" i="3"/>
  <c r="AD147" i="3"/>
  <c r="AC147" i="3"/>
  <c r="Z147" i="3"/>
  <c r="Y147" i="3"/>
  <c r="X147" i="3"/>
  <c r="U147" i="3"/>
  <c r="AY147" i="3" s="1"/>
  <c r="T147" i="3"/>
  <c r="R147" i="3"/>
  <c r="Q147" i="3"/>
  <c r="M147" i="3"/>
  <c r="K147" i="3"/>
  <c r="J147" i="3"/>
  <c r="I147" i="3"/>
  <c r="D147" i="3"/>
  <c r="DW151" i="3"/>
  <c r="DV151" i="3"/>
  <c r="DU151" i="3"/>
  <c r="DT151" i="3"/>
  <c r="DS151" i="3"/>
  <c r="DR151" i="3"/>
  <c r="DQ151" i="3"/>
  <c r="DP151" i="3"/>
  <c r="DO151" i="3"/>
  <c r="DN151" i="3"/>
  <c r="DM151" i="3"/>
  <c r="DL151" i="3"/>
  <c r="DK151" i="3"/>
  <c r="DJ151" i="3"/>
  <c r="DI151" i="3"/>
  <c r="DH151" i="3"/>
  <c r="DG151" i="3"/>
  <c r="DF151" i="3"/>
  <c r="DE151" i="3"/>
  <c r="DD151" i="3"/>
  <c r="DC151" i="3"/>
  <c r="DB151" i="3"/>
  <c r="DA151" i="3"/>
  <c r="CZ151" i="3"/>
  <c r="CY151" i="3"/>
  <c r="CX151" i="3"/>
  <c r="CW151" i="3"/>
  <c r="CV151" i="3"/>
  <c r="CU151" i="3"/>
  <c r="CT151" i="3"/>
  <c r="CS151" i="3"/>
  <c r="CR151" i="3"/>
  <c r="CQ151" i="3"/>
  <c r="CP151" i="3"/>
  <c r="CO151" i="3"/>
  <c r="CN151" i="3"/>
  <c r="CM151" i="3"/>
  <c r="CL151" i="3"/>
  <c r="CK151" i="3"/>
  <c r="CJ151" i="3"/>
  <c r="CI151" i="3"/>
  <c r="CH151" i="3"/>
  <c r="CG151" i="3"/>
  <c r="CF151" i="3"/>
  <c r="CE151" i="3"/>
  <c r="CD151" i="3"/>
  <c r="CC151" i="3"/>
  <c r="CB151" i="3"/>
  <c r="CA151" i="3"/>
  <c r="BZ151" i="3"/>
  <c r="BY151" i="3"/>
  <c r="BX151" i="3"/>
  <c r="BW151" i="3"/>
  <c r="BV151" i="3"/>
  <c r="BU151" i="3"/>
  <c r="BT151" i="3"/>
  <c r="BS151" i="3"/>
  <c r="BR151" i="3"/>
  <c r="BQ151" i="3"/>
  <c r="BP151" i="3"/>
  <c r="BO151" i="3"/>
  <c r="BN151" i="3"/>
  <c r="BM151" i="3"/>
  <c r="BL151" i="3"/>
  <c r="BK151" i="3"/>
  <c r="BJ151" i="3"/>
  <c r="BI151" i="3"/>
  <c r="BH151" i="3"/>
  <c r="BG151" i="3"/>
  <c r="BF151" i="3"/>
  <c r="BE151" i="3"/>
  <c r="BD151" i="3"/>
  <c r="BC151" i="3"/>
  <c r="BB151" i="3"/>
  <c r="BA151" i="3"/>
  <c r="AZ151" i="3"/>
  <c r="AP151" i="3"/>
  <c r="AO151" i="3"/>
  <c r="AD151" i="3"/>
  <c r="AC151" i="3"/>
  <c r="Z151" i="3"/>
  <c r="Y151" i="3"/>
  <c r="X151" i="3"/>
  <c r="W151" i="3"/>
  <c r="V151" i="3"/>
  <c r="U151" i="3"/>
  <c r="AY151" i="3" s="1"/>
  <c r="T151" i="3"/>
  <c r="R151" i="3"/>
  <c r="Q151" i="3"/>
  <c r="M151" i="3"/>
  <c r="K151" i="3"/>
  <c r="J151" i="3"/>
  <c r="I151" i="3"/>
  <c r="D151" i="3"/>
  <c r="DW145" i="3"/>
  <c r="DV145" i="3"/>
  <c r="DU145" i="3"/>
  <c r="DT145" i="3"/>
  <c r="DS145" i="3"/>
  <c r="DR145" i="3"/>
  <c r="DQ145" i="3"/>
  <c r="DP145" i="3"/>
  <c r="DO145" i="3"/>
  <c r="DN145" i="3"/>
  <c r="DM145" i="3"/>
  <c r="DL145" i="3"/>
  <c r="DK145" i="3"/>
  <c r="DJ145" i="3"/>
  <c r="DI145" i="3"/>
  <c r="DH145" i="3"/>
  <c r="DG145" i="3"/>
  <c r="DF145" i="3"/>
  <c r="DE145" i="3"/>
  <c r="DD145" i="3"/>
  <c r="DC145" i="3"/>
  <c r="DB145" i="3"/>
  <c r="DA145" i="3"/>
  <c r="CZ145" i="3"/>
  <c r="CY145" i="3"/>
  <c r="CX145" i="3"/>
  <c r="CW145" i="3"/>
  <c r="CV145" i="3"/>
  <c r="CU145" i="3"/>
  <c r="CT145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CA145" i="3"/>
  <c r="BZ145" i="3"/>
  <c r="BY145" i="3"/>
  <c r="BX145" i="3"/>
  <c r="BW145" i="3"/>
  <c r="BV145" i="3"/>
  <c r="BU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C145" i="3"/>
  <c r="BB145" i="3"/>
  <c r="BA145" i="3"/>
  <c r="AZ145" i="3"/>
  <c r="U145" i="3"/>
  <c r="T145" i="3"/>
  <c r="R145" i="3"/>
  <c r="Q145" i="3"/>
  <c r="M145" i="3"/>
  <c r="K145" i="3"/>
  <c r="J145" i="3"/>
  <c r="I145" i="3"/>
  <c r="D145" i="3"/>
  <c r="DW150" i="3"/>
  <c r="DV150" i="3"/>
  <c r="DU150" i="3"/>
  <c r="DT150" i="3"/>
  <c r="DS150" i="3"/>
  <c r="DR150" i="3"/>
  <c r="DQ150" i="3"/>
  <c r="DP150" i="3"/>
  <c r="DO150" i="3"/>
  <c r="DN150" i="3"/>
  <c r="DM150" i="3"/>
  <c r="DL150" i="3"/>
  <c r="DK150" i="3"/>
  <c r="DJ150" i="3"/>
  <c r="DI150" i="3"/>
  <c r="DH150" i="3"/>
  <c r="DG150" i="3"/>
  <c r="DF150" i="3"/>
  <c r="DE150" i="3"/>
  <c r="DD150" i="3"/>
  <c r="DC150" i="3"/>
  <c r="DB150" i="3"/>
  <c r="DA150" i="3"/>
  <c r="CZ150" i="3"/>
  <c r="CY150" i="3"/>
  <c r="CX150" i="3"/>
  <c r="CW150" i="3"/>
  <c r="CV150" i="3"/>
  <c r="CU150" i="3"/>
  <c r="CT150" i="3"/>
  <c r="CS150" i="3"/>
  <c r="CR150" i="3"/>
  <c r="CQ150" i="3"/>
  <c r="CP150" i="3"/>
  <c r="CO150" i="3"/>
  <c r="CN150" i="3"/>
  <c r="CM150" i="3"/>
  <c r="CL150" i="3"/>
  <c r="CK150" i="3"/>
  <c r="CJ150" i="3"/>
  <c r="CI150" i="3"/>
  <c r="CH150" i="3"/>
  <c r="CG150" i="3"/>
  <c r="CF150" i="3"/>
  <c r="CE150" i="3"/>
  <c r="CD150" i="3"/>
  <c r="CC150" i="3"/>
  <c r="CB150" i="3"/>
  <c r="CA150" i="3"/>
  <c r="BZ150" i="3"/>
  <c r="BY150" i="3"/>
  <c r="BX150" i="3"/>
  <c r="BW150" i="3"/>
  <c r="BV150" i="3"/>
  <c r="BU150" i="3"/>
  <c r="BT150" i="3"/>
  <c r="BS150" i="3"/>
  <c r="BR150" i="3"/>
  <c r="BQ150" i="3"/>
  <c r="BP150" i="3"/>
  <c r="BO150" i="3"/>
  <c r="BN150" i="3"/>
  <c r="BM150" i="3"/>
  <c r="BL150" i="3"/>
  <c r="BK150" i="3"/>
  <c r="BJ150" i="3"/>
  <c r="BI150" i="3"/>
  <c r="BH150" i="3"/>
  <c r="BG150" i="3"/>
  <c r="BF150" i="3"/>
  <c r="BE150" i="3"/>
  <c r="BD150" i="3"/>
  <c r="BC150" i="3"/>
  <c r="BB150" i="3"/>
  <c r="BA150" i="3"/>
  <c r="AZ150" i="3"/>
  <c r="AX150" i="3"/>
  <c r="AW150" i="3"/>
  <c r="AV150" i="3"/>
  <c r="AU150" i="3"/>
  <c r="AO150" i="3"/>
  <c r="AN150" i="3"/>
  <c r="AK150" i="3"/>
  <c r="AJ150" i="3"/>
  <c r="AI150" i="3"/>
  <c r="AH150" i="3"/>
  <c r="AT150" i="3" s="1"/>
  <c r="X150" i="3"/>
  <c r="W150" i="3"/>
  <c r="V150" i="3"/>
  <c r="U150" i="3"/>
  <c r="AY150" i="3" s="1"/>
  <c r="T150" i="3"/>
  <c r="R150" i="3"/>
  <c r="Q150" i="3"/>
  <c r="N150" i="3"/>
  <c r="M150" i="3"/>
  <c r="K150" i="3"/>
  <c r="J150" i="3"/>
  <c r="I150" i="3"/>
  <c r="D150" i="3"/>
  <c r="DW148" i="3"/>
  <c r="DV148" i="3"/>
  <c r="DU148" i="3"/>
  <c r="DT148" i="3"/>
  <c r="DS148" i="3"/>
  <c r="DR148" i="3"/>
  <c r="DQ148" i="3"/>
  <c r="DP148" i="3"/>
  <c r="DO148" i="3"/>
  <c r="DN148" i="3"/>
  <c r="DM148" i="3"/>
  <c r="DL148" i="3"/>
  <c r="DK148" i="3"/>
  <c r="DJ148" i="3"/>
  <c r="DI148" i="3"/>
  <c r="DH148" i="3"/>
  <c r="DG148" i="3"/>
  <c r="DF148" i="3"/>
  <c r="DE148" i="3"/>
  <c r="DD148" i="3"/>
  <c r="DC148" i="3"/>
  <c r="DB148" i="3"/>
  <c r="DA148" i="3"/>
  <c r="CZ148" i="3"/>
  <c r="CY148" i="3"/>
  <c r="CX148" i="3"/>
  <c r="CW148" i="3"/>
  <c r="CV148" i="3"/>
  <c r="CU148" i="3"/>
  <c r="CT148" i="3"/>
  <c r="CS148" i="3"/>
  <c r="CR148" i="3"/>
  <c r="CQ148" i="3"/>
  <c r="CP148" i="3"/>
  <c r="CO148" i="3"/>
  <c r="CN148" i="3"/>
  <c r="CM148" i="3"/>
  <c r="CL148" i="3"/>
  <c r="CK148" i="3"/>
  <c r="CJ148" i="3"/>
  <c r="CI148" i="3"/>
  <c r="CH148" i="3"/>
  <c r="CG148" i="3"/>
  <c r="CF148" i="3"/>
  <c r="CE148" i="3"/>
  <c r="CD148" i="3"/>
  <c r="CC148" i="3"/>
  <c r="CB148" i="3"/>
  <c r="CA148" i="3"/>
  <c r="BZ148" i="3"/>
  <c r="BY148" i="3"/>
  <c r="BX148" i="3"/>
  <c r="BW148" i="3"/>
  <c r="BV148" i="3"/>
  <c r="BU148" i="3"/>
  <c r="BT148" i="3"/>
  <c r="BS148" i="3"/>
  <c r="BR148" i="3"/>
  <c r="BQ148" i="3"/>
  <c r="BP14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BC148" i="3"/>
  <c r="BB148" i="3"/>
  <c r="BA148" i="3"/>
  <c r="AZ148" i="3"/>
  <c r="AJ148" i="3"/>
  <c r="AI148" i="3"/>
  <c r="AH148" i="3"/>
  <c r="AT148" i="3" s="1"/>
  <c r="AD148" i="3"/>
  <c r="AC148" i="3"/>
  <c r="Z148" i="3"/>
  <c r="X148" i="3"/>
  <c r="W148" i="3"/>
  <c r="V148" i="3"/>
  <c r="U148" i="3"/>
  <c r="AY148" i="3" s="1"/>
  <c r="T148" i="3"/>
  <c r="R148" i="3"/>
  <c r="Q148" i="3"/>
  <c r="N148" i="3"/>
  <c r="M148" i="3"/>
  <c r="K148" i="3"/>
  <c r="J148" i="3"/>
  <c r="I148" i="3"/>
  <c r="D148" i="3"/>
  <c r="DW142" i="3"/>
  <c r="DV142" i="3"/>
  <c r="DU142" i="3"/>
  <c r="DT142" i="3"/>
  <c r="DS142" i="3"/>
  <c r="DR142" i="3"/>
  <c r="DQ142" i="3"/>
  <c r="DP142" i="3"/>
  <c r="DO142" i="3"/>
  <c r="DN142" i="3"/>
  <c r="DM142" i="3"/>
  <c r="DL142" i="3"/>
  <c r="DK142" i="3"/>
  <c r="DJ142" i="3"/>
  <c r="DI142" i="3"/>
  <c r="DH142" i="3"/>
  <c r="DG142" i="3"/>
  <c r="DF142" i="3"/>
  <c r="DE142" i="3"/>
  <c r="DD142" i="3"/>
  <c r="DC142" i="3"/>
  <c r="DB142" i="3"/>
  <c r="DA142" i="3"/>
  <c r="CZ142" i="3"/>
  <c r="CY142" i="3"/>
  <c r="CX142" i="3"/>
  <c r="CW142" i="3"/>
  <c r="CV142" i="3"/>
  <c r="CU142" i="3"/>
  <c r="CT142" i="3"/>
  <c r="CS142" i="3"/>
  <c r="CR142" i="3"/>
  <c r="CQ142" i="3"/>
  <c r="CP142" i="3"/>
  <c r="CO142" i="3"/>
  <c r="CN142" i="3"/>
  <c r="CM142" i="3"/>
  <c r="CL142" i="3"/>
  <c r="CK142" i="3"/>
  <c r="CJ142" i="3"/>
  <c r="CI142" i="3"/>
  <c r="CH142" i="3"/>
  <c r="CG142" i="3"/>
  <c r="CF142" i="3"/>
  <c r="CE142" i="3"/>
  <c r="CD142" i="3"/>
  <c r="CC142" i="3"/>
  <c r="CB142" i="3"/>
  <c r="CA142" i="3"/>
  <c r="BZ142" i="3"/>
  <c r="BY142" i="3"/>
  <c r="BX142" i="3"/>
  <c r="BW142" i="3"/>
  <c r="BV142" i="3"/>
  <c r="BU142" i="3"/>
  <c r="BT142" i="3"/>
  <c r="BS142" i="3"/>
  <c r="BR142" i="3"/>
  <c r="BQ142" i="3"/>
  <c r="BP142" i="3"/>
  <c r="BO142" i="3"/>
  <c r="BN142" i="3"/>
  <c r="BM142" i="3"/>
  <c r="BL142" i="3"/>
  <c r="BK142" i="3"/>
  <c r="BJ142" i="3"/>
  <c r="BI142" i="3"/>
  <c r="BH142" i="3"/>
  <c r="BG142" i="3"/>
  <c r="BF142" i="3"/>
  <c r="BE142" i="3"/>
  <c r="BD142" i="3"/>
  <c r="BC142" i="3"/>
  <c r="BB142" i="3"/>
  <c r="BA142" i="3"/>
  <c r="AZ142" i="3"/>
  <c r="AI142" i="3"/>
  <c r="AH142" i="3"/>
  <c r="AT142" i="3" s="1"/>
  <c r="AC142" i="3"/>
  <c r="Z142" i="3"/>
  <c r="Y142" i="3"/>
  <c r="X142" i="3"/>
  <c r="W142" i="3"/>
  <c r="V142" i="3"/>
  <c r="U142" i="3"/>
  <c r="AY142" i="3" s="1"/>
  <c r="T142" i="3"/>
  <c r="R142" i="3"/>
  <c r="Q142" i="3"/>
  <c r="M142" i="3"/>
  <c r="K142" i="3"/>
  <c r="J142" i="3"/>
  <c r="I142" i="3"/>
  <c r="D142" i="3"/>
  <c r="DW146" i="3"/>
  <c r="DV146" i="3"/>
  <c r="DU146" i="3"/>
  <c r="DT146" i="3"/>
  <c r="DS146" i="3"/>
  <c r="DR146" i="3"/>
  <c r="DQ146" i="3"/>
  <c r="DP146" i="3"/>
  <c r="DO146" i="3"/>
  <c r="DN146" i="3"/>
  <c r="DM146" i="3"/>
  <c r="DL146" i="3"/>
  <c r="DK146" i="3"/>
  <c r="DJ146" i="3"/>
  <c r="DI146" i="3"/>
  <c r="DH146" i="3"/>
  <c r="DG146" i="3"/>
  <c r="DF146" i="3"/>
  <c r="DE146" i="3"/>
  <c r="DD146" i="3"/>
  <c r="DC146" i="3"/>
  <c r="DB146" i="3"/>
  <c r="DA146" i="3"/>
  <c r="CZ146" i="3"/>
  <c r="CY146" i="3"/>
  <c r="CX146" i="3"/>
  <c r="CW146" i="3"/>
  <c r="CV146" i="3"/>
  <c r="CU146" i="3"/>
  <c r="CT146" i="3"/>
  <c r="CS146" i="3"/>
  <c r="CR146" i="3"/>
  <c r="CQ146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CA146" i="3"/>
  <c r="BZ146" i="3"/>
  <c r="BY146" i="3"/>
  <c r="BX146" i="3"/>
  <c r="BW146" i="3"/>
  <c r="BV146" i="3"/>
  <c r="BU146" i="3"/>
  <c r="BT146" i="3"/>
  <c r="BS146" i="3"/>
  <c r="BR146" i="3"/>
  <c r="BQ146" i="3"/>
  <c r="BP146" i="3"/>
  <c r="BO146" i="3"/>
  <c r="BN146" i="3"/>
  <c r="BM146" i="3"/>
  <c r="BL146" i="3"/>
  <c r="BK146" i="3"/>
  <c r="BJ146" i="3"/>
  <c r="BI146" i="3"/>
  <c r="BH146" i="3"/>
  <c r="BG146" i="3"/>
  <c r="BF146" i="3"/>
  <c r="BE146" i="3"/>
  <c r="BD146" i="3"/>
  <c r="BC146" i="3"/>
  <c r="BB146" i="3"/>
  <c r="BA146" i="3"/>
  <c r="AZ146" i="3"/>
  <c r="AR146" i="3"/>
  <c r="AP146" i="3"/>
  <c r="AO146" i="3"/>
  <c r="AF146" i="3"/>
  <c r="AE146" i="3"/>
  <c r="AD146" i="3"/>
  <c r="AC146" i="3"/>
  <c r="Z146" i="3"/>
  <c r="Y146" i="3"/>
  <c r="X146" i="3"/>
  <c r="V146" i="3"/>
  <c r="U146" i="3"/>
  <c r="AY146" i="3" s="1"/>
  <c r="T146" i="3"/>
  <c r="R146" i="3"/>
  <c r="Q146" i="3"/>
  <c r="M146" i="3"/>
  <c r="K146" i="3"/>
  <c r="J146" i="3"/>
  <c r="I146" i="3"/>
  <c r="D146" i="3"/>
  <c r="DW140" i="3"/>
  <c r="DV140" i="3"/>
  <c r="DU140" i="3"/>
  <c r="DT140" i="3"/>
  <c r="DS140" i="3"/>
  <c r="DR140" i="3"/>
  <c r="DQ140" i="3"/>
  <c r="DP140" i="3"/>
  <c r="DO140" i="3"/>
  <c r="DN140" i="3"/>
  <c r="DM140" i="3"/>
  <c r="DL140" i="3"/>
  <c r="DK140" i="3"/>
  <c r="DJ140" i="3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CW140" i="3"/>
  <c r="CV140" i="3"/>
  <c r="CU140" i="3"/>
  <c r="CT140" i="3"/>
  <c r="CS140" i="3"/>
  <c r="CR140" i="3"/>
  <c r="CQ140" i="3"/>
  <c r="CP140" i="3"/>
  <c r="CO140" i="3"/>
  <c r="CN140" i="3"/>
  <c r="CM140" i="3"/>
  <c r="CL140" i="3"/>
  <c r="CK140" i="3"/>
  <c r="CJ140" i="3"/>
  <c r="CI140" i="3"/>
  <c r="CH140" i="3"/>
  <c r="CG140" i="3"/>
  <c r="CF140" i="3"/>
  <c r="CE140" i="3"/>
  <c r="CD140" i="3"/>
  <c r="CC140" i="3"/>
  <c r="CB140" i="3"/>
  <c r="CA140" i="3"/>
  <c r="BZ140" i="3"/>
  <c r="BY140" i="3"/>
  <c r="BX140" i="3"/>
  <c r="BW140" i="3"/>
  <c r="BV140" i="3"/>
  <c r="BU140" i="3"/>
  <c r="BT140" i="3"/>
  <c r="BS140" i="3"/>
  <c r="BR140" i="3"/>
  <c r="BQ140" i="3"/>
  <c r="BP140" i="3"/>
  <c r="BO140" i="3"/>
  <c r="BN140" i="3"/>
  <c r="BM140" i="3"/>
  <c r="BL140" i="3"/>
  <c r="BK140" i="3"/>
  <c r="BJ140" i="3"/>
  <c r="BI140" i="3"/>
  <c r="BH140" i="3"/>
  <c r="BG140" i="3"/>
  <c r="BF140" i="3"/>
  <c r="BE140" i="3"/>
  <c r="BD140" i="3"/>
  <c r="BC140" i="3"/>
  <c r="BB140" i="3"/>
  <c r="BA140" i="3"/>
  <c r="AZ140" i="3"/>
  <c r="Y140" i="3"/>
  <c r="X140" i="3"/>
  <c r="W140" i="3"/>
  <c r="V140" i="3"/>
  <c r="U140" i="3"/>
  <c r="AY140" i="3" s="1"/>
  <c r="T140" i="3"/>
  <c r="R140" i="3"/>
  <c r="Q140" i="3"/>
  <c r="N140" i="3"/>
  <c r="M140" i="3"/>
  <c r="K140" i="3"/>
  <c r="J140" i="3"/>
  <c r="I140" i="3"/>
  <c r="D140" i="3"/>
  <c r="DW144" i="3"/>
  <c r="DV144" i="3"/>
  <c r="DU144" i="3"/>
  <c r="DT144" i="3"/>
  <c r="DS144" i="3"/>
  <c r="DR144" i="3"/>
  <c r="DQ144" i="3"/>
  <c r="DP144" i="3"/>
  <c r="DO144" i="3"/>
  <c r="DN144" i="3"/>
  <c r="DM144" i="3"/>
  <c r="DL144" i="3"/>
  <c r="DK144" i="3"/>
  <c r="DJ144" i="3"/>
  <c r="DI144" i="3"/>
  <c r="DH144" i="3"/>
  <c r="DG144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CQ144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CA144" i="3"/>
  <c r="BZ144" i="3"/>
  <c r="BY144" i="3"/>
  <c r="BX144" i="3"/>
  <c r="BW144" i="3"/>
  <c r="BV144" i="3"/>
  <c r="BU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C144" i="3"/>
  <c r="BB144" i="3"/>
  <c r="BA144" i="3"/>
  <c r="AZ144" i="3"/>
  <c r="AI144" i="3"/>
  <c r="AH144" i="3"/>
  <c r="AT144" i="3" s="1"/>
  <c r="Y144" i="3"/>
  <c r="X144" i="3"/>
  <c r="U144" i="3"/>
  <c r="AY144" i="3" s="1"/>
  <c r="T144" i="3"/>
  <c r="R144" i="3"/>
  <c r="Q144" i="3"/>
  <c r="N144" i="3"/>
  <c r="M144" i="3"/>
  <c r="K144" i="3"/>
  <c r="J144" i="3"/>
  <c r="I144" i="3"/>
  <c r="D144" i="3"/>
  <c r="DW143" i="3"/>
  <c r="DV143" i="3"/>
  <c r="DU143" i="3"/>
  <c r="DT143" i="3"/>
  <c r="DS143" i="3"/>
  <c r="DR143" i="3"/>
  <c r="DQ143" i="3"/>
  <c r="DP143" i="3"/>
  <c r="DO143" i="3"/>
  <c r="DN143" i="3"/>
  <c r="DM143" i="3"/>
  <c r="DL143" i="3"/>
  <c r="DK143" i="3"/>
  <c r="DJ143" i="3"/>
  <c r="DI143" i="3"/>
  <c r="DH143" i="3"/>
  <c r="DG143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CQ143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CA143" i="3"/>
  <c r="BZ143" i="3"/>
  <c r="BY143" i="3"/>
  <c r="BX143" i="3"/>
  <c r="BW143" i="3"/>
  <c r="BV143" i="3"/>
  <c r="BU143" i="3"/>
  <c r="BT143" i="3"/>
  <c r="BS143" i="3"/>
  <c r="BR143" i="3"/>
  <c r="BQ143" i="3"/>
  <c r="BP143" i="3"/>
  <c r="BO143" i="3"/>
  <c r="BN143" i="3"/>
  <c r="BM143" i="3"/>
  <c r="BL143" i="3"/>
  <c r="BK143" i="3"/>
  <c r="BJ143" i="3"/>
  <c r="BI143" i="3"/>
  <c r="BH143" i="3"/>
  <c r="BG143" i="3"/>
  <c r="BF143" i="3"/>
  <c r="BE143" i="3"/>
  <c r="BD143" i="3"/>
  <c r="BC143" i="3"/>
  <c r="BB143" i="3"/>
  <c r="BA143" i="3"/>
  <c r="AZ143" i="3"/>
  <c r="AY143" i="3"/>
  <c r="AD143" i="3"/>
  <c r="AC143" i="3"/>
  <c r="Z143" i="3"/>
  <c r="Y143" i="3"/>
  <c r="X143" i="3"/>
  <c r="W143" i="3"/>
  <c r="U143" i="3"/>
  <c r="T143" i="3"/>
  <c r="R143" i="3"/>
  <c r="Q143" i="3"/>
  <c r="N143" i="3"/>
  <c r="M143" i="3"/>
  <c r="K143" i="3"/>
  <c r="J143" i="3"/>
  <c r="I143" i="3"/>
  <c r="D143" i="3"/>
  <c r="DW138" i="3"/>
  <c r="DV138" i="3"/>
  <c r="DU138" i="3"/>
  <c r="DT138" i="3"/>
  <c r="DS138" i="3"/>
  <c r="DR138" i="3"/>
  <c r="DQ138" i="3"/>
  <c r="DP138" i="3"/>
  <c r="DO138" i="3"/>
  <c r="DN138" i="3"/>
  <c r="DM138" i="3"/>
  <c r="DL138" i="3"/>
  <c r="DK138" i="3"/>
  <c r="DJ138" i="3"/>
  <c r="DI138" i="3"/>
  <c r="DH138" i="3"/>
  <c r="DG138" i="3"/>
  <c r="DF138" i="3"/>
  <c r="DE138" i="3"/>
  <c r="DD138" i="3"/>
  <c r="DC138" i="3"/>
  <c r="DB138" i="3"/>
  <c r="DA138" i="3"/>
  <c r="CZ138" i="3"/>
  <c r="CY138" i="3"/>
  <c r="CX138" i="3"/>
  <c r="CW138" i="3"/>
  <c r="CV138" i="3"/>
  <c r="CU138" i="3"/>
  <c r="CT138" i="3"/>
  <c r="CS138" i="3"/>
  <c r="CR138" i="3"/>
  <c r="CQ138" i="3"/>
  <c r="CP138" i="3"/>
  <c r="CO138" i="3"/>
  <c r="CN138" i="3"/>
  <c r="CM138" i="3"/>
  <c r="CL138" i="3"/>
  <c r="CK138" i="3"/>
  <c r="CJ138" i="3"/>
  <c r="CI138" i="3"/>
  <c r="CH138" i="3"/>
  <c r="CG138" i="3"/>
  <c r="CF138" i="3"/>
  <c r="CE138" i="3"/>
  <c r="CD138" i="3"/>
  <c r="CC138" i="3"/>
  <c r="CB138" i="3"/>
  <c r="CA138" i="3"/>
  <c r="BZ138" i="3"/>
  <c r="BY138" i="3"/>
  <c r="BX138" i="3"/>
  <c r="BW138" i="3"/>
  <c r="BV138" i="3"/>
  <c r="BU138" i="3"/>
  <c r="BT138" i="3"/>
  <c r="BS138" i="3"/>
  <c r="BR138" i="3"/>
  <c r="BQ138" i="3"/>
  <c r="BP138" i="3"/>
  <c r="BO138" i="3"/>
  <c r="BN138" i="3"/>
  <c r="BM138" i="3"/>
  <c r="BL138" i="3"/>
  <c r="BK138" i="3"/>
  <c r="BJ138" i="3"/>
  <c r="BI138" i="3"/>
  <c r="BH138" i="3"/>
  <c r="BG138" i="3"/>
  <c r="BF138" i="3"/>
  <c r="BE138" i="3"/>
  <c r="BD138" i="3"/>
  <c r="BC138" i="3"/>
  <c r="BB138" i="3"/>
  <c r="BA138" i="3"/>
  <c r="AZ138" i="3"/>
  <c r="AV138" i="3"/>
  <c r="AU138" i="3"/>
  <c r="AT138" i="3"/>
  <c r="AP138" i="3"/>
  <c r="AO138" i="3"/>
  <c r="AK138" i="3"/>
  <c r="AJ138" i="3"/>
  <c r="AI138" i="3"/>
  <c r="AH138" i="3"/>
  <c r="AC138" i="3"/>
  <c r="Z138" i="3"/>
  <c r="Y138" i="3"/>
  <c r="X138" i="3"/>
  <c r="W138" i="3"/>
  <c r="V138" i="3"/>
  <c r="U138" i="3"/>
  <c r="T138" i="3"/>
  <c r="R138" i="3"/>
  <c r="Q138" i="3"/>
  <c r="M138" i="3"/>
  <c r="K138" i="3"/>
  <c r="J138" i="3"/>
  <c r="I138" i="3"/>
  <c r="D138" i="3"/>
  <c r="DW141" i="3"/>
  <c r="DV141" i="3"/>
  <c r="DU141" i="3"/>
  <c r="DT141" i="3"/>
  <c r="DS141" i="3"/>
  <c r="DR141" i="3"/>
  <c r="DQ141" i="3"/>
  <c r="DP141" i="3"/>
  <c r="DO141" i="3"/>
  <c r="DN141" i="3"/>
  <c r="DM141" i="3"/>
  <c r="DL141" i="3"/>
  <c r="DK141" i="3"/>
  <c r="DJ141" i="3"/>
  <c r="DI141" i="3"/>
  <c r="DH141" i="3"/>
  <c r="DG141" i="3"/>
  <c r="DF141" i="3"/>
  <c r="DE141" i="3"/>
  <c r="DD141" i="3"/>
  <c r="DC141" i="3"/>
  <c r="DB141" i="3"/>
  <c r="DA141" i="3"/>
  <c r="CZ141" i="3"/>
  <c r="CY141" i="3"/>
  <c r="CX141" i="3"/>
  <c r="CW141" i="3"/>
  <c r="CV141" i="3"/>
  <c r="CU141" i="3"/>
  <c r="CT141" i="3"/>
  <c r="CS141" i="3"/>
  <c r="CR141" i="3"/>
  <c r="CQ141" i="3"/>
  <c r="CP141" i="3"/>
  <c r="CO141" i="3"/>
  <c r="CN141" i="3"/>
  <c r="CM141" i="3"/>
  <c r="CL141" i="3"/>
  <c r="CK141" i="3"/>
  <c r="CJ141" i="3"/>
  <c r="CI141" i="3"/>
  <c r="CH141" i="3"/>
  <c r="CG141" i="3"/>
  <c r="CF141" i="3"/>
  <c r="CE141" i="3"/>
  <c r="CD141" i="3"/>
  <c r="CC141" i="3"/>
  <c r="CB141" i="3"/>
  <c r="CA141" i="3"/>
  <c r="BZ141" i="3"/>
  <c r="BY141" i="3"/>
  <c r="BX141" i="3"/>
  <c r="BW141" i="3"/>
  <c r="BV141" i="3"/>
  <c r="BU141" i="3"/>
  <c r="BT141" i="3"/>
  <c r="BS141" i="3"/>
  <c r="BR141" i="3"/>
  <c r="BQ141" i="3"/>
  <c r="BP141" i="3"/>
  <c r="BO141" i="3"/>
  <c r="BN141" i="3"/>
  <c r="BM141" i="3"/>
  <c r="BL141" i="3"/>
  <c r="BK141" i="3"/>
  <c r="BJ141" i="3"/>
  <c r="BI141" i="3"/>
  <c r="BH141" i="3"/>
  <c r="BG141" i="3"/>
  <c r="BF141" i="3"/>
  <c r="BE141" i="3"/>
  <c r="BD141" i="3"/>
  <c r="BC141" i="3"/>
  <c r="BB141" i="3"/>
  <c r="BA141" i="3"/>
  <c r="AZ141" i="3"/>
  <c r="AO141" i="3"/>
  <c r="AC141" i="3"/>
  <c r="Z141" i="3"/>
  <c r="Y141" i="3"/>
  <c r="X141" i="3"/>
  <c r="W141" i="3"/>
  <c r="V141" i="3"/>
  <c r="U141" i="3"/>
  <c r="AY141" i="3" s="1"/>
  <c r="T141" i="3"/>
  <c r="R141" i="3"/>
  <c r="Q141" i="3"/>
  <c r="M141" i="3"/>
  <c r="K141" i="3"/>
  <c r="J141" i="3"/>
  <c r="I141" i="3"/>
  <c r="D141" i="3"/>
  <c r="DW136" i="3"/>
  <c r="DV136" i="3"/>
  <c r="DU136" i="3"/>
  <c r="DT136" i="3"/>
  <c r="DS136" i="3"/>
  <c r="DR136" i="3"/>
  <c r="DQ136" i="3"/>
  <c r="DP136" i="3"/>
  <c r="DO136" i="3"/>
  <c r="DN136" i="3"/>
  <c r="DM136" i="3"/>
  <c r="DL136" i="3"/>
  <c r="DK136" i="3"/>
  <c r="DJ136" i="3"/>
  <c r="DI136" i="3"/>
  <c r="DH136" i="3"/>
  <c r="DG136" i="3"/>
  <c r="DF136" i="3"/>
  <c r="DE136" i="3"/>
  <c r="DD136" i="3"/>
  <c r="DC136" i="3"/>
  <c r="DB136" i="3"/>
  <c r="DA136" i="3"/>
  <c r="CZ136" i="3"/>
  <c r="CY136" i="3"/>
  <c r="CX136" i="3"/>
  <c r="CW136" i="3"/>
  <c r="CV136" i="3"/>
  <c r="CU136" i="3"/>
  <c r="CT136" i="3"/>
  <c r="CS136" i="3"/>
  <c r="CR136" i="3"/>
  <c r="CQ136" i="3"/>
  <c r="CP136" i="3"/>
  <c r="CO136" i="3"/>
  <c r="CN136" i="3"/>
  <c r="CM136" i="3"/>
  <c r="CL136" i="3"/>
  <c r="CK136" i="3"/>
  <c r="CJ136" i="3"/>
  <c r="CI136" i="3"/>
  <c r="CH136" i="3"/>
  <c r="CG136" i="3"/>
  <c r="CF136" i="3"/>
  <c r="CE136" i="3"/>
  <c r="CD136" i="3"/>
  <c r="CC136" i="3"/>
  <c r="CB136" i="3"/>
  <c r="CA136" i="3"/>
  <c r="BZ136" i="3"/>
  <c r="BY136" i="3"/>
  <c r="BX136" i="3"/>
  <c r="BW136" i="3"/>
  <c r="BV136" i="3"/>
  <c r="BU136" i="3"/>
  <c r="BT136" i="3"/>
  <c r="BS136" i="3"/>
  <c r="BR136" i="3"/>
  <c r="BQ136" i="3"/>
  <c r="BP136" i="3"/>
  <c r="BO136" i="3"/>
  <c r="BN136" i="3"/>
  <c r="BM136" i="3"/>
  <c r="BL136" i="3"/>
  <c r="BK136" i="3"/>
  <c r="BJ136" i="3"/>
  <c r="BI136" i="3"/>
  <c r="BH136" i="3"/>
  <c r="BG136" i="3"/>
  <c r="BF136" i="3"/>
  <c r="BE136" i="3"/>
  <c r="BD136" i="3"/>
  <c r="BC136" i="3"/>
  <c r="BB136" i="3"/>
  <c r="BA136" i="3"/>
  <c r="AZ136" i="3"/>
  <c r="AE136" i="3"/>
  <c r="AC136" i="3"/>
  <c r="Z136" i="3"/>
  <c r="Y136" i="3"/>
  <c r="X136" i="3"/>
  <c r="W136" i="3"/>
  <c r="U136" i="3"/>
  <c r="AY136" i="3" s="1"/>
  <c r="T136" i="3"/>
  <c r="R136" i="3"/>
  <c r="Q136" i="3"/>
  <c r="N136" i="3"/>
  <c r="M136" i="3"/>
  <c r="K136" i="3"/>
  <c r="J136" i="3"/>
  <c r="I136" i="3"/>
  <c r="D136" i="3"/>
  <c r="DW135" i="3"/>
  <c r="DV135" i="3"/>
  <c r="DU135" i="3"/>
  <c r="DT135" i="3"/>
  <c r="DS135" i="3"/>
  <c r="DR135" i="3"/>
  <c r="DQ135" i="3"/>
  <c r="DP135" i="3"/>
  <c r="DO135" i="3"/>
  <c r="DN135" i="3"/>
  <c r="DM135" i="3"/>
  <c r="DL135" i="3"/>
  <c r="DK135" i="3"/>
  <c r="DJ135" i="3"/>
  <c r="DI135" i="3"/>
  <c r="DH135" i="3"/>
  <c r="DG135" i="3"/>
  <c r="DF135" i="3"/>
  <c r="DE135" i="3"/>
  <c r="DD135" i="3"/>
  <c r="DC135" i="3"/>
  <c r="DB135" i="3"/>
  <c r="DA135" i="3"/>
  <c r="CZ135" i="3"/>
  <c r="CY135" i="3"/>
  <c r="CX135" i="3"/>
  <c r="CW135" i="3"/>
  <c r="CV135" i="3"/>
  <c r="CU135" i="3"/>
  <c r="CT135" i="3"/>
  <c r="CS135" i="3"/>
  <c r="CR135" i="3"/>
  <c r="CQ135" i="3"/>
  <c r="CP135" i="3"/>
  <c r="CO135" i="3"/>
  <c r="CN135" i="3"/>
  <c r="CM135" i="3"/>
  <c r="CL135" i="3"/>
  <c r="CK135" i="3"/>
  <c r="CJ135" i="3"/>
  <c r="CI135" i="3"/>
  <c r="CH135" i="3"/>
  <c r="CG135" i="3"/>
  <c r="CF135" i="3"/>
  <c r="CE135" i="3"/>
  <c r="CD135" i="3"/>
  <c r="CC135" i="3"/>
  <c r="CB135" i="3"/>
  <c r="CA135" i="3"/>
  <c r="BZ135" i="3"/>
  <c r="BY135" i="3"/>
  <c r="BX135" i="3"/>
  <c r="BW135" i="3"/>
  <c r="BV135" i="3"/>
  <c r="BU135" i="3"/>
  <c r="BT135" i="3"/>
  <c r="BS135" i="3"/>
  <c r="BR135" i="3"/>
  <c r="BQ135" i="3"/>
  <c r="BP135" i="3"/>
  <c r="BO135" i="3"/>
  <c r="BN135" i="3"/>
  <c r="BM135" i="3"/>
  <c r="BL135" i="3"/>
  <c r="BK135" i="3"/>
  <c r="BJ135" i="3"/>
  <c r="BI135" i="3"/>
  <c r="BH135" i="3"/>
  <c r="BG135" i="3"/>
  <c r="BF135" i="3"/>
  <c r="BE135" i="3"/>
  <c r="BD135" i="3"/>
  <c r="BC135" i="3"/>
  <c r="BB135" i="3"/>
  <c r="BA135" i="3"/>
  <c r="AZ135" i="3"/>
  <c r="AY135" i="3"/>
  <c r="AX135" i="3"/>
  <c r="AW135" i="3"/>
  <c r="AV135" i="3"/>
  <c r="AU135" i="3"/>
  <c r="AO135" i="3"/>
  <c r="AK135" i="3"/>
  <c r="AC135" i="3"/>
  <c r="Z135" i="3"/>
  <c r="Y135" i="3"/>
  <c r="W135" i="3"/>
  <c r="U135" i="3"/>
  <c r="T135" i="3"/>
  <c r="R135" i="3"/>
  <c r="Q135" i="3"/>
  <c r="M135" i="3"/>
  <c r="K135" i="3"/>
  <c r="J135" i="3"/>
  <c r="I135" i="3"/>
  <c r="D135" i="3"/>
  <c r="DW125" i="3"/>
  <c r="DV125" i="3"/>
  <c r="DU125" i="3"/>
  <c r="DT125" i="3"/>
  <c r="DS125" i="3"/>
  <c r="DR125" i="3"/>
  <c r="DQ125" i="3"/>
  <c r="DP125" i="3"/>
  <c r="DO125" i="3"/>
  <c r="DN125" i="3"/>
  <c r="DM125" i="3"/>
  <c r="DL125" i="3"/>
  <c r="DK125" i="3"/>
  <c r="DJ125" i="3"/>
  <c r="DI125" i="3"/>
  <c r="DH125" i="3"/>
  <c r="DG125" i="3"/>
  <c r="DF125" i="3"/>
  <c r="DE125" i="3"/>
  <c r="DD125" i="3"/>
  <c r="DC125" i="3"/>
  <c r="DB125" i="3"/>
  <c r="DA125" i="3"/>
  <c r="CY125" i="3"/>
  <c r="CX125" i="3"/>
  <c r="CW125" i="3"/>
  <c r="CV125" i="3"/>
  <c r="CU125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BV125" i="3"/>
  <c r="BU125" i="3"/>
  <c r="BT125" i="3"/>
  <c r="BS125" i="3"/>
  <c r="BR125" i="3"/>
  <c r="BQ125" i="3"/>
  <c r="BP125" i="3"/>
  <c r="BO125" i="3"/>
  <c r="BN125" i="3"/>
  <c r="BM125" i="3"/>
  <c r="BL125" i="3"/>
  <c r="BK125" i="3"/>
  <c r="BJ125" i="3"/>
  <c r="BI125" i="3"/>
  <c r="BH125" i="3"/>
  <c r="BG125" i="3"/>
  <c r="BF125" i="3"/>
  <c r="BE125" i="3"/>
  <c r="BD125" i="3"/>
  <c r="BC125" i="3"/>
  <c r="BB125" i="3"/>
  <c r="BA125" i="3"/>
  <c r="AZ125" i="3"/>
  <c r="U125" i="3"/>
  <c r="T125" i="3"/>
  <c r="R125" i="3"/>
  <c r="Q125" i="3"/>
  <c r="M125" i="3"/>
  <c r="K125" i="3"/>
  <c r="J125" i="3"/>
  <c r="I125" i="3"/>
  <c r="D125" i="3"/>
  <c r="DW132" i="3"/>
  <c r="DV132" i="3"/>
  <c r="DU132" i="3"/>
  <c r="DT132" i="3"/>
  <c r="DS132" i="3"/>
  <c r="DR132" i="3"/>
  <c r="DQ132" i="3"/>
  <c r="DP132" i="3"/>
  <c r="DO132" i="3"/>
  <c r="DN132" i="3"/>
  <c r="DM132" i="3"/>
  <c r="DL132" i="3"/>
  <c r="DK132" i="3"/>
  <c r="DJ132" i="3"/>
  <c r="DI132" i="3"/>
  <c r="DH132" i="3"/>
  <c r="DG132" i="3"/>
  <c r="DF132" i="3"/>
  <c r="DE132" i="3"/>
  <c r="DD132" i="3"/>
  <c r="DC132" i="3"/>
  <c r="DB132" i="3"/>
  <c r="DA132" i="3"/>
  <c r="CZ132" i="3"/>
  <c r="CY132" i="3"/>
  <c r="CX132" i="3"/>
  <c r="CW132" i="3"/>
  <c r="CV132" i="3"/>
  <c r="CU132" i="3"/>
  <c r="CT132" i="3"/>
  <c r="CS132" i="3"/>
  <c r="CR132" i="3"/>
  <c r="CQ132" i="3"/>
  <c r="CP132" i="3"/>
  <c r="CO132" i="3"/>
  <c r="CN132" i="3"/>
  <c r="CM132" i="3"/>
  <c r="CL132" i="3"/>
  <c r="CK132" i="3"/>
  <c r="CJ132" i="3"/>
  <c r="CI132" i="3"/>
  <c r="CH132" i="3"/>
  <c r="CG132" i="3"/>
  <c r="CF132" i="3"/>
  <c r="CE132" i="3"/>
  <c r="CD132" i="3"/>
  <c r="CC132" i="3"/>
  <c r="CB132" i="3"/>
  <c r="CA132" i="3"/>
  <c r="BZ132" i="3"/>
  <c r="BY132" i="3"/>
  <c r="BX132" i="3"/>
  <c r="BW132" i="3"/>
  <c r="BV132" i="3"/>
  <c r="BU132" i="3"/>
  <c r="BT132" i="3"/>
  <c r="BS132" i="3"/>
  <c r="BR132" i="3"/>
  <c r="BQ132" i="3"/>
  <c r="BP132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C132" i="3"/>
  <c r="BB132" i="3"/>
  <c r="BA132" i="3"/>
  <c r="AZ132" i="3"/>
  <c r="Y132" i="3"/>
  <c r="U132" i="3"/>
  <c r="T132" i="3"/>
  <c r="R132" i="3"/>
  <c r="Q132" i="3"/>
  <c r="M132" i="3"/>
  <c r="K132" i="3"/>
  <c r="J132" i="3"/>
  <c r="I132" i="3"/>
  <c r="D132" i="3"/>
  <c r="DW131" i="3"/>
  <c r="DV131" i="3"/>
  <c r="DU131" i="3"/>
  <c r="DT131" i="3"/>
  <c r="DS131" i="3"/>
  <c r="DR131" i="3"/>
  <c r="DQ131" i="3"/>
  <c r="DP131" i="3"/>
  <c r="DO131" i="3"/>
  <c r="DN131" i="3"/>
  <c r="DM131" i="3"/>
  <c r="DL131" i="3"/>
  <c r="DK131" i="3"/>
  <c r="DJ131" i="3"/>
  <c r="DI131" i="3"/>
  <c r="DH131" i="3"/>
  <c r="DG131" i="3"/>
  <c r="DF131" i="3"/>
  <c r="DE131" i="3"/>
  <c r="DD131" i="3"/>
  <c r="DC131" i="3"/>
  <c r="DB131" i="3"/>
  <c r="DA131" i="3"/>
  <c r="CZ131" i="3"/>
  <c r="CY131" i="3"/>
  <c r="CX131" i="3"/>
  <c r="CW131" i="3"/>
  <c r="CV131" i="3"/>
  <c r="CU131" i="3"/>
  <c r="CT131" i="3"/>
  <c r="CS131" i="3"/>
  <c r="CR131" i="3"/>
  <c r="CQ131" i="3"/>
  <c r="CP131" i="3"/>
  <c r="CO131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B131" i="3"/>
  <c r="CA131" i="3"/>
  <c r="BZ131" i="3"/>
  <c r="BY131" i="3"/>
  <c r="BX131" i="3"/>
  <c r="BW131" i="3"/>
  <c r="BV131" i="3"/>
  <c r="BU131" i="3"/>
  <c r="BT131" i="3"/>
  <c r="BS131" i="3"/>
  <c r="BR131" i="3"/>
  <c r="BQ131" i="3"/>
  <c r="BP131" i="3"/>
  <c r="BO131" i="3"/>
  <c r="BN131" i="3"/>
  <c r="BM131" i="3"/>
  <c r="BL131" i="3"/>
  <c r="BK131" i="3"/>
  <c r="BJ131" i="3"/>
  <c r="BI131" i="3"/>
  <c r="BH131" i="3"/>
  <c r="BG131" i="3"/>
  <c r="BF131" i="3"/>
  <c r="BE131" i="3"/>
  <c r="BD131" i="3"/>
  <c r="BC131" i="3"/>
  <c r="BB131" i="3"/>
  <c r="BA131" i="3"/>
  <c r="AZ131" i="3"/>
  <c r="AR131" i="3"/>
  <c r="AI131" i="3"/>
  <c r="AH131" i="3"/>
  <c r="AT131" i="3" s="1"/>
  <c r="AF131" i="3"/>
  <c r="AE131" i="3"/>
  <c r="AD131" i="3"/>
  <c r="AC131" i="3"/>
  <c r="U131" i="3"/>
  <c r="AY131" i="3" s="1"/>
  <c r="T131" i="3"/>
  <c r="R131" i="3"/>
  <c r="Q131" i="3"/>
  <c r="N131" i="3"/>
  <c r="M131" i="3"/>
  <c r="K131" i="3"/>
  <c r="J131" i="3"/>
  <c r="I131" i="3"/>
  <c r="D131" i="3"/>
  <c r="DW134" i="3"/>
  <c r="DV134" i="3"/>
  <c r="DU134" i="3"/>
  <c r="DT134" i="3"/>
  <c r="DS134" i="3"/>
  <c r="DR134" i="3"/>
  <c r="DQ134" i="3"/>
  <c r="DP134" i="3"/>
  <c r="DO134" i="3"/>
  <c r="DN134" i="3"/>
  <c r="DM134" i="3"/>
  <c r="DL134" i="3"/>
  <c r="DK134" i="3"/>
  <c r="DJ134" i="3"/>
  <c r="DI134" i="3"/>
  <c r="DH134" i="3"/>
  <c r="DG134" i="3"/>
  <c r="DF134" i="3"/>
  <c r="DE134" i="3"/>
  <c r="DD134" i="3"/>
  <c r="DC134" i="3"/>
  <c r="DB134" i="3"/>
  <c r="DA134" i="3"/>
  <c r="CZ134" i="3"/>
  <c r="CY134" i="3"/>
  <c r="CX134" i="3"/>
  <c r="CW134" i="3"/>
  <c r="CV134" i="3"/>
  <c r="CU134" i="3"/>
  <c r="CT134" i="3"/>
  <c r="CS134" i="3"/>
  <c r="CR134" i="3"/>
  <c r="CQ134" i="3"/>
  <c r="CP134" i="3"/>
  <c r="CO134" i="3"/>
  <c r="CN134" i="3"/>
  <c r="CM134" i="3"/>
  <c r="CL134" i="3"/>
  <c r="CK134" i="3"/>
  <c r="CJ134" i="3"/>
  <c r="CI134" i="3"/>
  <c r="CH134" i="3"/>
  <c r="CG134" i="3"/>
  <c r="CF134" i="3"/>
  <c r="CE134" i="3"/>
  <c r="CD134" i="3"/>
  <c r="CC134" i="3"/>
  <c r="CB134" i="3"/>
  <c r="CA134" i="3"/>
  <c r="BZ134" i="3"/>
  <c r="BY134" i="3"/>
  <c r="BX134" i="3"/>
  <c r="BW134" i="3"/>
  <c r="BV134" i="3"/>
  <c r="BU134" i="3"/>
  <c r="BT134" i="3"/>
  <c r="BS134" i="3"/>
  <c r="BR134" i="3"/>
  <c r="BQ134" i="3"/>
  <c r="BP134" i="3"/>
  <c r="BO134" i="3"/>
  <c r="BN134" i="3"/>
  <c r="BM134" i="3"/>
  <c r="BL134" i="3"/>
  <c r="BK134" i="3"/>
  <c r="BJ134" i="3"/>
  <c r="BI134" i="3"/>
  <c r="BH134" i="3"/>
  <c r="BG134" i="3"/>
  <c r="BF134" i="3"/>
  <c r="BE134" i="3"/>
  <c r="BD134" i="3"/>
  <c r="BC134" i="3"/>
  <c r="BB134" i="3"/>
  <c r="BA134" i="3"/>
  <c r="AZ134" i="3"/>
  <c r="AX134" i="3"/>
  <c r="AP134" i="3"/>
  <c r="AO134" i="3"/>
  <c r="AH134" i="3"/>
  <c r="AT134" i="3" s="1"/>
  <c r="Z134" i="3"/>
  <c r="Y134" i="3"/>
  <c r="X134" i="3"/>
  <c r="W134" i="3"/>
  <c r="V134" i="3"/>
  <c r="U134" i="3"/>
  <c r="AY134" i="3" s="1"/>
  <c r="T134" i="3"/>
  <c r="R134" i="3"/>
  <c r="Q134" i="3"/>
  <c r="M134" i="3"/>
  <c r="K134" i="3"/>
  <c r="J134" i="3"/>
  <c r="I134" i="3"/>
  <c r="D134" i="3"/>
  <c r="DW129" i="3"/>
  <c r="DV129" i="3"/>
  <c r="DU129" i="3"/>
  <c r="DT129" i="3"/>
  <c r="DS129" i="3"/>
  <c r="DR129" i="3"/>
  <c r="DQ129" i="3"/>
  <c r="DP129" i="3"/>
  <c r="DO129" i="3"/>
  <c r="DN129" i="3"/>
  <c r="DM129" i="3"/>
  <c r="DL129" i="3"/>
  <c r="DK129" i="3"/>
  <c r="DJ129" i="3"/>
  <c r="DI129" i="3"/>
  <c r="DH129" i="3"/>
  <c r="DG129" i="3"/>
  <c r="DF129" i="3"/>
  <c r="DE129" i="3"/>
  <c r="DD129" i="3"/>
  <c r="DC129" i="3"/>
  <c r="DB129" i="3"/>
  <c r="DA129" i="3"/>
  <c r="CZ129" i="3"/>
  <c r="CY129" i="3"/>
  <c r="CX129" i="3"/>
  <c r="CW129" i="3"/>
  <c r="CV129" i="3"/>
  <c r="CU129" i="3"/>
  <c r="CT129" i="3"/>
  <c r="CS129" i="3"/>
  <c r="CR129" i="3"/>
  <c r="CQ129" i="3"/>
  <c r="CP129" i="3"/>
  <c r="CO129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B129" i="3"/>
  <c r="CA129" i="3"/>
  <c r="BZ129" i="3"/>
  <c r="BY129" i="3"/>
  <c r="BX129" i="3"/>
  <c r="BW129" i="3"/>
  <c r="BV129" i="3"/>
  <c r="BU129" i="3"/>
  <c r="BT129" i="3"/>
  <c r="BS129" i="3"/>
  <c r="BR129" i="3"/>
  <c r="BQ129" i="3"/>
  <c r="BP129" i="3"/>
  <c r="BO129" i="3"/>
  <c r="BN129" i="3"/>
  <c r="BM129" i="3"/>
  <c r="BL129" i="3"/>
  <c r="BK129" i="3"/>
  <c r="BJ129" i="3"/>
  <c r="BI129" i="3"/>
  <c r="BH129" i="3"/>
  <c r="BG129" i="3"/>
  <c r="BF129" i="3"/>
  <c r="BE129" i="3"/>
  <c r="BD129" i="3"/>
  <c r="BC129" i="3"/>
  <c r="BB129" i="3"/>
  <c r="BA129" i="3"/>
  <c r="AZ129" i="3"/>
  <c r="AF129" i="3"/>
  <c r="AE129" i="3"/>
  <c r="AD129" i="3"/>
  <c r="AC129" i="3"/>
  <c r="Z129" i="3"/>
  <c r="W129" i="3"/>
  <c r="V129" i="3"/>
  <c r="U129" i="3"/>
  <c r="AY129" i="3" s="1"/>
  <c r="T129" i="3"/>
  <c r="R129" i="3"/>
  <c r="Q129" i="3"/>
  <c r="N129" i="3"/>
  <c r="M129" i="3"/>
  <c r="K129" i="3"/>
  <c r="J129" i="3"/>
  <c r="I129" i="3"/>
  <c r="D129" i="3"/>
  <c r="DW133" i="3"/>
  <c r="DV133" i="3"/>
  <c r="DU133" i="3"/>
  <c r="DT133" i="3"/>
  <c r="DS133" i="3"/>
  <c r="DR133" i="3"/>
  <c r="DQ133" i="3"/>
  <c r="DP133" i="3"/>
  <c r="DO133" i="3"/>
  <c r="DN133" i="3"/>
  <c r="DM133" i="3"/>
  <c r="DL133" i="3"/>
  <c r="DK133" i="3"/>
  <c r="DJ133" i="3"/>
  <c r="DI133" i="3"/>
  <c r="DH133" i="3"/>
  <c r="DG133" i="3"/>
  <c r="DF133" i="3"/>
  <c r="DE133" i="3"/>
  <c r="DD133" i="3"/>
  <c r="DC133" i="3"/>
  <c r="DB133" i="3"/>
  <c r="DA133" i="3"/>
  <c r="CZ133" i="3"/>
  <c r="CY133" i="3"/>
  <c r="CX133" i="3"/>
  <c r="CW133" i="3"/>
  <c r="CV133" i="3"/>
  <c r="CU133" i="3"/>
  <c r="CT133" i="3"/>
  <c r="CS133" i="3"/>
  <c r="CR133" i="3"/>
  <c r="CQ133" i="3"/>
  <c r="CP133" i="3"/>
  <c r="CO133" i="3"/>
  <c r="CN133" i="3"/>
  <c r="CM133" i="3"/>
  <c r="CL133" i="3"/>
  <c r="CK133" i="3"/>
  <c r="CJ133" i="3"/>
  <c r="CI133" i="3"/>
  <c r="CH133" i="3"/>
  <c r="CG133" i="3"/>
  <c r="CF133" i="3"/>
  <c r="CE133" i="3"/>
  <c r="CD133" i="3"/>
  <c r="CC133" i="3"/>
  <c r="CB133" i="3"/>
  <c r="CA133" i="3"/>
  <c r="BZ133" i="3"/>
  <c r="BY133" i="3"/>
  <c r="BX133" i="3"/>
  <c r="BW133" i="3"/>
  <c r="BV133" i="3"/>
  <c r="BU133" i="3"/>
  <c r="BT133" i="3"/>
  <c r="BS133" i="3"/>
  <c r="BR133" i="3"/>
  <c r="BQ133" i="3"/>
  <c r="BP133" i="3"/>
  <c r="BO133" i="3"/>
  <c r="BN133" i="3"/>
  <c r="BM133" i="3"/>
  <c r="BL133" i="3"/>
  <c r="BK133" i="3"/>
  <c r="BJ133" i="3"/>
  <c r="BI133" i="3"/>
  <c r="BH133" i="3"/>
  <c r="BG133" i="3"/>
  <c r="BF133" i="3"/>
  <c r="BE133" i="3"/>
  <c r="BD133" i="3"/>
  <c r="BC133" i="3"/>
  <c r="BB133" i="3"/>
  <c r="BA133" i="3"/>
  <c r="AZ133" i="3"/>
  <c r="AI133" i="3"/>
  <c r="AH133" i="3"/>
  <c r="AT133" i="3" s="1"/>
  <c r="AD133" i="3"/>
  <c r="AC133" i="3"/>
  <c r="V133" i="3"/>
  <c r="U133" i="3"/>
  <c r="AY133" i="3" s="1"/>
  <c r="T133" i="3"/>
  <c r="R133" i="3"/>
  <c r="Q133" i="3"/>
  <c r="N133" i="3"/>
  <c r="M133" i="3"/>
  <c r="K133" i="3"/>
  <c r="J133" i="3"/>
  <c r="I133" i="3"/>
  <c r="D133" i="3"/>
  <c r="DW130" i="3"/>
  <c r="DV130" i="3"/>
  <c r="DU130" i="3"/>
  <c r="DT130" i="3"/>
  <c r="DS130" i="3"/>
  <c r="DR130" i="3"/>
  <c r="DQ130" i="3"/>
  <c r="DP130" i="3"/>
  <c r="DO130" i="3"/>
  <c r="DN130" i="3"/>
  <c r="DM130" i="3"/>
  <c r="DL130" i="3"/>
  <c r="DK130" i="3"/>
  <c r="DJ130" i="3"/>
  <c r="DI130" i="3"/>
  <c r="DH130" i="3"/>
  <c r="DG130" i="3"/>
  <c r="DF130" i="3"/>
  <c r="DE130" i="3"/>
  <c r="DD130" i="3"/>
  <c r="DC130" i="3"/>
  <c r="DB130" i="3"/>
  <c r="DA130" i="3"/>
  <c r="CZ130" i="3"/>
  <c r="CY130" i="3"/>
  <c r="CX130" i="3"/>
  <c r="CW130" i="3"/>
  <c r="CV130" i="3"/>
  <c r="CU130" i="3"/>
  <c r="CT130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CA130" i="3"/>
  <c r="BZ130" i="3"/>
  <c r="BY130" i="3"/>
  <c r="BX130" i="3"/>
  <c r="BW130" i="3"/>
  <c r="BV130" i="3"/>
  <c r="BU130" i="3"/>
  <c r="BT130" i="3"/>
  <c r="BS130" i="3"/>
  <c r="BR130" i="3"/>
  <c r="BQ130" i="3"/>
  <c r="BP130" i="3"/>
  <c r="BO130" i="3"/>
  <c r="BN130" i="3"/>
  <c r="BM130" i="3"/>
  <c r="BL130" i="3"/>
  <c r="BK130" i="3"/>
  <c r="BJ130" i="3"/>
  <c r="BI130" i="3"/>
  <c r="BH130" i="3"/>
  <c r="BG130" i="3"/>
  <c r="BF130" i="3"/>
  <c r="BE130" i="3"/>
  <c r="BD130" i="3"/>
  <c r="BC130" i="3"/>
  <c r="BB130" i="3"/>
  <c r="BA130" i="3"/>
  <c r="AZ130" i="3"/>
  <c r="U130" i="3"/>
  <c r="T130" i="3"/>
  <c r="R130" i="3"/>
  <c r="Q130" i="3"/>
  <c r="M130" i="3"/>
  <c r="K130" i="3"/>
  <c r="J130" i="3"/>
  <c r="I130" i="3"/>
  <c r="D130" i="3"/>
  <c r="DW126" i="3"/>
  <c r="DV126" i="3"/>
  <c r="DU126" i="3"/>
  <c r="DT126" i="3"/>
  <c r="DS126" i="3"/>
  <c r="DR126" i="3"/>
  <c r="DQ126" i="3"/>
  <c r="DP126" i="3"/>
  <c r="DO126" i="3"/>
  <c r="DN126" i="3"/>
  <c r="DM126" i="3"/>
  <c r="DL126" i="3"/>
  <c r="DK126" i="3"/>
  <c r="DJ126" i="3"/>
  <c r="DI126" i="3"/>
  <c r="DH126" i="3"/>
  <c r="DG126" i="3"/>
  <c r="DF126" i="3"/>
  <c r="DE126" i="3"/>
  <c r="DD126" i="3"/>
  <c r="DC126" i="3"/>
  <c r="DB126" i="3"/>
  <c r="DA126" i="3"/>
  <c r="CZ126" i="3"/>
  <c r="CY126" i="3"/>
  <c r="CX126" i="3"/>
  <c r="CW126" i="3"/>
  <c r="CV126" i="3"/>
  <c r="CU126" i="3"/>
  <c r="CT126" i="3"/>
  <c r="CS126" i="3"/>
  <c r="CR126" i="3"/>
  <c r="CQ126" i="3"/>
  <c r="CP126" i="3"/>
  <c r="CO126" i="3"/>
  <c r="CN126" i="3"/>
  <c r="CM126" i="3"/>
  <c r="CL126" i="3"/>
  <c r="CK126" i="3"/>
  <c r="CJ126" i="3"/>
  <c r="CI126" i="3"/>
  <c r="CH126" i="3"/>
  <c r="CG126" i="3"/>
  <c r="CF126" i="3"/>
  <c r="CE126" i="3"/>
  <c r="CD126" i="3"/>
  <c r="CC126" i="3"/>
  <c r="CB126" i="3"/>
  <c r="CA126" i="3"/>
  <c r="BZ126" i="3"/>
  <c r="BY126" i="3"/>
  <c r="BX126" i="3"/>
  <c r="BW126" i="3"/>
  <c r="BV126" i="3"/>
  <c r="BU126" i="3"/>
  <c r="BT126" i="3"/>
  <c r="BS126" i="3"/>
  <c r="BR126" i="3"/>
  <c r="BQ126" i="3"/>
  <c r="BP126" i="3"/>
  <c r="BO126" i="3"/>
  <c r="BN126" i="3"/>
  <c r="BM126" i="3"/>
  <c r="BL126" i="3"/>
  <c r="BK126" i="3"/>
  <c r="BJ126" i="3"/>
  <c r="BI126" i="3"/>
  <c r="BH126" i="3"/>
  <c r="BG126" i="3"/>
  <c r="BF126" i="3"/>
  <c r="BE126" i="3"/>
  <c r="BD126" i="3"/>
  <c r="BC126" i="3"/>
  <c r="BB126" i="3"/>
  <c r="BA126" i="3"/>
  <c r="AZ126" i="3"/>
  <c r="AI126" i="3"/>
  <c r="AH126" i="3"/>
  <c r="AT126" i="3" s="1"/>
  <c r="AD126" i="3"/>
  <c r="AC126" i="3"/>
  <c r="W126" i="3"/>
  <c r="V126" i="3"/>
  <c r="U126" i="3"/>
  <c r="AY126" i="3" s="1"/>
  <c r="T126" i="3"/>
  <c r="R126" i="3"/>
  <c r="Q126" i="3"/>
  <c r="N126" i="3"/>
  <c r="M126" i="3"/>
  <c r="K126" i="3"/>
  <c r="J126" i="3"/>
  <c r="I126" i="3"/>
  <c r="D126" i="3"/>
  <c r="DW124" i="3"/>
  <c r="DV124" i="3"/>
  <c r="DU124" i="3"/>
  <c r="DT124" i="3"/>
  <c r="DS124" i="3"/>
  <c r="DR124" i="3"/>
  <c r="DQ124" i="3"/>
  <c r="DP124" i="3"/>
  <c r="DN124" i="3"/>
  <c r="DM124" i="3"/>
  <c r="DL124" i="3"/>
  <c r="DK124" i="3"/>
  <c r="DJ124" i="3"/>
  <c r="DI124" i="3"/>
  <c r="DH124" i="3"/>
  <c r="DG124" i="3"/>
  <c r="DF124" i="3"/>
  <c r="DE124" i="3"/>
  <c r="DD124" i="3"/>
  <c r="DC124" i="3"/>
  <c r="DB124" i="3"/>
  <c r="DA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U124" i="3"/>
  <c r="BT124" i="3"/>
  <c r="BS124" i="3"/>
  <c r="BR124" i="3"/>
  <c r="BQ124" i="3"/>
  <c r="BP124" i="3"/>
  <c r="BO124" i="3"/>
  <c r="BN124" i="3"/>
  <c r="BM124" i="3"/>
  <c r="BL124" i="3"/>
  <c r="BK124" i="3"/>
  <c r="BJ124" i="3"/>
  <c r="BI124" i="3"/>
  <c r="BH124" i="3"/>
  <c r="BF124" i="3"/>
  <c r="BE124" i="3"/>
  <c r="BD124" i="3"/>
  <c r="BC124" i="3"/>
  <c r="BB124" i="3"/>
  <c r="BA124" i="3"/>
  <c r="AZ124" i="3"/>
  <c r="U124" i="3"/>
  <c r="T124" i="3"/>
  <c r="R124" i="3"/>
  <c r="Q124" i="3"/>
  <c r="M124" i="3"/>
  <c r="K124" i="3"/>
  <c r="J124" i="3"/>
  <c r="I124" i="3"/>
  <c r="D124" i="3"/>
  <c r="DW127" i="3"/>
  <c r="DV127" i="3"/>
  <c r="DU127" i="3"/>
  <c r="DT127" i="3"/>
  <c r="DS127" i="3"/>
  <c r="DR127" i="3"/>
  <c r="DQ127" i="3"/>
  <c r="DP127" i="3"/>
  <c r="DO127" i="3"/>
  <c r="DN127" i="3"/>
  <c r="DM127" i="3"/>
  <c r="DL127" i="3"/>
  <c r="DK127" i="3"/>
  <c r="DJ127" i="3"/>
  <c r="DI127" i="3"/>
  <c r="DH127" i="3"/>
  <c r="DG127" i="3"/>
  <c r="DF127" i="3"/>
  <c r="DE127" i="3"/>
  <c r="DD127" i="3"/>
  <c r="DC127" i="3"/>
  <c r="DB127" i="3"/>
  <c r="DA127" i="3"/>
  <c r="CZ127" i="3"/>
  <c r="CY127" i="3"/>
  <c r="CX127" i="3"/>
  <c r="CW127" i="3"/>
  <c r="CV127" i="3"/>
  <c r="CU127" i="3"/>
  <c r="CT127" i="3"/>
  <c r="CS127" i="3"/>
  <c r="CR127" i="3"/>
  <c r="CQ127" i="3"/>
  <c r="CP127" i="3"/>
  <c r="CO127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B127" i="3"/>
  <c r="CA127" i="3"/>
  <c r="BZ127" i="3"/>
  <c r="BY127" i="3"/>
  <c r="BX127" i="3"/>
  <c r="BW127" i="3"/>
  <c r="BV127" i="3"/>
  <c r="BU127" i="3"/>
  <c r="BT127" i="3"/>
  <c r="BS127" i="3"/>
  <c r="BR127" i="3"/>
  <c r="BQ127" i="3"/>
  <c r="BP127" i="3"/>
  <c r="BO127" i="3"/>
  <c r="BN127" i="3"/>
  <c r="BM127" i="3"/>
  <c r="BL127" i="3"/>
  <c r="BK127" i="3"/>
  <c r="BJ127" i="3"/>
  <c r="BI127" i="3"/>
  <c r="BH127" i="3"/>
  <c r="BG127" i="3"/>
  <c r="BF127" i="3"/>
  <c r="BE127" i="3"/>
  <c r="BD127" i="3"/>
  <c r="BC127" i="3"/>
  <c r="BB127" i="3"/>
  <c r="BA127" i="3"/>
  <c r="AZ127" i="3"/>
  <c r="AH127" i="3"/>
  <c r="AT127" i="3" s="1"/>
  <c r="AD127" i="3"/>
  <c r="Y127" i="3"/>
  <c r="U127" i="3"/>
  <c r="AY127" i="3" s="1"/>
  <c r="T127" i="3"/>
  <c r="R127" i="3"/>
  <c r="Q127" i="3"/>
  <c r="M127" i="3"/>
  <c r="K127" i="3"/>
  <c r="J127" i="3"/>
  <c r="I127" i="3"/>
  <c r="D127" i="3"/>
  <c r="DW123" i="3"/>
  <c r="DV123" i="3"/>
  <c r="DU123" i="3"/>
  <c r="DT123" i="3"/>
  <c r="DS123" i="3"/>
  <c r="DR123" i="3"/>
  <c r="DQ123" i="3"/>
  <c r="DP123" i="3"/>
  <c r="DO123" i="3"/>
  <c r="DN123" i="3"/>
  <c r="DM123" i="3"/>
  <c r="DL123" i="3"/>
  <c r="DK123" i="3"/>
  <c r="DJ123" i="3"/>
  <c r="DI123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R123" i="3"/>
  <c r="AF123" i="3"/>
  <c r="AE123" i="3"/>
  <c r="AD123" i="3"/>
  <c r="AC123" i="3"/>
  <c r="Z123" i="3"/>
  <c r="Y123" i="3"/>
  <c r="X123" i="3"/>
  <c r="U123" i="3"/>
  <c r="T123" i="3"/>
  <c r="R123" i="3"/>
  <c r="Q123" i="3"/>
  <c r="M123" i="3"/>
  <c r="K123" i="3"/>
  <c r="J123" i="3"/>
  <c r="I123" i="3"/>
  <c r="D123" i="3"/>
  <c r="DW121" i="3"/>
  <c r="DV121" i="3"/>
  <c r="DU121" i="3"/>
  <c r="DT121" i="3"/>
  <c r="DS121" i="3"/>
  <c r="DR121" i="3"/>
  <c r="DQ121" i="3"/>
  <c r="DP121" i="3"/>
  <c r="DO121" i="3"/>
  <c r="DN121" i="3"/>
  <c r="DM121" i="3"/>
  <c r="DL121" i="3"/>
  <c r="DK121" i="3"/>
  <c r="DJ121" i="3"/>
  <c r="DI121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Z121" i="3"/>
  <c r="AI121" i="3"/>
  <c r="U121" i="3"/>
  <c r="T121" i="3"/>
  <c r="R121" i="3"/>
  <c r="Q121" i="3"/>
  <c r="M121" i="3"/>
  <c r="K121" i="3"/>
  <c r="J121" i="3"/>
  <c r="I121" i="3"/>
  <c r="D121" i="3"/>
  <c r="DW122" i="3"/>
  <c r="DV122" i="3"/>
  <c r="DU122" i="3"/>
  <c r="DT122" i="3"/>
  <c r="DS122" i="3"/>
  <c r="DR122" i="3"/>
  <c r="DQ122" i="3"/>
  <c r="DP122" i="3"/>
  <c r="DO122" i="3"/>
  <c r="DN122" i="3"/>
  <c r="DM122" i="3"/>
  <c r="DL122" i="3"/>
  <c r="DK122" i="3"/>
  <c r="DJ122" i="3"/>
  <c r="DI122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Z122" i="3"/>
  <c r="AH122" i="3"/>
  <c r="AT122" i="3" s="1"/>
  <c r="AD122" i="3"/>
  <c r="AC122" i="3"/>
  <c r="Z122" i="3"/>
  <c r="U122" i="3"/>
  <c r="AY122" i="3" s="1"/>
  <c r="T122" i="3"/>
  <c r="R122" i="3"/>
  <c r="Q122" i="3"/>
  <c r="M122" i="3"/>
  <c r="K122" i="3"/>
  <c r="J122" i="3"/>
  <c r="I122" i="3"/>
  <c r="D122" i="3"/>
  <c r="DW113" i="3"/>
  <c r="DV113" i="3"/>
  <c r="DU113" i="3"/>
  <c r="DT113" i="3"/>
  <c r="DS113" i="3"/>
  <c r="DR113" i="3"/>
  <c r="DQ113" i="3"/>
  <c r="DP113" i="3"/>
  <c r="DO113" i="3"/>
  <c r="DN113" i="3"/>
  <c r="DM113" i="3"/>
  <c r="DL113" i="3"/>
  <c r="DK113" i="3"/>
  <c r="DJ113" i="3"/>
  <c r="DI113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Z113" i="3"/>
  <c r="AI113" i="3"/>
  <c r="AH113" i="3"/>
  <c r="AT113" i="3" s="1"/>
  <c r="AD113" i="3"/>
  <c r="AC113" i="3"/>
  <c r="W113" i="3"/>
  <c r="V113" i="3"/>
  <c r="U113" i="3"/>
  <c r="AY113" i="3" s="1"/>
  <c r="T113" i="3"/>
  <c r="R113" i="3"/>
  <c r="Q113" i="3"/>
  <c r="M113" i="3"/>
  <c r="K113" i="3"/>
  <c r="J113" i="3"/>
  <c r="I113" i="3"/>
  <c r="D113" i="3"/>
  <c r="DW114" i="3"/>
  <c r="DV114" i="3"/>
  <c r="DU114" i="3"/>
  <c r="DT114" i="3"/>
  <c r="DS114" i="3"/>
  <c r="DR114" i="3"/>
  <c r="DQ114" i="3"/>
  <c r="DP114" i="3"/>
  <c r="DO114" i="3"/>
  <c r="DN114" i="3"/>
  <c r="DM114" i="3"/>
  <c r="DL114" i="3"/>
  <c r="DK114" i="3"/>
  <c r="DJ114" i="3"/>
  <c r="DI114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Z114" i="3"/>
  <c r="U114" i="3"/>
  <c r="T114" i="3"/>
  <c r="R114" i="3"/>
  <c r="Q114" i="3"/>
  <c r="M114" i="3"/>
  <c r="K114" i="3"/>
  <c r="J114" i="3"/>
  <c r="I114" i="3"/>
  <c r="D114" i="3"/>
  <c r="DW118" i="3"/>
  <c r="DV118" i="3"/>
  <c r="DU118" i="3"/>
  <c r="DT118" i="3"/>
  <c r="DS118" i="3"/>
  <c r="DR118" i="3"/>
  <c r="DQ118" i="3"/>
  <c r="DP118" i="3"/>
  <c r="DO118" i="3"/>
  <c r="DN118" i="3"/>
  <c r="DM118" i="3"/>
  <c r="DL118" i="3"/>
  <c r="DK118" i="3"/>
  <c r="DJ118" i="3"/>
  <c r="DI118" i="3"/>
  <c r="DH118" i="3"/>
  <c r="DG118" i="3"/>
  <c r="DF118" i="3"/>
  <c r="DE118" i="3"/>
  <c r="DD118" i="3"/>
  <c r="DC118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X118" i="3"/>
  <c r="BW118" i="3"/>
  <c r="BV118" i="3"/>
  <c r="BU118" i="3"/>
  <c r="BT118" i="3"/>
  <c r="BS118" i="3"/>
  <c r="BR118" i="3"/>
  <c r="BQ118" i="3"/>
  <c r="BP118" i="3"/>
  <c r="BO118" i="3"/>
  <c r="BN118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BA118" i="3"/>
  <c r="AZ118" i="3"/>
  <c r="AY118" i="3"/>
  <c r="AV118" i="3"/>
  <c r="AK118" i="3"/>
  <c r="AJ118" i="3"/>
  <c r="AI118" i="3"/>
  <c r="AH118" i="3"/>
  <c r="AD118" i="3"/>
  <c r="AC118" i="3"/>
  <c r="Z118" i="3"/>
  <c r="W118" i="3"/>
  <c r="U118" i="3"/>
  <c r="T118" i="3"/>
  <c r="R118" i="3"/>
  <c r="Q118" i="3"/>
  <c r="M118" i="3"/>
  <c r="K118" i="3"/>
  <c r="J118" i="3"/>
  <c r="I118" i="3"/>
  <c r="D118" i="3"/>
  <c r="DW120" i="3"/>
  <c r="DV120" i="3"/>
  <c r="DU120" i="3"/>
  <c r="DT120" i="3"/>
  <c r="DS120" i="3"/>
  <c r="DR120" i="3"/>
  <c r="DQ120" i="3"/>
  <c r="DP120" i="3"/>
  <c r="DO120" i="3"/>
  <c r="DN120" i="3"/>
  <c r="DM120" i="3"/>
  <c r="DL120" i="3"/>
  <c r="DK120" i="3"/>
  <c r="DJ120" i="3"/>
  <c r="DI120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W120" i="3"/>
  <c r="V120" i="3"/>
  <c r="U120" i="3"/>
  <c r="AY120" i="3" s="1"/>
  <c r="T120" i="3"/>
  <c r="R120" i="3"/>
  <c r="Q120" i="3"/>
  <c r="N120" i="3"/>
  <c r="M120" i="3"/>
  <c r="K120" i="3"/>
  <c r="J120" i="3"/>
  <c r="I120" i="3"/>
  <c r="D120" i="3"/>
  <c r="DW116" i="3"/>
  <c r="DV116" i="3"/>
  <c r="DU116" i="3"/>
  <c r="DT116" i="3"/>
  <c r="DS116" i="3"/>
  <c r="DR116" i="3"/>
  <c r="DQ116" i="3"/>
  <c r="DP116" i="3"/>
  <c r="DO116" i="3"/>
  <c r="DN116" i="3"/>
  <c r="DM116" i="3"/>
  <c r="DL116" i="3"/>
  <c r="DK116" i="3"/>
  <c r="DJ116" i="3"/>
  <c r="DI116" i="3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CA116" i="3"/>
  <c r="BZ116" i="3"/>
  <c r="BY116" i="3"/>
  <c r="BX116" i="3"/>
  <c r="BW116" i="3"/>
  <c r="BV116" i="3"/>
  <c r="BU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Z116" i="3"/>
  <c r="AU116" i="3"/>
  <c r="AP116" i="3"/>
  <c r="AO116" i="3"/>
  <c r="AJ116" i="3"/>
  <c r="AD116" i="3"/>
  <c r="AC116" i="3"/>
  <c r="Z116" i="3"/>
  <c r="Y116" i="3"/>
  <c r="X116" i="3"/>
  <c r="W116" i="3"/>
  <c r="U116" i="3"/>
  <c r="AY116" i="3" s="1"/>
  <c r="T116" i="3"/>
  <c r="R116" i="3"/>
  <c r="Q116" i="3"/>
  <c r="M116" i="3"/>
  <c r="K116" i="3"/>
  <c r="J116" i="3"/>
  <c r="I116" i="3"/>
  <c r="D116" i="3"/>
  <c r="DW111" i="3"/>
  <c r="DV111" i="3"/>
  <c r="DU111" i="3"/>
  <c r="DT111" i="3"/>
  <c r="DS111" i="3"/>
  <c r="DR111" i="3"/>
  <c r="DQ111" i="3"/>
  <c r="DP111" i="3"/>
  <c r="DO111" i="3"/>
  <c r="DN111" i="3"/>
  <c r="DM111" i="3"/>
  <c r="DL111" i="3"/>
  <c r="DK111" i="3"/>
  <c r="DJ111" i="3"/>
  <c r="DI111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O111" i="3"/>
  <c r="AN111" i="3"/>
  <c r="AK111" i="3"/>
  <c r="AJ111" i="3"/>
  <c r="AI111" i="3"/>
  <c r="AE111" i="3"/>
  <c r="AC111" i="3"/>
  <c r="Z111" i="3"/>
  <c r="Y111" i="3"/>
  <c r="U111" i="3"/>
  <c r="T111" i="3"/>
  <c r="R111" i="3"/>
  <c r="Q111" i="3"/>
  <c r="M111" i="3"/>
  <c r="K111" i="3"/>
  <c r="J111" i="3"/>
  <c r="I111" i="3"/>
  <c r="D111" i="3"/>
  <c r="DW115" i="3"/>
  <c r="DV115" i="3"/>
  <c r="DU115" i="3"/>
  <c r="DT115" i="3"/>
  <c r="DS115" i="3"/>
  <c r="DR115" i="3"/>
  <c r="DQ115" i="3"/>
  <c r="DP115" i="3"/>
  <c r="DO115" i="3"/>
  <c r="DN115" i="3"/>
  <c r="DM115" i="3"/>
  <c r="DL115" i="3"/>
  <c r="DK115" i="3"/>
  <c r="DJ115" i="3"/>
  <c r="DI115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Z115" i="3"/>
  <c r="AU115" i="3"/>
  <c r="AP115" i="3"/>
  <c r="AO115" i="3"/>
  <c r="AN115" i="3"/>
  <c r="AK115" i="3"/>
  <c r="AJ115" i="3"/>
  <c r="AC115" i="3"/>
  <c r="Z115" i="3"/>
  <c r="Y115" i="3"/>
  <c r="X115" i="3"/>
  <c r="W115" i="3"/>
  <c r="V115" i="3"/>
  <c r="U115" i="3"/>
  <c r="AY115" i="3" s="1"/>
  <c r="T115" i="3"/>
  <c r="R115" i="3"/>
  <c r="Q115" i="3"/>
  <c r="M115" i="3"/>
  <c r="K115" i="3"/>
  <c r="J115" i="3"/>
  <c r="I115" i="3"/>
  <c r="D115" i="3"/>
  <c r="DW112" i="3"/>
  <c r="DV112" i="3"/>
  <c r="DU112" i="3"/>
  <c r="DT112" i="3"/>
  <c r="DS112" i="3"/>
  <c r="DR112" i="3"/>
  <c r="DQ112" i="3"/>
  <c r="DP112" i="3"/>
  <c r="DO112" i="3"/>
  <c r="DN112" i="3"/>
  <c r="DM112" i="3"/>
  <c r="DL112" i="3"/>
  <c r="DK112" i="3"/>
  <c r="DJ112" i="3"/>
  <c r="DI112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Z112" i="3"/>
  <c r="Z112" i="3"/>
  <c r="Y112" i="3"/>
  <c r="U112" i="3"/>
  <c r="AY112" i="3" s="1"/>
  <c r="T112" i="3"/>
  <c r="R112" i="3"/>
  <c r="Q112" i="3"/>
  <c r="N112" i="3"/>
  <c r="M112" i="3"/>
  <c r="K112" i="3"/>
  <c r="J112" i="3"/>
  <c r="I112" i="3"/>
  <c r="D112" i="3"/>
  <c r="DW109" i="3"/>
  <c r="DV109" i="3"/>
  <c r="DU109" i="3"/>
  <c r="DT109" i="3"/>
  <c r="DS109" i="3"/>
  <c r="DR109" i="3"/>
  <c r="DQ109" i="3"/>
  <c r="DP109" i="3"/>
  <c r="DO109" i="3"/>
  <c r="DN109" i="3"/>
  <c r="DM109" i="3"/>
  <c r="DL109" i="3"/>
  <c r="DK109" i="3"/>
  <c r="DJ109" i="3"/>
  <c r="DI109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Z109" i="3"/>
  <c r="AY109" i="3"/>
  <c r="AC109" i="3"/>
  <c r="X109" i="3"/>
  <c r="W109" i="3"/>
  <c r="V109" i="3"/>
  <c r="U109" i="3"/>
  <c r="T109" i="3"/>
  <c r="R109" i="3"/>
  <c r="Q109" i="3"/>
  <c r="M109" i="3"/>
  <c r="K109" i="3"/>
  <c r="J109" i="3"/>
  <c r="I109" i="3"/>
  <c r="D109" i="3"/>
  <c r="DW104" i="3"/>
  <c r="DV104" i="3"/>
  <c r="DU104" i="3"/>
  <c r="DT104" i="3"/>
  <c r="DS104" i="3"/>
  <c r="DR104" i="3"/>
  <c r="DQ104" i="3"/>
  <c r="DP104" i="3"/>
  <c r="DO104" i="3"/>
  <c r="DN104" i="3"/>
  <c r="DM104" i="3"/>
  <c r="DL104" i="3"/>
  <c r="DK104" i="3"/>
  <c r="DJ104" i="3"/>
  <c r="DI104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U104" i="3"/>
  <c r="T104" i="3"/>
  <c r="R104" i="3"/>
  <c r="Q104" i="3"/>
  <c r="M104" i="3"/>
  <c r="K104" i="3"/>
  <c r="J104" i="3"/>
  <c r="I104" i="3"/>
  <c r="D104" i="3"/>
  <c r="DW107" i="3"/>
  <c r="DV107" i="3"/>
  <c r="DU107" i="3"/>
  <c r="DT107" i="3"/>
  <c r="DS107" i="3"/>
  <c r="DR107" i="3"/>
  <c r="DQ107" i="3"/>
  <c r="DP107" i="3"/>
  <c r="DO107" i="3"/>
  <c r="DN107" i="3"/>
  <c r="DM107" i="3"/>
  <c r="DL107" i="3"/>
  <c r="DK107" i="3"/>
  <c r="DJ107" i="3"/>
  <c r="DI107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D107" i="3"/>
  <c r="AC107" i="3"/>
  <c r="Y107" i="3"/>
  <c r="X107" i="3"/>
  <c r="V107" i="3"/>
  <c r="U107" i="3"/>
  <c r="T107" i="3"/>
  <c r="R107" i="3"/>
  <c r="Q107" i="3"/>
  <c r="N107" i="3"/>
  <c r="M107" i="3"/>
  <c r="K107" i="3"/>
  <c r="J107" i="3"/>
  <c r="I107" i="3"/>
  <c r="D107" i="3"/>
  <c r="DW108" i="3"/>
  <c r="DV108" i="3"/>
  <c r="DU108" i="3"/>
  <c r="DT108" i="3"/>
  <c r="DS108" i="3"/>
  <c r="DR108" i="3"/>
  <c r="DQ108" i="3"/>
  <c r="DP108" i="3"/>
  <c r="DO108" i="3"/>
  <c r="DN108" i="3"/>
  <c r="DM108" i="3"/>
  <c r="DL108" i="3"/>
  <c r="DK108" i="3"/>
  <c r="DJ108" i="3"/>
  <c r="DI108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BA108" i="3"/>
  <c r="AZ108" i="3"/>
  <c r="AT108" i="3"/>
  <c r="AP108" i="3"/>
  <c r="AJ108" i="3"/>
  <c r="AI108" i="3"/>
  <c r="AH108" i="3"/>
  <c r="AD108" i="3"/>
  <c r="AC108" i="3"/>
  <c r="Z108" i="3"/>
  <c r="Y108" i="3"/>
  <c r="X108" i="3"/>
  <c r="U108" i="3"/>
  <c r="T108" i="3"/>
  <c r="R108" i="3"/>
  <c r="Q108" i="3"/>
  <c r="M108" i="3"/>
  <c r="K108" i="3"/>
  <c r="J108" i="3"/>
  <c r="I108" i="3"/>
  <c r="D108" i="3"/>
  <c r="DW103" i="3"/>
  <c r="DV103" i="3"/>
  <c r="DU103" i="3"/>
  <c r="DT103" i="3"/>
  <c r="DS103" i="3"/>
  <c r="DR103" i="3"/>
  <c r="DQ103" i="3"/>
  <c r="DP103" i="3"/>
  <c r="DO103" i="3"/>
  <c r="DN103" i="3"/>
  <c r="DM103" i="3"/>
  <c r="DL103" i="3"/>
  <c r="DK103" i="3"/>
  <c r="DJ103" i="3"/>
  <c r="DI103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W103" i="3"/>
  <c r="AV103" i="3"/>
  <c r="AU103" i="3"/>
  <c r="AP103" i="3"/>
  <c r="AN103" i="3"/>
  <c r="AK103" i="3"/>
  <c r="AJ103" i="3"/>
  <c r="AI103" i="3"/>
  <c r="AD103" i="3"/>
  <c r="AC103" i="3"/>
  <c r="Z103" i="3"/>
  <c r="Y103" i="3"/>
  <c r="X103" i="3"/>
  <c r="U103" i="3"/>
  <c r="T103" i="3"/>
  <c r="R103" i="3"/>
  <c r="Q103" i="3"/>
  <c r="N103" i="3"/>
  <c r="M103" i="3"/>
  <c r="K103" i="3"/>
  <c r="J103" i="3"/>
  <c r="I103" i="3"/>
  <c r="D103" i="3"/>
  <c r="DW101" i="3"/>
  <c r="DV101" i="3"/>
  <c r="DU101" i="3"/>
  <c r="DT101" i="3"/>
  <c r="DS101" i="3"/>
  <c r="DR101" i="3"/>
  <c r="DQ101" i="3"/>
  <c r="DP101" i="3"/>
  <c r="DO101" i="3"/>
  <c r="DN101" i="3"/>
  <c r="DM101" i="3"/>
  <c r="DL101" i="3"/>
  <c r="DK101" i="3"/>
  <c r="DJ101" i="3"/>
  <c r="DI101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R101" i="3"/>
  <c r="AI101" i="3"/>
  <c r="AF101" i="3"/>
  <c r="AE101" i="3"/>
  <c r="AD101" i="3"/>
  <c r="AC101" i="3"/>
  <c r="Z101" i="3"/>
  <c r="Y101" i="3"/>
  <c r="U101" i="3"/>
  <c r="T101" i="3"/>
  <c r="R101" i="3"/>
  <c r="Q101" i="3"/>
  <c r="N101" i="3"/>
  <c r="M101" i="3"/>
  <c r="K101" i="3"/>
  <c r="J101" i="3"/>
  <c r="I101" i="3"/>
  <c r="D101" i="3"/>
  <c r="DW105" i="3"/>
  <c r="DV105" i="3"/>
  <c r="DU105" i="3"/>
  <c r="DT105" i="3"/>
  <c r="DS105" i="3"/>
  <c r="DR105" i="3"/>
  <c r="DQ105" i="3"/>
  <c r="DP105" i="3"/>
  <c r="DO105" i="3"/>
  <c r="DN105" i="3"/>
  <c r="DM105" i="3"/>
  <c r="DL105" i="3"/>
  <c r="DK105" i="3"/>
  <c r="DJ105" i="3"/>
  <c r="DI105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I105" i="3"/>
  <c r="AH105" i="3"/>
  <c r="AT105" i="3" s="1"/>
  <c r="AE105" i="3"/>
  <c r="AD105" i="3"/>
  <c r="AC105" i="3"/>
  <c r="Z105" i="3"/>
  <c r="Y105" i="3"/>
  <c r="U105" i="3"/>
  <c r="AY105" i="3" s="1"/>
  <c r="T105" i="3"/>
  <c r="R105" i="3"/>
  <c r="Q105" i="3"/>
  <c r="M105" i="3"/>
  <c r="K105" i="3"/>
  <c r="J105" i="3"/>
  <c r="I105" i="3"/>
  <c r="D105" i="3"/>
  <c r="DW98" i="3"/>
  <c r="DV98" i="3"/>
  <c r="DU98" i="3"/>
  <c r="DT98" i="3"/>
  <c r="DS98" i="3"/>
  <c r="DR98" i="3"/>
  <c r="DQ98" i="3"/>
  <c r="DP98" i="3"/>
  <c r="DO98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R98" i="3"/>
  <c r="AF98" i="3"/>
  <c r="AE98" i="3"/>
  <c r="AD98" i="3"/>
  <c r="AC98" i="3"/>
  <c r="Z98" i="3"/>
  <c r="Y98" i="3"/>
  <c r="X98" i="3"/>
  <c r="W98" i="3"/>
  <c r="U98" i="3"/>
  <c r="AY98" i="3" s="1"/>
  <c r="T98" i="3"/>
  <c r="R98" i="3"/>
  <c r="Q98" i="3"/>
  <c r="N98" i="3"/>
  <c r="M98" i="3"/>
  <c r="K98" i="3"/>
  <c r="J98" i="3"/>
  <c r="I98" i="3"/>
  <c r="D98" i="3"/>
  <c r="DW97" i="3"/>
  <c r="DV97" i="3"/>
  <c r="DU97" i="3"/>
  <c r="DT97" i="3"/>
  <c r="DS97" i="3"/>
  <c r="DR97" i="3"/>
  <c r="DQ97" i="3"/>
  <c r="DP97" i="3"/>
  <c r="DO97" i="3"/>
  <c r="DN97" i="3"/>
  <c r="DM97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U97" i="3"/>
  <c r="T97" i="3"/>
  <c r="R97" i="3"/>
  <c r="Q97" i="3"/>
  <c r="M97" i="3"/>
  <c r="K97" i="3"/>
  <c r="J97" i="3"/>
  <c r="I97" i="3"/>
  <c r="D97" i="3"/>
  <c r="DW99" i="3"/>
  <c r="DV99" i="3"/>
  <c r="DU99" i="3"/>
  <c r="DT99" i="3"/>
  <c r="DS99" i="3"/>
  <c r="DR99" i="3"/>
  <c r="DQ99" i="3"/>
  <c r="DP99" i="3"/>
  <c r="DO99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I99" i="3"/>
  <c r="AH99" i="3"/>
  <c r="AT99" i="3" s="1"/>
  <c r="W99" i="3"/>
  <c r="V99" i="3"/>
  <c r="U99" i="3"/>
  <c r="AY99" i="3" s="1"/>
  <c r="T99" i="3"/>
  <c r="R99" i="3"/>
  <c r="Q99" i="3"/>
  <c r="N99" i="3"/>
  <c r="M99" i="3"/>
  <c r="K99" i="3"/>
  <c r="J99" i="3"/>
  <c r="I99" i="3"/>
  <c r="D99" i="3"/>
  <c r="DW102" i="3"/>
  <c r="DV102" i="3"/>
  <c r="DU102" i="3"/>
  <c r="DT102" i="3"/>
  <c r="DS102" i="3"/>
  <c r="DR102" i="3"/>
  <c r="DQ102" i="3"/>
  <c r="DP102" i="3"/>
  <c r="DO102" i="3"/>
  <c r="DN102" i="3"/>
  <c r="DM102" i="3"/>
  <c r="DL102" i="3"/>
  <c r="DK102" i="3"/>
  <c r="DJ102" i="3"/>
  <c r="DI102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W102" i="3"/>
  <c r="AT102" i="3"/>
  <c r="AP102" i="3"/>
  <c r="AO102" i="3"/>
  <c r="AN102" i="3"/>
  <c r="AI102" i="3"/>
  <c r="AH102" i="3"/>
  <c r="AD102" i="3"/>
  <c r="AC102" i="3"/>
  <c r="Z102" i="3"/>
  <c r="Y102" i="3"/>
  <c r="X102" i="3"/>
  <c r="V102" i="3"/>
  <c r="U102" i="3"/>
  <c r="T102" i="3"/>
  <c r="R102" i="3"/>
  <c r="Q102" i="3"/>
  <c r="M102" i="3"/>
  <c r="K102" i="3"/>
  <c r="J102" i="3"/>
  <c r="I102" i="3"/>
  <c r="D102" i="3"/>
  <c r="DW106" i="3"/>
  <c r="DV106" i="3"/>
  <c r="DU106" i="3"/>
  <c r="DT106" i="3"/>
  <c r="DS106" i="3"/>
  <c r="DR106" i="3"/>
  <c r="DQ106" i="3"/>
  <c r="DP106" i="3"/>
  <c r="DO106" i="3"/>
  <c r="DN106" i="3"/>
  <c r="DM106" i="3"/>
  <c r="DL106" i="3"/>
  <c r="DK106" i="3"/>
  <c r="DJ106" i="3"/>
  <c r="DI106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U106" i="3"/>
  <c r="AR106" i="3"/>
  <c r="AP106" i="3"/>
  <c r="AJ106" i="3"/>
  <c r="AF106" i="3"/>
  <c r="AE106" i="3"/>
  <c r="AD106" i="3"/>
  <c r="AC106" i="3"/>
  <c r="X106" i="3"/>
  <c r="W106" i="3"/>
  <c r="V106" i="3"/>
  <c r="U106" i="3"/>
  <c r="AY106" i="3" s="1"/>
  <c r="T106" i="3"/>
  <c r="R106" i="3"/>
  <c r="Q106" i="3"/>
  <c r="M106" i="3"/>
  <c r="K106" i="3"/>
  <c r="J106" i="3"/>
  <c r="I106" i="3"/>
  <c r="D106" i="3"/>
  <c r="DW93" i="3"/>
  <c r="DV93" i="3"/>
  <c r="DU93" i="3"/>
  <c r="DT93" i="3"/>
  <c r="DS93" i="3"/>
  <c r="DR93" i="3"/>
  <c r="DQ93" i="3"/>
  <c r="DP93" i="3"/>
  <c r="DO93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U93" i="3"/>
  <c r="T93" i="3"/>
  <c r="R93" i="3"/>
  <c r="Q93" i="3"/>
  <c r="M93" i="3"/>
  <c r="K93" i="3"/>
  <c r="J93" i="3"/>
  <c r="I93" i="3"/>
  <c r="D93" i="3"/>
  <c r="DW100" i="3"/>
  <c r="DV100" i="3"/>
  <c r="DU100" i="3"/>
  <c r="DT100" i="3"/>
  <c r="DS100" i="3"/>
  <c r="DR100" i="3"/>
  <c r="DQ100" i="3"/>
  <c r="DP100" i="3"/>
  <c r="DO100" i="3"/>
  <c r="DN100" i="3"/>
  <c r="DM100" i="3"/>
  <c r="DL100" i="3"/>
  <c r="DK100" i="3"/>
  <c r="DJ100" i="3"/>
  <c r="DI100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D100" i="3"/>
  <c r="AC100" i="3"/>
  <c r="Z100" i="3"/>
  <c r="Y100" i="3"/>
  <c r="X100" i="3"/>
  <c r="W100" i="3"/>
  <c r="U100" i="3"/>
  <c r="AY100" i="3" s="1"/>
  <c r="T100" i="3"/>
  <c r="R100" i="3"/>
  <c r="Q100" i="3"/>
  <c r="M100" i="3"/>
  <c r="K100" i="3"/>
  <c r="J100" i="3"/>
  <c r="I100" i="3"/>
  <c r="D100" i="3"/>
  <c r="DW94" i="3"/>
  <c r="DV94" i="3"/>
  <c r="DU94" i="3"/>
  <c r="DT94" i="3"/>
  <c r="DS94" i="3"/>
  <c r="DR94" i="3"/>
  <c r="DQ94" i="3"/>
  <c r="DP94" i="3"/>
  <c r="DO94" i="3"/>
  <c r="DN94" i="3"/>
  <c r="DM94" i="3"/>
  <c r="DL94" i="3"/>
  <c r="DK94" i="3"/>
  <c r="DJ94" i="3"/>
  <c r="DI94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U94" i="3"/>
  <c r="AK94" i="3"/>
  <c r="AJ94" i="3"/>
  <c r="AI94" i="3"/>
  <c r="AH94" i="3"/>
  <c r="AT94" i="3" s="1"/>
  <c r="Z94" i="3"/>
  <c r="X94" i="3"/>
  <c r="W94" i="3"/>
  <c r="U94" i="3"/>
  <c r="AY94" i="3" s="1"/>
  <c r="T94" i="3"/>
  <c r="R94" i="3"/>
  <c r="Q94" i="3"/>
  <c r="N94" i="3"/>
  <c r="M94" i="3"/>
  <c r="K94" i="3"/>
  <c r="J94" i="3"/>
  <c r="I94" i="3"/>
  <c r="D94" i="3"/>
  <c r="DW96" i="3"/>
  <c r="DV96" i="3"/>
  <c r="DU96" i="3"/>
  <c r="DT96" i="3"/>
  <c r="DS96" i="3"/>
  <c r="DR96" i="3"/>
  <c r="DQ96" i="3"/>
  <c r="DP96" i="3"/>
  <c r="DO96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V96" i="3"/>
  <c r="AU96" i="3"/>
  <c r="AJ96" i="3"/>
  <c r="AI96" i="3"/>
  <c r="AH96" i="3"/>
  <c r="AT96" i="3" s="1"/>
  <c r="Y96" i="3"/>
  <c r="X96" i="3"/>
  <c r="W96" i="3"/>
  <c r="V96" i="3"/>
  <c r="U96" i="3"/>
  <c r="AY96" i="3" s="1"/>
  <c r="T96" i="3"/>
  <c r="R96" i="3"/>
  <c r="Q96" i="3"/>
  <c r="N96" i="3"/>
  <c r="M96" i="3"/>
  <c r="K96" i="3"/>
  <c r="J96" i="3"/>
  <c r="I96" i="3"/>
  <c r="D96" i="3"/>
  <c r="DW95" i="3"/>
  <c r="DV95" i="3"/>
  <c r="DU95" i="3"/>
  <c r="DT95" i="3"/>
  <c r="DS95" i="3"/>
  <c r="DR95" i="3"/>
  <c r="DQ95" i="3"/>
  <c r="DP95" i="3"/>
  <c r="DO95" i="3"/>
  <c r="DN95" i="3"/>
  <c r="DM95" i="3"/>
  <c r="DL95" i="3"/>
  <c r="DK95" i="3"/>
  <c r="DJ95" i="3"/>
  <c r="DI95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H95" i="3"/>
  <c r="AT95" i="3" s="1"/>
  <c r="AD95" i="3"/>
  <c r="Z95" i="3"/>
  <c r="X95" i="3"/>
  <c r="W95" i="3"/>
  <c r="V95" i="3"/>
  <c r="U95" i="3"/>
  <c r="AY95" i="3" s="1"/>
  <c r="T95" i="3"/>
  <c r="R95" i="3"/>
  <c r="Q95" i="3"/>
  <c r="M95" i="3"/>
  <c r="K95" i="3"/>
  <c r="J95" i="3"/>
  <c r="I95" i="3"/>
  <c r="D95" i="3"/>
  <c r="DW89" i="3"/>
  <c r="DV89" i="3"/>
  <c r="DU89" i="3"/>
  <c r="DT89" i="3"/>
  <c r="DS89" i="3"/>
  <c r="DR89" i="3"/>
  <c r="DQ89" i="3"/>
  <c r="DP89" i="3"/>
  <c r="DO89" i="3"/>
  <c r="DN89" i="3"/>
  <c r="DM89" i="3"/>
  <c r="DL89" i="3"/>
  <c r="DK89" i="3"/>
  <c r="DJ89" i="3"/>
  <c r="DI89" i="3"/>
  <c r="DH89" i="3"/>
  <c r="DG89" i="3"/>
  <c r="DF89" i="3"/>
  <c r="DE89" i="3"/>
  <c r="DD89" i="3"/>
  <c r="DC89" i="3"/>
  <c r="DB89" i="3"/>
  <c r="DA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F89" i="3"/>
  <c r="BE89" i="3"/>
  <c r="BD89" i="3"/>
  <c r="BC89" i="3"/>
  <c r="BB89" i="3"/>
  <c r="BA89" i="3"/>
  <c r="AZ89" i="3"/>
  <c r="U89" i="3"/>
  <c r="T89" i="3"/>
  <c r="R89" i="3"/>
  <c r="Q89" i="3"/>
  <c r="M89" i="3"/>
  <c r="K89" i="3"/>
  <c r="J89" i="3"/>
  <c r="I89" i="3"/>
  <c r="D89" i="3"/>
  <c r="DW91" i="3"/>
  <c r="DV91" i="3"/>
  <c r="DU91" i="3"/>
  <c r="DT91" i="3"/>
  <c r="DS91" i="3"/>
  <c r="DR91" i="3"/>
  <c r="DQ91" i="3"/>
  <c r="DP91" i="3"/>
  <c r="DO91" i="3"/>
  <c r="DN91" i="3"/>
  <c r="DM91" i="3"/>
  <c r="DL91" i="3"/>
  <c r="DK91" i="3"/>
  <c r="DJ91" i="3"/>
  <c r="DI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I91" i="3"/>
  <c r="AH91" i="3"/>
  <c r="AT91" i="3" s="1"/>
  <c r="W91" i="3"/>
  <c r="V91" i="3"/>
  <c r="U91" i="3"/>
  <c r="AY91" i="3" s="1"/>
  <c r="T91" i="3"/>
  <c r="R91" i="3"/>
  <c r="Q91" i="3"/>
  <c r="N91" i="3"/>
  <c r="M91" i="3"/>
  <c r="K91" i="3"/>
  <c r="J91" i="3"/>
  <c r="I91" i="3"/>
  <c r="D91" i="3"/>
  <c r="DW92" i="3"/>
  <c r="DV92" i="3"/>
  <c r="DU92" i="3"/>
  <c r="DT92" i="3"/>
  <c r="DS92" i="3"/>
  <c r="DR92" i="3"/>
  <c r="DQ92" i="3"/>
  <c r="DP92" i="3"/>
  <c r="DO92" i="3"/>
  <c r="DN92" i="3"/>
  <c r="DM92" i="3"/>
  <c r="DL92" i="3"/>
  <c r="DK92" i="3"/>
  <c r="DJ92" i="3"/>
  <c r="DI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D92" i="3"/>
  <c r="AC92" i="3"/>
  <c r="Z92" i="3"/>
  <c r="Y92" i="3"/>
  <c r="U92" i="3"/>
  <c r="AY92" i="3" s="1"/>
  <c r="T92" i="3"/>
  <c r="R92" i="3"/>
  <c r="Q92" i="3"/>
  <c r="N92" i="3"/>
  <c r="M92" i="3"/>
  <c r="K92" i="3"/>
  <c r="J92" i="3"/>
  <c r="I92" i="3"/>
  <c r="D92" i="3"/>
  <c r="DW88" i="3"/>
  <c r="DV88" i="3"/>
  <c r="DU88" i="3"/>
  <c r="DT88" i="3"/>
  <c r="DS88" i="3"/>
  <c r="DR88" i="3"/>
  <c r="DQ88" i="3"/>
  <c r="DP88" i="3"/>
  <c r="DO88" i="3"/>
  <c r="DN88" i="3"/>
  <c r="DM88" i="3"/>
  <c r="DL88" i="3"/>
  <c r="DK88" i="3"/>
  <c r="DJ88" i="3"/>
  <c r="DI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U88" i="3"/>
  <c r="T88" i="3"/>
  <c r="R88" i="3"/>
  <c r="Q88" i="3"/>
  <c r="M88" i="3"/>
  <c r="K88" i="3"/>
  <c r="J88" i="3"/>
  <c r="I88" i="3"/>
  <c r="D88" i="3"/>
  <c r="DW87" i="3"/>
  <c r="DV87" i="3"/>
  <c r="DU87" i="3"/>
  <c r="DT87" i="3"/>
  <c r="DS87" i="3"/>
  <c r="DR87" i="3"/>
  <c r="DQ87" i="3"/>
  <c r="DP87" i="3"/>
  <c r="DO87" i="3"/>
  <c r="DN87" i="3"/>
  <c r="DM87" i="3"/>
  <c r="DL87" i="3"/>
  <c r="DK87" i="3"/>
  <c r="DJ87" i="3"/>
  <c r="DI87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U87" i="3"/>
  <c r="AJ87" i="3"/>
  <c r="AI87" i="3"/>
  <c r="AH87" i="3"/>
  <c r="AT87" i="3" s="1"/>
  <c r="AD87" i="3"/>
  <c r="X87" i="3"/>
  <c r="W87" i="3"/>
  <c r="V87" i="3"/>
  <c r="U87" i="3"/>
  <c r="T87" i="3"/>
  <c r="R87" i="3"/>
  <c r="Q87" i="3"/>
  <c r="N87" i="3"/>
  <c r="M87" i="3"/>
  <c r="K87" i="3"/>
  <c r="J87" i="3"/>
  <c r="I87" i="3"/>
  <c r="D87" i="3"/>
  <c r="DW86" i="3"/>
  <c r="DV86" i="3"/>
  <c r="DU86" i="3"/>
  <c r="DT86" i="3"/>
  <c r="DS86" i="3"/>
  <c r="DR86" i="3"/>
  <c r="DQ86" i="3"/>
  <c r="DP86" i="3"/>
  <c r="DO86" i="3"/>
  <c r="DN86" i="3"/>
  <c r="DM86" i="3"/>
  <c r="DL86" i="3"/>
  <c r="DK86" i="3"/>
  <c r="DJ86" i="3"/>
  <c r="DI86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I86" i="3"/>
  <c r="AH86" i="3"/>
  <c r="AT86" i="3" s="1"/>
  <c r="Y86" i="3"/>
  <c r="X86" i="3"/>
  <c r="W86" i="3"/>
  <c r="V86" i="3"/>
  <c r="U86" i="3"/>
  <c r="AY86" i="3" s="1"/>
  <c r="T86" i="3"/>
  <c r="R86" i="3"/>
  <c r="Q86" i="3"/>
  <c r="N86" i="3"/>
  <c r="M86" i="3"/>
  <c r="K86" i="3"/>
  <c r="J86" i="3"/>
  <c r="I86" i="3"/>
  <c r="D86" i="3"/>
  <c r="DW90" i="3"/>
  <c r="DV90" i="3"/>
  <c r="DU90" i="3"/>
  <c r="DT90" i="3"/>
  <c r="DS90" i="3"/>
  <c r="DR90" i="3"/>
  <c r="DQ90" i="3"/>
  <c r="DP90" i="3"/>
  <c r="DO90" i="3"/>
  <c r="DN90" i="3"/>
  <c r="DM90" i="3"/>
  <c r="DL90" i="3"/>
  <c r="DK90" i="3"/>
  <c r="DJ90" i="3"/>
  <c r="DI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I90" i="3"/>
  <c r="AH90" i="3"/>
  <c r="AT90" i="3" s="1"/>
  <c r="AD90" i="3"/>
  <c r="AC90" i="3"/>
  <c r="Z90" i="3"/>
  <c r="Y90" i="3"/>
  <c r="U90" i="3"/>
  <c r="AY90" i="3" s="1"/>
  <c r="T90" i="3"/>
  <c r="R90" i="3"/>
  <c r="Q90" i="3"/>
  <c r="N90" i="3"/>
  <c r="M90" i="3"/>
  <c r="K90" i="3"/>
  <c r="J90" i="3"/>
  <c r="I90" i="3"/>
  <c r="D90" i="3"/>
  <c r="DW85" i="3"/>
  <c r="DV85" i="3"/>
  <c r="DU85" i="3"/>
  <c r="DT85" i="3"/>
  <c r="DS85" i="3"/>
  <c r="DR85" i="3"/>
  <c r="DQ85" i="3"/>
  <c r="DP85" i="3"/>
  <c r="DO85" i="3"/>
  <c r="DN85" i="3"/>
  <c r="DM85" i="3"/>
  <c r="DL85" i="3"/>
  <c r="DK85" i="3"/>
  <c r="DJ85" i="3"/>
  <c r="DI85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U85" i="3"/>
  <c r="T85" i="3"/>
  <c r="R85" i="3"/>
  <c r="Q85" i="3"/>
  <c r="M85" i="3"/>
  <c r="K85" i="3"/>
  <c r="J85" i="3"/>
  <c r="I85" i="3"/>
  <c r="D85" i="3"/>
  <c r="DW83" i="3"/>
  <c r="DV83" i="3"/>
  <c r="DU83" i="3"/>
  <c r="DT83" i="3"/>
  <c r="DS83" i="3"/>
  <c r="DR83" i="3"/>
  <c r="DQ83" i="3"/>
  <c r="DP83" i="3"/>
  <c r="DO83" i="3"/>
  <c r="DN83" i="3"/>
  <c r="DM83" i="3"/>
  <c r="DL83" i="3"/>
  <c r="DK83" i="3"/>
  <c r="DJ83" i="3"/>
  <c r="DI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X83" i="3"/>
  <c r="AV83" i="3"/>
  <c r="AP83" i="3"/>
  <c r="AO83" i="3"/>
  <c r="AK83" i="3"/>
  <c r="AI83" i="3"/>
  <c r="AH83" i="3"/>
  <c r="AD83" i="3"/>
  <c r="W83" i="3"/>
  <c r="V83" i="3"/>
  <c r="U83" i="3"/>
  <c r="T83" i="3"/>
  <c r="R83" i="3"/>
  <c r="Q83" i="3"/>
  <c r="N83" i="3"/>
  <c r="M83" i="3"/>
  <c r="K83" i="3"/>
  <c r="J83" i="3"/>
  <c r="I83" i="3"/>
  <c r="D83" i="3"/>
  <c r="DW82" i="3"/>
  <c r="DV82" i="3"/>
  <c r="DU82" i="3"/>
  <c r="DT82" i="3"/>
  <c r="DS82" i="3"/>
  <c r="DR82" i="3"/>
  <c r="DQ82" i="3"/>
  <c r="DP82" i="3"/>
  <c r="DO82" i="3"/>
  <c r="DN82" i="3"/>
  <c r="DM82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H82" i="3"/>
  <c r="AT82" i="3" s="1"/>
  <c r="X82" i="3"/>
  <c r="W82" i="3"/>
  <c r="V82" i="3"/>
  <c r="U82" i="3"/>
  <c r="T82" i="3"/>
  <c r="R82" i="3"/>
  <c r="Q82" i="3"/>
  <c r="M82" i="3"/>
  <c r="K82" i="3"/>
  <c r="J82" i="3"/>
  <c r="I82" i="3"/>
  <c r="D82" i="3"/>
  <c r="DW80" i="3"/>
  <c r="DV80" i="3"/>
  <c r="DU80" i="3"/>
  <c r="DT80" i="3"/>
  <c r="DS80" i="3"/>
  <c r="DR80" i="3"/>
  <c r="DQ80" i="3"/>
  <c r="DP80" i="3"/>
  <c r="DO80" i="3"/>
  <c r="DN80" i="3"/>
  <c r="DM80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T80" i="3"/>
  <c r="AR80" i="3"/>
  <c r="AP80" i="3"/>
  <c r="AO80" i="3"/>
  <c r="AH80" i="3"/>
  <c r="AD80" i="3"/>
  <c r="AC80" i="3"/>
  <c r="Z80" i="3"/>
  <c r="Y80" i="3"/>
  <c r="U80" i="3"/>
  <c r="T80" i="3"/>
  <c r="R80" i="3"/>
  <c r="Q80" i="3"/>
  <c r="N80" i="3"/>
  <c r="M80" i="3"/>
  <c r="K80" i="3"/>
  <c r="J80" i="3"/>
  <c r="I80" i="3"/>
  <c r="D80" i="3"/>
  <c r="DW84" i="3"/>
  <c r="DV84" i="3"/>
  <c r="DU84" i="3"/>
  <c r="DT84" i="3"/>
  <c r="DS84" i="3"/>
  <c r="DR84" i="3"/>
  <c r="DQ84" i="3"/>
  <c r="DP84" i="3"/>
  <c r="DO84" i="3"/>
  <c r="DN84" i="3"/>
  <c r="DM84" i="3"/>
  <c r="DL84" i="3"/>
  <c r="DK84" i="3"/>
  <c r="DJ84" i="3"/>
  <c r="DI84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U84" i="3"/>
  <c r="T84" i="3"/>
  <c r="R84" i="3"/>
  <c r="Q84" i="3"/>
  <c r="M84" i="3"/>
  <c r="K84" i="3"/>
  <c r="J84" i="3"/>
  <c r="I84" i="3"/>
  <c r="D84" i="3"/>
  <c r="DW81" i="3"/>
  <c r="DV81" i="3"/>
  <c r="DU81" i="3"/>
  <c r="DT81" i="3"/>
  <c r="DS81" i="3"/>
  <c r="DR81" i="3"/>
  <c r="DQ81" i="3"/>
  <c r="DP81" i="3"/>
  <c r="DO81" i="3"/>
  <c r="DN81" i="3"/>
  <c r="DM81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R81" i="3"/>
  <c r="AP81" i="3"/>
  <c r="AI81" i="3"/>
  <c r="AH81" i="3"/>
  <c r="AT81" i="3" s="1"/>
  <c r="AF81" i="3"/>
  <c r="AE81" i="3"/>
  <c r="AD81" i="3"/>
  <c r="AC81" i="3"/>
  <c r="U81" i="3"/>
  <c r="AY81" i="3" s="1"/>
  <c r="T81" i="3"/>
  <c r="R81" i="3"/>
  <c r="Q81" i="3"/>
  <c r="N81" i="3"/>
  <c r="M81" i="3"/>
  <c r="K81" i="3"/>
  <c r="J81" i="3"/>
  <c r="I81" i="3"/>
  <c r="D81" i="3"/>
  <c r="DW79" i="3"/>
  <c r="DV79" i="3"/>
  <c r="DU79" i="3"/>
  <c r="DT79" i="3"/>
  <c r="DS79" i="3"/>
  <c r="DR79" i="3"/>
  <c r="DQ79" i="3"/>
  <c r="DP79" i="3"/>
  <c r="DO79" i="3"/>
  <c r="DN79" i="3"/>
  <c r="DM79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H79" i="3"/>
  <c r="AT79" i="3" s="1"/>
  <c r="AD79" i="3"/>
  <c r="AC79" i="3"/>
  <c r="AA79" i="3"/>
  <c r="Z79" i="3"/>
  <c r="Y79" i="3"/>
  <c r="U79" i="3"/>
  <c r="T79" i="3"/>
  <c r="R79" i="3"/>
  <c r="Q79" i="3"/>
  <c r="N79" i="3"/>
  <c r="M79" i="3"/>
  <c r="K79" i="3"/>
  <c r="J79" i="3"/>
  <c r="I79" i="3"/>
  <c r="D79" i="3"/>
  <c r="DW77" i="3"/>
  <c r="DV77" i="3"/>
  <c r="DU77" i="3"/>
  <c r="DT77" i="3"/>
  <c r="DS77" i="3"/>
  <c r="DR77" i="3"/>
  <c r="DQ77" i="3"/>
  <c r="DP77" i="3"/>
  <c r="DO77" i="3"/>
  <c r="DN77" i="3"/>
  <c r="DM77" i="3"/>
  <c r="DL77" i="3"/>
  <c r="DK77" i="3"/>
  <c r="DJ77" i="3"/>
  <c r="DI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U77" i="3"/>
  <c r="AP77" i="3"/>
  <c r="AJ77" i="3"/>
  <c r="AD77" i="3"/>
  <c r="AC77" i="3"/>
  <c r="Z77" i="3"/>
  <c r="Y77" i="3"/>
  <c r="X77" i="3"/>
  <c r="W77" i="3"/>
  <c r="U77" i="3"/>
  <c r="AY77" i="3" s="1"/>
  <c r="T77" i="3"/>
  <c r="R77" i="3"/>
  <c r="Q77" i="3"/>
  <c r="N77" i="3"/>
  <c r="M77" i="3"/>
  <c r="K77" i="3"/>
  <c r="J77" i="3"/>
  <c r="I77" i="3"/>
  <c r="D77" i="3"/>
  <c r="DW78" i="3"/>
  <c r="DV78" i="3"/>
  <c r="DU78" i="3"/>
  <c r="DT78" i="3"/>
  <c r="DS78" i="3"/>
  <c r="DR78" i="3"/>
  <c r="DQ78" i="3"/>
  <c r="DP78" i="3"/>
  <c r="DO78" i="3"/>
  <c r="DN78" i="3"/>
  <c r="DM78" i="3"/>
  <c r="DL78" i="3"/>
  <c r="DK78" i="3"/>
  <c r="DJ78" i="3"/>
  <c r="DI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I78" i="3"/>
  <c r="AH78" i="3"/>
  <c r="AT78" i="3" s="1"/>
  <c r="AD78" i="3"/>
  <c r="V78" i="3"/>
  <c r="U78" i="3"/>
  <c r="AY78" i="3" s="1"/>
  <c r="T78" i="3"/>
  <c r="R78" i="3"/>
  <c r="Q78" i="3"/>
  <c r="N78" i="3"/>
  <c r="M78" i="3"/>
  <c r="K78" i="3"/>
  <c r="J78" i="3"/>
  <c r="I78" i="3"/>
  <c r="D78" i="3"/>
  <c r="DW75" i="3"/>
  <c r="DV75" i="3"/>
  <c r="DU75" i="3"/>
  <c r="DT75" i="3"/>
  <c r="DS75" i="3"/>
  <c r="DR75" i="3"/>
  <c r="DQ75" i="3"/>
  <c r="DP75" i="3"/>
  <c r="DO75" i="3"/>
  <c r="DN75" i="3"/>
  <c r="DM75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V75" i="3"/>
  <c r="AP75" i="3"/>
  <c r="AK75" i="3"/>
  <c r="AD75" i="3"/>
  <c r="AC75" i="3"/>
  <c r="X75" i="3"/>
  <c r="W75" i="3"/>
  <c r="V75" i="3"/>
  <c r="U75" i="3"/>
  <c r="AY75" i="3" s="1"/>
  <c r="T75" i="3"/>
  <c r="R75" i="3"/>
  <c r="Q75" i="3"/>
  <c r="N75" i="3"/>
  <c r="M75" i="3"/>
  <c r="K75" i="3"/>
  <c r="J75" i="3"/>
  <c r="I75" i="3"/>
  <c r="D75" i="3"/>
  <c r="DW76" i="3"/>
  <c r="DV76" i="3"/>
  <c r="DU76" i="3"/>
  <c r="DT76" i="3"/>
  <c r="DS76" i="3"/>
  <c r="DR76" i="3"/>
  <c r="DQ76" i="3"/>
  <c r="DP76" i="3"/>
  <c r="DO76" i="3"/>
  <c r="DN76" i="3"/>
  <c r="DM76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X76" i="3"/>
  <c r="AP76" i="3"/>
  <c r="AD76" i="3"/>
  <c r="AC76" i="3"/>
  <c r="Z76" i="3"/>
  <c r="Y76" i="3"/>
  <c r="X76" i="3"/>
  <c r="W76" i="3"/>
  <c r="U76" i="3"/>
  <c r="AY76" i="3" s="1"/>
  <c r="T76" i="3"/>
  <c r="R76" i="3"/>
  <c r="Q76" i="3"/>
  <c r="N76" i="3"/>
  <c r="M76" i="3"/>
  <c r="K76" i="3"/>
  <c r="J76" i="3"/>
  <c r="I76" i="3"/>
  <c r="D76" i="3"/>
  <c r="DW74" i="3"/>
  <c r="DV74" i="3"/>
  <c r="DU74" i="3"/>
  <c r="DT74" i="3"/>
  <c r="DS74" i="3"/>
  <c r="DR74" i="3"/>
  <c r="DQ74" i="3"/>
  <c r="DP74" i="3"/>
  <c r="DO74" i="3"/>
  <c r="DN74" i="3"/>
  <c r="DM74" i="3"/>
  <c r="DL74" i="3"/>
  <c r="DK74" i="3"/>
  <c r="DJ74" i="3"/>
  <c r="DI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I74" i="3"/>
  <c r="AH74" i="3"/>
  <c r="AT74" i="3" s="1"/>
  <c r="AD74" i="3"/>
  <c r="U74" i="3"/>
  <c r="AY74" i="3" s="1"/>
  <c r="T74" i="3"/>
  <c r="R74" i="3"/>
  <c r="Q74" i="3"/>
  <c r="M74" i="3"/>
  <c r="K74" i="3"/>
  <c r="J74" i="3"/>
  <c r="I74" i="3"/>
  <c r="D74" i="3"/>
  <c r="DW72" i="3"/>
  <c r="DV72" i="3"/>
  <c r="DU72" i="3"/>
  <c r="DT72" i="3"/>
  <c r="DS72" i="3"/>
  <c r="DR72" i="3"/>
  <c r="DQ72" i="3"/>
  <c r="DP72" i="3"/>
  <c r="DO72" i="3"/>
  <c r="DN72" i="3"/>
  <c r="DM72" i="3"/>
  <c r="DL72" i="3"/>
  <c r="DK72" i="3"/>
  <c r="DJ72" i="3"/>
  <c r="DI72" i="3"/>
  <c r="DH72" i="3"/>
  <c r="DG72" i="3"/>
  <c r="DF72" i="3"/>
  <c r="DE72" i="3"/>
  <c r="DD72" i="3"/>
  <c r="DC72" i="3"/>
  <c r="DB72" i="3"/>
  <c r="DA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U72" i="3"/>
  <c r="T72" i="3"/>
  <c r="R72" i="3"/>
  <c r="Q72" i="3"/>
  <c r="M72" i="3"/>
  <c r="K72" i="3"/>
  <c r="J72" i="3"/>
  <c r="I72" i="3"/>
  <c r="D72" i="3"/>
  <c r="DW69" i="3"/>
  <c r="DV69" i="3"/>
  <c r="DU69" i="3"/>
  <c r="DT69" i="3"/>
  <c r="DS69" i="3"/>
  <c r="DR69" i="3"/>
  <c r="DQ69" i="3"/>
  <c r="DP69" i="3"/>
  <c r="DO69" i="3"/>
  <c r="DN69" i="3"/>
  <c r="DM69" i="3"/>
  <c r="DL69" i="3"/>
  <c r="DK69" i="3"/>
  <c r="DJ69" i="3"/>
  <c r="DI69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U69" i="3"/>
  <c r="T69" i="3"/>
  <c r="R69" i="3"/>
  <c r="Q69" i="3"/>
  <c r="M69" i="3"/>
  <c r="K69" i="3"/>
  <c r="J69" i="3"/>
  <c r="I69" i="3"/>
  <c r="D69" i="3"/>
  <c r="DW64" i="3"/>
  <c r="DV64" i="3"/>
  <c r="DU64" i="3"/>
  <c r="DT64" i="3"/>
  <c r="DS64" i="3"/>
  <c r="DR64" i="3"/>
  <c r="DQ64" i="3"/>
  <c r="DP64" i="3"/>
  <c r="DO64" i="3"/>
  <c r="DN64" i="3"/>
  <c r="DM64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X64" i="3"/>
  <c r="W64" i="3"/>
  <c r="V64" i="3"/>
  <c r="U64" i="3"/>
  <c r="AY64" i="3" s="1"/>
  <c r="T64" i="3"/>
  <c r="R64" i="3"/>
  <c r="Q64" i="3"/>
  <c r="N64" i="3"/>
  <c r="M64" i="3"/>
  <c r="K64" i="3"/>
  <c r="J64" i="3"/>
  <c r="I64" i="3"/>
  <c r="D64" i="3"/>
  <c r="DW73" i="3"/>
  <c r="DV73" i="3"/>
  <c r="DU73" i="3"/>
  <c r="DT73" i="3"/>
  <c r="DS73" i="3"/>
  <c r="DR73" i="3"/>
  <c r="DQ73" i="3"/>
  <c r="DP73" i="3"/>
  <c r="DO73" i="3"/>
  <c r="DN73" i="3"/>
  <c r="DM73" i="3"/>
  <c r="DL73" i="3"/>
  <c r="DK73" i="3"/>
  <c r="DJ73" i="3"/>
  <c r="DI73" i="3"/>
  <c r="DH73" i="3"/>
  <c r="DG73" i="3"/>
  <c r="DF73" i="3"/>
  <c r="DE73" i="3"/>
  <c r="DD73" i="3"/>
  <c r="DC73" i="3"/>
  <c r="DB73" i="3"/>
  <c r="DA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U73" i="3"/>
  <c r="T73" i="3"/>
  <c r="R73" i="3"/>
  <c r="Q73" i="3"/>
  <c r="M73" i="3"/>
  <c r="K73" i="3"/>
  <c r="J73" i="3"/>
  <c r="I73" i="3"/>
  <c r="D73" i="3"/>
  <c r="DW70" i="3"/>
  <c r="DV70" i="3"/>
  <c r="DU70" i="3"/>
  <c r="DT70" i="3"/>
  <c r="DS70" i="3"/>
  <c r="DR70" i="3"/>
  <c r="DQ70" i="3"/>
  <c r="DP70" i="3"/>
  <c r="DN70" i="3"/>
  <c r="DM70" i="3"/>
  <c r="DL70" i="3"/>
  <c r="DK70" i="3"/>
  <c r="DJ70" i="3"/>
  <c r="DI70" i="3"/>
  <c r="DH70" i="3"/>
  <c r="DG70" i="3"/>
  <c r="DF70" i="3"/>
  <c r="DE70" i="3"/>
  <c r="DD70" i="3"/>
  <c r="DC70" i="3"/>
  <c r="DB70" i="3"/>
  <c r="DA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U70" i="3"/>
  <c r="T70" i="3"/>
  <c r="R70" i="3"/>
  <c r="Q70" i="3"/>
  <c r="M70" i="3"/>
  <c r="K70" i="3"/>
  <c r="J70" i="3"/>
  <c r="I70" i="3"/>
  <c r="D70" i="3"/>
  <c r="DW66" i="3"/>
  <c r="DV66" i="3"/>
  <c r="DU66" i="3"/>
  <c r="DT66" i="3"/>
  <c r="DS66" i="3"/>
  <c r="DQ66" i="3"/>
  <c r="DP66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O66" i="3"/>
  <c r="AN66" i="3"/>
  <c r="AJ66" i="3"/>
  <c r="AI66" i="3"/>
  <c r="AH66" i="3"/>
  <c r="AF66" i="3"/>
  <c r="AE66" i="3"/>
  <c r="AD66" i="3"/>
  <c r="W66" i="3"/>
  <c r="V66" i="3"/>
  <c r="U66" i="3"/>
  <c r="T66" i="3"/>
  <c r="R66" i="3"/>
  <c r="Q66" i="3"/>
  <c r="M66" i="3"/>
  <c r="K66" i="3"/>
  <c r="J66" i="3"/>
  <c r="I66" i="3"/>
  <c r="D66" i="3"/>
  <c r="DW58" i="3"/>
  <c r="DV58" i="3"/>
  <c r="DU58" i="3"/>
  <c r="DT58" i="3"/>
  <c r="DS58" i="3"/>
  <c r="DR58" i="3"/>
  <c r="DQ58" i="3"/>
  <c r="DP58" i="3"/>
  <c r="DO58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U58" i="3"/>
  <c r="T58" i="3"/>
  <c r="R58" i="3"/>
  <c r="Q58" i="3"/>
  <c r="M58" i="3"/>
  <c r="K58" i="3"/>
  <c r="J58" i="3"/>
  <c r="I58" i="3"/>
  <c r="D58" i="3"/>
  <c r="DW68" i="3"/>
  <c r="DV68" i="3"/>
  <c r="DU68" i="3"/>
  <c r="DT68" i="3"/>
  <c r="DS68" i="3"/>
  <c r="DR68" i="3"/>
  <c r="DQ68" i="3"/>
  <c r="DP68" i="3"/>
  <c r="DO68" i="3"/>
  <c r="DN68" i="3"/>
  <c r="DM68" i="3"/>
  <c r="DL68" i="3"/>
  <c r="DK68" i="3"/>
  <c r="DJ68" i="3"/>
  <c r="DI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X68" i="3"/>
  <c r="AW68" i="3"/>
  <c r="AV68" i="3"/>
  <c r="AR68" i="3"/>
  <c r="AP68" i="3"/>
  <c r="AO68" i="3"/>
  <c r="AN68" i="3"/>
  <c r="AK68" i="3"/>
  <c r="AI68" i="3"/>
  <c r="AE68" i="3"/>
  <c r="AD68" i="3"/>
  <c r="AC68" i="3"/>
  <c r="Z68" i="3"/>
  <c r="U68" i="3"/>
  <c r="T68" i="3"/>
  <c r="R68" i="3"/>
  <c r="Q68" i="3"/>
  <c r="N68" i="3"/>
  <c r="M68" i="3"/>
  <c r="K68" i="3"/>
  <c r="J68" i="3"/>
  <c r="I68" i="3"/>
  <c r="D68" i="3"/>
  <c r="DW65" i="3"/>
  <c r="DV65" i="3"/>
  <c r="DU65" i="3"/>
  <c r="DT65" i="3"/>
  <c r="DS65" i="3"/>
  <c r="DR65" i="3"/>
  <c r="DQ65" i="3"/>
  <c r="DP65" i="3"/>
  <c r="DO65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U65" i="3"/>
  <c r="AT65" i="3"/>
  <c r="AP65" i="3"/>
  <c r="AJ65" i="3"/>
  <c r="AC65" i="3"/>
  <c r="Z65" i="3"/>
  <c r="X65" i="3"/>
  <c r="W65" i="3"/>
  <c r="U65" i="3"/>
  <c r="T65" i="3"/>
  <c r="R65" i="3"/>
  <c r="Q65" i="3"/>
  <c r="M65" i="3"/>
  <c r="K65" i="3"/>
  <c r="J65" i="3"/>
  <c r="I65" i="3"/>
  <c r="D65" i="3"/>
  <c r="DW71" i="3"/>
  <c r="DV71" i="3"/>
  <c r="DU71" i="3"/>
  <c r="DT71" i="3"/>
  <c r="DS71" i="3"/>
  <c r="DR71" i="3"/>
  <c r="DQ71" i="3"/>
  <c r="DP71" i="3"/>
  <c r="DO71" i="3"/>
  <c r="DN71" i="3"/>
  <c r="DM71" i="3"/>
  <c r="DL71" i="3"/>
  <c r="DK71" i="3"/>
  <c r="DJ71" i="3"/>
  <c r="DI71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U71" i="3"/>
  <c r="AJ71" i="3"/>
  <c r="AI71" i="3"/>
  <c r="AD71" i="3"/>
  <c r="AC71" i="3"/>
  <c r="Z71" i="3"/>
  <c r="Y71" i="3"/>
  <c r="X71" i="3"/>
  <c r="U71" i="3"/>
  <c r="AY71" i="3" s="1"/>
  <c r="T71" i="3"/>
  <c r="R71" i="3"/>
  <c r="Q71" i="3"/>
  <c r="M71" i="3"/>
  <c r="K71" i="3"/>
  <c r="J71" i="3"/>
  <c r="I71" i="3"/>
  <c r="D71" i="3"/>
  <c r="DW63" i="3"/>
  <c r="DV63" i="3"/>
  <c r="DU63" i="3"/>
  <c r="DT63" i="3"/>
  <c r="DS63" i="3"/>
  <c r="DR63" i="3"/>
  <c r="DQ63" i="3"/>
  <c r="DP63" i="3"/>
  <c r="DO63" i="3"/>
  <c r="DN63" i="3"/>
  <c r="DM63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P63" i="3"/>
  <c r="AJ63" i="3"/>
  <c r="AI63" i="3"/>
  <c r="AH63" i="3"/>
  <c r="AT63" i="3" s="1"/>
  <c r="Z63" i="3"/>
  <c r="Y63" i="3"/>
  <c r="X63" i="3"/>
  <c r="W63" i="3"/>
  <c r="V63" i="3"/>
  <c r="U63" i="3"/>
  <c r="AY63" i="3" s="1"/>
  <c r="T63" i="3"/>
  <c r="R63" i="3"/>
  <c r="Q63" i="3"/>
  <c r="M63" i="3"/>
  <c r="K63" i="3"/>
  <c r="J63" i="3"/>
  <c r="I63" i="3"/>
  <c r="D63" i="3"/>
  <c r="DW61" i="3"/>
  <c r="DV61" i="3"/>
  <c r="DU61" i="3"/>
  <c r="DT61" i="3"/>
  <c r="DS61" i="3"/>
  <c r="DR61" i="3"/>
  <c r="DQ61" i="3"/>
  <c r="DP61" i="3"/>
  <c r="DO61" i="3"/>
  <c r="DN61" i="3"/>
  <c r="DM61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P61" i="3"/>
  <c r="AN61" i="3"/>
  <c r="AJ61" i="3"/>
  <c r="AI61" i="3"/>
  <c r="AH61" i="3"/>
  <c r="AD61" i="3"/>
  <c r="AC61" i="3"/>
  <c r="X61" i="3"/>
  <c r="W61" i="3"/>
  <c r="V61" i="3"/>
  <c r="U61" i="3"/>
  <c r="T61" i="3"/>
  <c r="R61" i="3"/>
  <c r="Q61" i="3"/>
  <c r="N61" i="3"/>
  <c r="M61" i="3"/>
  <c r="K61" i="3"/>
  <c r="J61" i="3"/>
  <c r="I61" i="3"/>
  <c r="D61" i="3"/>
  <c r="DW59" i="3"/>
  <c r="DV59" i="3"/>
  <c r="DU59" i="3"/>
  <c r="DT59" i="3"/>
  <c r="DS59" i="3"/>
  <c r="DR59" i="3"/>
  <c r="DQ59" i="3"/>
  <c r="DP59" i="3"/>
  <c r="DO59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I59" i="3"/>
  <c r="AH59" i="3"/>
  <c r="AT59" i="3" s="1"/>
  <c r="Z59" i="3"/>
  <c r="Y59" i="3"/>
  <c r="X59" i="3"/>
  <c r="U59" i="3"/>
  <c r="AY59" i="3" s="1"/>
  <c r="T59" i="3"/>
  <c r="R59" i="3"/>
  <c r="Q59" i="3"/>
  <c r="N59" i="3"/>
  <c r="M59" i="3"/>
  <c r="K59" i="3"/>
  <c r="J59" i="3"/>
  <c r="I59" i="3"/>
  <c r="D59" i="3"/>
  <c r="DW55" i="3"/>
  <c r="DV55" i="3"/>
  <c r="DU55" i="3"/>
  <c r="DT55" i="3"/>
  <c r="DS55" i="3"/>
  <c r="DR55" i="3"/>
  <c r="DQ55" i="3"/>
  <c r="DP55" i="3"/>
  <c r="DO55" i="3"/>
  <c r="DN55" i="3"/>
  <c r="DM55" i="3"/>
  <c r="DL55" i="3"/>
  <c r="DK55" i="3"/>
  <c r="DJ55" i="3"/>
  <c r="DI55" i="3"/>
  <c r="DH55" i="3"/>
  <c r="DG55" i="3"/>
  <c r="DF55" i="3"/>
  <c r="DE55" i="3"/>
  <c r="DD55" i="3"/>
  <c r="DC55" i="3"/>
  <c r="DB55" i="3"/>
  <c r="DA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U55" i="3"/>
  <c r="T55" i="3"/>
  <c r="R55" i="3"/>
  <c r="Q55" i="3"/>
  <c r="M55" i="3"/>
  <c r="K55" i="3"/>
  <c r="J55" i="3"/>
  <c r="I55" i="3"/>
  <c r="D55" i="3"/>
  <c r="DW57" i="3"/>
  <c r="DV57" i="3"/>
  <c r="DU57" i="3"/>
  <c r="DT57" i="3"/>
  <c r="DS57" i="3"/>
  <c r="DR57" i="3"/>
  <c r="DQ57" i="3"/>
  <c r="DP57" i="3"/>
  <c r="DO57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P57" i="3"/>
  <c r="AI57" i="3"/>
  <c r="AH57" i="3"/>
  <c r="AT57" i="3" s="1"/>
  <c r="AF57" i="3"/>
  <c r="AD57" i="3"/>
  <c r="Y57" i="3"/>
  <c r="U57" i="3"/>
  <c r="AY57" i="3" s="1"/>
  <c r="T57" i="3"/>
  <c r="R57" i="3"/>
  <c r="Q57" i="3"/>
  <c r="M57" i="3"/>
  <c r="K57" i="3"/>
  <c r="J57" i="3"/>
  <c r="I57" i="3"/>
  <c r="D57" i="3"/>
  <c r="DW56" i="3"/>
  <c r="DV56" i="3"/>
  <c r="DU56" i="3"/>
  <c r="DT56" i="3"/>
  <c r="DS56" i="3"/>
  <c r="DR56" i="3"/>
  <c r="DQ56" i="3"/>
  <c r="DP56" i="3"/>
  <c r="DO56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U56" i="3"/>
  <c r="T56" i="3"/>
  <c r="R56" i="3"/>
  <c r="Q56" i="3"/>
  <c r="M56" i="3"/>
  <c r="K56" i="3"/>
  <c r="J56" i="3"/>
  <c r="I56" i="3"/>
  <c r="D56" i="3"/>
  <c r="DW54" i="3"/>
  <c r="DV54" i="3"/>
  <c r="DU54" i="3"/>
  <c r="DT54" i="3"/>
  <c r="DS54" i="3"/>
  <c r="DR54" i="3"/>
  <c r="DQ54" i="3"/>
  <c r="DP54" i="3"/>
  <c r="DO54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U54" i="3"/>
  <c r="T54" i="3"/>
  <c r="R54" i="3"/>
  <c r="Q54" i="3"/>
  <c r="M54" i="3"/>
  <c r="K54" i="3"/>
  <c r="J54" i="3"/>
  <c r="I54" i="3"/>
  <c r="D54" i="3"/>
  <c r="DW53" i="3"/>
  <c r="DV53" i="3"/>
  <c r="DU53" i="3"/>
  <c r="DT53" i="3"/>
  <c r="DS53" i="3"/>
  <c r="DR53" i="3"/>
  <c r="DQ53" i="3"/>
  <c r="DP53" i="3"/>
  <c r="DO53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I53" i="3"/>
  <c r="U53" i="3"/>
  <c r="AY53" i="3" s="1"/>
  <c r="T53" i="3"/>
  <c r="R53" i="3"/>
  <c r="Q53" i="3"/>
  <c r="N53" i="3"/>
  <c r="M53" i="3"/>
  <c r="K53" i="3"/>
  <c r="J53" i="3"/>
  <c r="I53" i="3"/>
  <c r="D53" i="3"/>
  <c r="DW52" i="3"/>
  <c r="DV52" i="3"/>
  <c r="DU52" i="3"/>
  <c r="DT52" i="3"/>
  <c r="DS52" i="3"/>
  <c r="DR52" i="3"/>
  <c r="DQ52" i="3"/>
  <c r="DP52" i="3"/>
  <c r="DO52" i="3"/>
  <c r="DN52" i="3"/>
  <c r="DM52" i="3"/>
  <c r="DL52" i="3"/>
  <c r="DK52" i="3"/>
  <c r="DJ52" i="3"/>
  <c r="DI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W52" i="3"/>
  <c r="AN52" i="3"/>
  <c r="AK52" i="3"/>
  <c r="AJ52" i="3"/>
  <c r="AI52" i="3"/>
  <c r="AH52" i="3"/>
  <c r="AT52" i="3" s="1"/>
  <c r="AD52" i="3"/>
  <c r="AC52" i="3"/>
  <c r="Z52" i="3"/>
  <c r="Y52" i="3"/>
  <c r="X52" i="3"/>
  <c r="W52" i="3"/>
  <c r="V52" i="3"/>
  <c r="U52" i="3"/>
  <c r="AY52" i="3" s="1"/>
  <c r="T52" i="3"/>
  <c r="R52" i="3"/>
  <c r="Q52" i="3"/>
  <c r="M52" i="3"/>
  <c r="K52" i="3"/>
  <c r="J52" i="3"/>
  <c r="I52" i="3"/>
  <c r="D52" i="3"/>
  <c r="DW51" i="3"/>
  <c r="DV51" i="3"/>
  <c r="DU51" i="3"/>
  <c r="DT51" i="3"/>
  <c r="DS51" i="3"/>
  <c r="DR51" i="3"/>
  <c r="DQ51" i="3"/>
  <c r="DP51" i="3"/>
  <c r="DO51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U51" i="3"/>
  <c r="T51" i="3"/>
  <c r="R51" i="3"/>
  <c r="Q51" i="3"/>
  <c r="M51" i="3"/>
  <c r="K51" i="3"/>
  <c r="J51" i="3"/>
  <c r="I51" i="3"/>
  <c r="D51" i="3"/>
  <c r="DW47" i="3"/>
  <c r="DV47" i="3"/>
  <c r="DU47" i="3"/>
  <c r="DT47" i="3"/>
  <c r="DS47" i="3"/>
  <c r="DR47" i="3"/>
  <c r="DQ47" i="3"/>
  <c r="DP47" i="3"/>
  <c r="DO47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U47" i="3"/>
  <c r="T47" i="3"/>
  <c r="R47" i="3"/>
  <c r="Q47" i="3"/>
  <c r="M47" i="3"/>
  <c r="K47" i="3"/>
  <c r="J47" i="3"/>
  <c r="I47" i="3"/>
  <c r="D47" i="3"/>
  <c r="DW50" i="3"/>
  <c r="DV50" i="3"/>
  <c r="DU50" i="3"/>
  <c r="DT50" i="3"/>
  <c r="DS50" i="3"/>
  <c r="DR50" i="3"/>
  <c r="DQ50" i="3"/>
  <c r="DP50" i="3"/>
  <c r="DO50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O50" i="3"/>
  <c r="AI50" i="3"/>
  <c r="AH50" i="3"/>
  <c r="AT50" i="3" s="1"/>
  <c r="AC50" i="3"/>
  <c r="Z50" i="3"/>
  <c r="Y50" i="3"/>
  <c r="X50" i="3"/>
  <c r="W50" i="3"/>
  <c r="U50" i="3"/>
  <c r="AY50" i="3" s="1"/>
  <c r="T50" i="3"/>
  <c r="R50" i="3"/>
  <c r="Q50" i="3"/>
  <c r="N50" i="3"/>
  <c r="M50" i="3"/>
  <c r="K50" i="3"/>
  <c r="J50" i="3"/>
  <c r="I50" i="3"/>
  <c r="D50" i="3"/>
  <c r="DW49" i="3"/>
  <c r="DV49" i="3"/>
  <c r="DU49" i="3"/>
  <c r="DT49" i="3"/>
  <c r="DS49" i="3"/>
  <c r="DR49" i="3"/>
  <c r="DQ49" i="3"/>
  <c r="DP49" i="3"/>
  <c r="DO49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R49" i="3"/>
  <c r="AH49" i="3"/>
  <c r="AT49" i="3" s="1"/>
  <c r="AF49" i="3"/>
  <c r="AE49" i="3"/>
  <c r="AD49" i="3"/>
  <c r="AC49" i="3"/>
  <c r="Y49" i="3"/>
  <c r="X49" i="3"/>
  <c r="W49" i="3"/>
  <c r="U49" i="3"/>
  <c r="AY49" i="3" s="1"/>
  <c r="T49" i="3"/>
  <c r="R49" i="3"/>
  <c r="Q49" i="3"/>
  <c r="M49" i="3"/>
  <c r="K49" i="3"/>
  <c r="J49" i="3"/>
  <c r="I49" i="3"/>
  <c r="D49" i="3"/>
  <c r="DW48" i="3"/>
  <c r="DV48" i="3"/>
  <c r="DU48" i="3"/>
  <c r="DT48" i="3"/>
  <c r="DS48" i="3"/>
  <c r="DR48" i="3"/>
  <c r="DQ48" i="3"/>
  <c r="DP48" i="3"/>
  <c r="DO48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H48" i="3"/>
  <c r="AT48" i="3" s="1"/>
  <c r="AD48" i="3"/>
  <c r="AC48" i="3"/>
  <c r="Z48" i="3"/>
  <c r="Y48" i="3"/>
  <c r="W48" i="3"/>
  <c r="V48" i="3"/>
  <c r="U48" i="3"/>
  <c r="T48" i="3"/>
  <c r="R48" i="3"/>
  <c r="Q48" i="3"/>
  <c r="N48" i="3"/>
  <c r="M48" i="3"/>
  <c r="K48" i="3"/>
  <c r="J48" i="3"/>
  <c r="I48" i="3"/>
  <c r="D48" i="3"/>
  <c r="DW46" i="3"/>
  <c r="DV46" i="3"/>
  <c r="DU46" i="3"/>
  <c r="DT46" i="3"/>
  <c r="DS46" i="3"/>
  <c r="DR46" i="3"/>
  <c r="DQ46" i="3"/>
  <c r="DP46" i="3"/>
  <c r="DO46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C46" i="3"/>
  <c r="Z46" i="3"/>
  <c r="Y46" i="3"/>
  <c r="U46" i="3"/>
  <c r="AY46" i="3" s="1"/>
  <c r="T46" i="3"/>
  <c r="R46" i="3"/>
  <c r="Q46" i="3"/>
  <c r="N46" i="3"/>
  <c r="M46" i="3"/>
  <c r="K46" i="3"/>
  <c r="J46" i="3"/>
  <c r="I46" i="3"/>
  <c r="D46" i="3"/>
  <c r="DW45" i="3"/>
  <c r="DV45" i="3"/>
  <c r="DU45" i="3"/>
  <c r="DT45" i="3"/>
  <c r="DS45" i="3"/>
  <c r="DR45" i="3"/>
  <c r="DQ45" i="3"/>
  <c r="DP45" i="3"/>
  <c r="DO45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P45" i="3"/>
  <c r="AI45" i="3"/>
  <c r="AH45" i="3"/>
  <c r="AT45" i="3" s="1"/>
  <c r="AD45" i="3"/>
  <c r="AC45" i="3"/>
  <c r="Z45" i="3"/>
  <c r="Y45" i="3"/>
  <c r="X45" i="3"/>
  <c r="W45" i="3"/>
  <c r="V45" i="3"/>
  <c r="U45" i="3"/>
  <c r="AY45" i="3" s="1"/>
  <c r="T45" i="3"/>
  <c r="R45" i="3"/>
  <c r="Q45" i="3"/>
  <c r="M45" i="3"/>
  <c r="K45" i="3"/>
  <c r="J45" i="3"/>
  <c r="I45" i="3"/>
  <c r="D45" i="3"/>
  <c r="DW44" i="3"/>
  <c r="DV44" i="3"/>
  <c r="DU44" i="3"/>
  <c r="DT44" i="3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P44" i="3"/>
  <c r="AO44" i="3"/>
  <c r="AN44" i="3"/>
  <c r="AJ44" i="3"/>
  <c r="AI44" i="3"/>
  <c r="AH44" i="3"/>
  <c r="W44" i="3"/>
  <c r="V44" i="3"/>
  <c r="U44" i="3"/>
  <c r="T44" i="3"/>
  <c r="R44" i="3"/>
  <c r="Q44" i="3"/>
  <c r="N44" i="3"/>
  <c r="M44" i="3"/>
  <c r="K44" i="3"/>
  <c r="J44" i="3"/>
  <c r="I44" i="3"/>
  <c r="D44" i="3"/>
  <c r="DW42" i="3"/>
  <c r="DV42" i="3"/>
  <c r="DU42" i="3"/>
  <c r="DT42" i="3"/>
  <c r="DS42" i="3"/>
  <c r="DR42" i="3"/>
  <c r="DQ42" i="3"/>
  <c r="DP42" i="3"/>
  <c r="DO42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X42" i="3"/>
  <c r="AW42" i="3"/>
  <c r="AV42" i="3"/>
  <c r="AU42" i="3"/>
  <c r="AP42" i="3"/>
  <c r="AO42" i="3"/>
  <c r="AN42" i="3"/>
  <c r="AK42" i="3"/>
  <c r="AJ42" i="3"/>
  <c r="AI42" i="3"/>
  <c r="AH42" i="3"/>
  <c r="AD42" i="3"/>
  <c r="Z42" i="3"/>
  <c r="Y42" i="3"/>
  <c r="X42" i="3"/>
  <c r="U42" i="3"/>
  <c r="T42" i="3"/>
  <c r="R42" i="3"/>
  <c r="Q42" i="3"/>
  <c r="N42" i="3"/>
  <c r="M42" i="3"/>
  <c r="K42" i="3"/>
  <c r="J42" i="3"/>
  <c r="I42" i="3"/>
  <c r="D42" i="3"/>
  <c r="DW29" i="3"/>
  <c r="DV29" i="3"/>
  <c r="DU29" i="3"/>
  <c r="DT29" i="3"/>
  <c r="DS29" i="3"/>
  <c r="DR29" i="3"/>
  <c r="DQ29" i="3"/>
  <c r="DP29" i="3"/>
  <c r="DO29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U29" i="3"/>
  <c r="T29" i="3"/>
  <c r="R29" i="3"/>
  <c r="Q29" i="3"/>
  <c r="M29" i="3"/>
  <c r="K29" i="3"/>
  <c r="J29" i="3"/>
  <c r="I29" i="3"/>
  <c r="D29" i="3"/>
  <c r="DW39" i="3"/>
  <c r="DV39" i="3"/>
  <c r="DU39" i="3"/>
  <c r="DT39" i="3"/>
  <c r="DS39" i="3"/>
  <c r="DR39" i="3"/>
  <c r="DQ39" i="3"/>
  <c r="DP39" i="3"/>
  <c r="DO39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I39" i="3"/>
  <c r="AH39" i="3"/>
  <c r="AT39" i="3" s="1"/>
  <c r="V39" i="3"/>
  <c r="U39" i="3"/>
  <c r="AY39" i="3" s="1"/>
  <c r="T39" i="3"/>
  <c r="R39" i="3"/>
  <c r="Q39" i="3"/>
  <c r="N39" i="3"/>
  <c r="M39" i="3"/>
  <c r="K39" i="3"/>
  <c r="J39" i="3"/>
  <c r="I39" i="3"/>
  <c r="D39" i="3"/>
  <c r="DW43" i="3"/>
  <c r="DV43" i="3"/>
  <c r="DU43" i="3"/>
  <c r="DT43" i="3"/>
  <c r="DS43" i="3"/>
  <c r="DR43" i="3"/>
  <c r="DQ43" i="3"/>
  <c r="DP43" i="3"/>
  <c r="DO43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I43" i="3"/>
  <c r="AH43" i="3"/>
  <c r="AT43" i="3" s="1"/>
  <c r="AD43" i="3"/>
  <c r="Z43" i="3"/>
  <c r="Y43" i="3"/>
  <c r="X43" i="3"/>
  <c r="W43" i="3"/>
  <c r="V43" i="3"/>
  <c r="U43" i="3"/>
  <c r="AY43" i="3" s="1"/>
  <c r="T43" i="3"/>
  <c r="R43" i="3"/>
  <c r="Q43" i="3"/>
  <c r="N43" i="3"/>
  <c r="M43" i="3"/>
  <c r="K43" i="3"/>
  <c r="J43" i="3"/>
  <c r="I43" i="3"/>
  <c r="D43" i="3"/>
  <c r="DW37" i="3"/>
  <c r="DV37" i="3"/>
  <c r="DU37" i="3"/>
  <c r="DT37" i="3"/>
  <c r="DS37" i="3"/>
  <c r="DR37" i="3"/>
  <c r="DQ37" i="3"/>
  <c r="DP37" i="3"/>
  <c r="DO37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R37" i="3"/>
  <c r="AP37" i="3"/>
  <c r="AH37" i="3"/>
  <c r="AT37" i="3" s="1"/>
  <c r="AF37" i="3"/>
  <c r="AE37" i="3"/>
  <c r="AD37" i="3"/>
  <c r="AC37" i="3"/>
  <c r="Z37" i="3"/>
  <c r="U37" i="3"/>
  <c r="T37" i="3"/>
  <c r="R37" i="3"/>
  <c r="Q37" i="3"/>
  <c r="M37" i="3"/>
  <c r="K37" i="3"/>
  <c r="J37" i="3"/>
  <c r="I37" i="3"/>
  <c r="D37" i="3"/>
  <c r="DW40" i="3"/>
  <c r="DV40" i="3"/>
  <c r="DU40" i="3"/>
  <c r="DT40" i="3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I40" i="3"/>
  <c r="AH40" i="3"/>
  <c r="AT40" i="3" s="1"/>
  <c r="AF40" i="3"/>
  <c r="AE40" i="3"/>
  <c r="AD40" i="3"/>
  <c r="AC40" i="3"/>
  <c r="Z40" i="3"/>
  <c r="U40" i="3"/>
  <c r="AY40" i="3" s="1"/>
  <c r="T40" i="3"/>
  <c r="R40" i="3"/>
  <c r="Q40" i="3"/>
  <c r="N40" i="3"/>
  <c r="M40" i="3"/>
  <c r="K40" i="3"/>
  <c r="J40" i="3"/>
  <c r="I40" i="3"/>
  <c r="D40" i="3"/>
  <c r="DW36" i="3"/>
  <c r="DV36" i="3"/>
  <c r="DU36" i="3"/>
  <c r="DT36" i="3"/>
  <c r="DS36" i="3"/>
  <c r="DR36" i="3"/>
  <c r="DQ36" i="3"/>
  <c r="DP36" i="3"/>
  <c r="DO36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I36" i="3"/>
  <c r="AH36" i="3"/>
  <c r="AT36" i="3" s="1"/>
  <c r="AD36" i="3"/>
  <c r="V36" i="3"/>
  <c r="U36" i="3"/>
  <c r="AY36" i="3" s="1"/>
  <c r="T36" i="3"/>
  <c r="R36" i="3"/>
  <c r="Q36" i="3"/>
  <c r="N36" i="3"/>
  <c r="M36" i="3"/>
  <c r="K36" i="3"/>
  <c r="J36" i="3"/>
  <c r="I36" i="3"/>
  <c r="D36" i="3"/>
  <c r="DW35" i="3"/>
  <c r="DV35" i="3"/>
  <c r="DU35" i="3"/>
  <c r="DT35" i="3"/>
  <c r="DS35" i="3"/>
  <c r="DR35" i="3"/>
  <c r="DQ35" i="3"/>
  <c r="DP35" i="3"/>
  <c r="DO35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R35" i="3"/>
  <c r="AN35" i="3"/>
  <c r="AK35" i="3"/>
  <c r="AJ35" i="3"/>
  <c r="AI35" i="3"/>
  <c r="AH35" i="3"/>
  <c r="AT35" i="3" s="1"/>
  <c r="AF35" i="3"/>
  <c r="AE35" i="3"/>
  <c r="AD35" i="3"/>
  <c r="AC35" i="3"/>
  <c r="Z35" i="3"/>
  <c r="Y35" i="3"/>
  <c r="X35" i="3"/>
  <c r="W35" i="3"/>
  <c r="V35" i="3"/>
  <c r="U35" i="3"/>
  <c r="AY35" i="3" s="1"/>
  <c r="T35" i="3"/>
  <c r="R35" i="3"/>
  <c r="Q35" i="3"/>
  <c r="M35" i="3"/>
  <c r="K35" i="3"/>
  <c r="J35" i="3"/>
  <c r="I35" i="3"/>
  <c r="D35" i="3"/>
  <c r="DW34" i="3"/>
  <c r="DV34" i="3"/>
  <c r="DU34" i="3"/>
  <c r="DT34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P34" i="3"/>
  <c r="AO34" i="3"/>
  <c r="AH34" i="3"/>
  <c r="AT34" i="3" s="1"/>
  <c r="AD34" i="3"/>
  <c r="AC34" i="3"/>
  <c r="Z34" i="3"/>
  <c r="Y34" i="3"/>
  <c r="X34" i="3"/>
  <c r="U34" i="3"/>
  <c r="AY34" i="3" s="1"/>
  <c r="T34" i="3"/>
  <c r="R34" i="3"/>
  <c r="Q34" i="3"/>
  <c r="M34" i="3"/>
  <c r="K34" i="3"/>
  <c r="J34" i="3"/>
  <c r="I34" i="3"/>
  <c r="D34" i="3"/>
  <c r="DW32" i="3"/>
  <c r="DV32" i="3"/>
  <c r="DU32" i="3"/>
  <c r="DT32" i="3"/>
  <c r="DS32" i="3"/>
  <c r="DR32" i="3"/>
  <c r="DQ32" i="3"/>
  <c r="DP32" i="3"/>
  <c r="DO32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I32" i="3"/>
  <c r="AH32" i="3"/>
  <c r="AT32" i="3" s="1"/>
  <c r="AF32" i="3"/>
  <c r="AE32" i="3"/>
  <c r="V32" i="3"/>
  <c r="U32" i="3"/>
  <c r="T32" i="3"/>
  <c r="R32" i="3"/>
  <c r="Q32" i="3"/>
  <c r="N32" i="3"/>
  <c r="M32" i="3"/>
  <c r="K32" i="3"/>
  <c r="J32" i="3"/>
  <c r="I32" i="3"/>
  <c r="D32" i="3"/>
  <c r="DW38" i="3"/>
  <c r="DV38" i="3"/>
  <c r="DU38" i="3"/>
  <c r="DT38" i="3"/>
  <c r="DS38" i="3"/>
  <c r="DR38" i="3"/>
  <c r="DQ38" i="3"/>
  <c r="DP38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R38" i="3"/>
  <c r="AD38" i="3"/>
  <c r="AC38" i="3"/>
  <c r="Z38" i="3"/>
  <c r="W38" i="3"/>
  <c r="V38" i="3"/>
  <c r="U38" i="3"/>
  <c r="AY38" i="3" s="1"/>
  <c r="T38" i="3"/>
  <c r="R38" i="3"/>
  <c r="Q38" i="3"/>
  <c r="N38" i="3"/>
  <c r="M38" i="3"/>
  <c r="K38" i="3"/>
  <c r="J38" i="3"/>
  <c r="I38" i="3"/>
  <c r="D38" i="3"/>
  <c r="DW33" i="3"/>
  <c r="DV33" i="3"/>
  <c r="DU33" i="3"/>
  <c r="DT33" i="3"/>
  <c r="DS33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R33" i="3"/>
  <c r="AI33" i="3"/>
  <c r="AF33" i="3"/>
  <c r="AE33" i="3"/>
  <c r="AD33" i="3"/>
  <c r="AC33" i="3"/>
  <c r="Z33" i="3"/>
  <c r="Y33" i="3"/>
  <c r="V33" i="3"/>
  <c r="U33" i="3"/>
  <c r="AY33" i="3" s="1"/>
  <c r="T33" i="3"/>
  <c r="R33" i="3"/>
  <c r="Q33" i="3"/>
  <c r="N33" i="3"/>
  <c r="M33" i="3"/>
  <c r="K33" i="3"/>
  <c r="J33" i="3"/>
  <c r="I33" i="3"/>
  <c r="D33" i="3"/>
  <c r="DW31" i="3"/>
  <c r="DV31" i="3"/>
  <c r="DU31" i="3"/>
  <c r="DT31" i="3"/>
  <c r="DS31" i="3"/>
  <c r="DR31" i="3"/>
  <c r="DQ31" i="3"/>
  <c r="DP31" i="3"/>
  <c r="DO31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V31" i="3"/>
  <c r="AU31" i="3"/>
  <c r="AK31" i="3"/>
  <c r="AJ31" i="3"/>
  <c r="AI31" i="3"/>
  <c r="Z31" i="3"/>
  <c r="Y31" i="3"/>
  <c r="X31" i="3"/>
  <c r="W31" i="3"/>
  <c r="V31" i="3"/>
  <c r="U31" i="3"/>
  <c r="AY31" i="3" s="1"/>
  <c r="T31" i="3"/>
  <c r="R31" i="3"/>
  <c r="Q31" i="3"/>
  <c r="M31" i="3"/>
  <c r="K31" i="3"/>
  <c r="J31" i="3"/>
  <c r="I31" i="3"/>
  <c r="D31" i="3"/>
  <c r="DW30" i="3"/>
  <c r="DV30" i="3"/>
  <c r="DU30" i="3"/>
  <c r="DT30" i="3"/>
  <c r="DS30" i="3"/>
  <c r="DR30" i="3"/>
  <c r="DQ30" i="3"/>
  <c r="DP30" i="3"/>
  <c r="DO30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V30" i="3"/>
  <c r="AU30" i="3"/>
  <c r="AO30" i="3"/>
  <c r="AN30" i="3"/>
  <c r="AK30" i="3"/>
  <c r="AJ30" i="3"/>
  <c r="AI30" i="3"/>
  <c r="AH30" i="3"/>
  <c r="AT30" i="3" s="1"/>
  <c r="AC30" i="3"/>
  <c r="Z30" i="3"/>
  <c r="Y30" i="3"/>
  <c r="X30" i="3"/>
  <c r="W30" i="3"/>
  <c r="U30" i="3"/>
  <c r="AY30" i="3" s="1"/>
  <c r="T30" i="3"/>
  <c r="R30" i="3"/>
  <c r="Q30" i="3"/>
  <c r="M30" i="3"/>
  <c r="K30" i="3"/>
  <c r="J30" i="3"/>
  <c r="I30" i="3"/>
  <c r="D30" i="3"/>
  <c r="DW28" i="3"/>
  <c r="DV28" i="3"/>
  <c r="DU28" i="3"/>
  <c r="DT28" i="3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W28" i="3"/>
  <c r="AQ28" i="3"/>
  <c r="AN28" i="3"/>
  <c r="AK28" i="3"/>
  <c r="AC28" i="3"/>
  <c r="AB28" i="3"/>
  <c r="AA28" i="3"/>
  <c r="Z28" i="3"/>
  <c r="Y28" i="3"/>
  <c r="X28" i="3"/>
  <c r="W28" i="3"/>
  <c r="V28" i="3"/>
  <c r="U28" i="3"/>
  <c r="AY28" i="3" s="1"/>
  <c r="T28" i="3"/>
  <c r="R28" i="3"/>
  <c r="Q28" i="3"/>
  <c r="N28" i="3"/>
  <c r="M28" i="3"/>
  <c r="K28" i="3"/>
  <c r="J28" i="3"/>
  <c r="I28" i="3"/>
  <c r="D28" i="3"/>
  <c r="DW27" i="3"/>
  <c r="DV27" i="3"/>
  <c r="DU27" i="3"/>
  <c r="DT27" i="3"/>
  <c r="DS27" i="3"/>
  <c r="DR27" i="3"/>
  <c r="DQ27" i="3"/>
  <c r="DP27" i="3"/>
  <c r="DO27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I27" i="3"/>
  <c r="AH27" i="3"/>
  <c r="AT27" i="3" s="1"/>
  <c r="AC27" i="3"/>
  <c r="Z27" i="3"/>
  <c r="Y27" i="3"/>
  <c r="V27" i="3"/>
  <c r="U27" i="3"/>
  <c r="AY27" i="3" s="1"/>
  <c r="T27" i="3"/>
  <c r="R27" i="3"/>
  <c r="Q27" i="3"/>
  <c r="N27" i="3"/>
  <c r="M27" i="3"/>
  <c r="K27" i="3"/>
  <c r="J27" i="3"/>
  <c r="I27" i="3"/>
  <c r="D27" i="3"/>
  <c r="DW26" i="3"/>
  <c r="DV26" i="3"/>
  <c r="DU26" i="3"/>
  <c r="DT26" i="3"/>
  <c r="DS26" i="3"/>
  <c r="DR26" i="3"/>
  <c r="DQ26" i="3"/>
  <c r="DP26" i="3"/>
  <c r="DO26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U26" i="3"/>
  <c r="AP26" i="3"/>
  <c r="AO26" i="3"/>
  <c r="AN26" i="3"/>
  <c r="AJ26" i="3"/>
  <c r="AI26" i="3"/>
  <c r="Z26" i="3"/>
  <c r="Y26" i="3"/>
  <c r="X26" i="3"/>
  <c r="W26" i="3"/>
  <c r="U26" i="3"/>
  <c r="T26" i="3"/>
  <c r="R26" i="3"/>
  <c r="Q26" i="3"/>
  <c r="M26" i="3"/>
  <c r="K26" i="3"/>
  <c r="J26" i="3"/>
  <c r="I26" i="3"/>
  <c r="D26" i="3"/>
  <c r="DW22" i="3"/>
  <c r="DV22" i="3"/>
  <c r="DU22" i="3"/>
  <c r="DT22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X22" i="3"/>
  <c r="AW22" i="3"/>
  <c r="AU22" i="3"/>
  <c r="AT22" i="3"/>
  <c r="AP22" i="3"/>
  <c r="AO22" i="3"/>
  <c r="AN22" i="3"/>
  <c r="AJ22" i="3"/>
  <c r="AI22" i="3"/>
  <c r="AH22" i="3"/>
  <c r="Y22" i="3"/>
  <c r="W22" i="3"/>
  <c r="V22" i="3"/>
  <c r="U22" i="3"/>
  <c r="T22" i="3"/>
  <c r="R22" i="3"/>
  <c r="Q22" i="3"/>
  <c r="N22" i="3"/>
  <c r="M22" i="3"/>
  <c r="K22" i="3"/>
  <c r="J22" i="3"/>
  <c r="I22" i="3"/>
  <c r="D22" i="3"/>
  <c r="DW24" i="3"/>
  <c r="DV24" i="3"/>
  <c r="DU24" i="3"/>
  <c r="DT24" i="3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U24" i="3"/>
  <c r="T24" i="3"/>
  <c r="R24" i="3"/>
  <c r="Q24" i="3"/>
  <c r="M24" i="3"/>
  <c r="K24" i="3"/>
  <c r="J24" i="3"/>
  <c r="I24" i="3"/>
  <c r="D24" i="3"/>
  <c r="DW21" i="3"/>
  <c r="DV21" i="3"/>
  <c r="DU21" i="3"/>
  <c r="DT21" i="3"/>
  <c r="DS21" i="3"/>
  <c r="DR21" i="3"/>
  <c r="DQ21" i="3"/>
  <c r="DP21" i="3"/>
  <c r="DO21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U21" i="3"/>
  <c r="T21" i="3"/>
  <c r="R21" i="3"/>
  <c r="Q21" i="3"/>
  <c r="M21" i="3"/>
  <c r="K21" i="3"/>
  <c r="J21" i="3"/>
  <c r="I21" i="3"/>
  <c r="D21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U23" i="3"/>
  <c r="T23" i="3"/>
  <c r="R23" i="3"/>
  <c r="Q23" i="3"/>
  <c r="M23" i="3"/>
  <c r="K23" i="3"/>
  <c r="J23" i="3"/>
  <c r="I23" i="3"/>
  <c r="D23" i="3"/>
  <c r="DW20" i="3"/>
  <c r="DV20" i="3"/>
  <c r="DU20" i="3"/>
  <c r="DT20" i="3"/>
  <c r="DS20" i="3"/>
  <c r="DR20" i="3"/>
  <c r="DQ20" i="3"/>
  <c r="DP20" i="3"/>
  <c r="DO20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I20" i="3"/>
  <c r="AH20" i="3"/>
  <c r="AT20" i="3" s="1"/>
  <c r="AG20" i="3"/>
  <c r="Y20" i="3"/>
  <c r="X20" i="3"/>
  <c r="W20" i="3"/>
  <c r="V20" i="3"/>
  <c r="U20" i="3"/>
  <c r="AY20" i="3" s="1"/>
  <c r="T20" i="3"/>
  <c r="R20" i="3"/>
  <c r="Q20" i="3"/>
  <c r="N20" i="3"/>
  <c r="M20" i="3"/>
  <c r="K20" i="3"/>
  <c r="J20" i="3"/>
  <c r="I20" i="3"/>
  <c r="D20" i="3"/>
  <c r="DW19" i="3"/>
  <c r="DV19" i="3"/>
  <c r="DU19" i="3"/>
  <c r="DT19" i="3"/>
  <c r="DS19" i="3"/>
  <c r="DR19" i="3"/>
  <c r="DQ19" i="3"/>
  <c r="DP19" i="3"/>
  <c r="DO19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D19" i="3"/>
  <c r="AC19" i="3"/>
  <c r="Z19" i="3"/>
  <c r="Y19" i="3"/>
  <c r="X19" i="3"/>
  <c r="W19" i="3"/>
  <c r="V19" i="3"/>
  <c r="U19" i="3"/>
  <c r="AY19" i="3" s="1"/>
  <c r="T19" i="3"/>
  <c r="R19" i="3"/>
  <c r="Q19" i="3"/>
  <c r="M19" i="3"/>
  <c r="K19" i="3"/>
  <c r="J19" i="3"/>
  <c r="I19" i="3"/>
  <c r="D19" i="3"/>
  <c r="DW18" i="3"/>
  <c r="DV18" i="3"/>
  <c r="DU18" i="3"/>
  <c r="DT18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I18" i="3"/>
  <c r="AH18" i="3"/>
  <c r="AT18" i="3" s="1"/>
  <c r="AC18" i="3"/>
  <c r="U18" i="3"/>
  <c r="AY18" i="3" s="1"/>
  <c r="T18" i="3"/>
  <c r="R18" i="3"/>
  <c r="Q18" i="3"/>
  <c r="N18" i="3"/>
  <c r="M18" i="3"/>
  <c r="K18" i="3"/>
  <c r="J18" i="3"/>
  <c r="I18" i="3"/>
  <c r="D18" i="3"/>
  <c r="DW17" i="3"/>
  <c r="DV17" i="3"/>
  <c r="DU17" i="3"/>
  <c r="DT17" i="3"/>
  <c r="DS17" i="3"/>
  <c r="DR17" i="3"/>
  <c r="DQ17" i="3"/>
  <c r="DP17" i="3"/>
  <c r="DO17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V17" i="3"/>
  <c r="AT17" i="3"/>
  <c r="AK17" i="3"/>
  <c r="AJ17" i="3"/>
  <c r="AI17" i="3"/>
  <c r="AH17" i="3"/>
  <c r="AD17" i="3"/>
  <c r="U17" i="3"/>
  <c r="T17" i="3"/>
  <c r="R17" i="3"/>
  <c r="Q17" i="3"/>
  <c r="N17" i="3"/>
  <c r="M17" i="3"/>
  <c r="K17" i="3"/>
  <c r="J17" i="3"/>
  <c r="I17" i="3"/>
  <c r="D17" i="3"/>
  <c r="DW16" i="3"/>
  <c r="DV16" i="3"/>
  <c r="DU16" i="3"/>
  <c r="DT16" i="3"/>
  <c r="DS16" i="3"/>
  <c r="DR16" i="3"/>
  <c r="DQ16" i="3"/>
  <c r="DP16" i="3"/>
  <c r="DO16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Q16" i="3"/>
  <c r="AO16" i="3"/>
  <c r="AN16" i="3"/>
  <c r="AK16" i="3"/>
  <c r="AH16" i="3"/>
  <c r="AT16" i="3" s="1"/>
  <c r="AD16" i="3"/>
  <c r="AC16" i="3"/>
  <c r="AB16" i="3"/>
  <c r="AA16" i="3"/>
  <c r="Z16" i="3"/>
  <c r="Y16" i="3"/>
  <c r="X16" i="3"/>
  <c r="W16" i="3"/>
  <c r="U16" i="3"/>
  <c r="AY16" i="3" s="1"/>
  <c r="T16" i="3"/>
  <c r="R16" i="3"/>
  <c r="Q16" i="3"/>
  <c r="M16" i="3"/>
  <c r="K16" i="3"/>
  <c r="J16" i="3"/>
  <c r="I16" i="3"/>
  <c r="D16" i="3"/>
  <c r="DW15" i="3"/>
  <c r="DV15" i="3"/>
  <c r="DU15" i="3"/>
  <c r="DT15" i="3"/>
  <c r="DS15" i="3"/>
  <c r="DR15" i="3"/>
  <c r="DQ15" i="3"/>
  <c r="DP15" i="3"/>
  <c r="DO15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O15" i="3"/>
  <c r="AN15" i="3"/>
  <c r="AD15" i="3"/>
  <c r="AC15" i="3"/>
  <c r="Z15" i="3"/>
  <c r="V15" i="3"/>
  <c r="U15" i="3"/>
  <c r="AY15" i="3" s="1"/>
  <c r="T15" i="3"/>
  <c r="R15" i="3"/>
  <c r="Q15" i="3"/>
  <c r="N15" i="3"/>
  <c r="M15" i="3"/>
  <c r="K15" i="3"/>
  <c r="J15" i="3"/>
  <c r="I15" i="3"/>
  <c r="D15" i="3"/>
  <c r="DW13" i="3"/>
  <c r="DV13" i="3"/>
  <c r="DU13" i="3"/>
  <c r="DT13" i="3"/>
  <c r="DS13" i="3"/>
  <c r="DR13" i="3"/>
  <c r="DQ13" i="3"/>
  <c r="DP13" i="3"/>
  <c r="DO13" i="3"/>
  <c r="DN13" i="3"/>
  <c r="DM13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U13" i="3"/>
  <c r="T13" i="3"/>
  <c r="R13" i="3"/>
  <c r="Q13" i="3"/>
  <c r="M13" i="3"/>
  <c r="K13" i="3"/>
  <c r="J13" i="3"/>
  <c r="I13" i="3"/>
  <c r="D13" i="3"/>
  <c r="DW14" i="3"/>
  <c r="DV14" i="3"/>
  <c r="DU14" i="3"/>
  <c r="DT14" i="3"/>
  <c r="DS14" i="3"/>
  <c r="DR14" i="3"/>
  <c r="DQ14" i="3"/>
  <c r="DP14" i="3"/>
  <c r="DO14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O14" i="3"/>
  <c r="AE14" i="3"/>
  <c r="AD14" i="3"/>
  <c r="AC14" i="3"/>
  <c r="Z14" i="3"/>
  <c r="Y14" i="3"/>
  <c r="X14" i="3"/>
  <c r="U14" i="3"/>
  <c r="AY14" i="3" s="1"/>
  <c r="T14" i="3"/>
  <c r="R14" i="3"/>
  <c r="Q14" i="3"/>
  <c r="M14" i="3"/>
  <c r="K14" i="3"/>
  <c r="J14" i="3"/>
  <c r="I14" i="3"/>
  <c r="D14" i="3"/>
  <c r="DW12" i="3"/>
  <c r="DV12" i="3"/>
  <c r="DU12" i="3"/>
  <c r="DT12" i="3"/>
  <c r="DS12" i="3"/>
  <c r="DR12" i="3"/>
  <c r="DQ12" i="3"/>
  <c r="DP12" i="3"/>
  <c r="DO12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I12" i="3"/>
  <c r="AH12" i="3"/>
  <c r="AT12" i="3" s="1"/>
  <c r="AD12" i="3"/>
  <c r="AC12" i="3"/>
  <c r="U12" i="3"/>
  <c r="AY12" i="3" s="1"/>
  <c r="T12" i="3"/>
  <c r="R12" i="3"/>
  <c r="Q12" i="3"/>
  <c r="N12" i="3"/>
  <c r="M12" i="3"/>
  <c r="K12" i="3"/>
  <c r="J12" i="3"/>
  <c r="I12" i="3"/>
  <c r="D12" i="3"/>
  <c r="DW11" i="3"/>
  <c r="DV11" i="3"/>
  <c r="DU11" i="3"/>
  <c r="DT11" i="3"/>
  <c r="DS11" i="3"/>
  <c r="DR11" i="3"/>
  <c r="DQ11" i="3"/>
  <c r="DP11" i="3"/>
  <c r="DO11" i="3"/>
  <c r="DN11" i="3"/>
  <c r="DM11" i="3"/>
  <c r="DL11" i="3"/>
  <c r="DK11" i="3"/>
  <c r="DJ11" i="3"/>
  <c r="DI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K11" i="3"/>
  <c r="AI11" i="3"/>
  <c r="AH11" i="3"/>
  <c r="AT11" i="3" s="1"/>
  <c r="AE11" i="3"/>
  <c r="AD11" i="3"/>
  <c r="AC11" i="3"/>
  <c r="X11" i="3"/>
  <c r="W11" i="3"/>
  <c r="U11" i="3"/>
  <c r="AY11" i="3" s="1"/>
  <c r="T11" i="3"/>
  <c r="R11" i="3"/>
  <c r="Q11" i="3"/>
  <c r="N11" i="3"/>
  <c r="M11" i="3"/>
  <c r="K11" i="3"/>
  <c r="J11" i="3"/>
  <c r="I11" i="3"/>
  <c r="D11" i="3"/>
  <c r="DW10" i="3"/>
  <c r="DV10" i="3"/>
  <c r="DU10" i="3"/>
  <c r="DT10" i="3"/>
  <c r="DS10" i="3"/>
  <c r="DR10" i="3"/>
  <c r="DQ10" i="3"/>
  <c r="DP10" i="3"/>
  <c r="DO10" i="3"/>
  <c r="DN10" i="3"/>
  <c r="DM10" i="3"/>
  <c r="DL10" i="3"/>
  <c r="DK10" i="3"/>
  <c r="DJ10" i="3"/>
  <c r="DI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I10" i="3"/>
  <c r="AD10" i="3"/>
  <c r="AC10" i="3"/>
  <c r="W10" i="3"/>
  <c r="V10" i="3"/>
  <c r="U10" i="3"/>
  <c r="AY10" i="3" s="1"/>
  <c r="T10" i="3"/>
  <c r="R10" i="3"/>
  <c r="Q10" i="3"/>
  <c r="N10" i="3"/>
  <c r="M10" i="3"/>
  <c r="K10" i="3"/>
  <c r="J10" i="3"/>
  <c r="I10" i="3"/>
  <c r="D10" i="3"/>
  <c r="DW9" i="3"/>
  <c r="DV9" i="3"/>
  <c r="DU9" i="3"/>
  <c r="DT9" i="3"/>
  <c r="DS9" i="3"/>
  <c r="DR9" i="3"/>
  <c r="DQ9" i="3"/>
  <c r="DP9" i="3"/>
  <c r="DO9" i="3"/>
  <c r="DN9" i="3"/>
  <c r="DM9" i="3"/>
  <c r="DL9" i="3"/>
  <c r="DK9" i="3"/>
  <c r="DJ9" i="3"/>
  <c r="DI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V9" i="3"/>
  <c r="AU9" i="3"/>
  <c r="AT9" i="3"/>
  <c r="AN9" i="3"/>
  <c r="AK9" i="3"/>
  <c r="AJ9" i="3"/>
  <c r="AI9" i="3"/>
  <c r="AF9" i="3"/>
  <c r="AE9" i="3"/>
  <c r="AD9" i="3"/>
  <c r="AC9" i="3"/>
  <c r="Z9" i="3"/>
  <c r="W9" i="3"/>
  <c r="U9" i="3"/>
  <c r="T9" i="3"/>
  <c r="R9" i="3"/>
  <c r="Q9" i="3"/>
  <c r="N9" i="3"/>
  <c r="M9" i="3"/>
  <c r="K9" i="3"/>
  <c r="J9" i="3"/>
  <c r="I9" i="3"/>
  <c r="D9" i="3"/>
  <c r="DW8" i="3"/>
  <c r="DV8" i="3"/>
  <c r="DU8" i="3"/>
  <c r="DT8" i="3"/>
  <c r="DS8" i="3"/>
  <c r="DR8" i="3"/>
  <c r="DQ8" i="3"/>
  <c r="DP8" i="3"/>
  <c r="DO8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D8" i="3"/>
  <c r="AC8" i="3"/>
  <c r="Z8" i="3"/>
  <c r="Y8" i="3"/>
  <c r="W8" i="3"/>
  <c r="V8" i="3"/>
  <c r="U8" i="3"/>
  <c r="T8" i="3"/>
  <c r="R8" i="3"/>
  <c r="Q8" i="3"/>
  <c r="M8" i="3"/>
  <c r="K8" i="3"/>
  <c r="J8" i="3"/>
  <c r="I8" i="3"/>
  <c r="D8" i="3"/>
  <c r="DW7" i="3"/>
  <c r="DV7" i="3"/>
  <c r="DU7" i="3"/>
  <c r="DT7" i="3"/>
  <c r="DS7" i="3"/>
  <c r="DR7" i="3"/>
  <c r="DQ7" i="3"/>
  <c r="DP7" i="3"/>
  <c r="DO7" i="3"/>
  <c r="DN7" i="3"/>
  <c r="DM7" i="3"/>
  <c r="DL7" i="3"/>
  <c r="DK7" i="3"/>
  <c r="DJ7" i="3"/>
  <c r="DI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I7" i="3"/>
  <c r="AH7" i="3"/>
  <c r="AT7" i="3" s="1"/>
  <c r="AG7" i="3"/>
  <c r="Z7" i="3"/>
  <c r="Y7" i="3"/>
  <c r="X7" i="3"/>
  <c r="W7" i="3"/>
  <c r="V7" i="3"/>
  <c r="U7" i="3"/>
  <c r="AY7" i="3" s="1"/>
  <c r="T7" i="3"/>
  <c r="R7" i="3"/>
  <c r="Q7" i="3"/>
  <c r="N7" i="3"/>
  <c r="M7" i="3"/>
  <c r="K7" i="3"/>
  <c r="J7" i="3"/>
  <c r="I7" i="3"/>
  <c r="D7" i="3"/>
  <c r="DW6" i="3"/>
  <c r="DV6" i="3"/>
  <c r="DU6" i="3"/>
  <c r="DT6" i="3"/>
  <c r="DS6" i="3"/>
  <c r="DR6" i="3"/>
  <c r="DQ6" i="3"/>
  <c r="DP6" i="3"/>
  <c r="DO6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F6" i="3"/>
  <c r="BE6" i="3"/>
  <c r="BD6" i="3"/>
  <c r="BC6" i="3"/>
  <c r="BB6" i="3"/>
  <c r="BA6" i="3"/>
  <c r="AZ6" i="3"/>
  <c r="U6" i="3"/>
  <c r="T6" i="3"/>
  <c r="R6" i="3"/>
  <c r="Q6" i="3"/>
  <c r="M6" i="3"/>
  <c r="K6" i="3"/>
  <c r="J6" i="3"/>
  <c r="I6" i="3"/>
  <c r="D6" i="3"/>
  <c r="DW4" i="3"/>
  <c r="DV4" i="3"/>
  <c r="DU4" i="3"/>
  <c r="DT4" i="3"/>
  <c r="DS4" i="3"/>
  <c r="DR4" i="3"/>
  <c r="DQ4" i="3"/>
  <c r="DP4" i="3"/>
  <c r="DO4" i="3"/>
  <c r="DN4" i="3"/>
  <c r="DM4" i="3"/>
  <c r="DL4" i="3"/>
  <c r="DK4" i="3"/>
  <c r="DJ4" i="3"/>
  <c r="DI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V4" i="3"/>
  <c r="AK4" i="3"/>
  <c r="AJ4" i="3"/>
  <c r="AI4" i="3"/>
  <c r="AH4" i="3"/>
  <c r="Y4" i="3"/>
  <c r="U4" i="3"/>
  <c r="T4" i="3"/>
  <c r="R4" i="3"/>
  <c r="Q4" i="3"/>
  <c r="N4" i="3"/>
  <c r="M4" i="3"/>
  <c r="K4" i="3"/>
  <c r="J4" i="3"/>
  <c r="I4" i="3"/>
  <c r="D4" i="3"/>
  <c r="DW3" i="3"/>
  <c r="DV3" i="3"/>
  <c r="DU3" i="3"/>
  <c r="DT3" i="3"/>
  <c r="DS3" i="3"/>
  <c r="DR3" i="3"/>
  <c r="DQ3" i="3"/>
  <c r="DP3" i="3"/>
  <c r="DO3" i="3"/>
  <c r="DN3" i="3"/>
  <c r="DM3" i="3"/>
  <c r="DL3" i="3"/>
  <c r="DK3" i="3"/>
  <c r="DJ3" i="3"/>
  <c r="DI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H3" i="3"/>
  <c r="AT3" i="3" s="1"/>
  <c r="AF3" i="3"/>
  <c r="AE3" i="3"/>
  <c r="AD3" i="3"/>
  <c r="Y3" i="3"/>
  <c r="V3" i="3"/>
  <c r="U3" i="3"/>
  <c r="T3" i="3"/>
  <c r="R3" i="3"/>
  <c r="Q3" i="3"/>
  <c r="N3" i="3"/>
  <c r="M3" i="3"/>
  <c r="K3" i="3"/>
  <c r="J3" i="3"/>
  <c r="I3" i="3"/>
  <c r="D3" i="3"/>
  <c r="G94" i="2"/>
  <c r="A94" i="2"/>
  <c r="G93" i="2"/>
  <c r="A93" i="2"/>
  <c r="G92" i="2"/>
  <c r="A92" i="2"/>
  <c r="G91" i="2"/>
  <c r="A91" i="2"/>
  <c r="G90" i="2"/>
  <c r="A90" i="2"/>
  <c r="G89" i="2"/>
  <c r="A89" i="2"/>
  <c r="G88" i="2"/>
  <c r="A88" i="2"/>
  <c r="G87" i="2"/>
  <c r="A87" i="2"/>
  <c r="G86" i="2"/>
  <c r="A86" i="2"/>
  <c r="G85" i="2"/>
  <c r="A85" i="2"/>
  <c r="G84" i="2"/>
  <c r="A84" i="2"/>
  <c r="G83" i="2"/>
  <c r="A83" i="2"/>
  <c r="G82" i="2"/>
  <c r="A82" i="2"/>
  <c r="G81" i="2"/>
  <c r="A81" i="2"/>
  <c r="G80" i="2"/>
  <c r="A80" i="2"/>
  <c r="G79" i="2"/>
  <c r="A79" i="2"/>
  <c r="G78" i="2"/>
  <c r="A78" i="2"/>
  <c r="G77" i="2"/>
  <c r="A77" i="2"/>
  <c r="G76" i="2"/>
  <c r="A76" i="2"/>
  <c r="G75" i="2"/>
  <c r="A75" i="2"/>
  <c r="G74" i="2"/>
  <c r="A74" i="2"/>
  <c r="G73" i="2"/>
  <c r="A73" i="2"/>
  <c r="G72" i="2"/>
  <c r="A72" i="2"/>
  <c r="G71" i="2"/>
  <c r="A71" i="2"/>
  <c r="G70" i="2"/>
  <c r="A70" i="2"/>
  <c r="G69" i="2"/>
  <c r="A69" i="2"/>
  <c r="G68" i="2"/>
  <c r="A68" i="2"/>
  <c r="G67" i="2"/>
  <c r="A67" i="2"/>
  <c r="G66" i="2"/>
  <c r="A66" i="2"/>
  <c r="G65" i="2"/>
  <c r="A65" i="2"/>
  <c r="G64" i="2"/>
  <c r="A64" i="2"/>
  <c r="G63" i="2"/>
  <c r="A63" i="2"/>
  <c r="G62" i="2"/>
  <c r="A62" i="2"/>
  <c r="G61" i="2"/>
  <c r="A61" i="2"/>
  <c r="G60" i="2"/>
  <c r="A60" i="2"/>
  <c r="H59" i="2"/>
  <c r="G59" i="2"/>
  <c r="D59" i="2"/>
  <c r="A59" i="2"/>
  <c r="G58" i="2"/>
  <c r="A58" i="2"/>
  <c r="G57" i="2"/>
  <c r="A57" i="2"/>
  <c r="G56" i="2"/>
  <c r="A56" i="2"/>
  <c r="G55" i="2"/>
  <c r="A55" i="2"/>
  <c r="G54" i="2"/>
  <c r="A54" i="2"/>
  <c r="G53" i="2"/>
  <c r="A53" i="2"/>
  <c r="G52" i="2"/>
  <c r="A52" i="2"/>
  <c r="G51" i="2"/>
  <c r="A51" i="2"/>
  <c r="G50" i="2"/>
  <c r="A50" i="2"/>
  <c r="G49" i="2"/>
  <c r="A49" i="2"/>
  <c r="G48" i="2"/>
  <c r="A48" i="2"/>
  <c r="G47" i="2"/>
  <c r="A47" i="2"/>
  <c r="G46" i="2"/>
  <c r="A46" i="2"/>
  <c r="G45" i="2"/>
  <c r="A45" i="2"/>
  <c r="G44" i="2"/>
  <c r="A44" i="2"/>
  <c r="G43" i="2"/>
  <c r="A43" i="2"/>
  <c r="G42" i="2"/>
  <c r="A42" i="2"/>
  <c r="G41" i="2"/>
  <c r="A41" i="2"/>
  <c r="G40" i="2"/>
  <c r="A40" i="2"/>
  <c r="G39" i="2"/>
  <c r="A39" i="2"/>
  <c r="G38" i="2"/>
  <c r="A38" i="2"/>
  <c r="G37" i="2"/>
  <c r="A37" i="2"/>
  <c r="G36" i="2"/>
  <c r="A36" i="2"/>
  <c r="G35" i="2"/>
  <c r="A35" i="2"/>
  <c r="G34" i="2"/>
  <c r="A34" i="2"/>
  <c r="G33" i="2"/>
  <c r="A33" i="2"/>
  <c r="G32" i="2"/>
  <c r="A32" i="2"/>
  <c r="G31" i="2"/>
  <c r="A31" i="2"/>
  <c r="G30" i="2"/>
  <c r="A30" i="2"/>
  <c r="G29" i="2"/>
  <c r="A29" i="2"/>
  <c r="G28" i="2"/>
  <c r="A28" i="2"/>
  <c r="G27" i="2"/>
  <c r="A27" i="2"/>
  <c r="G26" i="2"/>
  <c r="A26" i="2"/>
  <c r="G25" i="2"/>
  <c r="A25" i="2"/>
  <c r="G24" i="2"/>
  <c r="A24" i="2"/>
  <c r="G23" i="2"/>
  <c r="A23" i="2"/>
  <c r="G22" i="2"/>
  <c r="A22" i="2"/>
  <c r="G21" i="2"/>
  <c r="A21" i="2"/>
  <c r="G20" i="2"/>
  <c r="A20" i="2"/>
  <c r="G19" i="2"/>
  <c r="A19" i="2"/>
  <c r="G18" i="2"/>
  <c r="A18" i="2"/>
  <c r="G17" i="2"/>
  <c r="A17" i="2"/>
  <c r="G16" i="2"/>
  <c r="A16" i="2"/>
  <c r="G15" i="2"/>
  <c r="A15" i="2"/>
  <c r="G14" i="2"/>
  <c r="A14" i="2"/>
  <c r="G13" i="2"/>
  <c r="A13" i="2"/>
  <c r="G12" i="2"/>
  <c r="A12" i="2"/>
  <c r="G11" i="2"/>
  <c r="A11" i="2"/>
  <c r="G10" i="2"/>
  <c r="A10" i="2"/>
  <c r="G9" i="2"/>
  <c r="A9" i="2"/>
  <c r="G8" i="2"/>
  <c r="A8" i="2"/>
  <c r="G7" i="2"/>
  <c r="A7" i="2"/>
  <c r="G6" i="2"/>
  <c r="A6" i="2"/>
  <c r="G5" i="2"/>
  <c r="A5" i="2"/>
  <c r="G4" i="2"/>
  <c r="A4" i="2"/>
  <c r="G3" i="2"/>
  <c r="A3" i="2"/>
  <c r="G2" i="2"/>
  <c r="A2" i="2"/>
  <c r="AH171" i="3" l="1"/>
  <c r="CZ216" i="3"/>
  <c r="X29" i="3"/>
  <c r="Z277" i="3"/>
  <c r="N41" i="3"/>
  <c r="Y283" i="3"/>
  <c r="AY277" i="3"/>
  <c r="AH277" i="3"/>
  <c r="AT300" i="3"/>
  <c r="AD277" i="3"/>
  <c r="N277" i="3"/>
  <c r="L277" i="3"/>
  <c r="W277" i="3"/>
  <c r="AC283" i="3"/>
  <c r="AI277" i="3"/>
  <c r="V300" i="3"/>
  <c r="CH41" i="3"/>
  <c r="CH60" i="3"/>
  <c r="CW260" i="3"/>
  <c r="CW246" i="3"/>
  <c r="CP128" i="3"/>
  <c r="BQ137" i="3"/>
  <c r="BQ128" i="3"/>
  <c r="DH119" i="3"/>
  <c r="DH67" i="3"/>
  <c r="CF41" i="3"/>
  <c r="CF60" i="3"/>
  <c r="CA137" i="3"/>
  <c r="CA128" i="3"/>
  <c r="CW119" i="3"/>
  <c r="CW67" i="3"/>
  <c r="CU260" i="3"/>
  <c r="CU246" i="3"/>
  <c r="CP41" i="3"/>
  <c r="CP60" i="3"/>
  <c r="CU119" i="3"/>
  <c r="CU67" i="3"/>
  <c r="CS41" i="3"/>
  <c r="CS60" i="3"/>
  <c r="CP119" i="3"/>
  <c r="CP67" i="3"/>
  <c r="CU41" i="3"/>
  <c r="CU60" i="3"/>
  <c r="W41" i="3"/>
  <c r="CW41" i="3"/>
  <c r="CW60" i="3"/>
  <c r="CH119" i="3"/>
  <c r="CH67" i="3"/>
  <c r="CF119" i="3"/>
  <c r="CF67" i="3"/>
  <c r="CF128" i="3"/>
  <c r="DH41" i="3"/>
  <c r="DH60" i="3"/>
  <c r="DH260" i="3"/>
  <c r="DH246" i="3"/>
  <c r="W60" i="3"/>
  <c r="N67" i="3"/>
  <c r="Z41" i="3"/>
  <c r="AD41" i="3"/>
  <c r="CK246" i="3"/>
  <c r="AY246" i="3"/>
  <c r="AH41" i="3"/>
  <c r="AI246" i="3"/>
  <c r="AC277" i="3"/>
  <c r="Y277" i="3"/>
  <c r="AI60" i="3"/>
  <c r="N246" i="3"/>
  <c r="N265" i="3"/>
  <c r="AC25" i="3"/>
  <c r="AE25" i="3"/>
  <c r="W67" i="3"/>
  <c r="V260" i="3"/>
  <c r="L41" i="3"/>
  <c r="V41" i="3"/>
  <c r="V265" i="3"/>
  <c r="CK265" i="3"/>
  <c r="AI41" i="3"/>
  <c r="X270" i="3"/>
  <c r="W265" i="3"/>
  <c r="AD265" i="3"/>
  <c r="CZ41" i="3"/>
  <c r="CZ60" i="3"/>
  <c r="AY41" i="3"/>
  <c r="AY60" i="3"/>
  <c r="AC327" i="3"/>
  <c r="X281" i="3"/>
  <c r="AD60" i="3"/>
  <c r="L60" i="3"/>
  <c r="V246" i="3"/>
  <c r="Z60" i="3"/>
  <c r="CK41" i="3"/>
  <c r="CK60" i="3"/>
  <c r="N60" i="3"/>
  <c r="X260" i="3"/>
  <c r="AJ260" i="3"/>
  <c r="AD216" i="3"/>
  <c r="AC281" i="3"/>
  <c r="AH67" i="3"/>
  <c r="AC270" i="3"/>
  <c r="Y281" i="3"/>
  <c r="W290" i="3"/>
  <c r="CK73" i="3"/>
  <c r="L191" i="3"/>
  <c r="AI73" i="3"/>
  <c r="AD252" i="3"/>
  <c r="V124" i="3"/>
  <c r="AC196" i="3"/>
  <c r="AI93" i="3"/>
  <c r="AY191" i="3"/>
  <c r="AY93" i="3"/>
  <c r="AC161" i="3"/>
  <c r="X300" i="3"/>
  <c r="AT281" i="3"/>
  <c r="Y137" i="3"/>
  <c r="C10" i="19"/>
  <c r="C5" i="19"/>
  <c r="A5" i="19" s="1"/>
  <c r="AC265" i="3"/>
  <c r="CK216" i="3"/>
  <c r="AH119" i="3"/>
  <c r="Z137" i="3"/>
  <c r="DE119" i="3"/>
  <c r="DE41" i="3"/>
  <c r="AC5" i="3"/>
  <c r="DE5" i="3"/>
  <c r="AD137" i="3"/>
  <c r="CZ171" i="3"/>
  <c r="DE260" i="3"/>
  <c r="L137" i="3"/>
  <c r="N137" i="3"/>
  <c r="W283" i="3"/>
  <c r="AD253" i="3"/>
  <c r="AD260" i="3"/>
  <c r="V283" i="3"/>
  <c r="Z253" i="3"/>
  <c r="Z260" i="3"/>
  <c r="W253" i="3"/>
  <c r="W260" i="3"/>
  <c r="AC253" i="3"/>
  <c r="AY119" i="3"/>
  <c r="AI137" i="3"/>
  <c r="CZ253" i="3"/>
  <c r="CZ260" i="3"/>
  <c r="AY137" i="3"/>
  <c r="Y290" i="3"/>
  <c r="V253" i="3"/>
  <c r="L198" i="3"/>
  <c r="AC204" i="3"/>
  <c r="AC216" i="3"/>
  <c r="V60" i="3"/>
  <c r="V128" i="3"/>
  <c r="N253" i="3"/>
  <c r="V67" i="3"/>
  <c r="L253" i="3"/>
  <c r="AY198" i="3"/>
  <c r="AE137" i="3"/>
  <c r="CK253" i="3"/>
  <c r="N198" i="3"/>
  <c r="V137" i="3"/>
  <c r="AY253" i="3"/>
  <c r="V216" i="3"/>
  <c r="AI253" i="3"/>
  <c r="W198" i="3"/>
  <c r="CZ246" i="3"/>
  <c r="AD294" i="3"/>
  <c r="V110" i="3"/>
  <c r="N110" i="3"/>
  <c r="W110" i="3"/>
  <c r="AY62" i="3"/>
  <c r="AI62" i="3"/>
  <c r="CK110" i="3"/>
  <c r="AD62" i="3"/>
  <c r="Y216" i="3"/>
  <c r="AC62" i="3"/>
  <c r="AY110" i="3"/>
  <c r="L62" i="3"/>
  <c r="W246" i="3"/>
  <c r="Z204" i="3"/>
  <c r="AC171" i="3"/>
  <c r="V241" i="3"/>
  <c r="CZ137" i="3"/>
  <c r="AI119" i="3"/>
  <c r="AH204" i="3"/>
  <c r="AI204" i="3"/>
  <c r="W241" i="3"/>
  <c r="AI67" i="3"/>
  <c r="AI241" i="3"/>
  <c r="CZ241" i="3"/>
  <c r="Z62" i="3"/>
  <c r="N241" i="3"/>
  <c r="V171" i="3"/>
  <c r="Y62" i="3"/>
  <c r="AY67" i="3"/>
  <c r="N128" i="3"/>
  <c r="CK128" i="3"/>
  <c r="AY241" i="3"/>
  <c r="AD67" i="3"/>
  <c r="W62" i="3"/>
  <c r="CK241" i="3"/>
  <c r="V62" i="3"/>
  <c r="CZ67" i="3"/>
  <c r="Z67" i="3"/>
  <c r="N62" i="3"/>
  <c r="L67" i="3"/>
  <c r="CK67" i="3"/>
  <c r="Y128" i="3"/>
  <c r="Z128" i="3"/>
  <c r="AD128" i="3"/>
  <c r="N171" i="3"/>
  <c r="CK119" i="3"/>
  <c r="CZ110" i="3"/>
  <c r="CZ117" i="3"/>
  <c r="N119" i="3"/>
  <c r="V119" i="3"/>
  <c r="L171" i="3"/>
  <c r="AY128" i="3"/>
  <c r="Z117" i="3"/>
  <c r="AI128" i="3"/>
  <c r="AI171" i="3"/>
  <c r="AD117" i="3"/>
  <c r="L216" i="3"/>
  <c r="L119" i="3"/>
  <c r="AT283" i="3"/>
  <c r="AD171" i="3"/>
  <c r="AI216" i="3"/>
  <c r="CZ294" i="3"/>
  <c r="Z216" i="3"/>
  <c r="AY171" i="3"/>
  <c r="W171" i="3"/>
  <c r="N294" i="3"/>
  <c r="AY294" i="3"/>
  <c r="Z171" i="3"/>
  <c r="AY216" i="3"/>
  <c r="V290" i="3"/>
  <c r="Y198" i="3"/>
  <c r="AH216" i="3"/>
  <c r="N216" i="3"/>
  <c r="W281" i="3"/>
  <c r="V117" i="3"/>
  <c r="L204" i="3"/>
  <c r="V294" i="3"/>
  <c r="AD119" i="3"/>
  <c r="AY204" i="3"/>
  <c r="W294" i="3"/>
  <c r="CK294" i="3"/>
  <c r="L294" i="3"/>
  <c r="AI117" i="3"/>
  <c r="Y265" i="3"/>
  <c r="AT270" i="3"/>
  <c r="AY117" i="3"/>
  <c r="Z119" i="3"/>
  <c r="CK117" i="3"/>
  <c r="N117" i="3"/>
  <c r="Y171" i="3"/>
  <c r="AT241" i="3"/>
  <c r="AI294" i="3"/>
  <c r="Z294" i="3"/>
  <c r="L110" i="3"/>
  <c r="AH253" i="3"/>
  <c r="AH60" i="3"/>
  <c r="X171" i="3"/>
  <c r="AC137" i="3"/>
  <c r="AT5" i="3"/>
  <c r="AH5" i="3"/>
  <c r="AH137" i="3"/>
  <c r="X62" i="3"/>
  <c r="AT198" i="3"/>
  <c r="AH198" i="3"/>
  <c r="X216" i="3"/>
  <c r="X283" i="3"/>
  <c r="AC110" i="3"/>
  <c r="AJ277" i="3"/>
  <c r="X277" i="3"/>
  <c r="Y300" i="3"/>
  <c r="AE283" i="3"/>
  <c r="L128" i="3"/>
  <c r="V277" i="3"/>
  <c r="AC128" i="3"/>
  <c r="AE290" i="3"/>
  <c r="AC290" i="3"/>
  <c r="X265" i="3"/>
  <c r="AC241" i="3"/>
  <c r="AE327" i="3"/>
  <c r="X198" i="3"/>
  <c r="AE270" i="3"/>
  <c r="AH246" i="3"/>
  <c r="V198" i="3"/>
  <c r="L117" i="3"/>
  <c r="AH62" i="3"/>
  <c r="X327" i="3"/>
  <c r="AJ327" i="3"/>
  <c r="Z246" i="3"/>
  <c r="Z198" i="3"/>
  <c r="W216" i="3"/>
  <c r="AC198" i="3"/>
  <c r="X204" i="3"/>
  <c r="AT204" i="3"/>
  <c r="AH117" i="3"/>
  <c r="AH110" i="3"/>
  <c r="AD246" i="3"/>
  <c r="AD198" i="3"/>
  <c r="AT290" i="3"/>
  <c r="AH290" i="3"/>
  <c r="AE281" i="3"/>
  <c r="AT25" i="3"/>
  <c r="AH25" i="3"/>
  <c r="L246" i="3"/>
  <c r="AH128" i="3"/>
  <c r="Y204" i="3"/>
  <c r="Y294" i="3"/>
  <c r="L23" i="3"/>
  <c r="AY124" i="3"/>
  <c r="BG124" i="3"/>
  <c r="X23" i="3"/>
  <c r="Y124" i="3"/>
  <c r="BV124" i="3"/>
  <c r="N24" i="3"/>
  <c r="W24" i="3"/>
  <c r="BG139" i="3"/>
  <c r="Q11" i="4"/>
  <c r="C11" i="4"/>
  <c r="J12" i="4"/>
  <c r="J10" i="4"/>
  <c r="C13" i="4"/>
  <c r="Q10" i="4"/>
  <c r="C10" i="4"/>
  <c r="J11" i="4"/>
  <c r="C6" i="4"/>
  <c r="Q13" i="4"/>
  <c r="C12" i="4"/>
  <c r="Q6" i="4"/>
  <c r="J6" i="4"/>
  <c r="Q7" i="4"/>
  <c r="J13" i="4"/>
  <c r="C7" i="4"/>
  <c r="J7" i="4"/>
  <c r="Q12" i="4"/>
  <c r="CK139" i="3"/>
  <c r="BV139" i="3"/>
  <c r="CK55" i="3"/>
  <c r="V203" i="3"/>
  <c r="Z237" i="3"/>
  <c r="CK203" i="3"/>
  <c r="AI191" i="3"/>
  <c r="CK199" i="3"/>
  <c r="BV203" i="3"/>
  <c r="DO199" i="3"/>
  <c r="X154" i="3"/>
  <c r="Y154" i="3"/>
  <c r="N55" i="3"/>
  <c r="V56" i="3"/>
  <c r="CZ6" i="3"/>
  <c r="V243" i="3"/>
  <c r="Z104" i="3"/>
  <c r="V199" i="3"/>
  <c r="AC24" i="3"/>
  <c r="AT97" i="3"/>
  <c r="AD104" i="3"/>
  <c r="L196" i="3"/>
  <c r="CZ93" i="3"/>
  <c r="AI97" i="3"/>
  <c r="N196" i="3"/>
  <c r="Y199" i="3"/>
  <c r="X191" i="3"/>
  <c r="V196" i="3"/>
  <c r="AI6" i="3"/>
  <c r="AY161" i="3"/>
  <c r="W201" i="3"/>
  <c r="AC199" i="3"/>
  <c r="BV243" i="3"/>
  <c r="BV6" i="3"/>
  <c r="AD73" i="3"/>
  <c r="AC72" i="3"/>
  <c r="Z29" i="3"/>
  <c r="N97" i="3"/>
  <c r="L124" i="3"/>
  <c r="Y201" i="3"/>
  <c r="AI203" i="3"/>
  <c r="CZ306" i="3"/>
  <c r="N56" i="3"/>
  <c r="X104" i="3"/>
  <c r="BV182" i="3"/>
  <c r="N73" i="3"/>
  <c r="Y104" i="3"/>
  <c r="W56" i="3"/>
  <c r="V237" i="3"/>
  <c r="W199" i="3"/>
  <c r="CK182" i="3"/>
  <c r="CK13" i="3"/>
  <c r="L24" i="3"/>
  <c r="CZ70" i="3"/>
  <c r="AD72" i="3"/>
  <c r="V97" i="3"/>
  <c r="N124" i="3"/>
  <c r="AY203" i="3"/>
  <c r="AY252" i="3"/>
  <c r="W267" i="3"/>
  <c r="L304" i="3"/>
  <c r="AN281" i="3"/>
  <c r="AK281" i="3"/>
  <c r="L58" i="3"/>
  <c r="C11" i="19"/>
  <c r="A11" i="19" s="1"/>
  <c r="C21" i="19"/>
  <c r="A21" i="19" s="1"/>
  <c r="AM102" i="3"/>
  <c r="AP327" i="3"/>
  <c r="L292" i="3"/>
  <c r="L190" i="3"/>
  <c r="L221" i="3"/>
  <c r="L107" i="3"/>
  <c r="L156" i="3"/>
  <c r="L73" i="3"/>
  <c r="CZ237" i="3"/>
  <c r="AI70" i="3"/>
  <c r="CZ73" i="3"/>
  <c r="W182" i="3"/>
  <c r="AY70" i="3"/>
  <c r="N201" i="3"/>
  <c r="BV237" i="3"/>
  <c r="Y237" i="3"/>
  <c r="W73" i="3"/>
  <c r="Z182" i="3"/>
  <c r="AC182" i="3"/>
  <c r="AD182" i="3"/>
  <c r="L215" i="3"/>
  <c r="L177" i="3"/>
  <c r="AE79" i="3"/>
  <c r="AC218" i="3"/>
  <c r="AH107" i="3"/>
  <c r="AT107" i="3" s="1"/>
  <c r="Y156" i="3"/>
  <c r="V152" i="3"/>
  <c r="AW183" i="3"/>
  <c r="AN183" i="3"/>
  <c r="AC32" i="3"/>
  <c r="AH235" i="3"/>
  <c r="AT235" i="3" s="1"/>
  <c r="AD26" i="3"/>
  <c r="X32" i="3"/>
  <c r="AV305" i="3"/>
  <c r="AK305" i="3"/>
  <c r="AB79" i="3"/>
  <c r="AH320" i="3"/>
  <c r="AT320" i="3" s="1"/>
  <c r="AH8" i="3"/>
  <c r="AT8" i="3" s="1"/>
  <c r="AH123" i="3"/>
  <c r="AT123" i="3" s="1"/>
  <c r="AH143" i="3"/>
  <c r="AT143" i="3" s="1"/>
  <c r="AX224" i="3"/>
  <c r="AO224" i="3"/>
  <c r="AV26" i="3"/>
  <c r="AK26" i="3"/>
  <c r="AA32" i="3"/>
  <c r="X101" i="3"/>
  <c r="AX123" i="3"/>
  <c r="AO123" i="3"/>
  <c r="AD236" i="3"/>
  <c r="AD324" i="3"/>
  <c r="AH324" i="3"/>
  <c r="AT324" i="3" s="1"/>
  <c r="AH311" i="3"/>
  <c r="AT311" i="3" s="1"/>
  <c r="AE48" i="3"/>
  <c r="AK183" i="3"/>
  <c r="AD183" i="3"/>
  <c r="AV236" i="3"/>
  <c r="AK236" i="3"/>
  <c r="Y305" i="3"/>
  <c r="AH109" i="3"/>
  <c r="AT109" i="3" s="1"/>
  <c r="AS48" i="3"/>
  <c r="AG48" i="3"/>
  <c r="AP79" i="3"/>
  <c r="W79" i="3"/>
  <c r="AE109" i="3"/>
  <c r="X79" i="3"/>
  <c r="L262" i="3"/>
  <c r="AH26" i="3"/>
  <c r="AT26" i="3" s="1"/>
  <c r="X218" i="3"/>
  <c r="AV235" i="3"/>
  <c r="AK235" i="3"/>
  <c r="AH183" i="3"/>
  <c r="AT183" i="3" s="1"/>
  <c r="V242" i="3"/>
  <c r="AP8" i="3"/>
  <c r="X37" i="3"/>
  <c r="V224" i="3"/>
  <c r="AG242" i="3"/>
  <c r="AD82" i="3"/>
  <c r="AV87" i="3"/>
  <c r="AK87" i="3"/>
  <c r="V143" i="3"/>
  <c r="AP218" i="3"/>
  <c r="AH224" i="3"/>
  <c r="AT224" i="3" s="1"/>
  <c r="W107" i="3"/>
  <c r="AD302" i="3"/>
  <c r="AO183" i="3"/>
  <c r="L148" i="3"/>
  <c r="AC305" i="3"/>
  <c r="AK324" i="3"/>
  <c r="AV324" i="3"/>
  <c r="AH302" i="3"/>
  <c r="AT302" i="3" s="1"/>
  <c r="AP236" i="3"/>
  <c r="V311" i="3"/>
  <c r="V79" i="3"/>
  <c r="AW87" i="3"/>
  <c r="AN87" i="3"/>
  <c r="L152" i="3"/>
  <c r="AC152" i="3"/>
  <c r="L109" i="3"/>
  <c r="AP324" i="3"/>
  <c r="AC3" i="3"/>
  <c r="AP305" i="3"/>
  <c r="AE152" i="3"/>
  <c r="V235" i="3"/>
  <c r="AV77" i="3"/>
  <c r="AK77" i="3"/>
  <c r="AF136" i="3"/>
  <c r="AP27" i="3"/>
  <c r="X27" i="3"/>
  <c r="AE158" i="3"/>
  <c r="AC190" i="3"/>
  <c r="AW205" i="3"/>
  <c r="AN205" i="3"/>
  <c r="AE210" i="3"/>
  <c r="AC86" i="3"/>
  <c r="AP168" i="3"/>
  <c r="W27" i="3"/>
  <c r="AW77" i="3"/>
  <c r="AN77" i="3"/>
  <c r="AE142" i="3"/>
  <c r="AV195" i="3"/>
  <c r="AK195" i="3"/>
  <c r="AC140" i="3"/>
  <c r="AC165" i="3"/>
  <c r="L295" i="3"/>
  <c r="AC173" i="3"/>
  <c r="AX228" i="3"/>
  <c r="AO228" i="3"/>
  <c r="W272" i="3"/>
  <c r="X168" i="3"/>
  <c r="AH238" i="3"/>
  <c r="AT238" i="3" s="1"/>
  <c r="AD250" i="3"/>
  <c r="AH250" i="3"/>
  <c r="AT250" i="3" s="1"/>
  <c r="AP98" i="3"/>
  <c r="AV238" i="3"/>
  <c r="AK238" i="3"/>
  <c r="AJ142" i="3"/>
  <c r="AH71" i="3"/>
  <c r="AT71" i="3" s="1"/>
  <c r="AH77" i="3"/>
  <c r="AT77" i="3" s="1"/>
  <c r="AC297" i="3"/>
  <c r="AH136" i="3"/>
  <c r="AT136" i="3" s="1"/>
  <c r="AA173" i="3"/>
  <c r="AP184" i="3"/>
  <c r="X184" i="3"/>
  <c r="AD136" i="3"/>
  <c r="AP225" i="3"/>
  <c r="X225" i="3"/>
  <c r="X228" i="3"/>
  <c r="AE71" i="3"/>
  <c r="X165" i="3"/>
  <c r="AC205" i="3"/>
  <c r="AP319" i="3"/>
  <c r="X319" i="3"/>
  <c r="AX77" i="3"/>
  <c r="AO77" i="3"/>
  <c r="AH140" i="3"/>
  <c r="AT140" i="3" s="1"/>
  <c r="AV142" i="3"/>
  <c r="AK142" i="3"/>
  <c r="AH158" i="3"/>
  <c r="AT158" i="3" s="1"/>
  <c r="AX205" i="3"/>
  <c r="AO205" i="3"/>
  <c r="AH292" i="3"/>
  <c r="AT292" i="3" s="1"/>
  <c r="AA77" i="3"/>
  <c r="AH98" i="3"/>
  <c r="AT98" i="3" s="1"/>
  <c r="AP129" i="3"/>
  <c r="X129" i="3"/>
  <c r="AH168" i="3"/>
  <c r="AT168" i="3" s="1"/>
  <c r="AV140" i="3"/>
  <c r="AK140" i="3"/>
  <c r="AH173" i="3"/>
  <c r="AT173" i="3" s="1"/>
  <c r="V77" i="3"/>
  <c r="X177" i="3"/>
  <c r="AC225" i="3"/>
  <c r="V16" i="3"/>
  <c r="AP16" i="3"/>
  <c r="AP269" i="3"/>
  <c r="AU173" i="3"/>
  <c r="AJ173" i="3"/>
  <c r="AV322" i="3"/>
  <c r="AK322" i="3"/>
  <c r="AE225" i="3"/>
  <c r="AU16" i="3"/>
  <c r="X250" i="3"/>
  <c r="AP250" i="3"/>
  <c r="AW322" i="3"/>
  <c r="AN322" i="3"/>
  <c r="AJ86" i="3"/>
  <c r="AF225" i="3"/>
  <c r="V292" i="3"/>
  <c r="X295" i="3"/>
  <c r="AV297" i="3"/>
  <c r="AK297" i="3"/>
  <c r="V322" i="3"/>
  <c r="AX322" i="3"/>
  <c r="AO322" i="3"/>
  <c r="L142" i="3"/>
  <c r="AG173" i="3"/>
  <c r="AH210" i="3"/>
  <c r="AT210" i="3" s="1"/>
  <c r="X292" i="3"/>
  <c r="AH297" i="3"/>
  <c r="AT297" i="3" s="1"/>
  <c r="L173" i="3"/>
  <c r="V173" i="3"/>
  <c r="AM292" i="3"/>
  <c r="X322" i="3"/>
  <c r="AU322" i="3"/>
  <c r="AP322" i="3"/>
  <c r="L195" i="3"/>
  <c r="AD319" i="3"/>
  <c r="AE155" i="3"/>
  <c r="AV105" i="3"/>
  <c r="AK105" i="3"/>
  <c r="AE223" i="3"/>
  <c r="AH116" i="3"/>
  <c r="AT116" i="3" s="1"/>
  <c r="AV220" i="3"/>
  <c r="AK220" i="3"/>
  <c r="V234" i="3"/>
  <c r="AN81" i="3"/>
  <c r="AW81" i="3"/>
  <c r="AX220" i="3"/>
  <c r="AO220" i="3"/>
  <c r="AG245" i="3"/>
  <c r="V81" i="3"/>
  <c r="AW325" i="3"/>
  <c r="AH256" i="3"/>
  <c r="AT256" i="3" s="1"/>
  <c r="X325" i="3"/>
  <c r="AH219" i="3"/>
  <c r="AT219" i="3" s="1"/>
  <c r="AW220" i="3"/>
  <c r="AF105" i="3"/>
  <c r="X81" i="3"/>
  <c r="AD215" i="3"/>
  <c r="AE234" i="3"/>
  <c r="AK116" i="3"/>
  <c r="AE219" i="3"/>
  <c r="AP261" i="3"/>
  <c r="X261" i="3"/>
  <c r="AE325" i="3"/>
  <c r="AN116" i="3"/>
  <c r="AK146" i="3"/>
  <c r="AK219" i="3"/>
  <c r="AA234" i="3"/>
  <c r="W261" i="3"/>
  <c r="AC325" i="3"/>
  <c r="AS76" i="3"/>
  <c r="AG76" i="3"/>
  <c r="V131" i="3"/>
  <c r="AR14" i="3"/>
  <c r="AF14" i="3"/>
  <c r="AP20" i="3"/>
  <c r="AS35" i="3"/>
  <c r="AG35" i="3"/>
  <c r="AH76" i="3"/>
  <c r="AT76" i="3" s="1"/>
  <c r="Z261" i="3"/>
  <c r="AV223" i="3"/>
  <c r="AK223" i="3"/>
  <c r="AV14" i="3"/>
  <c r="AK14" i="3"/>
  <c r="AD20" i="3"/>
  <c r="X91" i="3"/>
  <c r="AQ234" i="3"/>
  <c r="AB234" i="3"/>
  <c r="AA256" i="3"/>
  <c r="AV81" i="3"/>
  <c r="AK81" i="3"/>
  <c r="AP105" i="3"/>
  <c r="X105" i="3"/>
  <c r="AU14" i="3"/>
  <c r="AR219" i="3"/>
  <c r="AF219" i="3"/>
  <c r="AC219" i="3"/>
  <c r="X234" i="3"/>
  <c r="AH146" i="3"/>
  <c r="AT146" i="3" s="1"/>
  <c r="AO81" i="3"/>
  <c r="AH14" i="3"/>
  <c r="AT14" i="3" s="1"/>
  <c r="X131" i="3"/>
  <c r="AC245" i="3"/>
  <c r="AC261" i="3"/>
  <c r="L160" i="3"/>
  <c r="AH325" i="3"/>
  <c r="AT325" i="3" s="1"/>
  <c r="AJ223" i="3"/>
  <c r="L219" i="3"/>
  <c r="AH223" i="3"/>
  <c r="AT223" i="3" s="1"/>
  <c r="AO76" i="3"/>
  <c r="AK155" i="3"/>
  <c r="X220" i="3"/>
  <c r="AP155" i="3"/>
  <c r="AP245" i="3"/>
  <c r="W271" i="3"/>
  <c r="X38" i="3"/>
  <c r="AP38" i="3"/>
  <c r="AH115" i="3"/>
  <c r="AT115" i="3" s="1"/>
  <c r="AC31" i="3"/>
  <c r="AX248" i="3"/>
  <c r="AO248" i="3"/>
  <c r="AD266" i="3"/>
  <c r="AE19" i="3"/>
  <c r="X160" i="3"/>
  <c r="AA162" i="3"/>
  <c r="AW313" i="3"/>
  <c r="AN313" i="3"/>
  <c r="AC314" i="3"/>
  <c r="AH19" i="3"/>
  <c r="AT19" i="3" s="1"/>
  <c r="AE52" i="3"/>
  <c r="AE271" i="3"/>
  <c r="AS52" i="3"/>
  <c r="AG52" i="3"/>
  <c r="W12" i="3"/>
  <c r="AE321" i="3"/>
  <c r="AS45" i="3"/>
  <c r="AG45" i="3"/>
  <c r="AW271" i="3"/>
  <c r="AN271" i="3"/>
  <c r="AH282" i="3"/>
  <c r="AT282" i="3" s="1"/>
  <c r="AA52" i="3"/>
  <c r="AH164" i="3"/>
  <c r="AT164" i="3" s="1"/>
  <c r="AP39" i="3"/>
  <c r="X39" i="3"/>
  <c r="AV74" i="3"/>
  <c r="AK74" i="3"/>
  <c r="AP133" i="3"/>
  <c r="X133" i="3"/>
  <c r="AP160" i="3"/>
  <c r="AO313" i="3"/>
  <c r="AJ307" i="3"/>
  <c r="X313" i="3"/>
  <c r="AG266" i="3"/>
  <c r="AC39" i="3"/>
  <c r="AD162" i="3"/>
  <c r="AH266" i="3"/>
  <c r="AT266" i="3" s="1"/>
  <c r="AN282" i="3"/>
  <c r="AN321" i="3"/>
  <c r="L162" i="3"/>
  <c r="AJ248" i="3"/>
  <c r="X74" i="3"/>
  <c r="AA164" i="3"/>
  <c r="X12" i="3"/>
  <c r="Z74" i="3"/>
  <c r="AG162" i="3"/>
  <c r="X271" i="3"/>
  <c r="X282" i="3"/>
  <c r="AO282" i="3"/>
  <c r="X307" i="3"/>
  <c r="AC313" i="3"/>
  <c r="AR39" i="3"/>
  <c r="AK164" i="3"/>
  <c r="AF38" i="3"/>
  <c r="AB164" i="3"/>
  <c r="AH188" i="3"/>
  <c r="AT188" i="3" s="1"/>
  <c r="X248" i="3"/>
  <c r="AO314" i="3"/>
  <c r="AG31" i="3"/>
  <c r="AE39" i="3"/>
  <c r="V266" i="3"/>
  <c r="AJ266" i="3"/>
  <c r="X321" i="3"/>
  <c r="L99" i="3"/>
  <c r="AJ164" i="3"/>
  <c r="L164" i="3"/>
  <c r="AE38" i="3"/>
  <c r="AK314" i="3"/>
  <c r="AN314" i="3"/>
  <c r="AK282" i="3"/>
  <c r="AP52" i="3"/>
  <c r="AH31" i="3"/>
  <c r="AT31" i="3" s="1"/>
  <c r="AH53" i="3"/>
  <c r="AT53" i="3" s="1"/>
  <c r="AK266" i="3"/>
  <c r="AE313" i="3"/>
  <c r="V92" i="3"/>
  <c r="AE151" i="3"/>
  <c r="X167" i="3"/>
  <c r="AU49" i="3"/>
  <c r="AJ49" i="3"/>
  <c r="X78" i="3"/>
  <c r="AV49" i="3"/>
  <c r="AK49" i="3"/>
  <c r="AE273" i="3"/>
  <c r="V49" i="3"/>
  <c r="AW49" i="3"/>
  <c r="AN49" i="3"/>
  <c r="AD64" i="3"/>
  <c r="AC167" i="3"/>
  <c r="AE75" i="3"/>
  <c r="AF75" i="3"/>
  <c r="AP46" i="3"/>
  <c r="AC150" i="3"/>
  <c r="V264" i="3"/>
  <c r="AH318" i="3"/>
  <c r="AT318" i="3" s="1"/>
  <c r="AN127" i="3"/>
  <c r="AW127" i="3"/>
  <c r="AA249" i="3"/>
  <c r="AH151" i="3"/>
  <c r="AT151" i="3" s="1"/>
  <c r="AH28" i="3"/>
  <c r="AT28" i="3" s="1"/>
  <c r="AO127" i="3"/>
  <c r="AX127" i="3"/>
  <c r="X46" i="3"/>
  <c r="AJ151" i="3"/>
  <c r="AC99" i="3"/>
  <c r="V127" i="3"/>
  <c r="AH232" i="3"/>
  <c r="AT232" i="3" s="1"/>
  <c r="AK151" i="3"/>
  <c r="AP92" i="3"/>
  <c r="W249" i="3"/>
  <c r="X159" i="3"/>
  <c r="X264" i="3"/>
  <c r="AN99" i="3"/>
  <c r="AH75" i="3"/>
  <c r="AT75" i="3" s="1"/>
  <c r="AX99" i="3"/>
  <c r="AO99" i="3"/>
  <c r="AH159" i="3"/>
  <c r="AT159" i="3" s="1"/>
  <c r="AO318" i="3"/>
  <c r="AX318" i="3"/>
  <c r="AK127" i="3"/>
  <c r="AB318" i="3"/>
  <c r="AH46" i="3"/>
  <c r="AT46" i="3" s="1"/>
  <c r="X99" i="3"/>
  <c r="AC249" i="3"/>
  <c r="AD159" i="3"/>
  <c r="V232" i="3"/>
  <c r="L170" i="3"/>
  <c r="X262" i="3"/>
  <c r="AN318" i="3"/>
  <c r="AW318" i="3"/>
  <c r="X127" i="3"/>
  <c r="AO232" i="3"/>
  <c r="L239" i="3"/>
  <c r="V46" i="3"/>
  <c r="AK96" i="3"/>
  <c r="L96" i="3"/>
  <c r="AH262" i="3"/>
  <c r="AT262" i="3" s="1"/>
  <c r="AP28" i="3"/>
  <c r="AP208" i="3"/>
  <c r="L264" i="3"/>
  <c r="AP150" i="3"/>
  <c r="L268" i="3"/>
  <c r="AH64" i="3"/>
  <c r="AT64" i="3" s="1"/>
  <c r="L94" i="3"/>
  <c r="AV206" i="3"/>
  <c r="AK206" i="3"/>
  <c r="AC230" i="3"/>
  <c r="V59" i="3"/>
  <c r="AU323" i="3"/>
  <c r="AH147" i="3"/>
  <c r="AT147" i="3" s="1"/>
  <c r="AN206" i="3"/>
  <c r="AU50" i="3"/>
  <c r="AJ50" i="3"/>
  <c r="V112" i="3"/>
  <c r="AJ141" i="3"/>
  <c r="AU141" i="3"/>
  <c r="X259" i="3"/>
  <c r="AP259" i="3"/>
  <c r="AU100" i="3"/>
  <c r="AJ100" i="3"/>
  <c r="V122" i="3"/>
  <c r="AW141" i="3"/>
  <c r="AN141" i="3"/>
  <c r="AC144" i="3"/>
  <c r="AU230" i="3"/>
  <c r="AJ230" i="3"/>
  <c r="X312" i="3"/>
  <c r="AA59" i="3"/>
  <c r="AV100" i="3"/>
  <c r="AK100" i="3"/>
  <c r="X112" i="3"/>
  <c r="AP112" i="3"/>
  <c r="AO112" i="3"/>
  <c r="AH244" i="3"/>
  <c r="AT244" i="3" s="1"/>
  <c r="AC7" i="3"/>
  <c r="AV40" i="3"/>
  <c r="AK40" i="3"/>
  <c r="AP59" i="3"/>
  <c r="V100" i="3"/>
  <c r="AS230" i="3"/>
  <c r="AG230" i="3"/>
  <c r="AI239" i="3"/>
  <c r="AI244" i="3"/>
  <c r="AH299" i="3"/>
  <c r="AT299" i="3" s="1"/>
  <c r="AW40" i="3"/>
  <c r="AN40" i="3"/>
  <c r="AC112" i="3"/>
  <c r="AH259" i="3"/>
  <c r="AT259" i="3" s="1"/>
  <c r="AH33" i="3"/>
  <c r="AT33" i="3" s="1"/>
  <c r="L120" i="3"/>
  <c r="AS179" i="3"/>
  <c r="AG179" i="3"/>
  <c r="X251" i="3"/>
  <c r="V40" i="3"/>
  <c r="AC59" i="3"/>
  <c r="AH179" i="3"/>
  <c r="AT179" i="3" s="1"/>
  <c r="AP179" i="3"/>
  <c r="AP299" i="3"/>
  <c r="AU299" i="3"/>
  <c r="AJ299" i="3"/>
  <c r="AH112" i="3"/>
  <c r="AT112" i="3" s="1"/>
  <c r="AH251" i="3"/>
  <c r="AT251" i="3" s="1"/>
  <c r="AW299" i="3"/>
  <c r="AN299" i="3"/>
  <c r="AK50" i="3"/>
  <c r="AH230" i="3"/>
  <c r="AT230" i="3" s="1"/>
  <c r="AP296" i="3"/>
  <c r="W328" i="3"/>
  <c r="AH100" i="3"/>
  <c r="AT100" i="3" s="1"/>
  <c r="V144" i="3"/>
  <c r="AX299" i="3"/>
  <c r="L244" i="3"/>
  <c r="N244" i="3"/>
  <c r="L178" i="3"/>
  <c r="L100" i="3"/>
  <c r="AE221" i="3"/>
  <c r="AU134" i="3"/>
  <c r="AJ134" i="3"/>
  <c r="AD63" i="3"/>
  <c r="Y36" i="3"/>
  <c r="AH10" i="3"/>
  <c r="AT10" i="3" s="1"/>
  <c r="AX57" i="3"/>
  <c r="AO57" i="3"/>
  <c r="AV134" i="3"/>
  <c r="AK134" i="3"/>
  <c r="X126" i="3"/>
  <c r="AP126" i="3"/>
  <c r="AH221" i="3"/>
  <c r="AT221" i="3" s="1"/>
  <c r="AR231" i="3"/>
  <c r="AF231" i="3"/>
  <c r="X113" i="3"/>
  <c r="X18" i="3"/>
  <c r="AP18" i="3"/>
  <c r="AC36" i="3"/>
  <c r="AJ192" i="3"/>
  <c r="AU192" i="3"/>
  <c r="AV285" i="3"/>
  <c r="AK285" i="3"/>
  <c r="AJ285" i="3"/>
  <c r="AE15" i="3"/>
  <c r="AW192" i="3"/>
  <c r="AN192" i="3"/>
  <c r="AH197" i="3"/>
  <c r="AT197" i="3" s="1"/>
  <c r="AW11" i="3"/>
  <c r="AN11" i="3"/>
  <c r="AS15" i="3"/>
  <c r="AG15" i="3"/>
  <c r="AV106" i="3"/>
  <c r="AK106" i="3"/>
  <c r="AW197" i="3"/>
  <c r="AN197" i="3"/>
  <c r="AV231" i="3"/>
  <c r="AK231" i="3"/>
  <c r="AR255" i="3"/>
  <c r="AF255" i="3"/>
  <c r="V285" i="3"/>
  <c r="AU316" i="3"/>
  <c r="AJ316" i="3"/>
  <c r="AH15" i="3"/>
  <c r="AT15" i="3" s="1"/>
  <c r="AW106" i="3"/>
  <c r="AN106" i="3"/>
  <c r="AD120" i="3"/>
  <c r="V192" i="3"/>
  <c r="AK316" i="3"/>
  <c r="AV316" i="3"/>
  <c r="AE255" i="3"/>
  <c r="X10" i="3"/>
  <c r="V11" i="3"/>
  <c r="AA106" i="3"/>
  <c r="AX106" i="3"/>
  <c r="AO106" i="3"/>
  <c r="AH120" i="3"/>
  <c r="AT120" i="3" s="1"/>
  <c r="AH255" i="3"/>
  <c r="AT255" i="3" s="1"/>
  <c r="AH106" i="3"/>
  <c r="AT106" i="3" s="1"/>
  <c r="AD276" i="3"/>
  <c r="AB316" i="3"/>
  <c r="AA316" i="3"/>
  <c r="AC57" i="3"/>
  <c r="X120" i="3"/>
  <c r="X268" i="3"/>
  <c r="AH276" i="3"/>
  <c r="AT276" i="3" s="1"/>
  <c r="AU34" i="3"/>
  <c r="AJ34" i="3"/>
  <c r="AA63" i="3"/>
  <c r="AE57" i="3"/>
  <c r="AU15" i="3"/>
  <c r="AJ15" i="3"/>
  <c r="X36" i="3"/>
  <c r="AV57" i="3"/>
  <c r="AK57" i="3"/>
  <c r="AE192" i="3"/>
  <c r="AH226" i="3"/>
  <c r="AT226" i="3" s="1"/>
  <c r="AP11" i="3"/>
  <c r="AW57" i="3"/>
  <c r="AN57" i="3"/>
  <c r="L226" i="3"/>
  <c r="W15" i="3"/>
  <c r="AC268" i="3"/>
  <c r="X15" i="3"/>
  <c r="AP15" i="3"/>
  <c r="AE95" i="3"/>
  <c r="AC134" i="3"/>
  <c r="AV192" i="3"/>
  <c r="AK192" i="3"/>
  <c r="AC214" i="3"/>
  <c r="AP255" i="3"/>
  <c r="AC278" i="3"/>
  <c r="AO197" i="3"/>
  <c r="AR11" i="3"/>
  <c r="AF11" i="3"/>
  <c r="X57" i="3"/>
  <c r="L276" i="3"/>
  <c r="AC95" i="3"/>
  <c r="L103" i="3"/>
  <c r="L113" i="3"/>
  <c r="L301" i="3"/>
  <c r="L189" i="3"/>
  <c r="L284" i="3"/>
  <c r="AE42" i="3"/>
  <c r="AA229" i="3"/>
  <c r="AC229" i="3"/>
  <c r="AJ286" i="3"/>
  <c r="V111" i="3"/>
  <c r="AJ186" i="3"/>
  <c r="AU186" i="3"/>
  <c r="AV284" i="3"/>
  <c r="AV286" i="3"/>
  <c r="AK286" i="3"/>
  <c r="AO315" i="3"/>
  <c r="AX315" i="3"/>
  <c r="AV108" i="3"/>
  <c r="AK108" i="3"/>
  <c r="AV186" i="3"/>
  <c r="AK186" i="3"/>
  <c r="AE284" i="3"/>
  <c r="AW108" i="3"/>
  <c r="AN108" i="3"/>
  <c r="AX298" i="3"/>
  <c r="AO298" i="3"/>
  <c r="AX108" i="3"/>
  <c r="AO108" i="3"/>
  <c r="AW174" i="3"/>
  <c r="AN174" i="3"/>
  <c r="AE287" i="3"/>
  <c r="AN301" i="3"/>
  <c r="AW301" i="3"/>
  <c r="AU178" i="3"/>
  <c r="AJ178" i="3"/>
  <c r="AX174" i="3"/>
  <c r="AO174" i="3"/>
  <c r="AU247" i="3"/>
  <c r="AJ247" i="3"/>
  <c r="AV254" i="3"/>
  <c r="AK254" i="3"/>
  <c r="AX301" i="3"/>
  <c r="AO301" i="3"/>
  <c r="AJ102" i="3"/>
  <c r="AW118" i="3"/>
  <c r="AN118" i="3"/>
  <c r="AD157" i="3"/>
  <c r="L174" i="3"/>
  <c r="AV247" i="3"/>
  <c r="AK247" i="3"/>
  <c r="AN293" i="3"/>
  <c r="AW293" i="3"/>
  <c r="W298" i="3"/>
  <c r="AK102" i="3"/>
  <c r="AK178" i="3"/>
  <c r="AN186" i="3"/>
  <c r="AF254" i="3"/>
  <c r="AR111" i="3"/>
  <c r="AF111" i="3"/>
  <c r="AO118" i="3"/>
  <c r="AX118" i="3"/>
  <c r="AT135" i="3"/>
  <c r="AH135" i="3"/>
  <c r="AN247" i="3"/>
  <c r="AW247" i="3"/>
  <c r="AO293" i="3"/>
  <c r="AX293" i="3"/>
  <c r="AC83" i="3"/>
  <c r="AO247" i="3"/>
  <c r="AX247" i="3"/>
  <c r="AN286" i="3"/>
  <c r="AX9" i="3"/>
  <c r="AO9" i="3"/>
  <c r="X22" i="3"/>
  <c r="AE186" i="3"/>
  <c r="V247" i="3"/>
  <c r="AN287" i="3"/>
  <c r="AW287" i="3"/>
  <c r="AH254" i="3"/>
  <c r="AT103" i="3"/>
  <c r="AH103" i="3"/>
  <c r="V293" i="3"/>
  <c r="AJ254" i="3"/>
  <c r="AO286" i="3"/>
  <c r="AR108" i="3"/>
  <c r="AF108" i="3"/>
  <c r="AT240" i="3"/>
  <c r="AH240" i="3"/>
  <c r="AK174" i="3"/>
  <c r="AN298" i="3"/>
  <c r="AH111" i="3"/>
  <c r="AT111" i="3"/>
  <c r="AC288" i="3"/>
  <c r="X298" i="3"/>
  <c r="AK22" i="3"/>
  <c r="AE108" i="3"/>
  <c r="AC186" i="3"/>
  <c r="AD287" i="3"/>
  <c r="AF68" i="3"/>
  <c r="AJ83" i="3"/>
  <c r="AK157" i="3"/>
  <c r="AN284" i="3"/>
  <c r="L102" i="3"/>
  <c r="AE301" i="3"/>
  <c r="AD111" i="3"/>
  <c r="AJ135" i="3"/>
  <c r="AJ240" i="3"/>
  <c r="AD286" i="3"/>
  <c r="AH287" i="3"/>
  <c r="L286" i="3"/>
  <c r="AJ68" i="3"/>
  <c r="AN135" i="3"/>
  <c r="AN240" i="3"/>
  <c r="X301" i="3"/>
  <c r="AN138" i="3"/>
  <c r="AH229" i="3"/>
  <c r="AD298" i="3"/>
  <c r="AT301" i="3"/>
  <c r="L298" i="3"/>
  <c r="AR217" i="3"/>
  <c r="AF217" i="3"/>
  <c r="AE166" i="3"/>
  <c r="AO4" i="3"/>
  <c r="DR66" i="3"/>
  <c r="AK180" i="3"/>
  <c r="N193" i="3"/>
  <c r="AN213" i="3"/>
  <c r="CZ175" i="3"/>
  <c r="AT170" i="3"/>
  <c r="AH170" i="3"/>
  <c r="CZ193" i="3"/>
  <c r="AK163" i="3"/>
  <c r="AO189" i="3"/>
  <c r="V222" i="3"/>
  <c r="AN310" i="3"/>
  <c r="AW17" i="3"/>
  <c r="AN17" i="3"/>
  <c r="AV166" i="3"/>
  <c r="AK166" i="3"/>
  <c r="AX291" i="3"/>
  <c r="AC317" i="3"/>
  <c r="AQ66" i="3"/>
  <c r="AB66" i="3"/>
  <c r="AT213" i="3"/>
  <c r="AH213" i="3"/>
  <c r="AU289" i="3"/>
  <c r="AJ289" i="3"/>
  <c r="AJ217" i="3"/>
  <c r="AC44" i="3"/>
  <c r="AT163" i="3"/>
  <c r="AH163" i="3"/>
  <c r="AA222" i="3"/>
  <c r="AK217" i="3"/>
  <c r="AX65" i="3"/>
  <c r="AX193" i="3"/>
  <c r="AO193" i="3"/>
  <c r="AA217" i="3"/>
  <c r="Y189" i="3"/>
  <c r="V217" i="3"/>
  <c r="AN217" i="3"/>
  <c r="AC189" i="3"/>
  <c r="AX217" i="3"/>
  <c r="AO217" i="3"/>
  <c r="X66" i="3"/>
  <c r="CZ170" i="3"/>
  <c r="AJ213" i="3"/>
  <c r="AW4" i="3"/>
  <c r="AF170" i="3"/>
  <c r="AW193" i="3"/>
  <c r="CZ291" i="3"/>
  <c r="AJ180" i="3"/>
  <c r="AK213" i="3"/>
  <c r="AC280" i="3"/>
  <c r="AX180" i="3"/>
  <c r="AO180" i="3"/>
  <c r="AC17" i="3"/>
  <c r="AA66" i="3"/>
  <c r="AN180" i="3"/>
  <c r="AJ189" i="3"/>
  <c r="CZ189" i="3"/>
  <c r="AO213" i="3"/>
  <c r="AC4" i="3"/>
  <c r="L175" i="3"/>
  <c r="L193" i="3"/>
  <c r="AT189" i="3"/>
  <c r="AW291" i="3"/>
  <c r="AN291" i="3"/>
  <c r="AE80" i="3"/>
  <c r="AK189" i="3"/>
  <c r="AK289" i="3"/>
  <c r="CZ289" i="3"/>
  <c r="AJ170" i="3"/>
  <c r="AU170" i="3"/>
  <c r="AR289" i="3"/>
  <c r="AE289" i="3"/>
  <c r="AE17" i="3"/>
  <c r="AH65" i="3"/>
  <c r="AF80" i="3"/>
  <c r="AG166" i="3"/>
  <c r="AN189" i="3"/>
  <c r="AE217" i="3"/>
  <c r="AN289" i="3"/>
  <c r="V170" i="3"/>
  <c r="AX222" i="3"/>
  <c r="AO222" i="3"/>
  <c r="AX310" i="3"/>
  <c r="AG61" i="3"/>
  <c r="O65" i="3"/>
  <c r="CZ163" i="3"/>
  <c r="AJ175" i="3"/>
  <c r="AO280" i="3"/>
  <c r="AH291" i="3"/>
  <c r="AX17" i="3"/>
  <c r="AO17" i="3"/>
  <c r="AW65" i="3"/>
  <c r="AN65" i="3"/>
  <c r="V80" i="3"/>
  <c r="W280" i="3"/>
  <c r="W291" i="3"/>
  <c r="AC308" i="3"/>
  <c r="AC66" i="3"/>
  <c r="AK317" i="3"/>
  <c r="AV317" i="3"/>
  <c r="AE308" i="3"/>
  <c r="AM159" i="3"/>
  <c r="O138" i="3"/>
  <c r="O12" i="3"/>
  <c r="O271" i="3"/>
  <c r="AM81" i="3"/>
  <c r="AH243" i="3"/>
  <c r="V6" i="3"/>
  <c r="AC227" i="3"/>
  <c r="AH252" i="3"/>
  <c r="Y196" i="3"/>
  <c r="V73" i="3"/>
  <c r="BV55" i="3"/>
  <c r="BG161" i="3"/>
  <c r="CK201" i="3"/>
  <c r="Y29" i="3"/>
  <c r="W161" i="3"/>
  <c r="AY306" i="3"/>
  <c r="AY56" i="3"/>
  <c r="AC201" i="3"/>
  <c r="CK89" i="3"/>
  <c r="Z13" i="3"/>
  <c r="AT51" i="3"/>
  <c r="N89" i="3"/>
  <c r="AC124" i="3"/>
  <c r="AD201" i="3"/>
  <c r="X267" i="3"/>
  <c r="N304" i="3"/>
  <c r="AC6" i="3"/>
  <c r="AI51" i="3"/>
  <c r="V89" i="3"/>
  <c r="AD124" i="3"/>
  <c r="AH201" i="3"/>
  <c r="DO227" i="3"/>
  <c r="AY237" i="3"/>
  <c r="N252" i="3"/>
  <c r="V304" i="3"/>
  <c r="Z196" i="3"/>
  <c r="Z56" i="3"/>
  <c r="W89" i="3"/>
  <c r="AD125" i="3"/>
  <c r="AD139" i="3"/>
  <c r="L237" i="3"/>
  <c r="L243" i="3"/>
  <c r="V252" i="3"/>
  <c r="CZ252" i="3"/>
  <c r="Z73" i="3"/>
  <c r="N243" i="3"/>
  <c r="W252" i="3"/>
  <c r="Y306" i="3"/>
  <c r="L89" i="3"/>
  <c r="AI55" i="3"/>
  <c r="AI125" i="3"/>
  <c r="AI139" i="3"/>
  <c r="AI176" i="3"/>
  <c r="AI182" i="3"/>
  <c r="CZ203" i="3"/>
  <c r="AH51" i="3"/>
  <c r="Z93" i="3"/>
  <c r="CZ124" i="3"/>
  <c r="AY125" i="3"/>
  <c r="AY139" i="3"/>
  <c r="AY176" i="3"/>
  <c r="Y243" i="3"/>
  <c r="Y252" i="3"/>
  <c r="CK304" i="3"/>
  <c r="L51" i="3"/>
  <c r="L125" i="3"/>
  <c r="L176" i="3"/>
  <c r="L182" i="3"/>
  <c r="DO203" i="3"/>
  <c r="X237" i="3"/>
  <c r="Z243" i="3"/>
  <c r="Z252" i="3"/>
  <c r="X227" i="3"/>
  <c r="AC237" i="3"/>
  <c r="AD70" i="3"/>
  <c r="AD93" i="3"/>
  <c r="V104" i="3"/>
  <c r="N125" i="3"/>
  <c r="L161" i="3"/>
  <c r="N176" i="3"/>
  <c r="N182" i="3"/>
  <c r="W196" i="3"/>
  <c r="AC243" i="3"/>
  <c r="CK6" i="3"/>
  <c r="CZ29" i="3"/>
  <c r="V29" i="3"/>
  <c r="V51" i="3"/>
  <c r="L56" i="3"/>
  <c r="L55" i="3"/>
  <c r="AY73" i="3"/>
  <c r="W104" i="3"/>
  <c r="W124" i="3"/>
  <c r="N161" i="3"/>
  <c r="Y161" i="3"/>
  <c r="AD243" i="3"/>
  <c r="AM268" i="3"/>
  <c r="O247" i="3"/>
  <c r="O259" i="3"/>
  <c r="AD304" i="3"/>
  <c r="Z227" i="3"/>
  <c r="AH23" i="3"/>
  <c r="V161" i="3"/>
  <c r="CZ199" i="3"/>
  <c r="N70" i="3"/>
  <c r="W191" i="3"/>
  <c r="Z23" i="3"/>
  <c r="Z139" i="3"/>
  <c r="V191" i="3"/>
  <c r="N72" i="3"/>
  <c r="N154" i="3"/>
  <c r="CZ154" i="3"/>
  <c r="AC13" i="3"/>
  <c r="AC55" i="3"/>
  <c r="V72" i="3"/>
  <c r="W125" i="3"/>
  <c r="V154" i="3"/>
  <c r="W176" i="3"/>
  <c r="AT227" i="3"/>
  <c r="L257" i="3"/>
  <c r="X257" i="3"/>
  <c r="Y304" i="3"/>
  <c r="AY182" i="3"/>
  <c r="Y191" i="3"/>
  <c r="AD24" i="3"/>
  <c r="AD29" i="3"/>
  <c r="AY51" i="3"/>
  <c r="AD55" i="3"/>
  <c r="W72" i="3"/>
  <c r="AC97" i="3"/>
  <c r="Z124" i="3"/>
  <c r="W154" i="3"/>
  <c r="X176" i="3"/>
  <c r="X182" i="3"/>
  <c r="N203" i="3"/>
  <c r="AD203" i="3"/>
  <c r="N257" i="3"/>
  <c r="Z304" i="3"/>
  <c r="L306" i="3"/>
  <c r="AI72" i="3"/>
  <c r="AI154" i="3"/>
  <c r="N306" i="3"/>
  <c r="X13" i="3"/>
  <c r="AY72" i="3"/>
  <c r="L139" i="3"/>
  <c r="AY154" i="3"/>
  <c r="AY201" i="3"/>
  <c r="Y13" i="3"/>
  <c r="Y55" i="3"/>
  <c r="L72" i="3"/>
  <c r="N139" i="3"/>
  <c r="L154" i="3"/>
  <c r="X252" i="3"/>
  <c r="W304" i="3"/>
  <c r="W306" i="3"/>
  <c r="W13" i="3"/>
  <c r="BV51" i="3"/>
  <c r="AH104" i="3"/>
  <c r="Z24" i="3"/>
  <c r="V125" i="3"/>
  <c r="N6" i="3"/>
  <c r="AT24" i="3"/>
  <c r="L93" i="3"/>
  <c r="Y125" i="3"/>
  <c r="Y139" i="3"/>
  <c r="AY227" i="3"/>
  <c r="V257" i="3"/>
  <c r="N237" i="3"/>
  <c r="AI13" i="3"/>
  <c r="AI24" i="3"/>
  <c r="AI29" i="3"/>
  <c r="AD56" i="3"/>
  <c r="N93" i="3"/>
  <c r="Y93" i="3"/>
  <c r="Z125" i="3"/>
  <c r="Z161" i="3"/>
  <c r="Z176" i="3"/>
  <c r="W257" i="3"/>
  <c r="Z55" i="3"/>
  <c r="L70" i="3"/>
  <c r="W97" i="3"/>
  <c r="AC139" i="3"/>
  <c r="V176" i="3"/>
  <c r="AI267" i="3"/>
  <c r="AY6" i="3"/>
  <c r="AY13" i="3"/>
  <c r="AY24" i="3"/>
  <c r="AY29" i="3"/>
  <c r="AT56" i="3"/>
  <c r="V70" i="3"/>
  <c r="Y89" i="3"/>
  <c r="V93" i="3"/>
  <c r="AT104" i="3"/>
  <c r="Z154" i="3"/>
  <c r="Z191" i="3"/>
  <c r="CZ191" i="3"/>
  <c r="X203" i="3"/>
  <c r="N227" i="3"/>
  <c r="BV227" i="3"/>
  <c r="AD196" i="3"/>
  <c r="AD237" i="3"/>
  <c r="AI243" i="3"/>
  <c r="AI252" i="3"/>
  <c r="Z257" i="3"/>
  <c r="L267" i="3"/>
  <c r="AI306" i="3"/>
  <c r="CK51" i="3"/>
  <c r="AT23" i="3"/>
  <c r="AT29" i="3"/>
  <c r="Y176" i="3"/>
  <c r="Y227" i="3"/>
  <c r="BG227" i="3"/>
  <c r="AY267" i="3"/>
  <c r="L6" i="3"/>
  <c r="L13" i="3"/>
  <c r="L29" i="3"/>
  <c r="CZ51" i="3"/>
  <c r="AI56" i="3"/>
  <c r="AY55" i="3"/>
  <c r="W70" i="3"/>
  <c r="W93" i="3"/>
  <c r="AY97" i="3"/>
  <c r="AI104" i="3"/>
  <c r="AI124" i="3"/>
  <c r="AC154" i="3"/>
  <c r="AD176" i="3"/>
  <c r="AD191" i="3"/>
  <c r="AC191" i="3"/>
  <c r="Y203" i="3"/>
  <c r="V227" i="3"/>
  <c r="AY243" i="3"/>
  <c r="AD257" i="3"/>
  <c r="N267" i="3"/>
  <c r="AI304" i="3"/>
  <c r="DO124" i="3"/>
  <c r="AH55" i="3"/>
  <c r="CZ161" i="3"/>
  <c r="N191" i="3"/>
  <c r="N13" i="3"/>
  <c r="N29" i="3"/>
  <c r="N51" i="3"/>
  <c r="W55" i="3"/>
  <c r="Z70" i="3"/>
  <c r="AH73" i="3"/>
  <c r="AC89" i="3"/>
  <c r="L97" i="3"/>
  <c r="CZ97" i="3"/>
  <c r="AY104" i="3"/>
  <c r="AT125" i="3"/>
  <c r="AI161" i="3"/>
  <c r="DO161" i="3"/>
  <c r="AH182" i="3"/>
  <c r="W227" i="3"/>
  <c r="CZ227" i="3"/>
  <c r="AI237" i="3"/>
  <c r="L252" i="3"/>
  <c r="AT257" i="3"/>
  <c r="V267" i="3"/>
  <c r="CZ267" i="3"/>
  <c r="AY304" i="3"/>
  <c r="O35" i="3"/>
  <c r="O29" i="3"/>
  <c r="AM284" i="3"/>
  <c r="AM295" i="3"/>
  <c r="O170" i="3"/>
  <c r="O66" i="3"/>
  <c r="O82" i="3"/>
  <c r="O273" i="3"/>
  <c r="O309" i="3"/>
  <c r="O140" i="3"/>
  <c r="AO281" i="3"/>
  <c r="Y5" i="3"/>
  <c r="W117" i="3"/>
  <c r="AM37" i="3"/>
  <c r="AM35" i="3"/>
  <c r="AM80" i="3"/>
  <c r="O155" i="3"/>
  <c r="AM106" i="3"/>
  <c r="O83" i="3"/>
  <c r="AM291" i="3"/>
  <c r="AM302" i="3"/>
  <c r="AM298" i="3"/>
  <c r="O193" i="3"/>
  <c r="O269" i="3"/>
  <c r="AM240" i="3"/>
  <c r="O9" i="3"/>
  <c r="O53" i="3"/>
  <c r="AM65" i="3"/>
  <c r="O284" i="3"/>
  <c r="AM15" i="3"/>
  <c r="AM182" i="3"/>
  <c r="AM63" i="3"/>
  <c r="O326" i="3"/>
  <c r="AM61" i="3"/>
  <c r="AM179" i="3"/>
  <c r="O3" i="3"/>
  <c r="O11" i="3"/>
  <c r="O33" i="3"/>
  <c r="O157" i="3"/>
  <c r="AM301" i="3"/>
  <c r="O254" i="3"/>
  <c r="O183" i="3"/>
  <c r="AM22" i="3"/>
  <c r="O42" i="3"/>
  <c r="AM232" i="3"/>
  <c r="AM221" i="3"/>
  <c r="AM228" i="3"/>
  <c r="AM38" i="3"/>
  <c r="AM138" i="3"/>
  <c r="O31" i="3"/>
  <c r="O184" i="3"/>
  <c r="AM3" i="3"/>
  <c r="O18" i="3"/>
  <c r="AM91" i="3"/>
  <c r="O96" i="3"/>
  <c r="O159" i="3"/>
  <c r="O38" i="3"/>
  <c r="O126" i="3"/>
  <c r="O165" i="3"/>
  <c r="AM208" i="3"/>
  <c r="O240" i="3"/>
  <c r="AM59" i="3"/>
  <c r="AM103" i="3"/>
  <c r="AM174" i="3"/>
  <c r="AM175" i="3"/>
  <c r="AM181" i="3"/>
  <c r="AM186" i="3"/>
  <c r="AM214" i="3"/>
  <c r="O229" i="3"/>
  <c r="AM233" i="3"/>
  <c r="O312" i="3"/>
  <c r="O86" i="3"/>
  <c r="O214" i="3"/>
  <c r="AM7" i="3"/>
  <c r="AM79" i="3"/>
  <c r="O133" i="3"/>
  <c r="AM205" i="3"/>
  <c r="AM235" i="3"/>
  <c r="O30" i="3"/>
  <c r="AM49" i="3"/>
  <c r="AM56" i="3"/>
  <c r="AM71" i="3"/>
  <c r="AM183" i="3"/>
  <c r="O272" i="3"/>
  <c r="AM322" i="3"/>
  <c r="O14" i="3"/>
  <c r="AM217" i="3"/>
  <c r="O64" i="3"/>
  <c r="O19" i="3"/>
  <c r="AM8" i="3"/>
  <c r="AM6" i="3"/>
  <c r="AM28" i="3"/>
  <c r="AM109" i="3"/>
  <c r="O231" i="3"/>
  <c r="O256" i="3"/>
  <c r="AM305" i="3"/>
  <c r="AM316" i="3"/>
  <c r="O123" i="3"/>
  <c r="AM17" i="3"/>
  <c r="AL247" i="3"/>
  <c r="O78" i="3"/>
  <c r="O115" i="3"/>
  <c r="AM123" i="3"/>
  <c r="O173" i="3"/>
  <c r="O226" i="3"/>
  <c r="O297" i="3"/>
  <c r="AL78" i="3"/>
  <c r="AM30" i="3"/>
  <c r="O37" i="3"/>
  <c r="O50" i="3"/>
  <c r="AM57" i="3"/>
  <c r="AM64" i="3"/>
  <c r="AM74" i="3"/>
  <c r="AM142" i="3"/>
  <c r="O147" i="3"/>
  <c r="AM155" i="3"/>
  <c r="AM158" i="3"/>
  <c r="O220" i="3"/>
  <c r="O100" i="3"/>
  <c r="O107" i="3"/>
  <c r="AM296" i="3"/>
  <c r="O320" i="3"/>
  <c r="O81" i="3"/>
  <c r="O225" i="3"/>
  <c r="O244" i="3"/>
  <c r="AM90" i="3"/>
  <c r="O91" i="3"/>
  <c r="O142" i="3"/>
  <c r="O205" i="3"/>
  <c r="O232" i="3"/>
  <c r="O255" i="3"/>
  <c r="O262" i="3"/>
  <c r="AM87" i="3"/>
  <c r="AM92" i="3"/>
  <c r="O124" i="3"/>
  <c r="AM166" i="3"/>
  <c r="AM213" i="3"/>
  <c r="AM299" i="3"/>
  <c r="AM312" i="3"/>
  <c r="AM242" i="3"/>
  <c r="AL205" i="3"/>
  <c r="AL312" i="3"/>
  <c r="AM321" i="3"/>
  <c r="O8" i="3"/>
  <c r="AM78" i="3"/>
  <c r="AM146" i="3"/>
  <c r="AM188" i="3"/>
  <c r="AM31" i="3"/>
  <c r="AM34" i="3"/>
  <c r="AM75" i="3"/>
  <c r="O156" i="3"/>
  <c r="AM165" i="3"/>
  <c r="AM193" i="3"/>
  <c r="O292" i="3"/>
  <c r="AM156" i="3"/>
  <c r="AL313" i="3"/>
  <c r="AM317" i="3"/>
  <c r="AM23" i="3"/>
  <c r="AL22" i="3"/>
  <c r="AM36" i="3"/>
  <c r="AM45" i="3"/>
  <c r="AM135" i="3"/>
  <c r="O186" i="3"/>
  <c r="O15" i="3"/>
  <c r="O22" i="3"/>
  <c r="AM27" i="3"/>
  <c r="AM107" i="3"/>
  <c r="AM141" i="3"/>
  <c r="O221" i="3"/>
  <c r="AM9" i="3"/>
  <c r="AL19" i="3"/>
  <c r="O20" i="3"/>
  <c r="AM26" i="3"/>
  <c r="O95" i="3"/>
  <c r="AM120" i="3"/>
  <c r="AM184" i="3"/>
  <c r="O189" i="3"/>
  <c r="O207" i="3"/>
  <c r="AM269" i="3"/>
  <c r="O248" i="3"/>
  <c r="O251" i="3"/>
  <c r="AL4" i="3"/>
  <c r="O87" i="3"/>
  <c r="AL91" i="3"/>
  <c r="O197" i="3"/>
  <c r="O74" i="3"/>
  <c r="O71" i="3"/>
  <c r="AL316" i="3"/>
  <c r="AL45" i="3"/>
  <c r="O120" i="3"/>
  <c r="O233" i="3"/>
  <c r="O26" i="3"/>
  <c r="AL61" i="3"/>
  <c r="AL66" i="3"/>
  <c r="O310" i="3"/>
  <c r="AL311" i="3"/>
  <c r="O40" i="3"/>
  <c r="AL107" i="3"/>
  <c r="AL30" i="3"/>
  <c r="O59" i="3"/>
  <c r="AL266" i="3"/>
  <c r="O295" i="3"/>
  <c r="AL297" i="3"/>
  <c r="O302" i="3"/>
  <c r="O218" i="3"/>
  <c r="O10" i="3"/>
  <c r="O45" i="3"/>
  <c r="AM51" i="3"/>
  <c r="O141" i="3"/>
  <c r="AM162" i="3"/>
  <c r="O180" i="3"/>
  <c r="AM180" i="3"/>
  <c r="AL235" i="3"/>
  <c r="AL291" i="3"/>
  <c r="O307" i="3"/>
  <c r="O322" i="3"/>
  <c r="AM98" i="3"/>
  <c r="AL296" i="3"/>
  <c r="O305" i="3"/>
  <c r="O13" i="3"/>
  <c r="O56" i="3"/>
  <c r="AM126" i="3"/>
  <c r="AL188" i="3"/>
  <c r="O219" i="3"/>
  <c r="AL221" i="3"/>
  <c r="O223" i="3"/>
  <c r="AM238" i="3"/>
  <c r="AM251" i="3"/>
  <c r="AM254" i="3"/>
  <c r="AL278" i="3"/>
  <c r="AM293" i="3"/>
  <c r="AM140" i="3"/>
  <c r="AM152" i="3"/>
  <c r="AM261" i="3"/>
  <c r="O222" i="3"/>
  <c r="AM297" i="3"/>
  <c r="AM308" i="3"/>
  <c r="AM325" i="3"/>
  <c r="O17" i="3"/>
  <c r="AM108" i="3"/>
  <c r="AL152" i="3"/>
  <c r="AL214" i="3"/>
  <c r="AM315" i="3"/>
  <c r="AL10" i="3"/>
  <c r="AM33" i="3"/>
  <c r="AM39" i="3"/>
  <c r="AM42" i="3"/>
  <c r="O134" i="3"/>
  <c r="AL140" i="3"/>
  <c r="AM147" i="3"/>
  <c r="AL59" i="3"/>
  <c r="AL101" i="3"/>
  <c r="AM104" i="3"/>
  <c r="AL138" i="3"/>
  <c r="O162" i="3"/>
  <c r="O188" i="3"/>
  <c r="AL218" i="3"/>
  <c r="AL226" i="3"/>
  <c r="O285" i="3"/>
  <c r="AL289" i="3"/>
  <c r="AM326" i="3"/>
  <c r="AL20" i="3"/>
  <c r="AM20" i="3"/>
  <c r="O90" i="3"/>
  <c r="O136" i="3"/>
  <c r="O179" i="3"/>
  <c r="O206" i="3"/>
  <c r="O228" i="3"/>
  <c r="O249" i="3"/>
  <c r="AM262" i="3"/>
  <c r="AM12" i="3"/>
  <c r="AM52" i="3"/>
  <c r="AL65" i="3"/>
  <c r="O68" i="3"/>
  <c r="AM76" i="3"/>
  <c r="O98" i="3"/>
  <c r="AL112" i="3"/>
  <c r="AM115" i="3"/>
  <c r="AL133" i="3"/>
  <c r="O129" i="3"/>
  <c r="AL148" i="3"/>
  <c r="O150" i="3"/>
  <c r="AM177" i="3"/>
  <c r="AL193" i="3"/>
  <c r="O245" i="3"/>
  <c r="AL256" i="3"/>
  <c r="AM256" i="3"/>
  <c r="O282" i="3"/>
  <c r="O287" i="3"/>
  <c r="AL288" i="3"/>
  <c r="O301" i="3"/>
  <c r="O299" i="3"/>
  <c r="AL310" i="3"/>
  <c r="AM133" i="3"/>
  <c r="AM231" i="3"/>
  <c r="AM286" i="3"/>
  <c r="AM289" i="3"/>
  <c r="AM319" i="3"/>
  <c r="AL325" i="3"/>
  <c r="AM318" i="3"/>
  <c r="O28" i="3"/>
  <c r="AM48" i="3"/>
  <c r="AM53" i="3"/>
  <c r="AM77" i="3"/>
  <c r="AL81" i="3"/>
  <c r="AM94" i="3"/>
  <c r="O102" i="3"/>
  <c r="O105" i="3"/>
  <c r="AL127" i="3"/>
  <c r="AM150" i="3"/>
  <c r="O7" i="3"/>
  <c r="AM18" i="3"/>
  <c r="AM19" i="3"/>
  <c r="AM43" i="3"/>
  <c r="AM50" i="3"/>
  <c r="AM83" i="3"/>
  <c r="AL94" i="3"/>
  <c r="AM105" i="3"/>
  <c r="AM101" i="3"/>
  <c r="O143" i="3"/>
  <c r="AM190" i="3"/>
  <c r="AL220" i="3"/>
  <c r="AM226" i="3"/>
  <c r="O278" i="3"/>
  <c r="O266" i="3"/>
  <c r="AM272" i="3"/>
  <c r="O289" i="3"/>
  <c r="AM320" i="3"/>
  <c r="O323" i="3"/>
  <c r="AL324" i="3"/>
  <c r="O325" i="3"/>
  <c r="AM328" i="3"/>
  <c r="AM266" i="3"/>
  <c r="AM287" i="3"/>
  <c r="O303" i="3"/>
  <c r="AL307" i="3"/>
  <c r="O315" i="3"/>
  <c r="AM324" i="3"/>
  <c r="O276" i="3"/>
  <c r="O286" i="3"/>
  <c r="AL322" i="3"/>
  <c r="O152" i="3"/>
  <c r="AL195" i="3"/>
  <c r="AL111" i="3"/>
  <c r="AL14" i="3"/>
  <c r="AL18" i="3"/>
  <c r="AL44" i="3"/>
  <c r="AL49" i="3"/>
  <c r="AL87" i="3"/>
  <c r="O208" i="3"/>
  <c r="O210" i="3"/>
  <c r="O217" i="3"/>
  <c r="AL98" i="3"/>
  <c r="O109" i="3"/>
  <c r="AM111" i="3"/>
  <c r="AL116" i="3"/>
  <c r="AM116" i="3"/>
  <c r="O118" i="3"/>
  <c r="AL144" i="3"/>
  <c r="AM148" i="3"/>
  <c r="AM163" i="3"/>
  <c r="O199" i="3"/>
  <c r="AL215" i="3"/>
  <c r="AL219" i="3"/>
  <c r="O213" i="3"/>
  <c r="AL213" i="3"/>
  <c r="AL231" i="3"/>
  <c r="AM247" i="3"/>
  <c r="O316" i="3"/>
  <c r="O314" i="3"/>
  <c r="O313" i="3"/>
  <c r="O112" i="3"/>
  <c r="AL131" i="3"/>
  <c r="O135" i="3"/>
  <c r="AL155" i="3"/>
  <c r="AL175" i="3"/>
  <c r="AL244" i="3"/>
  <c r="AL75" i="3"/>
  <c r="AL106" i="3"/>
  <c r="AM167" i="3"/>
  <c r="AL224" i="3"/>
  <c r="AL232" i="3"/>
  <c r="O274" i="3"/>
  <c r="AL305" i="3"/>
  <c r="AL303" i="3"/>
  <c r="AM16" i="3"/>
  <c r="O46" i="3"/>
  <c r="AL11" i="3"/>
  <c r="O34" i="3"/>
  <c r="AL35" i="3"/>
  <c r="AL82" i="3"/>
  <c r="AM151" i="3"/>
  <c r="AM168" i="3"/>
  <c r="AL197" i="3"/>
  <c r="AL225" i="3"/>
  <c r="AL228" i="3"/>
  <c r="AL233" i="3"/>
  <c r="AL234" i="3"/>
  <c r="O235" i="3"/>
  <c r="AL248" i="3"/>
  <c r="AL271" i="3"/>
  <c r="AM285" i="3"/>
  <c r="O317" i="3"/>
  <c r="O215" i="3"/>
  <c r="AL251" i="3"/>
  <c r="O151" i="3"/>
  <c r="AL28" i="3"/>
  <c r="O75" i="3"/>
  <c r="O148" i="3"/>
  <c r="AL109" i="3"/>
  <c r="AL115" i="3"/>
  <c r="AM14" i="3"/>
  <c r="O36" i="3"/>
  <c r="AL40" i="3"/>
  <c r="AL57" i="3"/>
  <c r="O94" i="3"/>
  <c r="O131" i="3"/>
  <c r="AM131" i="3"/>
  <c r="AL162" i="3"/>
  <c r="O163" i="3"/>
  <c r="AL170" i="3"/>
  <c r="AM191" i="3"/>
  <c r="AL206" i="3"/>
  <c r="AL223" i="3"/>
  <c r="O239" i="3"/>
  <c r="AL239" i="3"/>
  <c r="AM244" i="3"/>
  <c r="AM249" i="3"/>
  <c r="O261" i="3"/>
  <c r="AM259" i="3"/>
  <c r="AM274" i="3"/>
  <c r="AM278" i="3"/>
  <c r="AM273" i="3"/>
  <c r="AL284" i="3"/>
  <c r="O296" i="3"/>
  <c r="O298" i="3"/>
  <c r="AM311" i="3"/>
  <c r="O321" i="3"/>
  <c r="AM323" i="3"/>
  <c r="AL52" i="3"/>
  <c r="O264" i="3"/>
  <c r="AL15" i="3"/>
  <c r="O61" i="3"/>
  <c r="O80" i="3"/>
  <c r="AL64" i="3"/>
  <c r="AL33" i="3"/>
  <c r="O236" i="3"/>
  <c r="AL39" i="3"/>
  <c r="AM112" i="3"/>
  <c r="AL118" i="3"/>
  <c r="AM118" i="3"/>
  <c r="AM144" i="3"/>
  <c r="O175" i="3"/>
  <c r="AL186" i="3"/>
  <c r="AM210" i="3"/>
  <c r="AM225" i="3"/>
  <c r="AM248" i="3"/>
  <c r="AL301" i="3"/>
  <c r="AM310" i="3"/>
  <c r="AM313" i="3"/>
  <c r="AL42" i="3"/>
  <c r="O168" i="3"/>
  <c r="AL17" i="3"/>
  <c r="AM29" i="3"/>
  <c r="AL240" i="3"/>
  <c r="AL141" i="3"/>
  <c r="AM4" i="3"/>
  <c r="AL26" i="3"/>
  <c r="AL79" i="3"/>
  <c r="AM82" i="3"/>
  <c r="O106" i="3"/>
  <c r="AL8" i="3"/>
  <c r="AL9" i="3"/>
  <c r="AM40" i="3"/>
  <c r="O43" i="3"/>
  <c r="O39" i="3"/>
  <c r="O44" i="3"/>
  <c r="AM44" i="3"/>
  <c r="O48" i="3"/>
  <c r="O57" i="3"/>
  <c r="AL63" i="3"/>
  <c r="O79" i="3"/>
  <c r="AM86" i="3"/>
  <c r="AM100" i="3"/>
  <c r="AM124" i="3"/>
  <c r="AM134" i="3"/>
  <c r="AM160" i="3"/>
  <c r="O164" i="3"/>
  <c r="AM164" i="3"/>
  <c r="O166" i="3"/>
  <c r="AM170" i="3"/>
  <c r="AM195" i="3"/>
  <c r="AM192" i="3"/>
  <c r="AM206" i="3"/>
  <c r="AM197" i="3"/>
  <c r="AM218" i="3"/>
  <c r="AM229" i="3"/>
  <c r="AL254" i="3"/>
  <c r="AM282" i="3"/>
  <c r="O288" i="3"/>
  <c r="O319" i="3"/>
  <c r="O318" i="3"/>
  <c r="AL318" i="3"/>
  <c r="AL326" i="3"/>
  <c r="O49" i="3"/>
  <c r="AL50" i="3"/>
  <c r="AL151" i="3"/>
  <c r="O99" i="3"/>
  <c r="AL269" i="3"/>
  <c r="AL292" i="3"/>
  <c r="AM10" i="3"/>
  <c r="AL16" i="3"/>
  <c r="AL36" i="3"/>
  <c r="AM99" i="3"/>
  <c r="O101" i="3"/>
  <c r="AL27" i="3"/>
  <c r="O32" i="3"/>
  <c r="AM32" i="3"/>
  <c r="AL37" i="3"/>
  <c r="AL3" i="3"/>
  <c r="O16" i="3"/>
  <c r="AL31" i="3"/>
  <c r="AM46" i="3"/>
  <c r="AL71" i="3"/>
  <c r="AL68" i="3"/>
  <c r="AM68" i="3"/>
  <c r="AM66" i="3"/>
  <c r="AL108" i="3"/>
  <c r="AM129" i="3"/>
  <c r="O146" i="3"/>
  <c r="AL146" i="3"/>
  <c r="AM154" i="3"/>
  <c r="AL165" i="3"/>
  <c r="AM173" i="3"/>
  <c r="AL184" i="3"/>
  <c r="O190" i="3"/>
  <c r="O195" i="3"/>
  <c r="AM230" i="3"/>
  <c r="AL229" i="3"/>
  <c r="AM239" i="3"/>
  <c r="O250" i="3"/>
  <c r="AL273" i="3"/>
  <c r="AL285" i="3"/>
  <c r="AL298" i="3"/>
  <c r="AH97" i="3"/>
  <c r="AM227" i="3"/>
  <c r="AH257" i="3"/>
  <c r="AH125" i="3"/>
  <c r="O139" i="3"/>
  <c r="AM161" i="3"/>
  <c r="V182" i="3"/>
  <c r="AD199" i="3"/>
  <c r="AH72" i="3"/>
  <c r="AY199" i="3"/>
  <c r="AH139" i="3"/>
  <c r="AH176" i="3"/>
  <c r="O252" i="3"/>
  <c r="AI196" i="3"/>
  <c r="O89" i="3"/>
  <c r="X97" i="3"/>
  <c r="X55" i="3"/>
  <c r="AH24" i="3"/>
  <c r="AM237" i="3"/>
  <c r="X89" i="3"/>
  <c r="O6" i="3"/>
  <c r="AC104" i="3"/>
  <c r="X70" i="3"/>
  <c r="AD89" i="3"/>
  <c r="AM73" i="3"/>
  <c r="X6" i="3"/>
  <c r="O72" i="3"/>
  <c r="O201" i="3"/>
  <c r="V24" i="3"/>
  <c r="AH70" i="3"/>
  <c r="AM70" i="3"/>
  <c r="AH89" i="3"/>
  <c r="AM196" i="3"/>
  <c r="AH199" i="3"/>
  <c r="AH227" i="3"/>
  <c r="AT176" i="3"/>
  <c r="AL73" i="3"/>
  <c r="AH196" i="3"/>
  <c r="O267" i="3"/>
  <c r="AI199" i="3"/>
  <c r="X73" i="3"/>
  <c r="AC125" i="3"/>
  <c r="AM125" i="3"/>
  <c r="N199" i="3"/>
  <c r="O203" i="3"/>
  <c r="AD267" i="3"/>
  <c r="AO56" i="3"/>
  <c r="AM24" i="3"/>
  <c r="AL24" i="3"/>
  <c r="AM89" i="3"/>
  <c r="AH304" i="3"/>
  <c r="AT55" i="3"/>
  <c r="AM139" i="3"/>
  <c r="X56" i="3"/>
  <c r="V306" i="3"/>
  <c r="X24" i="3"/>
  <c r="AL29" i="3"/>
  <c r="AM72" i="3"/>
  <c r="AM203" i="3"/>
  <c r="O161" i="3"/>
  <c r="L199" i="3"/>
  <c r="L203" i="3"/>
  <c r="CZ72" i="3"/>
  <c r="V139" i="3"/>
  <c r="Y182" i="3"/>
  <c r="O306" i="3"/>
  <c r="X139" i="3"/>
  <c r="AL191" i="3"/>
  <c r="O227" i="3"/>
  <c r="CZ55" i="3"/>
  <c r="AL139" i="3"/>
  <c r="AC23" i="3"/>
  <c r="Z72" i="3"/>
  <c r="O257" i="3"/>
  <c r="AT6" i="3"/>
  <c r="AH6" i="3"/>
  <c r="AH13" i="3"/>
  <c r="O97" i="3"/>
  <c r="AH161" i="3"/>
  <c r="AL237" i="3"/>
  <c r="AC203" i="3"/>
  <c r="AD6" i="3"/>
  <c r="AL56" i="3"/>
  <c r="X243" i="3"/>
  <c r="AH267" i="3"/>
  <c r="X304" i="3"/>
  <c r="AC51" i="3"/>
  <c r="X161" i="3"/>
  <c r="AT237" i="3"/>
  <c r="AH237" i="3"/>
  <c r="AL252" i="3"/>
  <c r="AT124" i="3"/>
  <c r="AT203" i="3"/>
  <c r="AH203" i="3"/>
  <c r="AL124" i="3"/>
  <c r="AL196" i="3"/>
  <c r="AT267" i="3"/>
  <c r="AH93" i="3"/>
  <c r="CZ139" i="3"/>
  <c r="O24" i="3"/>
  <c r="X125" i="3"/>
  <c r="AH154" i="3"/>
  <c r="AC176" i="3"/>
  <c r="O182" i="3"/>
  <c r="X72" i="3"/>
  <c r="AL267" i="3"/>
  <c r="AL104" i="3"/>
  <c r="AD13" i="3"/>
  <c r="AL182" i="3"/>
  <c r="X51" i="3"/>
  <c r="AT191" i="3"/>
  <c r="AH191" i="3"/>
  <c r="AH124" i="3"/>
  <c r="AH29" i="3"/>
  <c r="V55" i="3"/>
  <c r="AL55" i="3"/>
  <c r="AD154" i="3"/>
  <c r="V23" i="3"/>
  <c r="AC93" i="3"/>
  <c r="X196" i="3"/>
  <c r="DO243" i="3"/>
  <c r="O70" i="3"/>
  <c r="AM93" i="3"/>
  <c r="O125" i="3"/>
  <c r="AL70" i="3"/>
  <c r="AL176" i="3"/>
  <c r="O196" i="3"/>
  <c r="AC306" i="3"/>
  <c r="AM267" i="3"/>
  <c r="AC304" i="3"/>
  <c r="Z306" i="3"/>
  <c r="AL51" i="3"/>
  <c r="AH56" i="3"/>
  <c r="AM97" i="3"/>
  <c r="AM199" i="3"/>
  <c r="AL13" i="3"/>
  <c r="AM13" i="3"/>
  <c r="AL201" i="3"/>
  <c r="O243" i="3"/>
  <c r="O51" i="3"/>
  <c r="O73" i="3"/>
  <c r="AL161" i="3"/>
  <c r="AL199" i="3"/>
  <c r="L227" i="3"/>
  <c r="AL23" i="3"/>
  <c r="AM55" i="3"/>
  <c r="AL154" i="3"/>
  <c r="AM176" i="3"/>
  <c r="AM252" i="3"/>
  <c r="L201" i="3"/>
  <c r="AM69" i="3"/>
  <c r="L207" i="3"/>
  <c r="L209" i="3"/>
  <c r="L211" i="3"/>
  <c r="L212" i="3"/>
  <c r="L258" i="3"/>
  <c r="AI275" i="3"/>
  <c r="N211" i="3"/>
  <c r="N212" i="3"/>
  <c r="N258" i="3"/>
  <c r="AY258" i="3"/>
  <c r="AY263" i="3"/>
  <c r="AY275" i="3"/>
  <c r="V211" i="3"/>
  <c r="V258" i="3"/>
  <c r="L263" i="3"/>
  <c r="L275" i="3"/>
  <c r="W211" i="3"/>
  <c r="W212" i="3"/>
  <c r="W258" i="3"/>
  <c r="N263" i="3"/>
  <c r="N275" i="3"/>
  <c r="AC69" i="3"/>
  <c r="AC85" i="3"/>
  <c r="X209" i="3"/>
  <c r="X187" i="3"/>
  <c r="AN194" i="3"/>
  <c r="AP194" i="3"/>
  <c r="AO194" i="3"/>
  <c r="X207" i="3"/>
  <c r="X211" i="3"/>
  <c r="AD69" i="3"/>
  <c r="AC88" i="3"/>
  <c r="AC84" i="3"/>
  <c r="Y145" i="3"/>
  <c r="Y207" i="3"/>
  <c r="Y185" i="3"/>
  <c r="Y187" i="3"/>
  <c r="N88" i="3"/>
  <c r="O132" i="3"/>
  <c r="AT21" i="3"/>
  <c r="AH114" i="3"/>
  <c r="AT85" i="3"/>
  <c r="AD114" i="3"/>
  <c r="AC121" i="3"/>
  <c r="AC185" i="3"/>
  <c r="Z185" i="3"/>
  <c r="Z187" i="3"/>
  <c r="Z194" i="3"/>
  <c r="AI69" i="3"/>
  <c r="AI85" i="3"/>
  <c r="AC130" i="3"/>
  <c r="AC149" i="3"/>
  <c r="AY69" i="3"/>
  <c r="AY84" i="3"/>
  <c r="AP85" i="3"/>
  <c r="AI114" i="3"/>
  <c r="AD130" i="3"/>
  <c r="AD132" i="3"/>
  <c r="AD149" i="3"/>
  <c r="AD187" i="3"/>
  <c r="L69" i="3"/>
  <c r="L85" i="3"/>
  <c r="AY88" i="3"/>
  <c r="AT130" i="3"/>
  <c r="AH132" i="3"/>
  <c r="AT149" i="3"/>
  <c r="O47" i="3"/>
  <c r="W88" i="3"/>
  <c r="W114" i="3"/>
  <c r="N130" i="3"/>
  <c r="N132" i="3"/>
  <c r="N145" i="3"/>
  <c r="N149" i="3"/>
  <c r="N172" i="3"/>
  <c r="N185" i="3"/>
  <c r="L187" i="3"/>
  <c r="L194" i="3"/>
  <c r="AH207" i="3"/>
  <c r="AD258" i="3"/>
  <c r="Z263" i="3"/>
  <c r="AM209" i="3"/>
  <c r="Y47" i="3"/>
  <c r="Y58" i="3"/>
  <c r="Y69" i="3"/>
  <c r="Y85" i="3"/>
  <c r="V130" i="3"/>
  <c r="V132" i="3"/>
  <c r="V145" i="3"/>
  <c r="V185" i="3"/>
  <c r="N187" i="3"/>
  <c r="N194" i="3"/>
  <c r="AI207" i="3"/>
  <c r="AI209" i="3"/>
  <c r="AI211" i="3"/>
  <c r="AH258" i="3"/>
  <c r="AD194" i="3"/>
  <c r="Y209" i="3"/>
  <c r="Y211" i="3"/>
  <c r="V263" i="3"/>
  <c r="V275" i="3"/>
  <c r="AM47" i="3"/>
  <c r="N85" i="3"/>
  <c r="L88" i="3"/>
  <c r="L114" i="3"/>
  <c r="AY114" i="3"/>
  <c r="AI130" i="3"/>
  <c r="AI132" i="3"/>
  <c r="AI145" i="3"/>
  <c r="AI149" i="3"/>
  <c r="AI185" i="3"/>
  <c r="AT194" i="3"/>
  <c r="Z207" i="3"/>
  <c r="Z209" i="3"/>
  <c r="Z211" i="3"/>
  <c r="Y212" i="3"/>
  <c r="Y258" i="3"/>
  <c r="W263" i="3"/>
  <c r="W275" i="3"/>
  <c r="AM187" i="3"/>
  <c r="N114" i="3"/>
  <c r="AY130" i="3"/>
  <c r="AY132" i="3"/>
  <c r="AY145" i="3"/>
  <c r="AY149" i="3"/>
  <c r="AI187" i="3"/>
  <c r="AI194" i="3"/>
  <c r="AC211" i="3"/>
  <c r="Z212" i="3"/>
  <c r="W69" i="3"/>
  <c r="W85" i="3"/>
  <c r="V88" i="3"/>
  <c r="V114" i="3"/>
  <c r="L130" i="3"/>
  <c r="L132" i="3"/>
  <c r="L145" i="3"/>
  <c r="L149" i="3"/>
  <c r="L185" i="3"/>
  <c r="AY185" i="3"/>
  <c r="AY187" i="3"/>
  <c r="AD207" i="3"/>
  <c r="AD209" i="3"/>
  <c r="AD211" i="3"/>
  <c r="AC212" i="3"/>
  <c r="Y263" i="3"/>
  <c r="Y275" i="3"/>
  <c r="Z47" i="3"/>
  <c r="Z54" i="3"/>
  <c r="Z58" i="3"/>
  <c r="Z69" i="3"/>
  <c r="Z84" i="3"/>
  <c r="Z85" i="3"/>
  <c r="Y88" i="3"/>
  <c r="Y114" i="3"/>
  <c r="X121" i="3"/>
  <c r="W130" i="3"/>
  <c r="W132" i="3"/>
  <c r="W145" i="3"/>
  <c r="W172" i="3"/>
  <c r="V187" i="3"/>
  <c r="AY207" i="3"/>
  <c r="AY209" i="3"/>
  <c r="AI212" i="3"/>
  <c r="AI258" i="3"/>
  <c r="AD263" i="3"/>
  <c r="AD275" i="3"/>
  <c r="X149" i="3"/>
  <c r="AM58" i="3"/>
  <c r="AM145" i="3"/>
  <c r="AM114" i="3"/>
  <c r="X275" i="3"/>
  <c r="AP121" i="3"/>
  <c r="AH21" i="3"/>
  <c r="O268" i="3"/>
  <c r="AT258" i="3"/>
  <c r="X84" i="3"/>
  <c r="AP149" i="3"/>
  <c r="AH172" i="3"/>
  <c r="AN172" i="3"/>
  <c r="AM200" i="3"/>
  <c r="AM211" i="3"/>
  <c r="AL263" i="3"/>
  <c r="O212" i="3"/>
  <c r="AM113" i="3"/>
  <c r="X85" i="3"/>
  <c r="AM279" i="3"/>
  <c r="AH309" i="3"/>
  <c r="AH58" i="3"/>
  <c r="AL187" i="3"/>
  <c r="AJ153" i="3"/>
  <c r="AP211" i="3"/>
  <c r="O187" i="3"/>
  <c r="AH187" i="3"/>
  <c r="O58" i="3"/>
  <c r="X172" i="3"/>
  <c r="Y110" i="3"/>
  <c r="AT207" i="3"/>
  <c r="AH47" i="3"/>
  <c r="X58" i="3"/>
  <c r="X212" i="3"/>
  <c r="AM194" i="3"/>
  <c r="AK212" i="3"/>
  <c r="X253" i="3"/>
  <c r="V149" i="3"/>
  <c r="AT211" i="3"/>
  <c r="AH211" i="3"/>
  <c r="AC263" i="3"/>
  <c r="AC275" i="3"/>
  <c r="AT153" i="3"/>
  <c r="AH153" i="3"/>
  <c r="AC169" i="3"/>
  <c r="AH69" i="3"/>
  <c r="AG149" i="3"/>
  <c r="AC114" i="3"/>
  <c r="AN275" i="3"/>
  <c r="AH85" i="3"/>
  <c r="AW279" i="3"/>
  <c r="X279" i="3"/>
  <c r="AM85" i="3"/>
  <c r="AM185" i="3"/>
  <c r="AH194" i="3"/>
  <c r="O275" i="3"/>
  <c r="O178" i="3"/>
  <c r="AT132" i="3"/>
  <c r="O54" i="3"/>
  <c r="AL84" i="3"/>
  <c r="O114" i="3"/>
  <c r="AM149" i="3"/>
  <c r="AC258" i="3"/>
  <c r="AL258" i="3"/>
  <c r="AM263" i="3"/>
  <c r="AL275" i="3"/>
  <c r="O121" i="3"/>
  <c r="AM172" i="3"/>
  <c r="O194" i="3"/>
  <c r="O209" i="3"/>
  <c r="AH212" i="3"/>
  <c r="AH149" i="3"/>
  <c r="AM122" i="3"/>
  <c r="AM130" i="3"/>
  <c r="AM275" i="3"/>
  <c r="Y260" i="3"/>
  <c r="Y41" i="3"/>
  <c r="AC21" i="3"/>
  <c r="O122" i="3"/>
  <c r="AL194" i="3"/>
  <c r="AC207" i="3"/>
  <c r="AC132" i="3"/>
  <c r="Z258" i="3"/>
  <c r="AL113" i="3"/>
  <c r="O200" i="3"/>
  <c r="O211" i="3"/>
  <c r="AT84" i="3"/>
  <c r="AH84" i="3"/>
  <c r="AD85" i="3"/>
  <c r="AC209" i="3"/>
  <c r="AT169" i="3"/>
  <c r="AH169" i="3"/>
  <c r="AL185" i="3"/>
  <c r="X88" i="3"/>
  <c r="V58" i="3"/>
  <c r="O258" i="3"/>
  <c r="V194" i="3"/>
  <c r="AO85" i="3"/>
  <c r="X47" i="3"/>
  <c r="W187" i="3"/>
  <c r="AP309" i="3"/>
  <c r="X309" i="3"/>
  <c r="AC145" i="3"/>
  <c r="AL279" i="3"/>
  <c r="AL47" i="3"/>
  <c r="V69" i="3"/>
  <c r="O130" i="3"/>
  <c r="AL130" i="3"/>
  <c r="O153" i="3"/>
  <c r="V85" i="3"/>
  <c r="AV258" i="3"/>
  <c r="AK258" i="3"/>
  <c r="V212" i="3"/>
  <c r="X114" i="3"/>
  <c r="AT279" i="3"/>
  <c r="AH279" i="3"/>
  <c r="AM54" i="3"/>
  <c r="AL211" i="3"/>
  <c r="AD54" i="3"/>
  <c r="AN84" i="3"/>
  <c r="AP275" i="3"/>
  <c r="AH145" i="3"/>
  <c r="AT54" i="3"/>
  <c r="AH54" i="3"/>
  <c r="AC194" i="3"/>
  <c r="W153" i="3"/>
  <c r="AH185" i="3"/>
  <c r="AL280" i="3"/>
  <c r="AT88" i="3"/>
  <c r="AD212" i="3"/>
  <c r="AL54" i="3"/>
  <c r="AO58" i="3"/>
  <c r="X69" i="3"/>
  <c r="AL21" i="3"/>
  <c r="AM21" i="3"/>
  <c r="AM88" i="3"/>
  <c r="X153" i="3"/>
  <c r="O169" i="3"/>
  <c r="AM212" i="3"/>
  <c r="W209" i="3"/>
  <c r="AL58" i="3"/>
  <c r="AE185" i="3"/>
  <c r="AD121" i="3"/>
  <c r="X258" i="3"/>
  <c r="AM132" i="3"/>
  <c r="O172" i="3"/>
  <c r="AP169" i="3"/>
  <c r="AT275" i="3"/>
  <c r="AH275" i="3"/>
  <c r="AP279" i="3"/>
  <c r="O145" i="3"/>
  <c r="AL200" i="3"/>
  <c r="AL212" i="3"/>
  <c r="AM309" i="3"/>
  <c r="AT209" i="3"/>
  <c r="AH209" i="3"/>
  <c r="O84" i="3"/>
  <c r="AH130" i="3"/>
  <c r="AM153" i="3"/>
  <c r="AM207" i="3"/>
  <c r="AH263" i="3"/>
  <c r="AL309" i="3"/>
  <c r="X21" i="3"/>
  <c r="AP263" i="3"/>
  <c r="X263" i="3"/>
  <c r="AL268" i="3"/>
  <c r="AM121" i="3"/>
  <c r="AM169" i="3"/>
  <c r="AM178" i="3"/>
  <c r="O202" i="3"/>
  <c r="O280" i="3"/>
  <c r="O149" i="3"/>
  <c r="O21" i="3"/>
  <c r="AL93" i="3"/>
  <c r="AL38" i="3"/>
  <c r="AL32" i="3"/>
  <c r="AL150" i="3"/>
  <c r="AL158" i="3"/>
  <c r="O63" i="3"/>
  <c r="AL125" i="3"/>
  <c r="AL149" i="3"/>
  <c r="AL156" i="3"/>
  <c r="AL85" i="3"/>
  <c r="AL46" i="3"/>
  <c r="AL90" i="3"/>
  <c r="AL174" i="3"/>
  <c r="O27" i="3"/>
  <c r="AL48" i="3"/>
  <c r="AL53" i="3"/>
  <c r="AL72" i="3"/>
  <c r="O77" i="3"/>
  <c r="AL145" i="3"/>
  <c r="O52" i="3"/>
  <c r="O92" i="3"/>
  <c r="AL160" i="3"/>
  <c r="AM127" i="3"/>
  <c r="AL99" i="3"/>
  <c r="O4" i="3"/>
  <c r="O113" i="3"/>
  <c r="O23" i="3"/>
  <c r="AL159" i="3"/>
  <c r="AL179" i="3"/>
  <c r="AL7" i="3"/>
  <c r="AL6" i="3"/>
  <c r="AM11" i="3"/>
  <c r="AL43" i="3"/>
  <c r="AL74" i="3"/>
  <c r="AL89" i="3"/>
  <c r="AL12" i="3"/>
  <c r="AL34" i="3"/>
  <c r="O104" i="3"/>
  <c r="O116" i="3"/>
  <c r="AL121" i="3"/>
  <c r="AM157" i="3"/>
  <c r="O158" i="3"/>
  <c r="O93" i="3"/>
  <c r="O108" i="3"/>
  <c r="AL114" i="3"/>
  <c r="AL142" i="3"/>
  <c r="O55" i="3"/>
  <c r="O69" i="3"/>
  <c r="AL76" i="3"/>
  <c r="O88" i="3"/>
  <c r="O154" i="3"/>
  <c r="AL153" i="3"/>
  <c r="AL164" i="3"/>
  <c r="O176" i="3"/>
  <c r="AL207" i="3"/>
  <c r="AM84" i="3"/>
  <c r="AL80" i="3"/>
  <c r="AL83" i="3"/>
  <c r="AL86" i="3"/>
  <c r="AL88" i="3"/>
  <c r="AL95" i="3"/>
  <c r="O111" i="3"/>
  <c r="O127" i="3"/>
  <c r="AL202" i="3"/>
  <c r="O167" i="3"/>
  <c r="O177" i="3"/>
  <c r="AL238" i="3"/>
  <c r="AL77" i="3"/>
  <c r="AM96" i="3"/>
  <c r="AL97" i="3"/>
  <c r="O103" i="3"/>
  <c r="AL136" i="3"/>
  <c r="AL168" i="3"/>
  <c r="AL167" i="3"/>
  <c r="AM95" i="3"/>
  <c r="AL96" i="3"/>
  <c r="AM143" i="3"/>
  <c r="AL166" i="3"/>
  <c r="AL190" i="3"/>
  <c r="O85" i="3"/>
  <c r="AL135" i="3"/>
  <c r="AM136" i="3"/>
  <c r="O185" i="3"/>
  <c r="AL69" i="3"/>
  <c r="AL100" i="3"/>
  <c r="AL105" i="3"/>
  <c r="AL129" i="3"/>
  <c r="AL163" i="3"/>
  <c r="AL249" i="3"/>
  <c r="O76" i="3"/>
  <c r="AL122" i="3"/>
  <c r="AL134" i="3"/>
  <c r="O144" i="3"/>
  <c r="O160" i="3"/>
  <c r="O174" i="3"/>
  <c r="O181" i="3"/>
  <c r="AL147" i="3"/>
  <c r="AL183" i="3"/>
  <c r="AL208" i="3"/>
  <c r="AL209" i="3"/>
  <c r="AM219" i="3"/>
  <c r="AL102" i="3"/>
  <c r="AL120" i="3"/>
  <c r="AL132" i="3"/>
  <c r="AL189" i="3"/>
  <c r="O224" i="3"/>
  <c r="AL126" i="3"/>
  <c r="AL177" i="3"/>
  <c r="AL217" i="3"/>
  <c r="AL103" i="3"/>
  <c r="AL172" i="3"/>
  <c r="O192" i="3"/>
  <c r="AL192" i="3"/>
  <c r="AL123" i="3"/>
  <c r="AL143" i="3"/>
  <c r="AL157" i="3"/>
  <c r="AL173" i="3"/>
  <c r="AL178" i="3"/>
  <c r="AL236" i="3"/>
  <c r="AL92" i="3"/>
  <c r="AL169" i="3"/>
  <c r="AL180" i="3"/>
  <c r="AL181" i="3"/>
  <c r="O191" i="3"/>
  <c r="AL210" i="3"/>
  <c r="AL222" i="3"/>
  <c r="AL227" i="3"/>
  <c r="AM245" i="3"/>
  <c r="AL261" i="3"/>
  <c r="O230" i="3"/>
  <c r="AM189" i="3"/>
  <c r="AM202" i="3"/>
  <c r="AM201" i="3"/>
  <c r="O234" i="3"/>
  <c r="O237" i="3"/>
  <c r="AL242" i="3"/>
  <c r="AL250" i="3"/>
  <c r="AM222" i="3"/>
  <c r="AM223" i="3"/>
  <c r="AL203" i="3"/>
  <c r="O238" i="3"/>
  <c r="AM215" i="3"/>
  <c r="AL230" i="3"/>
  <c r="O242" i="3"/>
  <c r="AL257" i="3"/>
  <c r="AM224" i="3"/>
  <c r="AL243" i="3"/>
  <c r="AL245" i="3"/>
  <c r="AL272" i="3"/>
  <c r="AL299" i="3"/>
  <c r="AL282" i="3"/>
  <c r="O308" i="3"/>
  <c r="AH323" i="3"/>
  <c r="AT323" i="3" s="1"/>
  <c r="AL264" i="3"/>
  <c r="AL276" i="3"/>
  <c r="AL286" i="3"/>
  <c r="AL295" i="3"/>
  <c r="O304" i="3"/>
  <c r="AL308" i="3"/>
  <c r="AA174" i="3"/>
  <c r="AG174" i="3"/>
  <c r="AM234" i="3"/>
  <c r="AM250" i="3"/>
  <c r="AM258" i="3"/>
  <c r="O263" i="3"/>
  <c r="AM271" i="3"/>
  <c r="AA280" i="3"/>
  <c r="AT289" i="3"/>
  <c r="AH289" i="3"/>
  <c r="AE322" i="3"/>
  <c r="AL262" i="3"/>
  <c r="CZ280" i="3"/>
  <c r="AM220" i="3"/>
  <c r="AM243" i="3"/>
  <c r="O293" i="3"/>
  <c r="AL304" i="3"/>
  <c r="AM306" i="3"/>
  <c r="AL315" i="3"/>
  <c r="AM257" i="3"/>
  <c r="AL255" i="3"/>
  <c r="AL287" i="3"/>
  <c r="AU293" i="3"/>
  <c r="AJ293" i="3"/>
  <c r="AL259" i="3"/>
  <c r="AM280" i="3"/>
  <c r="O279" i="3"/>
  <c r="AA255" i="3"/>
  <c r="W301" i="3"/>
  <c r="AP181" i="3"/>
  <c r="X317" i="3"/>
  <c r="AC326" i="3"/>
  <c r="AL293" i="3"/>
  <c r="AL319" i="3"/>
  <c r="O328" i="3"/>
  <c r="AE280" i="3"/>
  <c r="AE310" i="3"/>
  <c r="CA326" i="3"/>
  <c r="W326" i="3"/>
  <c r="CP315" i="3"/>
  <c r="AN226" i="3"/>
  <c r="O291" i="3"/>
  <c r="AL302" i="3"/>
  <c r="AT317" i="3"/>
  <c r="AH317" i="3"/>
  <c r="AO326" i="3"/>
  <c r="AX326" i="3"/>
  <c r="AP19" i="3"/>
  <c r="AM304" i="3"/>
  <c r="AM314" i="3"/>
  <c r="AL328" i="3"/>
  <c r="AE229" i="3"/>
  <c r="AC298" i="3"/>
  <c r="W259" i="3"/>
  <c r="AG96" i="3"/>
  <c r="AA96" i="3"/>
  <c r="AM276" i="3"/>
  <c r="AL314" i="3"/>
  <c r="AL317" i="3"/>
  <c r="W308" i="3"/>
  <c r="AE311" i="3"/>
  <c r="AM255" i="3"/>
  <c r="AM264" i="3"/>
  <c r="AL274" i="3"/>
  <c r="AM303" i="3"/>
  <c r="AL306" i="3"/>
  <c r="AM307" i="3"/>
  <c r="O324" i="3"/>
  <c r="AE213" i="3"/>
  <c r="AE315" i="3"/>
  <c r="AD318" i="3"/>
  <c r="AV313" i="3"/>
  <c r="AK313" i="3"/>
  <c r="O311" i="3"/>
  <c r="AO317" i="3"/>
  <c r="AX317" i="3"/>
  <c r="AJ113" i="3"/>
  <c r="P4" i="15"/>
  <c r="AA226" i="3"/>
  <c r="AG226" i="3"/>
  <c r="AX325" i="3"/>
  <c r="AO325" i="3"/>
  <c r="AG142" i="3"/>
  <c r="AA142" i="3"/>
  <c r="Y65" i="3"/>
  <c r="AG175" i="3"/>
  <c r="AE291" i="3"/>
  <c r="AP33" i="3"/>
  <c r="AP136" i="3"/>
  <c r="AM236" i="3"/>
  <c r="AM288" i="3"/>
  <c r="AL320" i="3"/>
  <c r="AP200" i="3"/>
  <c r="AE262" i="3"/>
  <c r="AP273" i="3"/>
  <c r="AV320" i="3"/>
  <c r="AK320" i="3"/>
  <c r="AA202" i="3"/>
  <c r="AG193" i="3"/>
  <c r="AC323" i="3"/>
  <c r="AL321" i="3"/>
  <c r="AL323" i="3"/>
  <c r="AE286" i="3"/>
  <c r="W286" i="3"/>
  <c r="AE269" i="3"/>
  <c r="AP71" i="3"/>
  <c r="V286" i="3"/>
  <c r="AP95" i="3"/>
  <c r="AP268" i="3"/>
  <c r="AO276" i="3"/>
  <c r="AP40" i="3"/>
  <c r="AA219" i="3"/>
  <c r="AP231" i="3"/>
  <c r="AO239" i="3"/>
  <c r="AN239" i="3"/>
  <c r="AA285" i="3"/>
  <c r="Y310" i="3"/>
  <c r="AP328" i="3"/>
  <c r="AP78" i="3"/>
  <c r="AP325" i="3"/>
  <c r="Y61" i="3"/>
  <c r="X83" i="3"/>
  <c r="AP122" i="3"/>
  <c r="AP64" i="3"/>
  <c r="AO262" i="3"/>
  <c r="AN262" i="3"/>
  <c r="AE103" i="3"/>
  <c r="AP43" i="3"/>
  <c r="AG109" i="3"/>
  <c r="AJ109" i="3"/>
  <c r="W186" i="3"/>
  <c r="AJ276" i="3"/>
  <c r="AN268" i="3"/>
  <c r="AJ239" i="3"/>
  <c r="AP90" i="3"/>
  <c r="AE174" i="3"/>
  <c r="AP36" i="3"/>
  <c r="AA94" i="3"/>
  <c r="AP210" i="3"/>
  <c r="AP311" i="3"/>
  <c r="AP53" i="3"/>
  <c r="AP272" i="3"/>
  <c r="AE193" i="3"/>
  <c r="AP278" i="3"/>
  <c r="AP30" i="3"/>
  <c r="AP312" i="3"/>
  <c r="AP167" i="3"/>
  <c r="AE160" i="3"/>
  <c r="AG219" i="3"/>
  <c r="M4" i="15"/>
  <c r="AP207" i="3"/>
  <c r="AP285" i="3"/>
  <c r="AP147" i="3"/>
  <c r="AP35" i="3"/>
  <c r="AP303" i="3"/>
  <c r="AP158" i="3"/>
  <c r="Y317" i="3"/>
  <c r="AP192" i="3"/>
  <c r="AE239" i="3"/>
  <c r="AP271" i="3"/>
  <c r="AJ219" i="3"/>
  <c r="AO219" i="3"/>
  <c r="AP223" i="3"/>
  <c r="AP188" i="3"/>
  <c r="AP91" i="3"/>
  <c r="AO295" i="3"/>
  <c r="AN295" i="3"/>
  <c r="AJ295" i="3"/>
  <c r="O4" i="15"/>
  <c r="AP82" i="3"/>
  <c r="AO89" i="3"/>
  <c r="AS318" i="3"/>
  <c r="AG318" i="3"/>
  <c r="AX321" i="3"/>
  <c r="AO321" i="3"/>
  <c r="AP140" i="3"/>
  <c r="AO152" i="3"/>
  <c r="AN152" i="3"/>
  <c r="AJ152" i="3"/>
  <c r="AG100" i="3"/>
  <c r="AN94" i="3"/>
  <c r="AP144" i="3"/>
  <c r="AP230" i="3"/>
  <c r="AP31" i="3"/>
  <c r="AP321" i="3"/>
  <c r="AA195" i="3"/>
  <c r="AG195" i="3"/>
  <c r="AP3" i="3"/>
  <c r="AP86" i="3"/>
  <c r="AN142" i="3"/>
  <c r="AO142" i="3"/>
  <c r="AP131" i="3"/>
  <c r="AP101" i="3"/>
  <c r="Q4" i="15"/>
  <c r="AP29" i="3"/>
  <c r="AP159" i="3"/>
  <c r="AO162" i="3"/>
  <c r="AN162" i="3"/>
  <c r="AP256" i="3"/>
  <c r="AP242" i="3"/>
  <c r="N4" i="15"/>
  <c r="AG262" i="3"/>
  <c r="AA262" i="3"/>
  <c r="AP307" i="3"/>
  <c r="AP123" i="3"/>
  <c r="AP176" i="3"/>
  <c r="AN153" i="3"/>
  <c r="AP224" i="3"/>
  <c r="AO173" i="3"/>
  <c r="S4" i="15"/>
  <c r="AP54" i="3"/>
  <c r="AP132" i="3"/>
  <c r="AP114" i="3"/>
  <c r="AP165" i="3"/>
  <c r="AO190" i="3"/>
  <c r="AN190" i="3"/>
  <c r="AJ190" i="3"/>
  <c r="AP238" i="3"/>
  <c r="AP297" i="3"/>
  <c r="AP32" i="3"/>
  <c r="AP109" i="3"/>
  <c r="Y51" i="3"/>
  <c r="AC56" i="3"/>
  <c r="AP154" i="3"/>
  <c r="AP84" i="3"/>
  <c r="W237" i="3"/>
  <c r="AP21" i="3"/>
  <c r="AC267" i="3"/>
  <c r="AN114" i="3"/>
  <c r="AJ55" i="3"/>
  <c r="AP212" i="3"/>
  <c r="AN258" i="3"/>
  <c r="X201" i="3"/>
  <c r="Z89" i="3"/>
  <c r="AJ97" i="3"/>
  <c r="AK25" i="3" l="1"/>
  <c r="AP25" i="3"/>
  <c r="AO119" i="3"/>
  <c r="AJ128" i="3"/>
  <c r="AK117" i="3"/>
  <c r="AN67" i="3"/>
  <c r="AP67" i="3"/>
  <c r="AE216" i="3"/>
  <c r="AP270" i="3"/>
  <c r="AO270" i="3"/>
  <c r="AT277" i="3"/>
  <c r="AN270" i="3"/>
  <c r="AK270" i="3"/>
  <c r="AK300" i="3"/>
  <c r="AP300" i="3"/>
  <c r="AJ300" i="3"/>
  <c r="AE277" i="3"/>
  <c r="AC246" i="3"/>
  <c r="AP277" i="3"/>
  <c r="AG270" i="3"/>
  <c r="AK260" i="3"/>
  <c r="AA270" i="3"/>
  <c r="AE110" i="3"/>
  <c r="AP260" i="3"/>
  <c r="X67" i="3"/>
  <c r="AA60" i="3"/>
  <c r="AT41" i="3"/>
  <c r="AE265" i="3"/>
  <c r="AC41" i="3"/>
  <c r="AE60" i="3"/>
  <c r="AC60" i="3"/>
  <c r="Y60" i="3"/>
  <c r="AT60" i="3"/>
  <c r="X294" i="3"/>
  <c r="AA67" i="3"/>
  <c r="X60" i="3"/>
  <c r="AE300" i="3"/>
  <c r="AT265" i="3"/>
  <c r="AO260" i="3"/>
  <c r="AA137" i="3"/>
  <c r="X137" i="3"/>
  <c r="AP62" i="3"/>
  <c r="AN260" i="3"/>
  <c r="Y67" i="3"/>
  <c r="AC67" i="3"/>
  <c r="AC117" i="3"/>
  <c r="AO300" i="3"/>
  <c r="AG281" i="3"/>
  <c r="AA281" i="3"/>
  <c r="AN300" i="3"/>
  <c r="AJ62" i="3"/>
  <c r="AJ270" i="3"/>
  <c r="AA110" i="3"/>
  <c r="AE5" i="3"/>
  <c r="A8" i="19"/>
  <c r="A10" i="19"/>
  <c r="A4" i="19"/>
  <c r="A6" i="19"/>
  <c r="A3" i="19"/>
  <c r="A7" i="19"/>
  <c r="A9" i="19"/>
  <c r="AC119" i="3"/>
  <c r="AJ283" i="3"/>
  <c r="AC260" i="3"/>
  <c r="AE41" i="3"/>
  <c r="W137" i="3"/>
  <c r="AE246" i="3"/>
  <c r="AE260" i="3"/>
  <c r="AT253" i="3"/>
  <c r="AT260" i="3"/>
  <c r="AP283" i="3"/>
  <c r="C8" i="4"/>
  <c r="J8" i="4"/>
  <c r="Q8" i="4"/>
  <c r="Y246" i="3"/>
  <c r="AT246" i="3"/>
  <c r="X117" i="3"/>
  <c r="AP137" i="3"/>
  <c r="AK137" i="3"/>
  <c r="AO137" i="3"/>
  <c r="X241" i="3"/>
  <c r="AN253" i="3"/>
  <c r="AP253" i="3"/>
  <c r="AT110" i="3"/>
  <c r="AK41" i="3"/>
  <c r="AN41" i="3"/>
  <c r="AO41" i="3"/>
  <c r="AP41" i="3"/>
  <c r="AK67" i="3"/>
  <c r="AJ67" i="3"/>
  <c r="AT62" i="3"/>
  <c r="AE62" i="3"/>
  <c r="Y119" i="3"/>
  <c r="AT137" i="3"/>
  <c r="AA62" i="3"/>
  <c r="AT294" i="3"/>
  <c r="AU270" i="3"/>
  <c r="Y241" i="3"/>
  <c r="AT67" i="3"/>
  <c r="AT128" i="3"/>
  <c r="AP281" i="3"/>
  <c r="AT216" i="3"/>
  <c r="X119" i="3"/>
  <c r="AJ204" i="3"/>
  <c r="Y117" i="3"/>
  <c r="AJ198" i="3"/>
  <c r="W128" i="3"/>
  <c r="W119" i="3"/>
  <c r="AE128" i="3"/>
  <c r="AA198" i="3"/>
  <c r="AE171" i="3"/>
  <c r="AT117" i="3"/>
  <c r="AJ281" i="3"/>
  <c r="AT171" i="3"/>
  <c r="AP204" i="3"/>
  <c r="AE198" i="3"/>
  <c r="AE117" i="3"/>
  <c r="AE204" i="3"/>
  <c r="AN198" i="3"/>
  <c r="AO198" i="3"/>
  <c r="AP265" i="3"/>
  <c r="AG198" i="3"/>
  <c r="AA204" i="3"/>
  <c r="AF294" i="3"/>
  <c r="AP171" i="3"/>
  <c r="AU327" i="3"/>
  <c r="AJ265" i="3"/>
  <c r="AJ216" i="3"/>
  <c r="AE294" i="3"/>
  <c r="AK198" i="3"/>
  <c r="AT119" i="3"/>
  <c r="AE119" i="3"/>
  <c r="AJ171" i="3"/>
  <c r="AN62" i="3"/>
  <c r="AF290" i="3"/>
  <c r="AA283" i="3"/>
  <c r="AA327" i="3"/>
  <c r="AF270" i="3"/>
  <c r="AO62" i="3"/>
  <c r="AK216" i="3"/>
  <c r="AK110" i="3"/>
  <c r="AJ110" i="3"/>
  <c r="X110" i="3"/>
  <c r="AU265" i="3"/>
  <c r="AN283" i="3"/>
  <c r="AK277" i="3"/>
  <c r="AF283" i="3"/>
  <c r="X41" i="3"/>
  <c r="AP198" i="3"/>
  <c r="AA265" i="3"/>
  <c r="AA171" i="3"/>
  <c r="AG283" i="3"/>
  <c r="AW300" i="3"/>
  <c r="AN277" i="3"/>
  <c r="AG216" i="3"/>
  <c r="AN171" i="3"/>
  <c r="AG62" i="3"/>
  <c r="AN265" i="3"/>
  <c r="AV327" i="3"/>
  <c r="AK327" i="3"/>
  <c r="AK283" i="3"/>
  <c r="AF281" i="3"/>
  <c r="X25" i="3"/>
  <c r="AJ25" i="3"/>
  <c r="AO25" i="3"/>
  <c r="AN25" i="3"/>
  <c r="AN204" i="3"/>
  <c r="AJ246" i="3"/>
  <c r="AK246" i="3"/>
  <c r="X246" i="3"/>
  <c r="AG277" i="3"/>
  <c r="AK204" i="3"/>
  <c r="AS327" i="3"/>
  <c r="AG327" i="3"/>
  <c r="AN241" i="3"/>
  <c r="X290" i="3"/>
  <c r="AF265" i="3"/>
  <c r="AO171" i="3"/>
  <c r="AX300" i="3"/>
  <c r="AO277" i="3"/>
  <c r="AR327" i="3"/>
  <c r="AF327" i="3"/>
  <c r="AF260" i="3"/>
  <c r="AE253" i="3"/>
  <c r="AG265" i="3"/>
  <c r="AK171" i="3"/>
  <c r="AO283" i="3"/>
  <c r="AK265" i="3"/>
  <c r="AW327" i="3"/>
  <c r="AN327" i="3"/>
  <c r="AA277" i="3"/>
  <c r="AK62" i="3"/>
  <c r="AA25" i="3"/>
  <c r="W25" i="3"/>
  <c r="AG171" i="3"/>
  <c r="AX327" i="3"/>
  <c r="AO327" i="3"/>
  <c r="AO265" i="3"/>
  <c r="AE241" i="3"/>
  <c r="AO253" i="3"/>
  <c r="AA216" i="3"/>
  <c r="AA5" i="3"/>
  <c r="X5" i="3"/>
  <c r="AN5" i="3"/>
  <c r="AJ5" i="3"/>
  <c r="AK5" i="3"/>
  <c r="AO5" i="3"/>
  <c r="AG204" i="3"/>
  <c r="AU283" i="3"/>
  <c r="AG300" i="3"/>
  <c r="AA300" i="3"/>
  <c r="X128" i="3"/>
  <c r="AF300" i="3"/>
  <c r="AA260" i="3"/>
  <c r="Y253" i="3"/>
  <c r="AO204" i="3"/>
  <c r="AK253" i="3"/>
  <c r="AN246" i="3"/>
  <c r="AP23" i="3"/>
  <c r="AP161" i="3"/>
  <c r="AN89" i="3"/>
  <c r="AT199" i="3"/>
  <c r="AJ252" i="3"/>
  <c r="AG182" i="3"/>
  <c r="AP243" i="3"/>
  <c r="X93" i="3"/>
  <c r="AT73" i="3"/>
  <c r="AN73" i="3"/>
  <c r="AP56" i="3"/>
  <c r="AP89" i="3"/>
  <c r="W139" i="3"/>
  <c r="AE125" i="3"/>
  <c r="Y72" i="3"/>
  <c r="AE104" i="3"/>
  <c r="AT304" i="3"/>
  <c r="AP97" i="3"/>
  <c r="AG306" i="3"/>
  <c r="AO306" i="3"/>
  <c r="AT89" i="3"/>
  <c r="AJ161" i="3"/>
  <c r="AE89" i="3"/>
  <c r="AT93" i="3"/>
  <c r="AP196" i="3"/>
  <c r="AT58" i="3"/>
  <c r="AP58" i="3"/>
  <c r="AK73" i="3"/>
  <c r="AK182" i="3"/>
  <c r="AV267" i="3"/>
  <c r="AT70" i="3"/>
  <c r="Y73" i="3"/>
  <c r="AP139" i="3"/>
  <c r="AE139" i="3"/>
  <c r="AT243" i="3"/>
  <c r="AK23" i="3"/>
  <c r="AV23" i="3"/>
  <c r="AC73" i="3"/>
  <c r="AK275" i="3"/>
  <c r="AK172" i="3"/>
  <c r="AA169" i="3"/>
  <c r="AK211" i="3"/>
  <c r="AE145" i="3"/>
  <c r="AJ211" i="3"/>
  <c r="AO114" i="3"/>
  <c r="AE143" i="3"/>
  <c r="AG143" i="3"/>
  <c r="AS143" i="3"/>
  <c r="AV8" i="3"/>
  <c r="AK8" i="3"/>
  <c r="AE8" i="3"/>
  <c r="AS311" i="3"/>
  <c r="AG311" i="3"/>
  <c r="AX101" i="3"/>
  <c r="AO101" i="3"/>
  <c r="AW236" i="3"/>
  <c r="AN236" i="3"/>
  <c r="AA37" i="3"/>
  <c r="AE107" i="3"/>
  <c r="AX236" i="3"/>
  <c r="AO236" i="3"/>
  <c r="AS305" i="3"/>
  <c r="AG305" i="3"/>
  <c r="AE324" i="3"/>
  <c r="AQ32" i="3"/>
  <c r="AB32" i="3"/>
  <c r="AA152" i="3"/>
  <c r="P152" i="3" s="1"/>
  <c r="AE302" i="3"/>
  <c r="AE82" i="3"/>
  <c r="AR109" i="3"/>
  <c r="AF109" i="3"/>
  <c r="AA242" i="3"/>
  <c r="AS152" i="3"/>
  <c r="AG152" i="3"/>
  <c r="AU236" i="3"/>
  <c r="AJ236" i="3"/>
  <c r="AE156" i="3"/>
  <c r="AU37" i="3"/>
  <c r="AJ37" i="3"/>
  <c r="AV218" i="3"/>
  <c r="AK218" i="3"/>
  <c r="AV152" i="3"/>
  <c r="AK152" i="3"/>
  <c r="AS79" i="3"/>
  <c r="T8" i="4" s="1"/>
  <c r="AG79" i="3"/>
  <c r="AN218" i="3"/>
  <c r="AW218" i="3"/>
  <c r="AX79" i="3"/>
  <c r="AO79" i="3"/>
  <c r="AE236" i="3"/>
  <c r="AA156" i="3"/>
  <c r="AX305" i="3"/>
  <c r="AO305" i="3"/>
  <c r="AE320" i="3"/>
  <c r="AV79" i="3"/>
  <c r="AK79" i="3"/>
  <c r="AE183" i="3"/>
  <c r="AV109" i="3"/>
  <c r="AK109" i="3"/>
  <c r="AA305" i="3"/>
  <c r="AN37" i="3"/>
  <c r="AW37" i="3"/>
  <c r="AX218" i="3"/>
  <c r="AO218" i="3"/>
  <c r="AW79" i="3"/>
  <c r="AN79" i="3"/>
  <c r="AS32" i="3"/>
  <c r="AG32" i="3"/>
  <c r="AA224" i="3"/>
  <c r="AU218" i="3"/>
  <c r="AJ218" i="3"/>
  <c r="AV101" i="3"/>
  <c r="AK101" i="3"/>
  <c r="AE26" i="3"/>
  <c r="AE218" i="3"/>
  <c r="AP156" i="3"/>
  <c r="AP152" i="3"/>
  <c r="AP107" i="3"/>
  <c r="AS156" i="3"/>
  <c r="AG156" i="3"/>
  <c r="AA320" i="3"/>
  <c r="AE305" i="3"/>
  <c r="AU79" i="3"/>
  <c r="AJ79" i="3"/>
  <c r="AR48" i="3"/>
  <c r="AF48" i="3"/>
  <c r="AU101" i="3"/>
  <c r="AJ101" i="3"/>
  <c r="AV32" i="3"/>
  <c r="AK32" i="3"/>
  <c r="AE224" i="3"/>
  <c r="AS320" i="3"/>
  <c r="AG320" i="3"/>
  <c r="AX37" i="3"/>
  <c r="AO37" i="3"/>
  <c r="AW101" i="3"/>
  <c r="AN101" i="3"/>
  <c r="AF79" i="3"/>
  <c r="AA27" i="3"/>
  <c r="AE168" i="3"/>
  <c r="AV86" i="3"/>
  <c r="AK86" i="3"/>
  <c r="AE148" i="3"/>
  <c r="AS16" i="3"/>
  <c r="AG16" i="3"/>
  <c r="AS295" i="3"/>
  <c r="AG295" i="3"/>
  <c r="AJ129" i="3"/>
  <c r="AU129" i="3"/>
  <c r="AV165" i="3"/>
  <c r="AK165" i="3"/>
  <c r="AE250" i="3"/>
  <c r="AE165" i="3"/>
  <c r="AS27" i="3"/>
  <c r="AG27" i="3"/>
  <c r="AE190" i="3"/>
  <c r="AP195" i="3"/>
  <c r="AP190" i="3"/>
  <c r="AS129" i="3"/>
  <c r="AG129" i="3"/>
  <c r="AW173" i="3"/>
  <c r="AN173" i="3"/>
  <c r="AA322" i="3"/>
  <c r="P322" i="3" s="1"/>
  <c r="AV177" i="3"/>
  <c r="AK177" i="3"/>
  <c r="AA98" i="3"/>
  <c r="AU168" i="3"/>
  <c r="AJ168" i="3"/>
  <c r="AA165" i="3"/>
  <c r="AU250" i="3"/>
  <c r="AJ250" i="3"/>
  <c r="AU177" i="3"/>
  <c r="AJ177" i="3"/>
  <c r="AB77" i="3"/>
  <c r="AN228" i="3"/>
  <c r="AW228" i="3"/>
  <c r="AQ173" i="3"/>
  <c r="AB173" i="3"/>
  <c r="AU98" i="3"/>
  <c r="AJ98" i="3"/>
  <c r="AA272" i="3"/>
  <c r="P272" i="3" s="1"/>
  <c r="AX168" i="3"/>
  <c r="AO168" i="3"/>
  <c r="AE195" i="3"/>
  <c r="AS165" i="3"/>
  <c r="AG165" i="3"/>
  <c r="AE27" i="3"/>
  <c r="AX129" i="3"/>
  <c r="AO129" i="3"/>
  <c r="AP292" i="3"/>
  <c r="AP295" i="3"/>
  <c r="AS322" i="3"/>
  <c r="AG322" i="3"/>
  <c r="AN177" i="3"/>
  <c r="AW177" i="3"/>
  <c r="AV295" i="3"/>
  <c r="AK295" i="3"/>
  <c r="AV148" i="3"/>
  <c r="AK148" i="3"/>
  <c r="AR71" i="3"/>
  <c r="AF71" i="3"/>
  <c r="AR158" i="3"/>
  <c r="AF158" i="3"/>
  <c r="AE319" i="3"/>
  <c r="AW250" i="3"/>
  <c r="AN250" i="3"/>
  <c r="AA177" i="3"/>
  <c r="AV205" i="3"/>
  <c r="AK205" i="3"/>
  <c r="AU319" i="3"/>
  <c r="AJ319" i="3"/>
  <c r="AV98" i="3"/>
  <c r="AK98" i="3"/>
  <c r="AX27" i="3"/>
  <c r="AO27" i="3"/>
  <c r="AE205" i="3"/>
  <c r="AE177" i="3"/>
  <c r="AA129" i="3"/>
  <c r="AJ205" i="3"/>
  <c r="AU205" i="3"/>
  <c r="AW319" i="3"/>
  <c r="AN319" i="3"/>
  <c r="AV228" i="3"/>
  <c r="AK228" i="3"/>
  <c r="AX98" i="3"/>
  <c r="AO98" i="3"/>
  <c r="AE86" i="3"/>
  <c r="AP148" i="3"/>
  <c r="AP142" i="3"/>
  <c r="AS205" i="3"/>
  <c r="AG205" i="3"/>
  <c r="AA168" i="3"/>
  <c r="AV129" i="3"/>
  <c r="AK129" i="3"/>
  <c r="AU228" i="3"/>
  <c r="AJ228" i="3"/>
  <c r="AE297" i="3"/>
  <c r="AR142" i="3"/>
  <c r="AF142" i="3"/>
  <c r="AV184" i="3"/>
  <c r="AK184" i="3"/>
  <c r="AE140" i="3"/>
  <c r="AS177" i="3"/>
  <c r="AG177" i="3"/>
  <c r="AE77" i="3"/>
  <c r="P77" i="3" s="1"/>
  <c r="AX250" i="3"/>
  <c r="AO250" i="3"/>
  <c r="AA269" i="3"/>
  <c r="P269" i="3" s="1"/>
  <c r="AW129" i="3"/>
  <c r="AN129" i="3"/>
  <c r="AX319" i="3"/>
  <c r="AO319" i="3"/>
  <c r="AV225" i="3"/>
  <c r="AK225" i="3"/>
  <c r="AW98" i="3"/>
  <c r="AN98" i="3"/>
  <c r="AE173" i="3"/>
  <c r="P173" i="3" s="1"/>
  <c r="AF210" i="3"/>
  <c r="AR210" i="3"/>
  <c r="AW168" i="3"/>
  <c r="AN168" i="3"/>
  <c r="AS77" i="3"/>
  <c r="AG77" i="3"/>
  <c r="AA205" i="3"/>
  <c r="AG269" i="3"/>
  <c r="AS269" i="3"/>
  <c r="AW274" i="3"/>
  <c r="AN274" i="3"/>
  <c r="AE215" i="3"/>
  <c r="AP215" i="3"/>
  <c r="AP219" i="3"/>
  <c r="AN155" i="3"/>
  <c r="AW155" i="3"/>
  <c r="AW105" i="3"/>
  <c r="AN105" i="3"/>
  <c r="AU105" i="3"/>
  <c r="AJ105" i="3"/>
  <c r="AW20" i="3"/>
  <c r="AN20" i="3"/>
  <c r="AE245" i="3"/>
  <c r="AE256" i="3"/>
  <c r="AV274" i="3"/>
  <c r="AK274" i="3"/>
  <c r="AF234" i="3"/>
  <c r="AR234" i="3"/>
  <c r="AS131" i="3"/>
  <c r="AG131" i="3"/>
  <c r="AA131" i="3"/>
  <c r="P131" i="3" s="1"/>
  <c r="AR116" i="3"/>
  <c r="AF116" i="3"/>
  <c r="AE20" i="3"/>
  <c r="AV20" i="3"/>
  <c r="AK20" i="3"/>
  <c r="AS81" i="3"/>
  <c r="AG81" i="3"/>
  <c r="AA20" i="3"/>
  <c r="AX20" i="3"/>
  <c r="AO20" i="3"/>
  <c r="AV261" i="3"/>
  <c r="AK261" i="3"/>
  <c r="AU81" i="3"/>
  <c r="AJ81" i="3"/>
  <c r="AR223" i="3"/>
  <c r="AF223" i="3"/>
  <c r="AA155" i="3"/>
  <c r="P155" i="3" s="1"/>
  <c r="AR325" i="3"/>
  <c r="AF325" i="3"/>
  <c r="AJ131" i="3"/>
  <c r="AU131" i="3"/>
  <c r="AU274" i="3"/>
  <c r="AJ274" i="3"/>
  <c r="AA303" i="3"/>
  <c r="AU20" i="3"/>
  <c r="AJ20" i="3"/>
  <c r="AE76" i="3"/>
  <c r="AS234" i="3"/>
  <c r="AG234" i="3"/>
  <c r="AN325" i="3"/>
  <c r="AE261" i="3"/>
  <c r="AA81" i="3"/>
  <c r="P81" i="3" s="1"/>
  <c r="AE303" i="3"/>
  <c r="AS146" i="3"/>
  <c r="AG146" i="3"/>
  <c r="AX91" i="3"/>
  <c r="AO91" i="3"/>
  <c r="AW131" i="3"/>
  <c r="AN131" i="3"/>
  <c r="AE91" i="3"/>
  <c r="AQ256" i="3"/>
  <c r="AB256" i="3"/>
  <c r="AA261" i="3"/>
  <c r="AR155" i="3"/>
  <c r="AF155" i="3"/>
  <c r="AW248" i="3"/>
  <c r="AN248" i="3"/>
  <c r="AA248" i="3"/>
  <c r="AX52" i="3"/>
  <c r="AO52" i="3"/>
  <c r="P52" i="3" s="1"/>
  <c r="AX133" i="3"/>
  <c r="AO133" i="3"/>
  <c r="AA160" i="3"/>
  <c r="AU12" i="3"/>
  <c r="AJ12" i="3"/>
  <c r="AR271" i="3"/>
  <c r="AF271" i="3"/>
  <c r="AE31" i="3"/>
  <c r="AS164" i="3"/>
  <c r="AG164" i="3"/>
  <c r="AA39" i="3"/>
  <c r="AW307" i="3"/>
  <c r="AN307" i="3"/>
  <c r="AV160" i="3"/>
  <c r="AK160" i="3"/>
  <c r="AA188" i="3"/>
  <c r="AE133" i="3"/>
  <c r="AX160" i="3"/>
  <c r="AO160" i="3"/>
  <c r="AA38" i="3"/>
  <c r="P38" i="3" s="1"/>
  <c r="AU271" i="3"/>
  <c r="AJ271" i="3"/>
  <c r="AA74" i="3"/>
  <c r="AR321" i="3"/>
  <c r="AF321" i="3"/>
  <c r="AU160" i="3"/>
  <c r="AJ160" i="3"/>
  <c r="AX38" i="3"/>
  <c r="AO38" i="3"/>
  <c r="AW133" i="3"/>
  <c r="AN133" i="3"/>
  <c r="AR52" i="3"/>
  <c r="AF52" i="3"/>
  <c r="AV248" i="3"/>
  <c r="AK248" i="3"/>
  <c r="AE314" i="3"/>
  <c r="AU133" i="3"/>
  <c r="AJ133" i="3"/>
  <c r="AE266" i="3"/>
  <c r="AU38" i="3"/>
  <c r="AJ38" i="3"/>
  <c r="AV271" i="3"/>
  <c r="AK271" i="3"/>
  <c r="AP164" i="3"/>
  <c r="AP162" i="3"/>
  <c r="AX12" i="3"/>
  <c r="AO12" i="3"/>
  <c r="AE307" i="3"/>
  <c r="AX188" i="3"/>
  <c r="AO188" i="3"/>
  <c r="AU321" i="3"/>
  <c r="AJ321" i="3"/>
  <c r="AV12" i="3"/>
  <c r="AK12" i="3"/>
  <c r="AE45" i="3"/>
  <c r="AB52" i="3"/>
  <c r="AA12" i="3"/>
  <c r="AS271" i="3"/>
  <c r="AG271" i="3"/>
  <c r="AW53" i="3"/>
  <c r="AN53" i="3"/>
  <c r="AQ162" i="3"/>
  <c r="AB162" i="3"/>
  <c r="AG160" i="3"/>
  <c r="AS160" i="3"/>
  <c r="AW45" i="3"/>
  <c r="AN45" i="3"/>
  <c r="AW188" i="3"/>
  <c r="AN188" i="3"/>
  <c r="AR19" i="3"/>
  <c r="AF19" i="3"/>
  <c r="AE74" i="3"/>
  <c r="AV133" i="3"/>
  <c r="AK133" i="3"/>
  <c r="AS127" i="3"/>
  <c r="AG127" i="3"/>
  <c r="AE249" i="3"/>
  <c r="AE159" i="3"/>
  <c r="AA127" i="3"/>
  <c r="AX46" i="3"/>
  <c r="AO46" i="3"/>
  <c r="AG46" i="3"/>
  <c r="AS46" i="3"/>
  <c r="AU159" i="3"/>
  <c r="AJ159" i="3"/>
  <c r="AE99" i="3"/>
  <c r="AQ249" i="3"/>
  <c r="AB249" i="3"/>
  <c r="AV99" i="3"/>
  <c r="AK99" i="3"/>
  <c r="AS78" i="3"/>
  <c r="AG78" i="3"/>
  <c r="AR273" i="3"/>
  <c r="AF273" i="3"/>
  <c r="AX167" i="3"/>
  <c r="AO167" i="3"/>
  <c r="AV264" i="3"/>
  <c r="AK264" i="3"/>
  <c r="AE64" i="3"/>
  <c r="AX28" i="3"/>
  <c r="AO28" i="3"/>
  <c r="AE96" i="3"/>
  <c r="AA49" i="3"/>
  <c r="AS159" i="3"/>
  <c r="AG159" i="3"/>
  <c r="AS28" i="3"/>
  <c r="AG28" i="3"/>
  <c r="AV159" i="3"/>
  <c r="AK159" i="3"/>
  <c r="AU92" i="3"/>
  <c r="AJ92" i="3"/>
  <c r="AV167" i="3"/>
  <c r="AK167" i="3"/>
  <c r="AP99" i="3"/>
  <c r="AP96" i="3"/>
  <c r="AO208" i="3"/>
  <c r="AX208" i="3"/>
  <c r="AS200" i="3"/>
  <c r="AG200" i="3"/>
  <c r="AU99" i="3"/>
  <c r="AJ99" i="3"/>
  <c r="AE78" i="3"/>
  <c r="AG49" i="3"/>
  <c r="AS49" i="3"/>
  <c r="AA159" i="3"/>
  <c r="AW46" i="3"/>
  <c r="AN46" i="3"/>
  <c r="AE28" i="3"/>
  <c r="P28" i="3" s="1"/>
  <c r="AE127" i="3"/>
  <c r="AS167" i="3"/>
  <c r="AG167" i="3"/>
  <c r="AA232" i="3"/>
  <c r="AR92" i="3"/>
  <c r="AF92" i="3"/>
  <c r="AR208" i="3"/>
  <c r="AF208" i="3"/>
  <c r="AA75" i="3"/>
  <c r="AR151" i="3"/>
  <c r="AF151" i="3"/>
  <c r="AV46" i="3"/>
  <c r="AK46" i="3"/>
  <c r="AX96" i="3"/>
  <c r="AO96" i="3"/>
  <c r="AS92" i="3"/>
  <c r="AG92" i="3"/>
  <c r="AS75" i="3"/>
  <c r="AG75" i="3"/>
  <c r="AA46" i="3"/>
  <c r="AG232" i="3"/>
  <c r="AS232" i="3"/>
  <c r="AE46" i="3"/>
  <c r="AE167" i="3"/>
  <c r="AP264" i="3"/>
  <c r="AP262" i="3"/>
  <c r="AE200" i="3"/>
  <c r="AU78" i="3"/>
  <c r="AJ78" i="3"/>
  <c r="AW96" i="3"/>
  <c r="AN96" i="3"/>
  <c r="AX78" i="3"/>
  <c r="AO78" i="3"/>
  <c r="AA208" i="3"/>
  <c r="AE150" i="3"/>
  <c r="AA92" i="3"/>
  <c r="AA7" i="3"/>
  <c r="AE251" i="3"/>
  <c r="AE59" i="3"/>
  <c r="AS147" i="3"/>
  <c r="AG147" i="3"/>
  <c r="AW312" i="3"/>
  <c r="AN312" i="3"/>
  <c r="AV296" i="3"/>
  <c r="AK296" i="3"/>
  <c r="AW233" i="3"/>
  <c r="AN233" i="3"/>
  <c r="AE94" i="3"/>
  <c r="AE299" i="3"/>
  <c r="AW296" i="3"/>
  <c r="AN296" i="3"/>
  <c r="AX233" i="3"/>
  <c r="AO233" i="3"/>
  <c r="AS40" i="3"/>
  <c r="AG40" i="3"/>
  <c r="AE112" i="3"/>
  <c r="AJ112" i="3"/>
  <c r="AU112" i="3"/>
  <c r="AA144" i="3"/>
  <c r="AA147" i="3"/>
  <c r="P147" i="3" s="1"/>
  <c r="AV122" i="3"/>
  <c r="AK122" i="3"/>
  <c r="AE179" i="3"/>
  <c r="AP244" i="3"/>
  <c r="AP239" i="3"/>
  <c r="AP100" i="3"/>
  <c r="AP94" i="3"/>
  <c r="AS141" i="3"/>
  <c r="AG141" i="3"/>
  <c r="AE30" i="3"/>
  <c r="AE50" i="3"/>
  <c r="AW112" i="3"/>
  <c r="AN112" i="3"/>
  <c r="AU122" i="3"/>
  <c r="AJ122" i="3"/>
  <c r="AE122" i="3"/>
  <c r="AX296" i="3"/>
  <c r="AO296" i="3"/>
  <c r="AU59" i="3"/>
  <c r="AJ59" i="3"/>
  <c r="AV312" i="3"/>
  <c r="AK312" i="3"/>
  <c r="AV7" i="3"/>
  <c r="AK7" i="3"/>
  <c r="AE144" i="3"/>
  <c r="AS112" i="3"/>
  <c r="AG112" i="3"/>
  <c r="AW7" i="3"/>
  <c r="AN7" i="3"/>
  <c r="AV179" i="3"/>
  <c r="AK179" i="3"/>
  <c r="AO59" i="3"/>
  <c r="AX59" i="3"/>
  <c r="AV112" i="3"/>
  <c r="AK112" i="3"/>
  <c r="AE230" i="3"/>
  <c r="AS144" i="3"/>
  <c r="AG144" i="3"/>
  <c r="AU206" i="3"/>
  <c r="AJ206" i="3"/>
  <c r="AX7" i="3"/>
  <c r="AO7" i="3"/>
  <c r="AA112" i="3"/>
  <c r="AE328" i="3"/>
  <c r="AX206" i="3"/>
  <c r="AO206" i="3"/>
  <c r="AU7" i="3"/>
  <c r="AJ7" i="3"/>
  <c r="AX179" i="3"/>
  <c r="AO179" i="3"/>
  <c r="AV239" i="3"/>
  <c r="AK239" i="3"/>
  <c r="AE141" i="3"/>
  <c r="AA328" i="3"/>
  <c r="AA122" i="3"/>
  <c r="AX144" i="3"/>
  <c r="AO144" i="3"/>
  <c r="AE100" i="3"/>
  <c r="AE7" i="3"/>
  <c r="AQ59" i="3"/>
  <c r="AB59" i="3"/>
  <c r="AG323" i="3"/>
  <c r="AS323" i="3"/>
  <c r="AW144" i="3"/>
  <c r="AN144" i="3"/>
  <c r="AE226" i="3"/>
  <c r="AE134" i="3"/>
  <c r="AA15" i="3"/>
  <c r="P15" i="3" s="1"/>
  <c r="AQ285" i="3"/>
  <c r="AB285" i="3"/>
  <c r="AE36" i="3"/>
  <c r="AN126" i="3"/>
  <c r="AW126" i="3"/>
  <c r="AE34" i="3"/>
  <c r="AE278" i="3"/>
  <c r="AU278" i="3"/>
  <c r="AJ278" i="3"/>
  <c r="AB106" i="3"/>
  <c r="AS192" i="3"/>
  <c r="AG192" i="3"/>
  <c r="AX18" i="3"/>
  <c r="AO18" i="3"/>
  <c r="AX126" i="3"/>
  <c r="AO126" i="3"/>
  <c r="AU11" i="3"/>
  <c r="AJ11" i="3"/>
  <c r="AE10" i="3"/>
  <c r="AV255" i="3"/>
  <c r="AK255" i="3"/>
  <c r="AR95" i="3"/>
  <c r="AF95" i="3"/>
  <c r="AV278" i="3"/>
  <c r="AK278" i="3"/>
  <c r="AQ63" i="3"/>
  <c r="AB63" i="3"/>
  <c r="AE268" i="3"/>
  <c r="AE276" i="3"/>
  <c r="AA11" i="3"/>
  <c r="AE120" i="3"/>
  <c r="AG255" i="3"/>
  <c r="AS255" i="3"/>
  <c r="AV15" i="3"/>
  <c r="AK15" i="3"/>
  <c r="AV214" i="3"/>
  <c r="AK214" i="3"/>
  <c r="AV10" i="3"/>
  <c r="AK10" i="3"/>
  <c r="AR15" i="3"/>
  <c r="AF15" i="3"/>
  <c r="AN18" i="3"/>
  <c r="AW18" i="3"/>
  <c r="AA43" i="3"/>
  <c r="AG106" i="3"/>
  <c r="AS106" i="3"/>
  <c r="AV113" i="3"/>
  <c r="AK113" i="3"/>
  <c r="AX255" i="3"/>
  <c r="AO255" i="3"/>
  <c r="AS10" i="3"/>
  <c r="AG10" i="3"/>
  <c r="AU126" i="3"/>
  <c r="AJ126" i="3"/>
  <c r="AR192" i="3"/>
  <c r="AX221" i="3"/>
  <c r="AO221" i="3"/>
  <c r="AJ255" i="3"/>
  <c r="AU255" i="3"/>
  <c r="AO214" i="3"/>
  <c r="AX214" i="3"/>
  <c r="AW10" i="3"/>
  <c r="AN10" i="3"/>
  <c r="AU18" i="3"/>
  <c r="AJ18" i="3"/>
  <c r="AE63" i="3"/>
  <c r="AP276" i="3"/>
  <c r="AS134" i="3"/>
  <c r="AG134" i="3"/>
  <c r="AU57" i="3"/>
  <c r="AJ57" i="3"/>
  <c r="AR268" i="3"/>
  <c r="AF268" i="3"/>
  <c r="AW214" i="3"/>
  <c r="AN214" i="3"/>
  <c r="AN36" i="3"/>
  <c r="AW36" i="3"/>
  <c r="AV126" i="3"/>
  <c r="AK126" i="3"/>
  <c r="AX10" i="3"/>
  <c r="AO10" i="3"/>
  <c r="AS214" i="3"/>
  <c r="AG214" i="3"/>
  <c r="AE126" i="3"/>
  <c r="AE214" i="3"/>
  <c r="AV43" i="3"/>
  <c r="AK43" i="3"/>
  <c r="AO36" i="3"/>
  <c r="AX36" i="3"/>
  <c r="AA214" i="3"/>
  <c r="AV18" i="3"/>
  <c r="AK18" i="3"/>
  <c r="AE113" i="3"/>
  <c r="AX43" i="3"/>
  <c r="AO43" i="3"/>
  <c r="AV36" i="3"/>
  <c r="AK36" i="3"/>
  <c r="AU10" i="3"/>
  <c r="AJ10" i="3"/>
  <c r="AR221" i="3"/>
  <c r="AF221" i="3"/>
  <c r="AP113" i="3"/>
  <c r="AP120" i="3"/>
  <c r="AV226" i="3"/>
  <c r="AK226" i="3"/>
  <c r="AW255" i="3"/>
  <c r="AN255" i="3"/>
  <c r="AA36" i="3"/>
  <c r="AA134" i="3"/>
  <c r="AS36" i="3"/>
  <c r="AG36" i="3"/>
  <c r="AE43" i="3"/>
  <c r="AP221" i="3"/>
  <c r="AP226" i="3"/>
  <c r="AV268" i="3"/>
  <c r="AK268" i="3"/>
  <c r="AS63" i="3"/>
  <c r="AG63" i="3"/>
  <c r="AA10" i="3"/>
  <c r="AU43" i="3"/>
  <c r="AJ43" i="3"/>
  <c r="AE18" i="3"/>
  <c r="AA111" i="3"/>
  <c r="P111" i="3" s="1"/>
  <c r="AE288" i="3"/>
  <c r="AR186" i="3"/>
  <c r="AF186" i="3"/>
  <c r="AS293" i="3"/>
  <c r="AG293" i="3"/>
  <c r="AS68" i="3"/>
  <c r="AG68" i="3"/>
  <c r="AS111" i="3"/>
  <c r="AG111" i="3"/>
  <c r="AE83" i="3"/>
  <c r="AR287" i="3"/>
  <c r="AF287" i="3"/>
  <c r="AE138" i="3"/>
  <c r="AU284" i="3"/>
  <c r="AU286" i="3"/>
  <c r="AF284" i="3"/>
  <c r="W284" i="3"/>
  <c r="AQ229" i="3"/>
  <c r="AB229" i="3"/>
  <c r="AS229" i="3"/>
  <c r="AG229" i="3"/>
  <c r="AR240" i="3"/>
  <c r="AF240" i="3"/>
  <c r="W103" i="3"/>
  <c r="W102" i="3"/>
  <c r="AA293" i="3"/>
  <c r="AS157" i="3"/>
  <c r="AG157" i="3"/>
  <c r="AS22" i="3"/>
  <c r="AG22" i="3"/>
  <c r="AS247" i="3"/>
  <c r="AG247" i="3"/>
  <c r="AE157" i="3"/>
  <c r="AR42" i="3"/>
  <c r="AF42" i="3"/>
  <c r="AQ217" i="3"/>
  <c r="AB217" i="3"/>
  <c r="AA166" i="3"/>
  <c r="P166" i="3" s="1"/>
  <c r="AS326" i="3"/>
  <c r="AA213" i="3"/>
  <c r="P213" i="3" s="1"/>
  <c r="AV175" i="3"/>
  <c r="AK175" i="3"/>
  <c r="AE180" i="3"/>
  <c r="AE61" i="3"/>
  <c r="AE65" i="3"/>
  <c r="AE222" i="3"/>
  <c r="P222" i="3" s="1"/>
  <c r="AE4" i="3"/>
  <c r="AA326" i="3"/>
  <c r="AV291" i="3"/>
  <c r="AK291" i="3"/>
  <c r="AE44" i="3"/>
  <c r="AA180" i="3"/>
  <c r="AR166" i="3"/>
  <c r="AF166" i="3"/>
  <c r="AA175" i="3"/>
  <c r="AE163" i="3"/>
  <c r="AR170" i="3"/>
  <c r="AS180" i="3"/>
  <c r="AG180" i="3"/>
  <c r="AA80" i="3"/>
  <c r="AV308" i="3"/>
  <c r="AK308" i="3"/>
  <c r="AV65" i="3"/>
  <c r="AK65" i="3"/>
  <c r="AA170" i="3"/>
  <c r="P170" i="3" s="1"/>
  <c r="AE175" i="3"/>
  <c r="AE317" i="3"/>
  <c r="AS291" i="3"/>
  <c r="AG291" i="3"/>
  <c r="AV193" i="3"/>
  <c r="AK193" i="3"/>
  <c r="AF289" i="3"/>
  <c r="AA163" i="3"/>
  <c r="AJ182" i="3"/>
  <c r="AN196" i="3"/>
  <c r="AP306" i="3"/>
  <c r="AK161" i="3"/>
  <c r="AP104" i="3"/>
  <c r="AP13" i="3"/>
  <c r="AK196" i="3"/>
  <c r="AP24" i="3"/>
  <c r="Y267" i="3"/>
  <c r="AP257" i="3"/>
  <c r="AO196" i="3"/>
  <c r="AP125" i="3"/>
  <c r="AT201" i="3"/>
  <c r="AP227" i="3"/>
  <c r="AT182" i="3"/>
  <c r="AP267" i="3"/>
  <c r="AP191" i="3"/>
  <c r="AG24" i="3"/>
  <c r="AO73" i="3"/>
  <c r="AE6" i="3"/>
  <c r="AE176" i="3"/>
  <c r="AO24" i="3"/>
  <c r="AT13" i="3"/>
  <c r="AT154" i="3"/>
  <c r="AP51" i="3"/>
  <c r="AT161" i="3"/>
  <c r="AP70" i="3"/>
  <c r="AP237" i="3"/>
  <c r="AP72" i="3"/>
  <c r="AP73" i="3"/>
  <c r="AP55" i="3"/>
  <c r="Y56" i="3"/>
  <c r="AP252" i="3"/>
  <c r="AP6" i="3"/>
  <c r="AK203" i="3"/>
  <c r="AJ6" i="3"/>
  <c r="AA97" i="3"/>
  <c r="AT139" i="3"/>
  <c r="AN55" i="3"/>
  <c r="AP182" i="3"/>
  <c r="AK89" i="3"/>
  <c r="AP304" i="3"/>
  <c r="X124" i="3"/>
  <c r="AT252" i="3"/>
  <c r="Y24" i="3"/>
  <c r="W203" i="3"/>
  <c r="AE201" i="3"/>
  <c r="AV89" i="3"/>
  <c r="AK24" i="3"/>
  <c r="AN252" i="3"/>
  <c r="AT196" i="3"/>
  <c r="P66" i="3"/>
  <c r="P106" i="3"/>
  <c r="P217" i="3"/>
  <c r="P174" i="3"/>
  <c r="P219" i="3"/>
  <c r="P142" i="3"/>
  <c r="P229" i="3"/>
  <c r="AV73" i="3"/>
  <c r="AO55" i="3"/>
  <c r="AO104" i="3"/>
  <c r="AK51" i="3"/>
  <c r="AG55" i="3"/>
  <c r="AN24" i="3"/>
  <c r="AG154" i="3"/>
  <c r="AO97" i="3"/>
  <c r="AF104" i="3"/>
  <c r="AE154" i="3"/>
  <c r="AE182" i="3"/>
  <c r="AJ70" i="3"/>
  <c r="AO70" i="3"/>
  <c r="AN70" i="3"/>
  <c r="AE237" i="3"/>
  <c r="AG199" i="3"/>
  <c r="AE304" i="3"/>
  <c r="Z201" i="3"/>
  <c r="Z203" i="3"/>
  <c r="AJ243" i="3"/>
  <c r="AA56" i="3"/>
  <c r="AE13" i="3"/>
  <c r="AN161" i="3"/>
  <c r="AE243" i="3"/>
  <c r="AE29" i="3"/>
  <c r="AG252" i="3"/>
  <c r="AN125" i="3"/>
  <c r="AK72" i="3"/>
  <c r="AA13" i="3"/>
  <c r="AE124" i="3"/>
  <c r="AE55" i="3"/>
  <c r="AJ51" i="3"/>
  <c r="AE51" i="3"/>
  <c r="AG97" i="3"/>
  <c r="AX51" i="3"/>
  <c r="AO51" i="3"/>
  <c r="AE72" i="3"/>
  <c r="AA182" i="3"/>
  <c r="AE306" i="3"/>
  <c r="AA23" i="3"/>
  <c r="AK237" i="3"/>
  <c r="AO161" i="3"/>
  <c r="AO237" i="3"/>
  <c r="AV243" i="3"/>
  <c r="AK243" i="3"/>
  <c r="AW72" i="3"/>
  <c r="AN72" i="3"/>
  <c r="AE203" i="3"/>
  <c r="AO139" i="3"/>
  <c r="AO304" i="3"/>
  <c r="AE23" i="3"/>
  <c r="AE97" i="3"/>
  <c r="AF6" i="3"/>
  <c r="AE161" i="3"/>
  <c r="AE24" i="3"/>
  <c r="AE252" i="3"/>
  <c r="AK139" i="3"/>
  <c r="AG72" i="3"/>
  <c r="AE93" i="3"/>
  <c r="AK55" i="3"/>
  <c r="AE227" i="3"/>
  <c r="AG139" i="3"/>
  <c r="AO72" i="3"/>
  <c r="AX97" i="3"/>
  <c r="AN139" i="3"/>
  <c r="AP203" i="3"/>
  <c r="AE191" i="3"/>
  <c r="AA252" i="3"/>
  <c r="AA306" i="3"/>
  <c r="AJ196" i="3"/>
  <c r="AN243" i="3"/>
  <c r="AJ139" i="3"/>
  <c r="AO185" i="3"/>
  <c r="AG121" i="3"/>
  <c r="AN279" i="3"/>
  <c r="AW194" i="3"/>
  <c r="AG260" i="3"/>
  <c r="AJ185" i="3"/>
  <c r="AJ84" i="3"/>
  <c r="AU149" i="3"/>
  <c r="AP258" i="3"/>
  <c r="AW211" i="3"/>
  <c r="AX58" i="3"/>
  <c r="AR145" i="3"/>
  <c r="AJ149" i="3"/>
  <c r="AT145" i="3"/>
  <c r="AP187" i="3"/>
  <c r="AP145" i="3"/>
  <c r="AP172" i="3"/>
  <c r="AT69" i="3"/>
  <c r="AT121" i="3"/>
  <c r="AT185" i="3"/>
  <c r="AU211" i="3"/>
  <c r="AW258" i="3"/>
  <c r="AX258" i="3"/>
  <c r="AU153" i="3"/>
  <c r="AT114" i="3"/>
  <c r="AW84" i="3"/>
  <c r="AP185" i="3"/>
  <c r="AP209" i="3"/>
  <c r="AE263" i="3"/>
  <c r="AT187" i="3"/>
  <c r="AP88" i="3"/>
  <c r="AP69" i="3"/>
  <c r="AP153" i="3"/>
  <c r="AP130" i="3"/>
  <c r="AV172" i="3"/>
  <c r="AP47" i="3"/>
  <c r="AX114" i="3"/>
  <c r="AW85" i="3"/>
  <c r="AT212" i="3"/>
  <c r="AV211" i="3"/>
  <c r="AT263" i="3"/>
  <c r="AG67" i="3"/>
  <c r="AP246" i="3"/>
  <c r="AN85" i="3"/>
  <c r="AO258" i="3"/>
  <c r="AO211" i="3"/>
  <c r="AG69" i="3"/>
  <c r="AE84" i="3"/>
  <c r="AE275" i="3"/>
  <c r="AE258" i="3"/>
  <c r="AN211" i="3"/>
  <c r="AW172" i="3"/>
  <c r="AE207" i="3"/>
  <c r="AX149" i="3"/>
  <c r="AO149" i="3"/>
  <c r="AW149" i="3"/>
  <c r="AN149" i="3"/>
  <c r="AK149" i="3"/>
  <c r="AF145" i="3"/>
  <c r="AO294" i="3"/>
  <c r="AG294" i="3"/>
  <c r="AE169" i="3"/>
  <c r="AJ212" i="3"/>
  <c r="AF263" i="3"/>
  <c r="AE114" i="3"/>
  <c r="AA294" i="3"/>
  <c r="AG153" i="3"/>
  <c r="AN294" i="3"/>
  <c r="AK294" i="3"/>
  <c r="AP5" i="3"/>
  <c r="AG60" i="3"/>
  <c r="AX263" i="3"/>
  <c r="AO263" i="3"/>
  <c r="AU258" i="3"/>
  <c r="AJ258" i="3"/>
  <c r="AN69" i="3"/>
  <c r="AS85" i="3"/>
  <c r="AG85" i="3"/>
  <c r="AU47" i="3"/>
  <c r="AJ47" i="3"/>
  <c r="AK194" i="3"/>
  <c r="AE172" i="3"/>
  <c r="AU194" i="3"/>
  <c r="AJ194" i="3"/>
  <c r="AA85" i="3"/>
  <c r="AG84" i="3"/>
  <c r="AA149" i="3"/>
  <c r="AW88" i="3"/>
  <c r="AN88" i="3"/>
  <c r="AA121" i="3"/>
  <c r="AX69" i="3"/>
  <c r="AO69" i="3"/>
  <c r="AX275" i="3"/>
  <c r="AO275" i="3"/>
  <c r="AE88" i="3"/>
  <c r="AU309" i="3"/>
  <c r="AJ309" i="3"/>
  <c r="AN47" i="3"/>
  <c r="AG58" i="3"/>
  <c r="AV88" i="3"/>
  <c r="AK88" i="3"/>
  <c r="AG209" i="3"/>
  <c r="AS209" i="3"/>
  <c r="AA153" i="3"/>
  <c r="AO279" i="3"/>
  <c r="AX279" i="3"/>
  <c r="AA114" i="3"/>
  <c r="AU275" i="3"/>
  <c r="AJ275" i="3"/>
  <c r="AG212" i="3"/>
  <c r="AA84" i="3"/>
  <c r="AW309" i="3"/>
  <c r="AN309" i="3"/>
  <c r="AV279" i="3"/>
  <c r="AK279" i="3"/>
  <c r="AA69" i="3"/>
  <c r="AV309" i="3"/>
  <c r="AK309" i="3"/>
  <c r="AS194" i="3"/>
  <c r="AG194" i="3"/>
  <c r="AE209" i="3"/>
  <c r="P202" i="3"/>
  <c r="AK21" i="3"/>
  <c r="AA187" i="3"/>
  <c r="AE149" i="3"/>
  <c r="AX309" i="3"/>
  <c r="AO309" i="3"/>
  <c r="AA194" i="3"/>
  <c r="AK121" i="3"/>
  <c r="AO169" i="3"/>
  <c r="AF258" i="3"/>
  <c r="AE212" i="3"/>
  <c r="AE194" i="3"/>
  <c r="AE54" i="3"/>
  <c r="AA279" i="3"/>
  <c r="AF207" i="3"/>
  <c r="AR207" i="3"/>
  <c r="AE21" i="3"/>
  <c r="AE279" i="3"/>
  <c r="AX21" i="3"/>
  <c r="AO21" i="3"/>
  <c r="AX185" i="3"/>
  <c r="AO121" i="3"/>
  <c r="AE121" i="3"/>
  <c r="AA209" i="3"/>
  <c r="AX172" i="3"/>
  <c r="AO172" i="3"/>
  <c r="AE58" i="3"/>
  <c r="AS114" i="3"/>
  <c r="AG114" i="3"/>
  <c r="AE309" i="3"/>
  <c r="AW121" i="3"/>
  <c r="AN121" i="3"/>
  <c r="AE69" i="3"/>
  <c r="AF169" i="3"/>
  <c r="AO47" i="3"/>
  <c r="AA258" i="3"/>
  <c r="AS279" i="3"/>
  <c r="AG279" i="3"/>
  <c r="AJ263" i="3"/>
  <c r="AJ172" i="3"/>
  <c r="AX88" i="3"/>
  <c r="AO88" i="3"/>
  <c r="AE85" i="3"/>
  <c r="AS169" i="3"/>
  <c r="AG169" i="3"/>
  <c r="AV263" i="3"/>
  <c r="AK263" i="3"/>
  <c r="AF185" i="3"/>
  <c r="AK47" i="3"/>
  <c r="AU88" i="3"/>
  <c r="AJ88" i="3"/>
  <c r="AE132" i="3"/>
  <c r="AA70" i="3"/>
  <c r="AF239" i="3"/>
  <c r="AE244" i="3"/>
  <c r="AS53" i="3"/>
  <c r="AG53" i="3"/>
  <c r="AS33" i="3"/>
  <c r="AG33" i="3"/>
  <c r="AK153" i="3"/>
  <c r="AV58" i="3"/>
  <c r="AK58" i="3"/>
  <c r="AG125" i="3"/>
  <c r="AV319" i="3"/>
  <c r="AK319" i="3"/>
  <c r="AG145" i="3"/>
  <c r="AV307" i="3"/>
  <c r="AK307" i="3"/>
  <c r="AS188" i="3"/>
  <c r="AG188" i="3"/>
  <c r="AW234" i="3"/>
  <c r="AN234" i="3"/>
  <c r="AB169" i="3"/>
  <c r="AA172" i="3"/>
  <c r="AV321" i="3"/>
  <c r="AK321" i="3"/>
  <c r="AE248" i="3"/>
  <c r="AK147" i="3"/>
  <c r="AU207" i="3"/>
  <c r="AJ207" i="3"/>
  <c r="AA35" i="3"/>
  <c r="AE189" i="3"/>
  <c r="AO49" i="3"/>
  <c r="AN276" i="3"/>
  <c r="AU90" i="3"/>
  <c r="AJ90" i="3"/>
  <c r="AS240" i="3"/>
  <c r="AG240" i="3"/>
  <c r="AU264" i="3"/>
  <c r="AJ264" i="3"/>
  <c r="AX95" i="3"/>
  <c r="AO95" i="3"/>
  <c r="AF269" i="3"/>
  <c r="AA231" i="3"/>
  <c r="P231" i="3" s="1"/>
  <c r="AX136" i="3"/>
  <c r="AO136" i="3"/>
  <c r="AE118" i="3"/>
  <c r="AG148" i="3"/>
  <c r="AA135" i="3"/>
  <c r="AW162" i="3"/>
  <c r="AN164" i="3"/>
  <c r="AJ29" i="3"/>
  <c r="AU146" i="3"/>
  <c r="AJ146" i="3"/>
  <c r="AG172" i="3"/>
  <c r="AO156" i="3"/>
  <c r="AS151" i="3"/>
  <c r="AG151" i="3"/>
  <c r="AA31" i="3"/>
  <c r="AJ28" i="3"/>
  <c r="AW147" i="3"/>
  <c r="AN147" i="3"/>
  <c r="AW316" i="3"/>
  <c r="AN316" i="3"/>
  <c r="AU76" i="3"/>
  <c r="AJ76" i="3"/>
  <c r="AA273" i="3"/>
  <c r="AJ107" i="3"/>
  <c r="AA240" i="3"/>
  <c r="P240" i="3" s="1"/>
  <c r="W42" i="3"/>
  <c r="AA68" i="3"/>
  <c r="P68" i="3" s="1"/>
  <c r="AS233" i="3"/>
  <c r="AG233" i="3"/>
  <c r="AU136" i="3"/>
  <c r="AJ136" i="3"/>
  <c r="AS9" i="3"/>
  <c r="AG9" i="3"/>
  <c r="AA4" i="3"/>
  <c r="AS135" i="3"/>
  <c r="AG135" i="3"/>
  <c r="AJ24" i="3"/>
  <c r="AG176" i="3"/>
  <c r="AA55" i="3"/>
  <c r="AN51" i="3"/>
  <c r="AO109" i="3"/>
  <c r="AA158" i="3"/>
  <c r="AV161" i="3"/>
  <c r="AX242" i="3"/>
  <c r="AO242" i="3"/>
  <c r="AG38" i="3"/>
  <c r="Y87" i="3"/>
  <c r="AX158" i="3"/>
  <c r="AO158" i="3"/>
  <c r="AJ221" i="3"/>
  <c r="AO252" i="3"/>
  <c r="AO227" i="3"/>
  <c r="AV257" i="3"/>
  <c r="AK257" i="3"/>
  <c r="AG124" i="3"/>
  <c r="AK69" i="3"/>
  <c r="AU13" i="3"/>
  <c r="AJ13" i="3"/>
  <c r="AW54" i="3"/>
  <c r="AN54" i="3"/>
  <c r="AA304" i="3"/>
  <c r="AA292" i="3"/>
  <c r="AA29" i="3"/>
  <c r="AK234" i="3"/>
  <c r="AW86" i="3"/>
  <c r="AN86" i="3"/>
  <c r="AJ144" i="3"/>
  <c r="AN156" i="3"/>
  <c r="AA151" i="3"/>
  <c r="P151" i="3" s="1"/>
  <c r="AA82" i="3"/>
  <c r="AO292" i="3"/>
  <c r="AJ191" i="3"/>
  <c r="AG11" i="3"/>
  <c r="AX249" i="3"/>
  <c r="AO249" i="3"/>
  <c r="Y44" i="3"/>
  <c r="AX273" i="3"/>
  <c r="AO273" i="3"/>
  <c r="AF229" i="3"/>
  <c r="AA9" i="3"/>
  <c r="P9" i="3" s="1"/>
  <c r="AS4" i="3"/>
  <c r="AG4" i="3"/>
  <c r="AO243" i="3"/>
  <c r="AJ21" i="3"/>
  <c r="AE115" i="3"/>
  <c r="AX35" i="3"/>
  <c r="AO35" i="3"/>
  <c r="AS313" i="3"/>
  <c r="AG313" i="3"/>
  <c r="AV61" i="3"/>
  <c r="AK61" i="3"/>
  <c r="AU311" i="3"/>
  <c r="AJ311" i="3"/>
  <c r="AA230" i="3"/>
  <c r="AE312" i="3"/>
  <c r="AV78" i="3"/>
  <c r="AK78" i="3"/>
  <c r="AV259" i="3"/>
  <c r="AK259" i="3"/>
  <c r="AS184" i="3"/>
  <c r="AG184" i="3"/>
  <c r="AJ73" i="3"/>
  <c r="AG93" i="3"/>
  <c r="AA88" i="3"/>
  <c r="AG161" i="3"/>
  <c r="AW169" i="3"/>
  <c r="AN169" i="3"/>
  <c r="AG203" i="3"/>
  <c r="W243" i="3"/>
  <c r="AO154" i="3"/>
  <c r="AO13" i="3"/>
  <c r="AU212" i="3"/>
  <c r="AJ209" i="3"/>
  <c r="AA125" i="3"/>
  <c r="AJ297" i="3"/>
  <c r="AU297" i="3"/>
  <c r="AN195" i="3"/>
  <c r="AK114" i="3"/>
  <c r="AV299" i="3"/>
  <c r="AK299" i="3"/>
  <c r="AA132" i="3"/>
  <c r="AV224" i="3"/>
  <c r="AK224" i="3"/>
  <c r="AG89" i="3"/>
  <c r="AA123" i="3"/>
  <c r="AJ242" i="3"/>
  <c r="AS210" i="3"/>
  <c r="AG210" i="3"/>
  <c r="AO164" i="3"/>
  <c r="AV323" i="3"/>
  <c r="AK323" i="3"/>
  <c r="AW29" i="3"/>
  <c r="AN29" i="3"/>
  <c r="AV39" i="3"/>
  <c r="AK39" i="3"/>
  <c r="AO267" i="3"/>
  <c r="AX131" i="3"/>
  <c r="AO131" i="3"/>
  <c r="AK92" i="3"/>
  <c r="AA302" i="3"/>
  <c r="AJ145" i="3"/>
  <c r="AV3" i="3"/>
  <c r="AK3" i="3"/>
  <c r="AA53" i="3"/>
  <c r="AN100" i="3"/>
  <c r="AS150" i="3"/>
  <c r="AG150" i="3"/>
  <c r="AS218" i="3"/>
  <c r="AG218" i="3"/>
  <c r="AE12" i="3"/>
  <c r="AA271" i="3"/>
  <c r="P271" i="3" s="1"/>
  <c r="AW285" i="3"/>
  <c r="AN285" i="3"/>
  <c r="AA109" i="3"/>
  <c r="AV311" i="3"/>
  <c r="AK311" i="3"/>
  <c r="AG122" i="3"/>
  <c r="AA181" i="3"/>
  <c r="AG298" i="3"/>
  <c r="AV107" i="3"/>
  <c r="AK107" i="3"/>
  <c r="AV251" i="3"/>
  <c r="AK251" i="3"/>
  <c r="AA157" i="3"/>
  <c r="AV64" i="3"/>
  <c r="AK64" i="3"/>
  <c r="AA193" i="3"/>
  <c r="AW78" i="3"/>
  <c r="AN78" i="3"/>
  <c r="AV90" i="3"/>
  <c r="AK90" i="3"/>
  <c r="AW259" i="3"/>
  <c r="AN259" i="3"/>
  <c r="V284" i="3"/>
  <c r="AX71" i="3"/>
  <c r="AO71" i="3"/>
  <c r="AA184" i="3"/>
  <c r="AB202" i="3"/>
  <c r="AU273" i="3"/>
  <c r="AJ273" i="3"/>
  <c r="AS18" i="3"/>
  <c r="AG18" i="3"/>
  <c r="AW136" i="3"/>
  <c r="AN136" i="3"/>
  <c r="AS310" i="3"/>
  <c r="AG310" i="3"/>
  <c r="AR315" i="3"/>
  <c r="AF315" i="3"/>
  <c r="AS14" i="3"/>
  <c r="AG14" i="3"/>
  <c r="AR280" i="3"/>
  <c r="AF280" i="3"/>
  <c r="AF322" i="3"/>
  <c r="AF192" i="3"/>
  <c r="AG13" i="3"/>
  <c r="AV29" i="3"/>
  <c r="AK29" i="3"/>
  <c r="AA323" i="3"/>
  <c r="AA225" i="3"/>
  <c r="P225" i="3" s="1"/>
  <c r="AW278" i="3"/>
  <c r="AN278" i="3"/>
  <c r="AA48" i="3"/>
  <c r="AS202" i="3"/>
  <c r="AG202" i="3"/>
  <c r="AS64" i="3"/>
  <c r="AG64" i="3"/>
  <c r="AG201" i="3"/>
  <c r="AV233" i="3"/>
  <c r="AK233" i="3"/>
  <c r="AX75" i="3"/>
  <c r="AO75" i="3"/>
  <c r="AJ226" i="3"/>
  <c r="AX92" i="3"/>
  <c r="AO92" i="3"/>
  <c r="AA3" i="3"/>
  <c r="AA266" i="3"/>
  <c r="AV76" i="3"/>
  <c r="AK76" i="3"/>
  <c r="AX311" i="3"/>
  <c r="AO311" i="3"/>
  <c r="AX107" i="3"/>
  <c r="AO107" i="3"/>
  <c r="AS296" i="3"/>
  <c r="AG296" i="3"/>
  <c r="AE318" i="3"/>
  <c r="AA308" i="3"/>
  <c r="AG286" i="3"/>
  <c r="AJ169" i="3"/>
  <c r="AG258" i="3"/>
  <c r="AN154" i="3"/>
  <c r="AN13" i="3"/>
  <c r="AK125" i="3"/>
  <c r="AS319" i="3"/>
  <c r="AG319" i="3"/>
  <c r="AU190" i="3"/>
  <c r="AJ195" i="3"/>
  <c r="AJ114" i="3"/>
  <c r="AV54" i="3"/>
  <c r="AK54" i="3"/>
  <c r="AS328" i="3"/>
  <c r="AG328" i="3"/>
  <c r="AA145" i="3"/>
  <c r="AU224" i="3"/>
  <c r="AJ224" i="3"/>
  <c r="AX307" i="3"/>
  <c r="AO307" i="3"/>
  <c r="AA210" i="3"/>
  <c r="AJ46" i="3"/>
  <c r="AA146" i="3"/>
  <c r="AJ267" i="3"/>
  <c r="AW92" i="3"/>
  <c r="AN92" i="3"/>
  <c r="AU3" i="3"/>
  <c r="AJ3" i="3"/>
  <c r="AV144" i="3"/>
  <c r="AK144" i="3"/>
  <c r="AU82" i="3"/>
  <c r="AJ82" i="3"/>
  <c r="AJ268" i="3"/>
  <c r="AV249" i="3"/>
  <c r="AK249" i="3"/>
  <c r="AV71" i="3"/>
  <c r="AK71" i="3"/>
  <c r="AA18" i="3"/>
  <c r="AX181" i="3"/>
  <c r="AO181" i="3"/>
  <c r="AG51" i="3"/>
  <c r="AE196" i="3"/>
  <c r="AK70" i="3"/>
  <c r="AP199" i="3"/>
  <c r="AN93" i="3"/>
  <c r="AO201" i="3"/>
  <c r="X199" i="3"/>
  <c r="AS88" i="3"/>
  <c r="AG88" i="3"/>
  <c r="AK227" i="3"/>
  <c r="AO84" i="3"/>
  <c r="AK13" i="3"/>
  <c r="AK209" i="3"/>
  <c r="AJ125" i="3"/>
  <c r="AW297" i="3"/>
  <c r="AN297" i="3"/>
  <c r="AO195" i="3"/>
  <c r="AX173" i="3"/>
  <c r="AO177" i="3"/>
  <c r="AE259" i="3"/>
  <c r="AS132" i="3"/>
  <c r="AG132" i="3"/>
  <c r="AW224" i="3"/>
  <c r="AN224" i="3"/>
  <c r="AA207" i="3"/>
  <c r="AU123" i="3"/>
  <c r="AJ123" i="3"/>
  <c r="AS115" i="3"/>
  <c r="AG115" i="3"/>
  <c r="AW242" i="3"/>
  <c r="AN242" i="3"/>
  <c r="AV27" i="3"/>
  <c r="AK27" i="3"/>
  <c r="AW323" i="3"/>
  <c r="AN323" i="3"/>
  <c r="AO29" i="3"/>
  <c r="AG39" i="3"/>
  <c r="AW267" i="3"/>
  <c r="AN267" i="3"/>
  <c r="AK131" i="3"/>
  <c r="AJ75" i="3"/>
  <c r="AS302" i="3"/>
  <c r="AG302" i="3"/>
  <c r="AO145" i="3"/>
  <c r="AX3" i="3"/>
  <c r="AO3" i="3"/>
  <c r="AW31" i="3"/>
  <c r="AN31" i="3"/>
  <c r="AU140" i="3"/>
  <c r="AJ140" i="3"/>
  <c r="AS225" i="3"/>
  <c r="AG225" i="3"/>
  <c r="AV143" i="3"/>
  <c r="AK143" i="3"/>
  <c r="AE235" i="3"/>
  <c r="AA218" i="3"/>
  <c r="AA200" i="3"/>
  <c r="AV45" i="3"/>
  <c r="AK45" i="3"/>
  <c r="AX316" i="3"/>
  <c r="AO316" i="3"/>
  <c r="AS26" i="3"/>
  <c r="AG26" i="3"/>
  <c r="AF160" i="3"/>
  <c r="AE162" i="3"/>
  <c r="P162" i="3" s="1"/>
  <c r="AS285" i="3"/>
  <c r="AG285" i="3"/>
  <c r="AV272" i="3"/>
  <c r="AK272" i="3"/>
  <c r="AU53" i="3"/>
  <c r="AJ53" i="3"/>
  <c r="AW311" i="3"/>
  <c r="AN311" i="3"/>
  <c r="AB94" i="3"/>
  <c r="AA100" i="3"/>
  <c r="AA298" i="3"/>
  <c r="AG107" i="3"/>
  <c r="AW251" i="3"/>
  <c r="AN251" i="3"/>
  <c r="AF103" i="3"/>
  <c r="AE102" i="3"/>
  <c r="AW64" i="3"/>
  <c r="AN64" i="3"/>
  <c r="AU325" i="3"/>
  <c r="AJ325" i="3"/>
  <c r="AW328" i="3"/>
  <c r="AN328" i="3"/>
  <c r="AX90" i="3"/>
  <c r="AO90" i="3"/>
  <c r="AU231" i="3"/>
  <c r="AJ231" i="3"/>
  <c r="AU259" i="3"/>
  <c r="AJ259" i="3"/>
  <c r="AE247" i="3"/>
  <c r="AE16" i="3"/>
  <c r="P16" i="3" s="1"/>
  <c r="AS278" i="3"/>
  <c r="AG278" i="3"/>
  <c r="AV273" i="3"/>
  <c r="AK273" i="3"/>
  <c r="AR291" i="3"/>
  <c r="AF291" i="3"/>
  <c r="AA22" i="3"/>
  <c r="AR311" i="3"/>
  <c r="AF311" i="3"/>
  <c r="AS316" i="3"/>
  <c r="AG316" i="3"/>
  <c r="AA14" i="3"/>
  <c r="P14" i="3" s="1"/>
  <c r="AG80" i="3"/>
  <c r="AG23" i="3"/>
  <c r="AE187" i="3"/>
  <c r="AK84" i="3"/>
  <c r="AX297" i="3"/>
  <c r="AO297" i="3"/>
  <c r="AA104" i="3"/>
  <c r="AW74" i="3"/>
  <c r="AN74" i="3"/>
  <c r="AW140" i="3"/>
  <c r="AN140" i="3"/>
  <c r="AA143" i="3"/>
  <c r="AA319" i="3"/>
  <c r="AX259" i="3"/>
  <c r="AO259" i="3"/>
  <c r="AE293" i="3"/>
  <c r="AE22" i="3"/>
  <c r="AS42" i="3"/>
  <c r="AG42" i="3"/>
  <c r="AS19" i="3"/>
  <c r="AG19" i="3"/>
  <c r="AE211" i="3"/>
  <c r="AO125" i="3"/>
  <c r="AG104" i="3"/>
  <c r="AW14" i="3"/>
  <c r="AN14" i="3"/>
  <c r="AG257" i="3"/>
  <c r="AJ85" i="3"/>
  <c r="AG56" i="3"/>
  <c r="Y70" i="3"/>
  <c r="AX39" i="3"/>
  <c r="AO39" i="3"/>
  <c r="AX256" i="3"/>
  <c r="AO256" i="3"/>
  <c r="AW179" i="3"/>
  <c r="AN179" i="3"/>
  <c r="AA179" i="3"/>
  <c r="AJ272" i="3"/>
  <c r="AX113" i="3"/>
  <c r="AO113" i="3"/>
  <c r="AV328" i="3"/>
  <c r="AK328" i="3"/>
  <c r="AN120" i="3"/>
  <c r="AS288" i="3"/>
  <c r="AG288" i="3"/>
  <c r="AN306" i="3"/>
  <c r="AN97" i="3"/>
  <c r="AN56" i="3"/>
  <c r="AA6" i="3"/>
  <c r="AS250" i="3"/>
  <c r="AG250" i="3"/>
  <c r="AW38" i="3"/>
  <c r="AN38" i="3"/>
  <c r="AW50" i="3"/>
  <c r="AN50" i="3"/>
  <c r="AU91" i="3"/>
  <c r="AJ91" i="3"/>
  <c r="AW184" i="3"/>
  <c r="AN184" i="3"/>
  <c r="AW167" i="3"/>
  <c r="AN167" i="3"/>
  <c r="AA192" i="3"/>
  <c r="AG249" i="3"/>
  <c r="AS206" i="3"/>
  <c r="AG206" i="3"/>
  <c r="AA238" i="3"/>
  <c r="AG276" i="3"/>
  <c r="AW122" i="3"/>
  <c r="AN122" i="3"/>
  <c r="AK191" i="3"/>
  <c r="AA91" i="3"/>
  <c r="AU328" i="3"/>
  <c r="AJ328" i="3"/>
  <c r="AE238" i="3"/>
  <c r="AS244" i="3"/>
  <c r="AG244" i="3"/>
  <c r="AO268" i="3"/>
  <c r="AS324" i="3"/>
  <c r="AG324" i="3"/>
  <c r="AE233" i="3"/>
  <c r="AS287" i="3"/>
  <c r="AG287" i="3"/>
  <c r="AS118" i="3"/>
  <c r="AG118" i="3"/>
  <c r="AU200" i="3"/>
  <c r="AJ200" i="3"/>
  <c r="AU33" i="3"/>
  <c r="AJ33" i="3"/>
  <c r="AA268" i="3"/>
  <c r="AA120" i="3"/>
  <c r="AS17" i="3"/>
  <c r="AG17" i="3"/>
  <c r="AB303" i="3"/>
  <c r="AX19" i="3"/>
  <c r="AO19" i="3"/>
  <c r="AA289" i="3"/>
  <c r="P289" i="3" s="1"/>
  <c r="AS34" i="3"/>
  <c r="AG34" i="3"/>
  <c r="AE326" i="3"/>
  <c r="AS213" i="3"/>
  <c r="AG213" i="3"/>
  <c r="AU252" i="3"/>
  <c r="AJ89" i="3"/>
  <c r="AV123" i="3"/>
  <c r="AK123" i="3"/>
  <c r="AA274" i="3"/>
  <c r="AG267" i="3"/>
  <c r="AW3" i="3"/>
  <c r="AN3" i="3"/>
  <c r="AO100" i="3"/>
  <c r="AW272" i="3"/>
  <c r="AN272" i="3"/>
  <c r="AS120" i="3"/>
  <c r="AG120" i="3"/>
  <c r="AG196" i="3"/>
  <c r="AX40" i="3"/>
  <c r="AO40" i="3"/>
  <c r="AA278" i="3"/>
  <c r="AV181" i="3"/>
  <c r="AK181" i="3"/>
  <c r="AJ104" i="3"/>
  <c r="AW263" i="3"/>
  <c r="AN263" i="3"/>
  <c r="AA154" i="3"/>
  <c r="AV85" i="3"/>
  <c r="AK85" i="3"/>
  <c r="AJ69" i="3"/>
  <c r="AE130" i="3"/>
  <c r="AW209" i="3"/>
  <c r="AN209" i="3"/>
  <c r="AW109" i="3"/>
  <c r="AN109" i="3"/>
  <c r="AS54" i="3"/>
  <c r="AG54" i="3"/>
  <c r="AU233" i="3"/>
  <c r="AJ233" i="3"/>
  <c r="AE206" i="3"/>
  <c r="AX45" i="3"/>
  <c r="AO45" i="3"/>
  <c r="AA250" i="3"/>
  <c r="AX278" i="3"/>
  <c r="AO278" i="3"/>
  <c r="AX53" i="3"/>
  <c r="AO53" i="3"/>
  <c r="AJ244" i="3"/>
  <c r="AS101" i="3"/>
  <c r="AG101" i="3"/>
  <c r="AS254" i="3"/>
  <c r="AG254" i="3"/>
  <c r="AA33" i="3"/>
  <c r="AG99" i="3"/>
  <c r="AV37" i="3"/>
  <c r="AK37" i="3"/>
  <c r="AX132" i="3"/>
  <c r="AO132" i="3"/>
  <c r="AA93" i="3"/>
  <c r="AS183" i="3"/>
  <c r="AG183" i="3"/>
  <c r="AA235" i="3"/>
  <c r="AV262" i="3"/>
  <c r="AK262" i="3"/>
  <c r="AA90" i="3"/>
  <c r="AS100" i="3"/>
  <c r="AG94" i="3"/>
  <c r="AS220" i="3"/>
  <c r="AG220" i="3"/>
  <c r="AW63" i="3"/>
  <c r="AN63" i="3"/>
  <c r="AU184" i="3"/>
  <c r="AJ184" i="3"/>
  <c r="AV210" i="3"/>
  <c r="AK210" i="3"/>
  <c r="AS140" i="3"/>
  <c r="AG140" i="3"/>
  <c r="AA17" i="3"/>
  <c r="P17" i="3" s="1"/>
  <c r="AK104" i="3"/>
  <c r="AS309" i="3"/>
  <c r="AG309" i="3"/>
  <c r="AW132" i="3"/>
  <c r="AN132" i="3"/>
  <c r="AO93" i="3"/>
  <c r="AN176" i="3"/>
  <c r="AV318" i="3"/>
  <c r="AK318" i="3"/>
  <c r="AS263" i="3"/>
  <c r="AG263" i="3"/>
  <c r="AA228" i="3"/>
  <c r="P228" i="3" s="1"/>
  <c r="AA47" i="3"/>
  <c r="AX143" i="3"/>
  <c r="AO143" i="3"/>
  <c r="AA141" i="3"/>
  <c r="AV232" i="3"/>
  <c r="AK232" i="3"/>
  <c r="AE267" i="3"/>
  <c r="AC257" i="3"/>
  <c r="AW6" i="3"/>
  <c r="AN6" i="3"/>
  <c r="AW21" i="3"/>
  <c r="AN21" i="3"/>
  <c r="AA212" i="3"/>
  <c r="AA227" i="3"/>
  <c r="AA130" i="3"/>
  <c r="AA185" i="3"/>
  <c r="P185" i="3" s="1"/>
  <c r="AU238" i="3"/>
  <c r="AJ238" i="3"/>
  <c r="AW165" i="3"/>
  <c r="AN165" i="3"/>
  <c r="AK132" i="3"/>
  <c r="AS181" i="3"/>
  <c r="AG181" i="3"/>
  <c r="AW320" i="3"/>
  <c r="AN320" i="3"/>
  <c r="AW8" i="3"/>
  <c r="AN8" i="3"/>
  <c r="AX187" i="3"/>
  <c r="AO187" i="3"/>
  <c r="AA176" i="3"/>
  <c r="AG98" i="3"/>
  <c r="AS12" i="3"/>
  <c r="AG12" i="3"/>
  <c r="AW235" i="3"/>
  <c r="AN235" i="3"/>
  <c r="AW256" i="3"/>
  <c r="AN256" i="3"/>
  <c r="AW208" i="3"/>
  <c r="AN208" i="3"/>
  <c r="AW225" i="3"/>
  <c r="AN225" i="3"/>
  <c r="AX159" i="3"/>
  <c r="AO159" i="3"/>
  <c r="AA263" i="3"/>
  <c r="AU39" i="3"/>
  <c r="AJ39" i="3"/>
  <c r="AV59" i="3"/>
  <c r="AK59" i="3"/>
  <c r="AO148" i="3"/>
  <c r="AG47" i="3"/>
  <c r="AS86" i="3"/>
  <c r="AG86" i="3"/>
  <c r="AW230" i="3"/>
  <c r="AN230" i="3"/>
  <c r="AO203" i="3"/>
  <c r="AA105" i="3"/>
  <c r="AW91" i="3"/>
  <c r="AN91" i="3"/>
  <c r="AJ215" i="3"/>
  <c r="AS197" i="3"/>
  <c r="AG197" i="3"/>
  <c r="AJ232" i="3"/>
  <c r="AX184" i="3"/>
  <c r="AO184" i="3"/>
  <c r="AU312" i="3"/>
  <c r="AJ312" i="3"/>
  <c r="AN134" i="3"/>
  <c r="AA150" i="3"/>
  <c r="AX210" i="3"/>
  <c r="AO210" i="3"/>
  <c r="AU40" i="3"/>
  <c r="AJ40" i="3"/>
  <c r="AS238" i="3"/>
  <c r="AG238" i="3"/>
  <c r="AS231" i="3"/>
  <c r="AG231" i="3"/>
  <c r="AS282" i="3"/>
  <c r="AG282" i="3"/>
  <c r="AX122" i="3"/>
  <c r="AO122" i="3"/>
  <c r="AA191" i="3"/>
  <c r="AA313" i="3"/>
  <c r="P313" i="3" s="1"/>
  <c r="AS251" i="3"/>
  <c r="AG251" i="3"/>
  <c r="AV244" i="3"/>
  <c r="AK244" i="3"/>
  <c r="AB219" i="3"/>
  <c r="AA215" i="3"/>
  <c r="AS116" i="3"/>
  <c r="AG116" i="3"/>
  <c r="AA118" i="3"/>
  <c r="AW200" i="3"/>
  <c r="AN200" i="3"/>
  <c r="AV33" i="3"/>
  <c r="AK33" i="3"/>
  <c r="AG221" i="3"/>
  <c r="AJ120" i="3"/>
  <c r="AU19" i="3"/>
  <c r="AJ19" i="3"/>
  <c r="AS289" i="3"/>
  <c r="AG289" i="3"/>
  <c r="AA34" i="3"/>
  <c r="AX209" i="3"/>
  <c r="AO209" i="3"/>
  <c r="AO323" i="3"/>
  <c r="AX323" i="3"/>
  <c r="AA236" i="3"/>
  <c r="AA26" i="3"/>
  <c r="AU251" i="3"/>
  <c r="AJ251" i="3"/>
  <c r="AW90" i="3"/>
  <c r="AN90" i="3"/>
  <c r="AA138" i="3"/>
  <c r="AQ316" i="3"/>
  <c r="AB255" i="3"/>
  <c r="AW123" i="3"/>
  <c r="AN123" i="3"/>
  <c r="AA45" i="3"/>
  <c r="AW39" i="3"/>
  <c r="AN39" i="3"/>
  <c r="AS236" i="3"/>
  <c r="AG236" i="3"/>
  <c r="AW145" i="3"/>
  <c r="AN145" i="3"/>
  <c r="AX94" i="3"/>
  <c r="AO94" i="3"/>
  <c r="AA220" i="3"/>
  <c r="AU143" i="3"/>
  <c r="AJ143" i="3"/>
  <c r="AC87" i="3"/>
  <c r="AA95" i="3"/>
  <c r="AX272" i="3"/>
  <c r="AO272" i="3"/>
  <c r="AW113" i="3"/>
  <c r="AN113" i="3"/>
  <c r="AA247" i="3"/>
  <c r="AU64" i="3"/>
  <c r="AJ64" i="3"/>
  <c r="AX328" i="3"/>
  <c r="AO328" i="3"/>
  <c r="AG217" i="3"/>
  <c r="AA314" i="3"/>
  <c r="AG178" i="3"/>
  <c r="AE199" i="3"/>
  <c r="AG73" i="3"/>
  <c r="AV250" i="3"/>
  <c r="AK250" i="3"/>
  <c r="AN160" i="3"/>
  <c r="AV38" i="3"/>
  <c r="AK38" i="3"/>
  <c r="AX147" i="3"/>
  <c r="AO147" i="3"/>
  <c r="AW232" i="3"/>
  <c r="AN232" i="3"/>
  <c r="AA276" i="3"/>
  <c r="AS91" i="3"/>
  <c r="AG91" i="3"/>
  <c r="AA287" i="3"/>
  <c r="P287" i="3" s="1"/>
  <c r="AS307" i="3"/>
  <c r="AG307" i="3"/>
  <c r="AA259" i="3"/>
  <c r="AA267" i="3"/>
  <c r="Y257" i="3"/>
  <c r="AU8" i="3"/>
  <c r="AJ8" i="3"/>
  <c r="AE316" i="3"/>
  <c r="AG74" i="3"/>
  <c r="AU97" i="3"/>
  <c r="AJ72" i="3"/>
  <c r="AJ304" i="3"/>
  <c r="AJ56" i="3"/>
  <c r="AE47" i="3"/>
  <c r="AJ237" i="3"/>
  <c r="AN227" i="3"/>
  <c r="AJ32" i="3"/>
  <c r="AK306" i="3"/>
  <c r="AK304" i="3"/>
  <c r="AK97" i="3"/>
  <c r="AN23" i="3"/>
  <c r="AA275" i="3"/>
  <c r="AA124" i="3"/>
  <c r="AO182" i="3"/>
  <c r="AO6" i="3"/>
  <c r="AU257" i="3"/>
  <c r="AJ257" i="3"/>
  <c r="AP48" i="3"/>
  <c r="X48" i="3"/>
  <c r="AN237" i="3"/>
  <c r="AS211" i="3"/>
  <c r="AG211" i="3"/>
  <c r="AU6" i="3"/>
  <c r="AJ227" i="3"/>
  <c r="AU130" i="3"/>
  <c r="AJ130" i="3"/>
  <c r="AS185" i="3"/>
  <c r="AG185" i="3"/>
  <c r="AW32" i="3"/>
  <c r="AN32" i="3"/>
  <c r="AW238" i="3"/>
  <c r="AN238" i="3"/>
  <c r="AX165" i="3"/>
  <c r="AO165" i="3"/>
  <c r="AU54" i="3"/>
  <c r="AJ54" i="3"/>
  <c r="AW151" i="3"/>
  <c r="AN151" i="3"/>
  <c r="AJ93" i="3"/>
  <c r="AX320" i="3"/>
  <c r="AO320" i="3"/>
  <c r="AX8" i="3"/>
  <c r="AO8" i="3"/>
  <c r="AU176" i="3"/>
  <c r="AJ176" i="3"/>
  <c r="AW27" i="3"/>
  <c r="AN27" i="3"/>
  <c r="AB262" i="3"/>
  <c r="AA264" i="3"/>
  <c r="AX235" i="3"/>
  <c r="AO235" i="3"/>
  <c r="AA167" i="3"/>
  <c r="AX225" i="3"/>
  <c r="AO225" i="3"/>
  <c r="AW75" i="3"/>
  <c r="AN75" i="3"/>
  <c r="AJ262" i="3"/>
  <c r="P262" i="3" s="1"/>
  <c r="AJ214" i="3"/>
  <c r="AN148" i="3"/>
  <c r="AU302" i="3"/>
  <c r="AJ302" i="3"/>
  <c r="AA86" i="3"/>
  <c r="AX230" i="3"/>
  <c r="AO230" i="3"/>
  <c r="AS248" i="3"/>
  <c r="AG248" i="3"/>
  <c r="AV82" i="3"/>
  <c r="AK82" i="3"/>
  <c r="AS105" i="3"/>
  <c r="AG105" i="3"/>
  <c r="AV292" i="3"/>
  <c r="AK292" i="3"/>
  <c r="AX192" i="3"/>
  <c r="AO192" i="3"/>
  <c r="AW303" i="3"/>
  <c r="AN303" i="3"/>
  <c r="AA299" i="3"/>
  <c r="AK207" i="3"/>
  <c r="AA223" i="3"/>
  <c r="P223" i="3" s="1"/>
  <c r="AO312" i="3"/>
  <c r="AX312" i="3"/>
  <c r="AK63" i="3"/>
  <c r="AA71" i="3"/>
  <c r="AE285" i="3"/>
  <c r="P285" i="3" s="1"/>
  <c r="AF174" i="3"/>
  <c r="AE178" i="3"/>
  <c r="AS30" i="3"/>
  <c r="AG30" i="3"/>
  <c r="AV44" i="3"/>
  <c r="AK44" i="3"/>
  <c r="AE274" i="3"/>
  <c r="AA197" i="3"/>
  <c r="P197" i="3" s="1"/>
  <c r="AA282" i="3"/>
  <c r="P282" i="3" s="1"/>
  <c r="AX191" i="3"/>
  <c r="AO191" i="3"/>
  <c r="AV276" i="3"/>
  <c r="AK276" i="3"/>
  <c r="AN244" i="3"/>
  <c r="AU95" i="3"/>
  <c r="AJ95" i="3"/>
  <c r="AS8" i="3"/>
  <c r="AG8" i="3"/>
  <c r="AF286" i="3"/>
  <c r="AA116" i="3"/>
  <c r="P116" i="3" s="1"/>
  <c r="AG189" i="3"/>
  <c r="AV200" i="3"/>
  <c r="AK200" i="3"/>
  <c r="AW33" i="3"/>
  <c r="AN33" i="3"/>
  <c r="AS297" i="3"/>
  <c r="AG297" i="3"/>
  <c r="AB226" i="3"/>
  <c r="AA221" i="3"/>
  <c r="AV120" i="3"/>
  <c r="AK120" i="3"/>
  <c r="AW19" i="3"/>
  <c r="AN19" i="3"/>
  <c r="AG59" i="3"/>
  <c r="AV280" i="3"/>
  <c r="AK280" i="3"/>
  <c r="P280" i="3" s="1"/>
  <c r="AU45" i="3"/>
  <c r="AJ45" i="3"/>
  <c r="AV325" i="3"/>
  <c r="AK325" i="3"/>
  <c r="AE188" i="3"/>
  <c r="AF262" i="3"/>
  <c r="AE264" i="3"/>
  <c r="AB222" i="3"/>
  <c r="AB96" i="3"/>
  <c r="AA99" i="3"/>
  <c r="AA61" i="3"/>
  <c r="AG113" i="3"/>
  <c r="AS21" i="3"/>
  <c r="AG21" i="3"/>
  <c r="AV168" i="3"/>
  <c r="AK168" i="3"/>
  <c r="AS158" i="3"/>
  <c r="AG158" i="3"/>
  <c r="AA183" i="3"/>
  <c r="AU318" i="3"/>
  <c r="AJ318" i="3"/>
  <c r="AU179" i="3"/>
  <c r="AJ179" i="3"/>
  <c r="AX140" i="3"/>
  <c r="AO140" i="3"/>
  <c r="AN203" i="3"/>
  <c r="AX223" i="3"/>
  <c r="AO223" i="3"/>
  <c r="AU210" i="3"/>
  <c r="AJ210" i="3"/>
  <c r="AX251" i="3"/>
  <c r="AO251" i="3"/>
  <c r="AA140" i="3"/>
  <c r="AX200" i="3"/>
  <c r="AO200" i="3"/>
  <c r="AO120" i="3"/>
  <c r="AA325" i="3"/>
  <c r="AA288" i="3"/>
  <c r="AA113" i="3"/>
  <c r="AW104" i="3"/>
  <c r="AN104" i="3"/>
  <c r="AG168" i="3"/>
  <c r="AA54" i="3"/>
  <c r="AU74" i="3"/>
  <c r="AJ74" i="3"/>
  <c r="AJ203" i="3"/>
  <c r="AW143" i="3"/>
  <c r="AN143" i="3"/>
  <c r="AV158" i="3"/>
  <c r="AK158" i="3"/>
  <c r="AA206" i="3"/>
  <c r="AA324" i="3"/>
  <c r="AN221" i="3"/>
  <c r="AU181" i="3"/>
  <c r="AJ181" i="3"/>
  <c r="AJ23" i="3"/>
  <c r="AA73" i="3"/>
  <c r="AG37" i="3"/>
  <c r="AS273" i="3"/>
  <c r="AG273" i="3"/>
  <c r="AS228" i="3"/>
  <c r="AG228" i="3"/>
  <c r="AJ256" i="3"/>
  <c r="AU225" i="3"/>
  <c r="AJ225" i="3"/>
  <c r="AV141" i="3"/>
  <c r="AK141" i="3"/>
  <c r="AA190" i="3"/>
  <c r="AB195" i="3"/>
  <c r="AO215" i="3"/>
  <c r="AS138" i="3"/>
  <c r="AG138" i="3"/>
  <c r="AE56" i="3"/>
  <c r="AN304" i="3"/>
  <c r="AW212" i="3"/>
  <c r="AN212" i="3"/>
  <c r="AX23" i="3"/>
  <c r="AO23" i="3"/>
  <c r="AG275" i="3"/>
  <c r="AK56" i="3"/>
  <c r="AN182" i="3"/>
  <c r="AV6" i="3"/>
  <c r="AK6" i="3"/>
  <c r="AW257" i="3"/>
  <c r="AN257" i="3"/>
  <c r="AJ154" i="3"/>
  <c r="AA211" i="3"/>
  <c r="AV185" i="3"/>
  <c r="AK185" i="3"/>
  <c r="AV130" i="3"/>
  <c r="AK130" i="3"/>
  <c r="AG224" i="3"/>
  <c r="AX32" i="3"/>
  <c r="AO32" i="3"/>
  <c r="AX238" i="3"/>
  <c r="AO238" i="3"/>
  <c r="AX54" i="3"/>
  <c r="AO54" i="3"/>
  <c r="AJ127" i="3"/>
  <c r="AS82" i="3"/>
  <c r="AG82" i="3"/>
  <c r="AA295" i="3"/>
  <c r="AO176" i="3"/>
  <c r="AX261" i="3"/>
  <c r="AO261" i="3"/>
  <c r="AG264" i="3"/>
  <c r="AX234" i="3"/>
  <c r="AO234" i="3"/>
  <c r="AS29" i="3"/>
  <c r="AG29" i="3"/>
  <c r="AJ27" i="3"/>
  <c r="AA233" i="3"/>
  <c r="AE181" i="3"/>
  <c r="AV34" i="3"/>
  <c r="AK34" i="3"/>
  <c r="AV302" i="3"/>
  <c r="AK302" i="3"/>
  <c r="AV91" i="3"/>
  <c r="AK91" i="3"/>
  <c r="AV156" i="3"/>
  <c r="AK156" i="3"/>
  <c r="AW82" i="3"/>
  <c r="AN82" i="3"/>
  <c r="AS321" i="3"/>
  <c r="AG321" i="3"/>
  <c r="AJ292" i="3"/>
  <c r="AU188" i="3"/>
  <c r="AJ188" i="3"/>
  <c r="AW76" i="3"/>
  <c r="AN76" i="3"/>
  <c r="AV303" i="3"/>
  <c r="AK303" i="3"/>
  <c r="AA239" i="3"/>
  <c r="P239" i="3" s="1"/>
  <c r="AX207" i="3"/>
  <c r="AO207" i="3"/>
  <c r="AS223" i="3"/>
  <c r="AG223" i="3"/>
  <c r="AX11" i="3"/>
  <c r="AO11" i="3"/>
  <c r="AS71" i="3"/>
  <c r="AG71" i="3"/>
  <c r="AG43" i="3"/>
  <c r="AA133" i="3"/>
  <c r="AA30" i="3"/>
  <c r="AN264" i="3"/>
  <c r="AS50" i="3"/>
  <c r="AG50" i="3"/>
  <c r="AA115" i="3"/>
  <c r="AS95" i="3"/>
  <c r="AG95" i="3"/>
  <c r="AW249" i="3"/>
  <c r="AN249" i="3"/>
  <c r="AA244" i="3"/>
  <c r="AV95" i="3"/>
  <c r="AK95" i="3"/>
  <c r="AA8" i="3"/>
  <c r="AA189" i="3"/>
  <c r="AA136" i="3"/>
  <c r="P136" i="3" s="1"/>
  <c r="AX33" i="3"/>
  <c r="AO33" i="3"/>
  <c r="AA297" i="3"/>
  <c r="AS126" i="3"/>
  <c r="AG126" i="3"/>
  <c r="AA108" i="3"/>
  <c r="P108" i="3" s="1"/>
  <c r="AF301" i="3"/>
  <c r="AE298" i="3"/>
  <c r="AV19" i="3"/>
  <c r="AK19" i="3"/>
  <c r="X315" i="3"/>
  <c r="AG102" i="3"/>
  <c r="AS301" i="3"/>
  <c r="AG301" i="3"/>
  <c r="AB280" i="3"/>
  <c r="AN58" i="3"/>
  <c r="AU132" i="3"/>
  <c r="AJ132" i="3"/>
  <c r="AS207" i="3"/>
  <c r="AG207" i="3"/>
  <c r="AE53" i="3"/>
  <c r="AK145" i="3"/>
  <c r="AV53" i="3"/>
  <c r="AK53" i="3"/>
  <c r="AX64" i="3"/>
  <c r="AO64" i="3"/>
  <c r="AW231" i="3"/>
  <c r="AN231" i="3"/>
  <c r="AS314" i="3"/>
  <c r="AG314" i="3"/>
  <c r="AS175" i="3"/>
  <c r="AG170" i="3"/>
  <c r="AS325" i="3"/>
  <c r="AG325" i="3"/>
  <c r="AA186" i="3"/>
  <c r="P186" i="3" s="1"/>
  <c r="AG6" i="3"/>
  <c r="AU185" i="3"/>
  <c r="AJ121" i="3"/>
  <c r="AA139" i="3"/>
  <c r="AJ187" i="3"/>
  <c r="AW261" i="3"/>
  <c r="AN261" i="3"/>
  <c r="AX31" i="3"/>
  <c r="AO31" i="3"/>
  <c r="AU158" i="3"/>
  <c r="AJ158" i="3"/>
  <c r="AU167" i="3"/>
  <c r="AJ167" i="3"/>
  <c r="AA107" i="3"/>
  <c r="AG66" i="3"/>
  <c r="AA196" i="3"/>
  <c r="AA40" i="3"/>
  <c r="AG312" i="3"/>
  <c r="AS312" i="3"/>
  <c r="AS280" i="3"/>
  <c r="AG280" i="3"/>
  <c r="AA307" i="3"/>
  <c r="AV80" i="3"/>
  <c r="AK80" i="3"/>
  <c r="AA19" i="3"/>
  <c r="AV221" i="3"/>
  <c r="AK221" i="3"/>
  <c r="AS57" i="3"/>
  <c r="AG57" i="3"/>
  <c r="AW181" i="3"/>
  <c r="AN181" i="3"/>
  <c r="AJ58" i="3"/>
  <c r="AA21" i="3"/>
  <c r="AA309" i="3"/>
  <c r="AO130" i="3"/>
  <c r="AK187" i="3"/>
  <c r="AK267" i="3"/>
  <c r="AG190" i="3"/>
  <c r="AG191" i="3"/>
  <c r="AA101" i="3"/>
  <c r="AS259" i="3"/>
  <c r="AG259" i="3"/>
  <c r="AA312" i="3"/>
  <c r="AA254" i="3"/>
  <c r="P254" i="3" s="1"/>
  <c r="AG163" i="3"/>
  <c r="AS268" i="3"/>
  <c r="AG268" i="3"/>
  <c r="AF213" i="3"/>
  <c r="AA57" i="3"/>
  <c r="AF193" i="3"/>
  <c r="AB174" i="3"/>
  <c r="AA178" i="3"/>
  <c r="AA58" i="3"/>
  <c r="AG227" i="3"/>
  <c r="AE73" i="3"/>
  <c r="AC70" i="3"/>
  <c r="AJ165" i="3"/>
  <c r="AJ320" i="3"/>
  <c r="AW187" i="3"/>
  <c r="AN187" i="3"/>
  <c r="AU235" i="3"/>
  <c r="AJ235" i="3"/>
  <c r="AJ208" i="3"/>
  <c r="AS90" i="3"/>
  <c r="AG90" i="3"/>
  <c r="AX105" i="3"/>
  <c r="AO105" i="3"/>
  <c r="AW158" i="3"/>
  <c r="AN158" i="3"/>
  <c r="AJ36" i="3"/>
  <c r="AW210" i="3"/>
  <c r="AN210" i="3"/>
  <c r="AJ279" i="3"/>
  <c r="AJ306" i="3"/>
  <c r="AV51" i="3"/>
  <c r="AK252" i="3"/>
  <c r="AO212" i="3"/>
  <c r="AX153" i="3"/>
  <c r="AO153" i="3"/>
  <c r="AG130" i="3"/>
  <c r="AA24" i="3"/>
  <c r="AE153" i="3"/>
  <c r="AX257" i="3"/>
  <c r="AO257" i="3"/>
  <c r="AK154" i="3"/>
  <c r="AV169" i="3"/>
  <c r="AK169" i="3"/>
  <c r="AN185" i="3"/>
  <c r="AN130" i="3"/>
  <c r="AS123" i="3"/>
  <c r="AG123" i="3"/>
  <c r="AS187" i="3"/>
  <c r="AG187" i="3"/>
  <c r="AA64" i="3"/>
  <c r="AK93" i="3"/>
  <c r="AG304" i="3"/>
  <c r="AA89" i="3"/>
  <c r="AK176" i="3"/>
  <c r="AE220" i="3"/>
  <c r="AA251" i="3"/>
  <c r="AS3" i="3"/>
  <c r="AG3" i="3"/>
  <c r="AW146" i="3"/>
  <c r="AN146" i="3"/>
  <c r="AE90" i="3"/>
  <c r="AJ261" i="3"/>
  <c r="AW59" i="3"/>
  <c r="AN59" i="3"/>
  <c r="AA245" i="3"/>
  <c r="AN159" i="3"/>
  <c r="AE135" i="3"/>
  <c r="AX86" i="3"/>
  <c r="AO86" i="3"/>
  <c r="AW302" i="3"/>
  <c r="AN302" i="3"/>
  <c r="AA321" i="3"/>
  <c r="AU152" i="3"/>
  <c r="AJ156" i="3"/>
  <c r="AX82" i="3"/>
  <c r="AO82" i="3"/>
  <c r="AX266" i="3"/>
  <c r="AO266" i="3"/>
  <c r="AN292" i="3"/>
  <c r="AV188" i="3"/>
  <c r="AK188" i="3"/>
  <c r="AX63" i="3"/>
  <c r="AO63" i="3"/>
  <c r="AG239" i="3"/>
  <c r="AN207" i="3"/>
  <c r="AG215" i="3"/>
  <c r="AE296" i="3"/>
  <c r="AA291" i="3"/>
  <c r="AA76" i="3"/>
  <c r="AA311" i="3"/>
  <c r="AS133" i="3"/>
  <c r="AG133" i="3"/>
  <c r="AS136" i="3"/>
  <c r="AG136" i="3"/>
  <c r="AN107" i="3"/>
  <c r="AA315" i="3"/>
  <c r="P315" i="3" s="1"/>
  <c r="AO264" i="3"/>
  <c r="AA50" i="3"/>
  <c r="AW191" i="3"/>
  <c r="AN191" i="3"/>
  <c r="AA78" i="3"/>
  <c r="AW43" i="3"/>
  <c r="AN43" i="3"/>
  <c r="AU249" i="3"/>
  <c r="AJ249" i="3"/>
  <c r="AO244" i="3"/>
  <c r="AA296" i="3"/>
  <c r="AW95" i="3"/>
  <c r="AN95" i="3"/>
  <c r="AW71" i="3"/>
  <c r="AN71" i="3"/>
  <c r="AS65" i="3"/>
  <c r="AG65" i="3"/>
  <c r="AE323" i="3"/>
  <c r="AV66" i="3"/>
  <c r="AK66" i="3"/>
  <c r="AW273" i="3"/>
  <c r="AN273" i="3"/>
  <c r="AV136" i="3"/>
  <c r="AK136" i="3"/>
  <c r="AB142" i="3"/>
  <c r="AA148" i="3"/>
  <c r="AA126" i="3"/>
  <c r="AS108" i="3"/>
  <c r="AG108" i="3"/>
  <c r="AS308" i="3"/>
  <c r="AG308" i="3"/>
  <c r="AR310" i="3"/>
  <c r="AF310" i="3"/>
  <c r="AA102" i="3"/>
  <c r="AA301" i="3"/>
  <c r="P301" i="3" s="1"/>
  <c r="M8" i="4" l="1"/>
  <c r="AO117" i="3"/>
  <c r="AW270" i="3"/>
  <c r="AF277" i="3"/>
  <c r="AU300" i="3"/>
  <c r="AA41" i="3"/>
  <c r="AV270" i="3"/>
  <c r="AX270" i="3"/>
  <c r="AR300" i="3"/>
  <c r="AV300" i="3"/>
  <c r="AU260" i="3"/>
  <c r="AS270" i="3"/>
  <c r="AX277" i="3"/>
  <c r="AN60" i="3"/>
  <c r="AE67" i="3"/>
  <c r="AS277" i="3"/>
  <c r="AB270" i="3"/>
  <c r="AW277" i="3"/>
  <c r="AV277" i="3"/>
  <c r="AF67" i="3"/>
  <c r="AK60" i="3"/>
  <c r="AW260" i="3"/>
  <c r="AP128" i="3"/>
  <c r="AJ41" i="3"/>
  <c r="AJ60" i="3"/>
  <c r="AP60" i="3"/>
  <c r="AV260" i="3"/>
  <c r="AO60" i="3"/>
  <c r="AO67" i="3"/>
  <c r="AO110" i="3"/>
  <c r="AG119" i="3"/>
  <c r="AJ119" i="3"/>
  <c r="AN110" i="3"/>
  <c r="T12" i="4"/>
  <c r="U12" i="4" s="1" a="1"/>
  <c r="U12" i="4" s="1"/>
  <c r="AR5" i="3"/>
  <c r="AB281" i="3"/>
  <c r="AF216" i="3"/>
  <c r="AV62" i="3"/>
  <c r="AF204" i="3"/>
  <c r="AX283" i="3"/>
  <c r="AX253" i="3"/>
  <c r="AX260" i="3"/>
  <c r="AJ137" i="3"/>
  <c r="AV283" i="3"/>
  <c r="AW283" i="3"/>
  <c r="AN137" i="3"/>
  <c r="AG137" i="3"/>
  <c r="M11" i="4"/>
  <c r="T11" i="4"/>
  <c r="U11" i="4" s="1" a="1"/>
  <c r="U11" i="4" s="1"/>
  <c r="AV253" i="3"/>
  <c r="AU253" i="3"/>
  <c r="AW253" i="3"/>
  <c r="AJ241" i="3"/>
  <c r="AJ253" i="3"/>
  <c r="AS62" i="3"/>
  <c r="AG241" i="3"/>
  <c r="AF119" i="3"/>
  <c r="AK119" i="3"/>
  <c r="AK241" i="3"/>
  <c r="AU62" i="3"/>
  <c r="AA119" i="3"/>
  <c r="AN117" i="3"/>
  <c r="AO241" i="3"/>
  <c r="AP241" i="3"/>
  <c r="AA241" i="3"/>
  <c r="AA117" i="3"/>
  <c r="AW62" i="3"/>
  <c r="AX62" i="3"/>
  <c r="AV171" i="3"/>
  <c r="AF41" i="3"/>
  <c r="AX171" i="3"/>
  <c r="AX41" i="3"/>
  <c r="AF171" i="3"/>
  <c r="AS281" i="3"/>
  <c r="AB198" i="3"/>
  <c r="AW204" i="3"/>
  <c r="AP119" i="3"/>
  <c r="AG117" i="3"/>
  <c r="AN119" i="3"/>
  <c r="AX25" i="3"/>
  <c r="AV281" i="3"/>
  <c r="AR270" i="3"/>
  <c r="AV25" i="3"/>
  <c r="AR283" i="3"/>
  <c r="AW241" i="3"/>
  <c r="AW171" i="3"/>
  <c r="AX241" i="3"/>
  <c r="AB5" i="3"/>
  <c r="AS216" i="3"/>
  <c r="AP117" i="3"/>
  <c r="AF198" i="3"/>
  <c r="AJ117" i="3"/>
  <c r="AO246" i="3"/>
  <c r="AU137" i="3"/>
  <c r="AS241" i="3"/>
  <c r="AS265" i="3"/>
  <c r="AP290" i="3"/>
  <c r="AP294" i="3"/>
  <c r="AX204" i="3"/>
  <c r="AW265" i="3"/>
  <c r="AR281" i="3"/>
  <c r="AU277" i="3"/>
  <c r="AU281" i="3"/>
  <c r="AU171" i="3"/>
  <c r="AR290" i="3"/>
  <c r="AW281" i="3"/>
  <c r="AS171" i="3"/>
  <c r="AS283" i="3"/>
  <c r="AF137" i="3"/>
  <c r="AV67" i="3"/>
  <c r="AJ290" i="3"/>
  <c r="AJ294" i="3"/>
  <c r="AV241" i="3"/>
  <c r="AX265" i="3"/>
  <c r="AV265" i="3"/>
  <c r="AV5" i="3"/>
  <c r="AB204" i="3"/>
  <c r="AV204" i="3"/>
  <c r="AU204" i="3"/>
  <c r="AX5" i="3"/>
  <c r="AA246" i="3"/>
  <c r="AS204" i="3"/>
  <c r="AX281" i="3"/>
  <c r="AB300" i="3"/>
  <c r="AS5" i="3"/>
  <c r="AG5" i="3"/>
  <c r="AP216" i="3"/>
  <c r="AP110" i="3"/>
  <c r="AB277" i="3"/>
  <c r="AV41" i="3"/>
  <c r="AU67" i="3"/>
  <c r="AU5" i="3"/>
  <c r="AR25" i="3"/>
  <c r="AF25" i="3"/>
  <c r="P327" i="3"/>
  <c r="AU41" i="3"/>
  <c r="AG128" i="3"/>
  <c r="AW246" i="3"/>
  <c r="AW198" i="3"/>
  <c r="AA253" i="3"/>
  <c r="AB327" i="3"/>
  <c r="AX246" i="3"/>
  <c r="AX198" i="3"/>
  <c r="AB283" i="3"/>
  <c r="AS41" i="3"/>
  <c r="AG41" i="3"/>
  <c r="AO290" i="3"/>
  <c r="AW25" i="3"/>
  <c r="AF246" i="3"/>
  <c r="AW41" i="3"/>
  <c r="AW137" i="3"/>
  <c r="AN128" i="3"/>
  <c r="AU25" i="3"/>
  <c r="AF62" i="3"/>
  <c r="AX137" i="3"/>
  <c r="AO128" i="3"/>
  <c r="AV137" i="3"/>
  <c r="AK128" i="3"/>
  <c r="AS25" i="3"/>
  <c r="AG25" i="3"/>
  <c r="AB62" i="3"/>
  <c r="AB171" i="3"/>
  <c r="AK290" i="3"/>
  <c r="AS67" i="3"/>
  <c r="AG110" i="3"/>
  <c r="AF128" i="3"/>
  <c r="AB216" i="3"/>
  <c r="AB241" i="3"/>
  <c r="AR265" i="3"/>
  <c r="AF117" i="3"/>
  <c r="AU198" i="3"/>
  <c r="AA128" i="3"/>
  <c r="AB294" i="3"/>
  <c r="AA290" i="3"/>
  <c r="AN290" i="3"/>
  <c r="AS260" i="3"/>
  <c r="AG253" i="3"/>
  <c r="AG246" i="3"/>
  <c r="AF253" i="3"/>
  <c r="AF110" i="3"/>
  <c r="AB265" i="3"/>
  <c r="AV216" i="3"/>
  <c r="AR241" i="3"/>
  <c r="AF241" i="3"/>
  <c r="AS290" i="3"/>
  <c r="AG290" i="3"/>
  <c r="AW5" i="3"/>
  <c r="AS198" i="3"/>
  <c r="AS300" i="3"/>
  <c r="AV198" i="3"/>
  <c r="AX67" i="3"/>
  <c r="AO216" i="3"/>
  <c r="AW67" i="3"/>
  <c r="AN216" i="3"/>
  <c r="P57" i="3"/>
  <c r="P79" i="3"/>
  <c r="P34" i="3"/>
  <c r="P37" i="3"/>
  <c r="AV24" i="3"/>
  <c r="AU23" i="3"/>
  <c r="P188" i="3"/>
  <c r="P314" i="3"/>
  <c r="T9" i="4"/>
  <c r="U9" i="4" s="1" a="1"/>
  <c r="U9" i="4" s="1"/>
  <c r="P180" i="3"/>
  <c r="T10" i="4"/>
  <c r="U10" i="4" s="1" a="1"/>
  <c r="U10" i="4" s="1"/>
  <c r="P255" i="3"/>
  <c r="P230" i="3"/>
  <c r="AA237" i="3"/>
  <c r="P237" i="3" s="1"/>
  <c r="AU73" i="3"/>
  <c r="AU139" i="3"/>
  <c r="AS196" i="3"/>
  <c r="AX154" i="3"/>
  <c r="AF176" i="3"/>
  <c r="AF89" i="3"/>
  <c r="AU51" i="3"/>
  <c r="AA72" i="3"/>
  <c r="P72" i="3" s="1"/>
  <c r="AU191" i="3"/>
  <c r="AP93" i="3"/>
  <c r="P93" i="3" s="1"/>
  <c r="AW93" i="3"/>
  <c r="AU161" i="3"/>
  <c r="AW51" i="3"/>
  <c r="AX29" i="3"/>
  <c r="AW154" i="3"/>
  <c r="AS124" i="3"/>
  <c r="AS72" i="3"/>
  <c r="AX237" i="3"/>
  <c r="AS191" i="3"/>
  <c r="AU56" i="3"/>
  <c r="AW97" i="3"/>
  <c r="AF125" i="3"/>
  <c r="P26" i="3"/>
  <c r="P143" i="3"/>
  <c r="P112" i="3"/>
  <c r="P261" i="3"/>
  <c r="P168" i="3"/>
  <c r="P205" i="3"/>
  <c r="U8" i="4" a="1"/>
  <c r="U8" i="4" s="1"/>
  <c r="P245" i="3"/>
  <c r="P7" i="3"/>
  <c r="P129" i="3"/>
  <c r="P148" i="3"/>
  <c r="P266" i="3"/>
  <c r="P303" i="3"/>
  <c r="P27" i="3"/>
  <c r="P308" i="3"/>
  <c r="P163" i="3"/>
  <c r="P156" i="3"/>
  <c r="P200" i="3"/>
  <c r="P4" i="3"/>
  <c r="P50" i="3"/>
  <c r="P288" i="3"/>
  <c r="P177" i="3"/>
  <c r="P20" i="3"/>
  <c r="P319" i="3"/>
  <c r="P157" i="3"/>
  <c r="P208" i="3"/>
  <c r="P122" i="3"/>
  <c r="P10" i="3"/>
  <c r="P134" i="3"/>
  <c r="P43" i="3"/>
  <c r="P305" i="3"/>
  <c r="P96" i="3"/>
  <c r="P59" i="3"/>
  <c r="P98" i="3"/>
  <c r="P321" i="3"/>
  <c r="P141" i="3"/>
  <c r="P101" i="3"/>
  <c r="P324" i="3"/>
  <c r="P226" i="3"/>
  <c r="P126" i="3"/>
  <c r="P236" i="3"/>
  <c r="P94" i="3"/>
  <c r="P175" i="3"/>
  <c r="P160" i="3"/>
  <c r="AG237" i="3"/>
  <c r="AX203" i="3"/>
  <c r="AF139" i="3"/>
  <c r="AW139" i="3"/>
  <c r="AW243" i="3"/>
  <c r="AU107" i="3"/>
  <c r="AU109" i="3"/>
  <c r="AF224" i="3"/>
  <c r="AR224" i="3"/>
  <c r="AQ320" i="3"/>
  <c r="AB320" i="3"/>
  <c r="AB305" i="3"/>
  <c r="AB156" i="3"/>
  <c r="AW107" i="3"/>
  <c r="AX156" i="3"/>
  <c r="AX152" i="3"/>
  <c r="AQ224" i="3"/>
  <c r="AB224" i="3"/>
  <c r="AR236" i="3"/>
  <c r="AF236" i="3"/>
  <c r="AR8" i="3"/>
  <c r="AF8" i="3"/>
  <c r="AR79" i="3"/>
  <c r="T6" i="4" s="1"/>
  <c r="F79" i="3"/>
  <c r="E79" i="3" s="1" a="1"/>
  <c r="E79" i="3" s="1"/>
  <c r="P224" i="3"/>
  <c r="AR183" i="3"/>
  <c r="AF183" i="3"/>
  <c r="AR156" i="3"/>
  <c r="AF156" i="3"/>
  <c r="P183" i="3"/>
  <c r="AR218" i="3"/>
  <c r="AF218" i="3"/>
  <c r="AQ152" i="3"/>
  <c r="AB152" i="3"/>
  <c r="AQ37" i="3"/>
  <c r="AB37" i="3"/>
  <c r="AB242" i="3"/>
  <c r="AQ242" i="3"/>
  <c r="AR82" i="3"/>
  <c r="AF82" i="3"/>
  <c r="AR107" i="3"/>
  <c r="AF107" i="3"/>
  <c r="P8" i="3"/>
  <c r="AS107" i="3"/>
  <c r="AS109" i="3"/>
  <c r="AR305" i="3"/>
  <c r="AF305" i="3"/>
  <c r="AR324" i="3"/>
  <c r="AF324" i="3"/>
  <c r="AR302" i="3"/>
  <c r="AF302" i="3"/>
  <c r="AW156" i="3"/>
  <c r="AW152" i="3"/>
  <c r="P218" i="3"/>
  <c r="AX109" i="3"/>
  <c r="AR26" i="3"/>
  <c r="AF26" i="3"/>
  <c r="AR320" i="3"/>
  <c r="AF320" i="3"/>
  <c r="AR143" i="3"/>
  <c r="AF143" i="3"/>
  <c r="AR190" i="3"/>
  <c r="AF190" i="3"/>
  <c r="P250" i="3"/>
  <c r="AX292" i="3"/>
  <c r="AX295" i="3"/>
  <c r="P295" i="3"/>
  <c r="AR77" i="3"/>
  <c r="AF77" i="3"/>
  <c r="AR205" i="3"/>
  <c r="AF205" i="3"/>
  <c r="AR195" i="3"/>
  <c r="AF195" i="3"/>
  <c r="AQ77" i="3"/>
  <c r="AQ98" i="3"/>
  <c r="AB98" i="3"/>
  <c r="AX148" i="3"/>
  <c r="AX142" i="3"/>
  <c r="AQ322" i="3"/>
  <c r="AB322" i="3"/>
  <c r="AW292" i="3"/>
  <c r="AW295" i="3"/>
  <c r="AX195" i="3"/>
  <c r="AX190" i="3"/>
  <c r="AR86" i="3"/>
  <c r="AF86" i="3"/>
  <c r="AS190" i="3"/>
  <c r="AS195" i="3"/>
  <c r="AR173" i="3"/>
  <c r="AF173" i="3"/>
  <c r="AR297" i="3"/>
  <c r="AF297" i="3"/>
  <c r="AR177" i="3"/>
  <c r="AF177" i="3"/>
  <c r="AB205" i="3"/>
  <c r="P86" i="3"/>
  <c r="AR319" i="3"/>
  <c r="AF319" i="3"/>
  <c r="AF148" i="3"/>
  <c r="AS148" i="3"/>
  <c r="AS142" i="3"/>
  <c r="AR140" i="3"/>
  <c r="AF140" i="3"/>
  <c r="AQ168" i="3"/>
  <c r="AB168" i="3"/>
  <c r="AQ272" i="3"/>
  <c r="AB272" i="3"/>
  <c r="AR250" i="3"/>
  <c r="AF250" i="3"/>
  <c r="AR165" i="3"/>
  <c r="AF165" i="3"/>
  <c r="AU292" i="3"/>
  <c r="AU295" i="3"/>
  <c r="AQ165" i="3"/>
  <c r="AB165" i="3"/>
  <c r="AR168" i="3"/>
  <c r="AF168" i="3"/>
  <c r="AB177" i="3"/>
  <c r="AW148" i="3"/>
  <c r="AW142" i="3"/>
  <c r="AW195" i="3"/>
  <c r="AW190" i="3"/>
  <c r="P190" i="3"/>
  <c r="AQ269" i="3"/>
  <c r="AB269" i="3"/>
  <c r="AB129" i="3"/>
  <c r="AR27" i="3"/>
  <c r="AF27" i="3"/>
  <c r="AQ27" i="3"/>
  <c r="AB27" i="3"/>
  <c r="AX215" i="3"/>
  <c r="AX219" i="3"/>
  <c r="AU215" i="3"/>
  <c r="AU219" i="3"/>
  <c r="AR256" i="3"/>
  <c r="AF256" i="3"/>
  <c r="AB261" i="3"/>
  <c r="AQ261" i="3"/>
  <c r="AR303" i="3"/>
  <c r="AF303" i="3"/>
  <c r="AR20" i="3"/>
  <c r="AF20" i="3"/>
  <c r="AB20" i="3"/>
  <c r="AR245" i="3"/>
  <c r="AF245" i="3"/>
  <c r="AB155" i="3"/>
  <c r="AB81" i="3"/>
  <c r="AF215" i="3"/>
  <c r="AR76" i="3"/>
  <c r="AF76" i="3"/>
  <c r="AS215" i="3"/>
  <c r="AS219" i="3"/>
  <c r="P76" i="3"/>
  <c r="AR91" i="3"/>
  <c r="AF91" i="3"/>
  <c r="AR261" i="3"/>
  <c r="AF261" i="3"/>
  <c r="AQ131" i="3"/>
  <c r="AB131" i="3"/>
  <c r="AF45" i="3"/>
  <c r="AR45" i="3"/>
  <c r="AQ160" i="3"/>
  <c r="AB160" i="3"/>
  <c r="P12" i="3"/>
  <c r="AQ74" i="3"/>
  <c r="AB74" i="3"/>
  <c r="P74" i="3"/>
  <c r="P164" i="3"/>
  <c r="AX164" i="3"/>
  <c r="AX162" i="3"/>
  <c r="P133" i="3"/>
  <c r="AQ12" i="3"/>
  <c r="AB12" i="3"/>
  <c r="AR307" i="3"/>
  <c r="AF307" i="3"/>
  <c r="AR133" i="3"/>
  <c r="AF133" i="3"/>
  <c r="AR31" i="3"/>
  <c r="AF31" i="3"/>
  <c r="AQ248" i="3"/>
  <c r="AB248" i="3"/>
  <c r="AQ38" i="3"/>
  <c r="AB38" i="3"/>
  <c r="AR74" i="3"/>
  <c r="AF74" i="3"/>
  <c r="AB39" i="3"/>
  <c r="AQ39" i="3"/>
  <c r="AR266" i="3"/>
  <c r="AF266" i="3"/>
  <c r="P45" i="3"/>
  <c r="P248" i="3"/>
  <c r="AQ52" i="3"/>
  <c r="AR314" i="3"/>
  <c r="AF314" i="3"/>
  <c r="AQ188" i="3"/>
  <c r="AB188" i="3"/>
  <c r="AF150" i="3"/>
  <c r="AR150" i="3"/>
  <c r="AW264" i="3"/>
  <c r="AW262" i="3"/>
  <c r="AQ159" i="3"/>
  <c r="AB159" i="3"/>
  <c r="AQ49" i="3"/>
  <c r="AB49" i="3"/>
  <c r="AS264" i="3"/>
  <c r="AS262" i="3"/>
  <c r="AR167" i="3"/>
  <c r="AF167" i="3"/>
  <c r="AR96" i="3"/>
  <c r="AF96" i="3"/>
  <c r="P159" i="3"/>
  <c r="AX264" i="3"/>
  <c r="AX262" i="3"/>
  <c r="AR78" i="3"/>
  <c r="AF78" i="3"/>
  <c r="AS99" i="3"/>
  <c r="AS96" i="3"/>
  <c r="P46" i="3"/>
  <c r="AR127" i="3"/>
  <c r="AF127" i="3"/>
  <c r="AR64" i="3"/>
  <c r="AF64" i="3"/>
  <c r="AR159" i="3"/>
  <c r="AF159" i="3"/>
  <c r="AR28" i="3"/>
  <c r="AF28" i="3"/>
  <c r="AR249" i="3"/>
  <c r="AF249" i="3"/>
  <c r="AQ46" i="3"/>
  <c r="AB46" i="3"/>
  <c r="AQ75" i="3"/>
  <c r="AB75" i="3"/>
  <c r="AF99" i="3"/>
  <c r="AQ127" i="3"/>
  <c r="AB127" i="3"/>
  <c r="AQ208" i="3"/>
  <c r="AB208" i="3"/>
  <c r="AQ232" i="3"/>
  <c r="AB232" i="3"/>
  <c r="AR46" i="3"/>
  <c r="AF46" i="3"/>
  <c r="P78" i="3"/>
  <c r="P150" i="3"/>
  <c r="P92" i="3"/>
  <c r="AR200" i="3"/>
  <c r="AF200" i="3"/>
  <c r="P127" i="3"/>
  <c r="P99" i="3"/>
  <c r="P49" i="3"/>
  <c r="AQ92" i="3"/>
  <c r="AB92" i="3"/>
  <c r="AW100" i="3"/>
  <c r="AW94" i="3"/>
  <c r="AU244" i="3"/>
  <c r="AU239" i="3"/>
  <c r="AW244" i="3"/>
  <c r="AW239" i="3"/>
  <c r="AB328" i="3"/>
  <c r="AQ328" i="3"/>
  <c r="AR328" i="3"/>
  <c r="AF328" i="3"/>
  <c r="AR179" i="3"/>
  <c r="AF179" i="3"/>
  <c r="AR141" i="3"/>
  <c r="AF141" i="3"/>
  <c r="AB112" i="3"/>
  <c r="AR50" i="3"/>
  <c r="AF50" i="3"/>
  <c r="AR7" i="3"/>
  <c r="AF7" i="3"/>
  <c r="AR30" i="3"/>
  <c r="AF30" i="3"/>
  <c r="AQ147" i="3"/>
  <c r="AB147" i="3"/>
  <c r="AS239" i="3"/>
  <c r="P144" i="3"/>
  <c r="AF100" i="3"/>
  <c r="AR100" i="3"/>
  <c r="AQ144" i="3"/>
  <c r="AB144" i="3"/>
  <c r="AR299" i="3"/>
  <c r="AF299" i="3"/>
  <c r="AR59" i="3"/>
  <c r="AF59" i="3"/>
  <c r="AX244" i="3"/>
  <c r="AX239" i="3"/>
  <c r="AX100" i="3"/>
  <c r="AR122" i="3"/>
  <c r="AF122" i="3"/>
  <c r="AR94" i="3"/>
  <c r="AF94" i="3"/>
  <c r="AR251" i="3"/>
  <c r="AF251" i="3"/>
  <c r="P30" i="3"/>
  <c r="AQ122" i="3"/>
  <c r="AB122" i="3"/>
  <c r="AR230" i="3"/>
  <c r="AF230" i="3"/>
  <c r="AR144" i="3"/>
  <c r="AF144" i="3"/>
  <c r="AR112" i="3"/>
  <c r="AF112" i="3"/>
  <c r="AB7" i="3"/>
  <c r="AS276" i="3"/>
  <c r="AB10" i="3"/>
  <c r="AQ134" i="3"/>
  <c r="AB134" i="3"/>
  <c r="AQ43" i="3"/>
  <c r="AB43" i="3"/>
  <c r="AQ214" i="3"/>
  <c r="AB214" i="3"/>
  <c r="AR63" i="3"/>
  <c r="AF63" i="3"/>
  <c r="AR36" i="3"/>
  <c r="AF36" i="3"/>
  <c r="P18" i="3"/>
  <c r="AR214" i="3"/>
  <c r="AF214" i="3"/>
  <c r="AQ11" i="3"/>
  <c r="AB11" i="3"/>
  <c r="AR10" i="3"/>
  <c r="AF10" i="3"/>
  <c r="AW221" i="3"/>
  <c r="AW226" i="3"/>
  <c r="AU268" i="3"/>
  <c r="AU276" i="3"/>
  <c r="AR120" i="3"/>
  <c r="AF120" i="3"/>
  <c r="AX120" i="3"/>
  <c r="AU120" i="3"/>
  <c r="AU113" i="3"/>
  <c r="AQ106" i="3"/>
  <c r="P36" i="3"/>
  <c r="AS221" i="3"/>
  <c r="AS226" i="3"/>
  <c r="AU221" i="3"/>
  <c r="AB15" i="3"/>
  <c r="P120" i="3"/>
  <c r="AW276" i="3"/>
  <c r="AW268" i="3"/>
  <c r="AR113" i="3"/>
  <c r="AF113" i="3"/>
  <c r="AR126" i="3"/>
  <c r="AF126" i="3"/>
  <c r="AR276" i="3"/>
  <c r="AF276" i="3"/>
  <c r="AQ36" i="3"/>
  <c r="AB36" i="3"/>
  <c r="AR278" i="3"/>
  <c r="AF278" i="3"/>
  <c r="AR134" i="3"/>
  <c r="AF134" i="3"/>
  <c r="P214" i="3"/>
  <c r="AW120" i="3"/>
  <c r="AR18" i="3"/>
  <c r="AF18" i="3"/>
  <c r="AR43" i="3"/>
  <c r="AF43" i="3"/>
  <c r="AX268" i="3"/>
  <c r="AX276" i="3"/>
  <c r="P63" i="3"/>
  <c r="P11" i="3"/>
  <c r="AS113" i="3"/>
  <c r="AR34" i="3"/>
  <c r="AF34" i="3"/>
  <c r="AR226" i="3"/>
  <c r="AF226" i="3"/>
  <c r="AR157" i="3"/>
  <c r="AF157" i="3"/>
  <c r="AR138" i="3"/>
  <c r="AF138" i="3"/>
  <c r="AS298" i="3"/>
  <c r="P138" i="3"/>
  <c r="AR288" i="3"/>
  <c r="AF288" i="3"/>
  <c r="P293" i="3"/>
  <c r="AR83" i="3"/>
  <c r="AF83" i="3"/>
  <c r="AB111" i="3"/>
  <c r="AR286" i="3"/>
  <c r="AR284" i="3"/>
  <c r="AQ293" i="3"/>
  <c r="AB293" i="3"/>
  <c r="AS178" i="3"/>
  <c r="AS174" i="3"/>
  <c r="AB170" i="3"/>
  <c r="AR163" i="3"/>
  <c r="AF163" i="3"/>
  <c r="AQ213" i="3"/>
  <c r="AB213" i="3"/>
  <c r="AQ175" i="3"/>
  <c r="AB175" i="3"/>
  <c r="AR222" i="3"/>
  <c r="AF222" i="3"/>
  <c r="AS189" i="3"/>
  <c r="AS193" i="3"/>
  <c r="AG326" i="3"/>
  <c r="AA65" i="3"/>
  <c r="P65" i="3" s="1"/>
  <c r="AQ80" i="3"/>
  <c r="AB80" i="3"/>
  <c r="AB180" i="3"/>
  <c r="AB166" i="3"/>
  <c r="P193" i="3"/>
  <c r="AR61" i="3"/>
  <c r="AF61" i="3"/>
  <c r="AR180" i="3"/>
  <c r="AF180" i="3"/>
  <c r="AR175" i="3"/>
  <c r="AF175" i="3"/>
  <c r="AQ163" i="3"/>
  <c r="AB163" i="3"/>
  <c r="AR4" i="3"/>
  <c r="AF4" i="3"/>
  <c r="AR193" i="3"/>
  <c r="AR65" i="3"/>
  <c r="AF65" i="3"/>
  <c r="P291" i="3"/>
  <c r="P80" i="3"/>
  <c r="AR317" i="3"/>
  <c r="AF317" i="3"/>
  <c r="AR44" i="3"/>
  <c r="AF44" i="3"/>
  <c r="P232" i="3"/>
  <c r="AP201" i="3"/>
  <c r="AO124" i="3"/>
  <c r="AV304" i="3"/>
  <c r="AU267" i="3"/>
  <c r="AF201" i="3"/>
  <c r="AV227" i="3"/>
  <c r="AV125" i="3"/>
  <c r="AW24" i="3"/>
  <c r="F12" i="4" s="1"/>
  <c r="G12" i="4" s="1" a="1"/>
  <c r="G12" i="4" s="1"/>
  <c r="AS267" i="3"/>
  <c r="AW73" i="3"/>
  <c r="AW13" i="3"/>
  <c r="AS161" i="3"/>
  <c r="AV56" i="3"/>
  <c r="AW23" i="3"/>
  <c r="AX125" i="3"/>
  <c r="AV55" i="3"/>
  <c r="AW70" i="3"/>
  <c r="AS125" i="3"/>
  <c r="AW304" i="3"/>
  <c r="AS89" i="3"/>
  <c r="AS304" i="3"/>
  <c r="AU237" i="3"/>
  <c r="AA243" i="3"/>
  <c r="P243" i="3" s="1"/>
  <c r="AX227" i="3"/>
  <c r="AX72" i="3"/>
  <c r="AA203" i="3"/>
  <c r="P203" i="3" s="1"/>
  <c r="AW176" i="3"/>
  <c r="P104" i="3"/>
  <c r="AX243" i="3"/>
  <c r="AX304" i="3"/>
  <c r="AX306" i="3"/>
  <c r="AW55" i="3"/>
  <c r="AX104" i="3"/>
  <c r="AS252" i="3"/>
  <c r="AU93" i="3"/>
  <c r="AU182" i="3"/>
  <c r="AW196" i="3"/>
  <c r="AV191" i="3"/>
  <c r="AS104" i="3"/>
  <c r="AU125" i="3"/>
  <c r="AS51" i="3"/>
  <c r="AS201" i="3"/>
  <c r="AS176" i="3"/>
  <c r="AV139" i="3"/>
  <c r="AX55" i="3"/>
  <c r="AX73" i="3"/>
  <c r="AW252" i="3"/>
  <c r="AJ201" i="3"/>
  <c r="AJ124" i="3"/>
  <c r="AX161" i="3"/>
  <c r="AX70" i="3"/>
  <c r="AX56" i="3"/>
  <c r="AV93" i="3"/>
  <c r="AV182" i="3"/>
  <c r="AK201" i="3"/>
  <c r="AK124" i="3"/>
  <c r="AX252" i="3"/>
  <c r="AS154" i="3"/>
  <c r="AU227" i="3"/>
  <c r="AU104" i="3"/>
  <c r="AW56" i="3"/>
  <c r="AV13" i="3"/>
  <c r="AX139" i="3"/>
  <c r="AV237" i="3"/>
  <c r="AS97" i="3"/>
  <c r="AV72" i="3"/>
  <c r="AW161" i="3"/>
  <c r="AU243" i="3"/>
  <c r="AU154" i="3"/>
  <c r="AN201" i="3"/>
  <c r="AN124" i="3"/>
  <c r="AX13" i="3"/>
  <c r="AP124" i="3"/>
  <c r="AS306" i="3"/>
  <c r="AX6" i="3"/>
  <c r="AX267" i="3"/>
  <c r="AU29" i="3"/>
  <c r="AR6" i="3"/>
  <c r="AU70" i="3"/>
  <c r="AU55" i="3"/>
  <c r="AS6" i="3"/>
  <c r="AV154" i="3"/>
  <c r="AU89" i="3"/>
  <c r="AX176" i="3"/>
  <c r="AV104" i="3"/>
  <c r="AS93" i="3"/>
  <c r="AS182" i="3"/>
  <c r="AX89" i="3"/>
  <c r="AV176" i="3"/>
  <c r="AW203" i="3"/>
  <c r="AW89" i="3"/>
  <c r="AW237" i="3"/>
  <c r="AX182" i="3"/>
  <c r="AV306" i="3"/>
  <c r="AU304" i="3"/>
  <c r="AW306" i="3"/>
  <c r="AS257" i="3"/>
  <c r="AV70" i="3"/>
  <c r="AA161" i="3"/>
  <c r="P161" i="3" s="1"/>
  <c r="AW125" i="3"/>
  <c r="AS55" i="3"/>
  <c r="AX24" i="3"/>
  <c r="P73" i="3"/>
  <c r="P326" i="3"/>
  <c r="P206" i="3"/>
  <c r="P302" i="3"/>
  <c r="P61" i="3"/>
  <c r="P325" i="3"/>
  <c r="P233" i="3"/>
  <c r="P320" i="3"/>
  <c r="P312" i="3"/>
  <c r="P39" i="3"/>
  <c r="P53" i="3"/>
  <c r="P242" i="3"/>
  <c r="P249" i="3"/>
  <c r="P118" i="3"/>
  <c r="P40" i="3"/>
  <c r="P189" i="3"/>
  <c r="P247" i="3"/>
  <c r="P179" i="3"/>
  <c r="P234" i="3"/>
  <c r="P165" i="3"/>
  <c r="P256" i="3"/>
  <c r="P181" i="3"/>
  <c r="P278" i="3"/>
  <c r="P91" i="3"/>
  <c r="P55" i="3"/>
  <c r="P328" i="3"/>
  <c r="N8" i="4" a="1"/>
  <c r="N8" i="4" s="1"/>
  <c r="P102" i="3"/>
  <c r="P297" i="3"/>
  <c r="P215" i="3"/>
  <c r="P146" i="3"/>
  <c r="P35" i="3"/>
  <c r="P75" i="3"/>
  <c r="P3" i="3"/>
  <c r="P24" i="3"/>
  <c r="P210" i="3"/>
  <c r="AU203" i="3"/>
  <c r="AB97" i="3"/>
  <c r="AR304" i="3"/>
  <c r="AF304" i="3"/>
  <c r="AF182" i="3"/>
  <c r="AX196" i="3"/>
  <c r="AU196" i="3"/>
  <c r="AF154" i="3"/>
  <c r="P97" i="3"/>
  <c r="AF237" i="3"/>
  <c r="AV196" i="3"/>
  <c r="AR306" i="3"/>
  <c r="AF306" i="3"/>
  <c r="AF55" i="3"/>
  <c r="AR23" i="3"/>
  <c r="AF23" i="3"/>
  <c r="AB182" i="3"/>
  <c r="AB56" i="3"/>
  <c r="AF252" i="3"/>
  <c r="AF72" i="3"/>
  <c r="AF29" i="3"/>
  <c r="AV203" i="3"/>
  <c r="AF227" i="3"/>
  <c r="P56" i="3"/>
  <c r="AF243" i="3"/>
  <c r="P227" i="3"/>
  <c r="AF191" i="3"/>
  <c r="AF161" i="3"/>
  <c r="AS227" i="3"/>
  <c r="AS199" i="3"/>
  <c r="AW227" i="3"/>
  <c r="AF203" i="3"/>
  <c r="AF124" i="3"/>
  <c r="AB13" i="3"/>
  <c r="AQ23" i="3"/>
  <c r="AB23" i="3"/>
  <c r="P182" i="3"/>
  <c r="AB306" i="3"/>
  <c r="AQ97" i="3"/>
  <c r="P252" i="3"/>
  <c r="P306" i="3"/>
  <c r="P196" i="3"/>
  <c r="AB252" i="3"/>
  <c r="AF24" i="3"/>
  <c r="P139" i="3"/>
  <c r="AF93" i="3"/>
  <c r="AF97" i="3"/>
  <c r="AR51" i="3"/>
  <c r="AF51" i="3"/>
  <c r="AF13" i="3"/>
  <c r="P84" i="3"/>
  <c r="AX212" i="3"/>
  <c r="AV187" i="3"/>
  <c r="AW58" i="3"/>
  <c r="M12" i="4" s="1"/>
  <c r="AW114" i="3"/>
  <c r="AV209" i="3"/>
  <c r="AV212" i="3"/>
  <c r="AS84" i="3"/>
  <c r="AX130" i="3"/>
  <c r="AS172" i="3"/>
  <c r="AW69" i="3"/>
  <c r="AW130" i="3"/>
  <c r="AV153" i="3"/>
  <c r="AX169" i="3"/>
  <c r="AR275" i="3"/>
  <c r="AS58" i="3"/>
  <c r="M7" i="4" s="1"/>
  <c r="AV149" i="3"/>
  <c r="AW275" i="3"/>
  <c r="AW207" i="3"/>
  <c r="AU187" i="3"/>
  <c r="AX145" i="3"/>
  <c r="AX84" i="3"/>
  <c r="AV114" i="3"/>
  <c r="AU21" i="3"/>
  <c r="AV69" i="3"/>
  <c r="AV21" i="3"/>
  <c r="AX194" i="3"/>
  <c r="AS149" i="3"/>
  <c r="AV145" i="3"/>
  <c r="AV47" i="3"/>
  <c r="AU172" i="3"/>
  <c r="AV121" i="3"/>
  <c r="AW47" i="3"/>
  <c r="AR185" i="3"/>
  <c r="AX121" i="3"/>
  <c r="AW153" i="3"/>
  <c r="AX211" i="3"/>
  <c r="AV275" i="3"/>
  <c r="AX47" i="3"/>
  <c r="AX85" i="3"/>
  <c r="AS212" i="3"/>
  <c r="AS153" i="3"/>
  <c r="AS121" i="3"/>
  <c r="P169" i="3"/>
  <c r="AF275" i="3"/>
  <c r="AS69" i="3"/>
  <c r="AW185" i="3"/>
  <c r="AS130" i="3"/>
  <c r="AU58" i="3"/>
  <c r="AS275" i="3"/>
  <c r="AV207" i="3"/>
  <c r="AS47" i="3"/>
  <c r="AV132" i="3"/>
  <c r="AU145" i="3"/>
  <c r="AS145" i="3"/>
  <c r="AU263" i="3"/>
  <c r="AV194" i="3"/>
  <c r="AU84" i="3"/>
  <c r="AR263" i="3"/>
  <c r="AF84" i="3"/>
  <c r="P149" i="3"/>
  <c r="P69" i="3"/>
  <c r="P178" i="3"/>
  <c r="P172" i="3"/>
  <c r="P258" i="3"/>
  <c r="P85" i="3"/>
  <c r="P114" i="3"/>
  <c r="P263" i="3"/>
  <c r="AF114" i="3"/>
  <c r="P130" i="3"/>
  <c r="P153" i="3"/>
  <c r="P121" i="3"/>
  <c r="P21" i="3"/>
  <c r="AQ153" i="3"/>
  <c r="AB153" i="3"/>
  <c r="P58" i="3"/>
  <c r="AF58" i="3"/>
  <c r="AR279" i="3"/>
  <c r="AF279" i="3"/>
  <c r="AR212" i="3"/>
  <c r="AF212" i="3"/>
  <c r="AQ187" i="3"/>
  <c r="AB187" i="3"/>
  <c r="AB84" i="3"/>
  <c r="AQ85" i="3"/>
  <c r="AB85" i="3"/>
  <c r="AR88" i="3"/>
  <c r="AF88" i="3"/>
  <c r="AF21" i="3"/>
  <c r="P132" i="3"/>
  <c r="P88" i="3"/>
  <c r="P309" i="3"/>
  <c r="AB258" i="3"/>
  <c r="AR309" i="3"/>
  <c r="AF309" i="3"/>
  <c r="AR54" i="3"/>
  <c r="AF54" i="3"/>
  <c r="AR209" i="3"/>
  <c r="AF209" i="3"/>
  <c r="P279" i="3"/>
  <c r="AF132" i="3"/>
  <c r="AF85" i="3"/>
  <c r="P145" i="3"/>
  <c r="AF194" i="3"/>
  <c r="AR149" i="3"/>
  <c r="AF149" i="3"/>
  <c r="P275" i="3"/>
  <c r="AR69" i="3"/>
  <c r="AF69" i="3"/>
  <c r="AB209" i="3"/>
  <c r="AB121" i="3"/>
  <c r="AF121" i="3"/>
  <c r="P194" i="3"/>
  <c r="AB149" i="3"/>
  <c r="AQ279" i="3"/>
  <c r="AB279" i="3"/>
  <c r="AB194" i="3"/>
  <c r="AB69" i="3"/>
  <c r="AB114" i="3"/>
  <c r="AR172" i="3"/>
  <c r="AF172" i="3"/>
  <c r="AB228" i="3"/>
  <c r="AR247" i="3"/>
  <c r="AF247" i="3"/>
  <c r="AF196" i="3"/>
  <c r="AS103" i="3"/>
  <c r="AG103" i="3"/>
  <c r="AS11" i="3"/>
  <c r="AU144" i="3"/>
  <c r="AA87" i="3"/>
  <c r="AS317" i="3"/>
  <c r="AG317" i="3"/>
  <c r="AG70" i="3"/>
  <c r="AV84" i="3"/>
  <c r="AB14" i="3"/>
  <c r="AB145" i="3"/>
  <c r="AB225" i="3"/>
  <c r="AB53" i="3"/>
  <c r="AB243" i="3"/>
  <c r="P158" i="3"/>
  <c r="AB35" i="3"/>
  <c r="AF244" i="3"/>
  <c r="AB126" i="3"/>
  <c r="AR296" i="3"/>
  <c r="AF296" i="3"/>
  <c r="AV252" i="3"/>
  <c r="AU165" i="3"/>
  <c r="P211" i="3"/>
  <c r="P113" i="3"/>
  <c r="AB282" i="3"/>
  <c r="AF285" i="3"/>
  <c r="AB299" i="3"/>
  <c r="AU262" i="3"/>
  <c r="AU48" i="3"/>
  <c r="AJ48" i="3"/>
  <c r="AS74" i="3"/>
  <c r="P259" i="3"/>
  <c r="AB26" i="3"/>
  <c r="AB118" i="3"/>
  <c r="AB313" i="3"/>
  <c r="AB185" i="3"/>
  <c r="AF267" i="3"/>
  <c r="AE257" i="3"/>
  <c r="P238" i="3"/>
  <c r="P187" i="3"/>
  <c r="P318" i="3"/>
  <c r="P323" i="3"/>
  <c r="AB193" i="3"/>
  <c r="AB181" i="3"/>
  <c r="P123" i="3"/>
  <c r="AR312" i="3"/>
  <c r="AF312" i="3"/>
  <c r="AR115" i="3"/>
  <c r="AF115" i="3"/>
  <c r="AR229" i="3"/>
  <c r="AB158" i="3"/>
  <c r="AU24" i="3"/>
  <c r="AR323" i="3"/>
  <c r="AF323" i="3"/>
  <c r="AB291" i="3"/>
  <c r="AB8" i="3"/>
  <c r="AB105" i="3"/>
  <c r="AB308" i="3"/>
  <c r="AB9" i="3"/>
  <c r="AB312" i="3"/>
  <c r="AB297" i="3"/>
  <c r="AU127" i="3"/>
  <c r="AF264" i="3"/>
  <c r="P299" i="3"/>
  <c r="AB259" i="3"/>
  <c r="AB326" i="3"/>
  <c r="AR211" i="3"/>
  <c r="AF211" i="3"/>
  <c r="AU75" i="3"/>
  <c r="AB146" i="3"/>
  <c r="AU242" i="3"/>
  <c r="P13" i="3"/>
  <c r="AR90" i="3"/>
  <c r="AF90" i="3"/>
  <c r="AB237" i="3"/>
  <c r="AB301" i="3"/>
  <c r="AB203" i="3"/>
  <c r="AA201" i="3"/>
  <c r="AB57" i="3"/>
  <c r="AB40" i="3"/>
  <c r="AG315" i="3"/>
  <c r="AS315" i="3"/>
  <c r="P244" i="3"/>
  <c r="AB211" i="3"/>
  <c r="AB113" i="3"/>
  <c r="P140" i="3"/>
  <c r="AF188" i="3"/>
  <c r="AS59" i="3"/>
  <c r="P71" i="3"/>
  <c r="AV97" i="3"/>
  <c r="P316" i="3"/>
  <c r="P191" i="3"/>
  <c r="AR206" i="3"/>
  <c r="AF206" i="3"/>
  <c r="AF130" i="3"/>
  <c r="AQ303" i="3"/>
  <c r="AR238" i="3"/>
  <c r="AF238" i="3"/>
  <c r="AB238" i="3"/>
  <c r="AU272" i="3"/>
  <c r="AU85" i="3"/>
  <c r="AB143" i="3"/>
  <c r="AF187" i="3"/>
  <c r="AF102" i="3"/>
  <c r="AV131" i="3"/>
  <c r="AU46" i="3"/>
  <c r="AF318" i="3"/>
  <c r="AB266" i="3"/>
  <c r="AB323" i="3"/>
  <c r="AS284" i="3"/>
  <c r="AG284" i="3"/>
  <c r="AB271" i="3"/>
  <c r="AB123" i="3"/>
  <c r="AB68" i="3"/>
  <c r="AR118" i="3"/>
  <c r="AF118" i="3"/>
  <c r="AS170" i="3"/>
  <c r="F175" i="3"/>
  <c r="E175" i="3" s="1" a="1"/>
  <c r="E175" i="3" s="1"/>
  <c r="AB247" i="3"/>
  <c r="AU306" i="3"/>
  <c r="AQ195" i="3"/>
  <c r="AB190" i="3"/>
  <c r="AB197" i="3"/>
  <c r="AB71" i="3"/>
  <c r="AB191" i="3"/>
  <c r="AR213" i="3"/>
  <c r="AB19" i="3"/>
  <c r="AB210" i="3"/>
  <c r="AB3" i="3"/>
  <c r="AS243" i="3"/>
  <c r="AG243" i="3"/>
  <c r="P29" i="3"/>
  <c r="AW160" i="3"/>
  <c r="AQ219" i="3"/>
  <c r="AB215" i="3"/>
  <c r="AS98" i="3"/>
  <c r="AA44" i="3"/>
  <c r="P44" i="3" s="1"/>
  <c r="AB29" i="3"/>
  <c r="P296" i="3"/>
  <c r="P311" i="3"/>
  <c r="AB21" i="3"/>
  <c r="AS66" i="3"/>
  <c r="AF298" i="3"/>
  <c r="AB73" i="3"/>
  <c r="AB324" i="3"/>
  <c r="AB325" i="3"/>
  <c r="AB61" i="3"/>
  <c r="P167" i="3"/>
  <c r="P176" i="3"/>
  <c r="P212" i="3"/>
  <c r="AB278" i="3"/>
  <c r="AB120" i="3"/>
  <c r="AR233" i="3"/>
  <c r="AF233" i="3"/>
  <c r="AB91" i="3"/>
  <c r="AS249" i="3"/>
  <c r="AR22" i="3"/>
  <c r="AF22" i="3"/>
  <c r="AB22" i="3"/>
  <c r="AB218" i="3"/>
  <c r="AS39" i="3"/>
  <c r="AX177" i="3"/>
  <c r="F173" i="3"/>
  <c r="E173" i="3" s="1" a="1"/>
  <c r="E173" i="3" s="1"/>
  <c r="AW201" i="3"/>
  <c r="AN199" i="3"/>
  <c r="AB18" i="3"/>
  <c r="AU114" i="3"/>
  <c r="AS258" i="3"/>
  <c r="AS13" i="3"/>
  <c r="AB302" i="3"/>
  <c r="P292" i="3"/>
  <c r="AB240" i="3"/>
  <c r="AU28" i="3"/>
  <c r="AB231" i="3"/>
  <c r="AF248" i="3"/>
  <c r="AB315" i="3"/>
  <c r="AU261" i="3"/>
  <c r="AF178" i="3"/>
  <c r="AQ262" i="3"/>
  <c r="AB264" i="3"/>
  <c r="AX48" i="3"/>
  <c r="AO48" i="3"/>
  <c r="AF199" i="3"/>
  <c r="AF316" i="3"/>
  <c r="AB314" i="3"/>
  <c r="AS94" i="3"/>
  <c r="AA284" i="3"/>
  <c r="P284" i="3" s="1"/>
  <c r="AS122" i="3"/>
  <c r="AB230" i="3"/>
  <c r="AV234" i="3"/>
  <c r="AB309" i="3"/>
  <c r="AB136" i="3"/>
  <c r="AU69" i="3"/>
  <c r="AR259" i="3"/>
  <c r="AF259" i="3"/>
  <c r="AS83" i="3"/>
  <c r="AG83" i="3"/>
  <c r="AF12" i="3"/>
  <c r="AV147" i="3"/>
  <c r="AU208" i="3"/>
  <c r="AB86" i="3"/>
  <c r="AB141" i="3"/>
  <c r="AB90" i="3"/>
  <c r="AF326" i="3"/>
  <c r="AR326" i="3"/>
  <c r="P22" i="3"/>
  <c r="AB82" i="3"/>
  <c r="AS87" i="3"/>
  <c r="AG87" i="3"/>
  <c r="P251" i="3"/>
  <c r="AA286" i="3"/>
  <c r="P286" i="3" s="1"/>
  <c r="AB296" i="3"/>
  <c r="AB50" i="3"/>
  <c r="AB311" i="3"/>
  <c r="AU156" i="3"/>
  <c r="AB245" i="3"/>
  <c r="AB251" i="3"/>
  <c r="P64" i="3"/>
  <c r="P307" i="3"/>
  <c r="P107" i="3"/>
  <c r="AB186" i="3"/>
  <c r="AQ280" i="3"/>
  <c r="AS43" i="3"/>
  <c r="AU27" i="3"/>
  <c r="P23" i="3"/>
  <c r="P54" i="3"/>
  <c r="AB183" i="3"/>
  <c r="AB167" i="3"/>
  <c r="AB267" i="3"/>
  <c r="AA257" i="3"/>
  <c r="AE87" i="3"/>
  <c r="AB138" i="3"/>
  <c r="AB150" i="3"/>
  <c r="AB176" i="3"/>
  <c r="AB212" i="3"/>
  <c r="P154" i="3"/>
  <c r="P268" i="3"/>
  <c r="P192" i="3"/>
  <c r="AS186" i="3"/>
  <c r="AG186" i="3"/>
  <c r="AA310" i="3"/>
  <c r="P310" i="3" s="1"/>
  <c r="P298" i="3"/>
  <c r="P89" i="3"/>
  <c r="P195" i="3"/>
  <c r="P125" i="3"/>
  <c r="AB65" i="3"/>
  <c r="AB151" i="3"/>
  <c r="AB292" i="3"/>
  <c r="AS38" i="3"/>
  <c r="P31" i="3"/>
  <c r="AR47" i="3"/>
  <c r="AF47" i="3"/>
  <c r="AB236" i="3"/>
  <c r="AB263" i="3"/>
  <c r="AB130" i="3"/>
  <c r="AB102" i="3"/>
  <c r="AF153" i="3"/>
  <c r="AB196" i="3"/>
  <c r="AS37" i="3"/>
  <c r="P95" i="3"/>
  <c r="AS23" i="3"/>
  <c r="AB200" i="3"/>
  <c r="AB239" i="3"/>
  <c r="AV63" i="3"/>
  <c r="AB287" i="3"/>
  <c r="AB227" i="3"/>
  <c r="P267" i="3"/>
  <c r="AB4" i="3"/>
  <c r="AB64" i="3"/>
  <c r="AB58" i="3"/>
  <c r="AS163" i="3"/>
  <c r="AB307" i="3"/>
  <c r="AB107" i="3"/>
  <c r="AB139" i="3"/>
  <c r="AB108" i="3"/>
  <c r="AB189" i="3"/>
  <c r="P115" i="3"/>
  <c r="AB295" i="3"/>
  <c r="AS224" i="3"/>
  <c r="AB54" i="3"/>
  <c r="AQ96" i="3"/>
  <c r="AB99" i="3"/>
  <c r="AB116" i="3"/>
  <c r="AB124" i="3"/>
  <c r="AA199" i="3"/>
  <c r="P32" i="3"/>
  <c r="AB276" i="3"/>
  <c r="P47" i="3"/>
  <c r="P235" i="3"/>
  <c r="AB154" i="3"/>
  <c r="AB268" i="3"/>
  <c r="AB192" i="3"/>
  <c r="AF293" i="3"/>
  <c r="AB104" i="3"/>
  <c r="AA103" i="3"/>
  <c r="P103" i="3" s="1"/>
  <c r="AB298" i="3"/>
  <c r="AR160" i="3"/>
  <c r="AF162" i="3"/>
  <c r="AR235" i="3"/>
  <c r="AF235" i="3"/>
  <c r="AB89" i="3"/>
  <c r="AU195" i="3"/>
  <c r="AU169" i="3"/>
  <c r="AU226" i="3"/>
  <c r="AB48" i="3"/>
  <c r="AV92" i="3"/>
  <c r="AB125" i="3"/>
  <c r="P304" i="3"/>
  <c r="AB31" i="3"/>
  <c r="AW164" i="3"/>
  <c r="AR269" i="3"/>
  <c r="AX49" i="3"/>
  <c r="AU320" i="3"/>
  <c r="AB220" i="3"/>
  <c r="AB34" i="3"/>
  <c r="AB78" i="3"/>
  <c r="AR135" i="3"/>
  <c r="AF135" i="3"/>
  <c r="AB244" i="3"/>
  <c r="AB30" i="3"/>
  <c r="AR181" i="3"/>
  <c r="AF181" i="3"/>
  <c r="AB140" i="3"/>
  <c r="AU232" i="3"/>
  <c r="AB17" i="3"/>
  <c r="AJ199" i="3"/>
  <c r="AB101" i="3"/>
  <c r="P90" i="3"/>
  <c r="AB179" i="3"/>
  <c r="P82" i="3"/>
  <c r="AB24" i="3"/>
  <c r="AA51" i="3"/>
  <c r="P51" i="3" s="1"/>
  <c r="AB133" i="3"/>
  <c r="AR274" i="3"/>
  <c r="AF274" i="3"/>
  <c r="AS217" i="3"/>
  <c r="AX199" i="3"/>
  <c r="AO199" i="3"/>
  <c r="AQ202" i="3"/>
  <c r="AB321" i="3"/>
  <c r="AR220" i="3"/>
  <c r="AF220" i="3"/>
  <c r="AU36" i="3"/>
  <c r="AS44" i="3"/>
  <c r="AG44" i="3"/>
  <c r="AB115" i="3"/>
  <c r="P221" i="3"/>
  <c r="AB223" i="3"/>
  <c r="AW48" i="3"/>
  <c r="AN48" i="3"/>
  <c r="AU32" i="3"/>
  <c r="M10" i="4" s="1"/>
  <c r="AU72" i="3"/>
  <c r="P276" i="3"/>
  <c r="AB45" i="3"/>
  <c r="AW134" i="3"/>
  <c r="AB47" i="3"/>
  <c r="AB235" i="3"/>
  <c r="P33" i="3"/>
  <c r="P274" i="3"/>
  <c r="AB289" i="3"/>
  <c r="P6" i="3"/>
  <c r="AF16" i="3"/>
  <c r="P100" i="3"/>
  <c r="P207" i="3"/>
  <c r="P184" i="3"/>
  <c r="P109" i="3"/>
  <c r="P209" i="3"/>
  <c r="AB304" i="3"/>
  <c r="AB55" i="3"/>
  <c r="P273" i="3"/>
  <c r="P135" i="3"/>
  <c r="AR53" i="3"/>
  <c r="AF53" i="3"/>
  <c r="AU214" i="3"/>
  <c r="AB319" i="3"/>
  <c r="AQ142" i="3"/>
  <c r="AB148" i="3"/>
  <c r="AF56" i="3"/>
  <c r="AE70" i="3"/>
  <c r="P70" i="3" s="1"/>
  <c r="P19" i="3"/>
  <c r="AB288" i="3"/>
  <c r="AQ255" i="3"/>
  <c r="AK199" i="3"/>
  <c r="AA42" i="3"/>
  <c r="P42" i="3" s="1"/>
  <c r="AB70" i="3"/>
  <c r="AW159" i="3"/>
  <c r="AU279" i="3"/>
  <c r="AB233" i="3"/>
  <c r="AB95" i="3"/>
  <c r="AB157" i="3"/>
  <c r="AB76" i="3"/>
  <c r="AQ174" i="3"/>
  <c r="AB178" i="3"/>
  <c r="AB254" i="3"/>
  <c r="AU121" i="3"/>
  <c r="AA317" i="3"/>
  <c r="P317" i="3" s="1"/>
  <c r="AW182" i="3"/>
  <c r="AU256" i="3"/>
  <c r="AB206" i="3"/>
  <c r="AS168" i="3"/>
  <c r="AQ222" i="3"/>
  <c r="AQ226" i="3"/>
  <c r="AB221" i="3"/>
  <c r="P264" i="3"/>
  <c r="AV48" i="3"/>
  <c r="AK48" i="3"/>
  <c r="AB275" i="3"/>
  <c r="P220" i="3"/>
  <c r="P105" i="3"/>
  <c r="AB33" i="3"/>
  <c r="AB250" i="3"/>
  <c r="AB274" i="3"/>
  <c r="AB6" i="3"/>
  <c r="AS80" i="3"/>
  <c r="AA83" i="3"/>
  <c r="P83" i="3" s="1"/>
  <c r="AQ94" i="3"/>
  <c r="AB100" i="3"/>
  <c r="AB207" i="3"/>
  <c r="AR322" i="3"/>
  <c r="AB184" i="3"/>
  <c r="AB109" i="3"/>
  <c r="AB132" i="3"/>
  <c r="AU209" i="3"/>
  <c r="AB88" i="3"/>
  <c r="AB273" i="3"/>
  <c r="AB135" i="3"/>
  <c r="AR189" i="3"/>
  <c r="AF189" i="3"/>
  <c r="AQ169" i="3"/>
  <c r="AB172" i="3"/>
  <c r="F11" i="4" l="1"/>
  <c r="F10" i="4"/>
  <c r="T7" i="4"/>
  <c r="U7" i="4" s="1" a="1"/>
  <c r="U7" i="4" s="1"/>
  <c r="AR41" i="3"/>
  <c r="AR277" i="3"/>
  <c r="AQ300" i="3"/>
  <c r="P300" i="3" s="1"/>
  <c r="AB60" i="3"/>
  <c r="AS246" i="3"/>
  <c r="AB67" i="3"/>
  <c r="AX60" i="3"/>
  <c r="AU60" i="3"/>
  <c r="AW60" i="3"/>
  <c r="AF60" i="3"/>
  <c r="AR60" i="3"/>
  <c r="AR62" i="3"/>
  <c r="AS60" i="3"/>
  <c r="AV60" i="3"/>
  <c r="AF5" i="3"/>
  <c r="AQ281" i="3"/>
  <c r="P281" i="3" s="1"/>
  <c r="AB137" i="3"/>
  <c r="AQ270" i="3"/>
  <c r="P270" i="3" s="1"/>
  <c r="AR216" i="3"/>
  <c r="AS137" i="3"/>
  <c r="AB246" i="3"/>
  <c r="AB260" i="3"/>
  <c r="AU241" i="3"/>
  <c r="AR253" i="3"/>
  <c r="AR260" i="3"/>
  <c r="Q9" i="4"/>
  <c r="G11" i="4" a="1"/>
  <c r="G11" i="4" s="1"/>
  <c r="M9" i="4"/>
  <c r="N9" i="4" s="1" a="1"/>
  <c r="N9" i="4" s="1"/>
  <c r="F9" i="4"/>
  <c r="G9" i="4" s="1" a="1"/>
  <c r="G9" i="4" s="1"/>
  <c r="C9" i="4"/>
  <c r="J9" i="4"/>
  <c r="AR117" i="3"/>
  <c r="AR110" i="3"/>
  <c r="AV110" i="3"/>
  <c r="AS110" i="3"/>
  <c r="AV119" i="3"/>
  <c r="AB119" i="3"/>
  <c r="AR204" i="3"/>
  <c r="AR137" i="3"/>
  <c r="AW128" i="3"/>
  <c r="AV128" i="3"/>
  <c r="AS128" i="3"/>
  <c r="AX128" i="3"/>
  <c r="AR67" i="3"/>
  <c r="AX119" i="3"/>
  <c r="AQ5" i="3"/>
  <c r="P5" i="3" s="1"/>
  <c r="AW119" i="3"/>
  <c r="AS119" i="3"/>
  <c r="AR128" i="3"/>
  <c r="AU128" i="3"/>
  <c r="AU119" i="3"/>
  <c r="AB117" i="3"/>
  <c r="AR119" i="3"/>
  <c r="AW117" i="3"/>
  <c r="AU117" i="3"/>
  <c r="AB110" i="3"/>
  <c r="AQ41" i="3"/>
  <c r="P41" i="3" s="1"/>
  <c r="AW290" i="3"/>
  <c r="AW294" i="3"/>
  <c r="AQ198" i="3"/>
  <c r="AX117" i="3"/>
  <c r="AR294" i="3"/>
  <c r="AB41" i="3"/>
  <c r="AQ204" i="3"/>
  <c r="AU290" i="3"/>
  <c r="AU294" i="3"/>
  <c r="AS117" i="3"/>
  <c r="AV117" i="3"/>
  <c r="AV290" i="3"/>
  <c r="AV294" i="3"/>
  <c r="AX290" i="3"/>
  <c r="AX294" i="3"/>
  <c r="AR171" i="3"/>
  <c r="AV246" i="3"/>
  <c r="AS294" i="3"/>
  <c r="AQ60" i="3"/>
  <c r="P60" i="3" s="1"/>
  <c r="AB25" i="3"/>
  <c r="AS253" i="3"/>
  <c r="AQ119" i="3"/>
  <c r="P119" i="3" s="1"/>
  <c r="AQ283" i="3"/>
  <c r="P283" i="3" s="1"/>
  <c r="AQ246" i="3"/>
  <c r="AB253" i="3"/>
  <c r="AX216" i="3"/>
  <c r="AX110" i="3"/>
  <c r="AQ110" i="3"/>
  <c r="AB128" i="3"/>
  <c r="AQ171" i="3"/>
  <c r="AQ327" i="3"/>
  <c r="F327" i="3"/>
  <c r="E327" i="3" s="1" a="1"/>
  <c r="E327" i="3" s="1"/>
  <c r="AQ62" i="3"/>
  <c r="P62" i="3" s="1"/>
  <c r="AQ216" i="3"/>
  <c r="AR246" i="3"/>
  <c r="AR198" i="3"/>
  <c r="AQ277" i="3"/>
  <c r="P277" i="3" s="1"/>
  <c r="AW216" i="3"/>
  <c r="AW110" i="3"/>
  <c r="AQ265" i="3"/>
  <c r="P265" i="3" s="1"/>
  <c r="AQ67" i="3"/>
  <c r="AQ294" i="3"/>
  <c r="AB290" i="3"/>
  <c r="AU246" i="3"/>
  <c r="AQ241" i="3"/>
  <c r="P241" i="3" s="1"/>
  <c r="AU216" i="3"/>
  <c r="AU110" i="3"/>
  <c r="AR124" i="3"/>
  <c r="N12" i="4" a="1"/>
  <c r="N12" i="4" s="1"/>
  <c r="AS237" i="3"/>
  <c r="AR72" i="3"/>
  <c r="N7" i="4" s="1" a="1"/>
  <c r="N7" i="4" s="1"/>
  <c r="AB72" i="3"/>
  <c r="AR237" i="3"/>
  <c r="AB93" i="3"/>
  <c r="AX93" i="3"/>
  <c r="AR93" i="3"/>
  <c r="AQ306" i="3"/>
  <c r="AS139" i="3"/>
  <c r="AS73" i="3"/>
  <c r="AS24" i="3"/>
  <c r="AR196" i="3"/>
  <c r="AR58" i="3"/>
  <c r="M6" i="4" s="1"/>
  <c r="AF73" i="3"/>
  <c r="AR243" i="3"/>
  <c r="F152" i="3"/>
  <c r="E152" i="3" s="1" a="1"/>
  <c r="E152" i="3" s="1"/>
  <c r="AQ156" i="3"/>
  <c r="AQ305" i="3"/>
  <c r="F305" i="3"/>
  <c r="E305" i="3" s="1" a="1"/>
  <c r="E305" i="3" s="1"/>
  <c r="AQ205" i="3"/>
  <c r="F205" i="3"/>
  <c r="E205" i="3" s="1" a="1"/>
  <c r="E205" i="3" s="1"/>
  <c r="AQ129" i="3"/>
  <c r="T5" i="4" s="1"/>
  <c r="F129" i="3"/>
  <c r="AQ177" i="3"/>
  <c r="F177" i="3"/>
  <c r="E177" i="3" s="1" a="1"/>
  <c r="E177" i="3" s="1"/>
  <c r="AR148" i="3"/>
  <c r="F272" i="3"/>
  <c r="E272" i="3" s="1" a="1"/>
  <c r="E272" i="3" s="1"/>
  <c r="F77" i="3"/>
  <c r="E77" i="3" s="1" a="1"/>
  <c r="E77" i="3" s="1"/>
  <c r="AR215" i="3"/>
  <c r="AQ155" i="3"/>
  <c r="AQ81" i="3"/>
  <c r="AQ20" i="3"/>
  <c r="H70" i="2"/>
  <c r="F52" i="3"/>
  <c r="E52" i="3" s="1" a="1"/>
  <c r="E52" i="3" s="1"/>
  <c r="AR264" i="3"/>
  <c r="AR262" i="3"/>
  <c r="AR99" i="3"/>
  <c r="AQ7" i="3"/>
  <c r="AQ112" i="3"/>
  <c r="AR244" i="3"/>
  <c r="AR239" i="3"/>
  <c r="F147" i="3"/>
  <c r="E147" i="3" s="1" a="1"/>
  <c r="E147" i="3" s="1"/>
  <c r="F106" i="3"/>
  <c r="E106" i="3" s="1" a="1"/>
  <c r="E106" i="3" s="1"/>
  <c r="H13" i="2"/>
  <c r="AQ15" i="3"/>
  <c r="F63" i="3"/>
  <c r="E63" i="3" s="1" a="1"/>
  <c r="E63" i="3" s="1"/>
  <c r="AQ10" i="3"/>
  <c r="AR298" i="3"/>
  <c r="AR301" i="3"/>
  <c r="AR102" i="3"/>
  <c r="AR103" i="3"/>
  <c r="AS102" i="3"/>
  <c r="AR178" i="3"/>
  <c r="AR174" i="3"/>
  <c r="F111" i="3"/>
  <c r="E111" i="3" s="1" a="1"/>
  <c r="E111" i="3" s="1"/>
  <c r="AQ111" i="3"/>
  <c r="AS286" i="3"/>
  <c r="F166" i="3"/>
  <c r="E166" i="3" s="1" a="1"/>
  <c r="E166" i="3" s="1"/>
  <c r="AQ166" i="3"/>
  <c r="AQ180" i="3"/>
  <c r="F180" i="3"/>
  <c r="E180" i="3" s="1" a="1"/>
  <c r="E180" i="3" s="1"/>
  <c r="F163" i="3"/>
  <c r="E163" i="3" s="1" a="1"/>
  <c r="E163" i="3" s="1"/>
  <c r="AQ170" i="3"/>
  <c r="F170" i="3"/>
  <c r="E170" i="3" s="1" a="1"/>
  <c r="E170" i="3" s="1"/>
  <c r="N11" i="4" a="1"/>
  <c r="N11" i="4" s="1"/>
  <c r="AX201" i="3"/>
  <c r="AR97" i="3"/>
  <c r="P124" i="3"/>
  <c r="AR161" i="3"/>
  <c r="AS203" i="3"/>
  <c r="AQ182" i="3"/>
  <c r="AR191" i="3"/>
  <c r="AR203" i="3"/>
  <c r="AR182" i="3"/>
  <c r="AR227" i="3"/>
  <c r="AR89" i="3"/>
  <c r="AR154" i="3"/>
  <c r="AR104" i="3"/>
  <c r="P201" i="3"/>
  <c r="AR29" i="3"/>
  <c r="AR176" i="3"/>
  <c r="AQ252" i="3"/>
  <c r="AR55" i="3"/>
  <c r="AR139" i="3"/>
  <c r="AQ13" i="3"/>
  <c r="AR252" i="3"/>
  <c r="AX124" i="3"/>
  <c r="AV199" i="3"/>
  <c r="AV124" i="3"/>
  <c r="AU199" i="3"/>
  <c r="AU124" i="3"/>
  <c r="AS70" i="3"/>
  <c r="AS56" i="3"/>
  <c r="AQ72" i="3"/>
  <c r="AQ56" i="3"/>
  <c r="AR13" i="3"/>
  <c r="AR125" i="3"/>
  <c r="AB161" i="3"/>
  <c r="AW199" i="3"/>
  <c r="AW124" i="3"/>
  <c r="P48" i="3"/>
  <c r="N10" i="4" a="1"/>
  <c r="N10" i="4" s="1"/>
  <c r="G10" i="4" a="1"/>
  <c r="G10" i="4" s="1"/>
  <c r="P257" i="3"/>
  <c r="AV201" i="3"/>
  <c r="AR199" i="3"/>
  <c r="AR201" i="3"/>
  <c r="AU201" i="3"/>
  <c r="AR84" i="3"/>
  <c r="AR194" i="3"/>
  <c r="AR114" i="3"/>
  <c r="AR130" i="3"/>
  <c r="AR121" i="3"/>
  <c r="AQ114" i="3"/>
  <c r="AQ121" i="3"/>
  <c r="AQ84" i="3"/>
  <c r="AQ69" i="3"/>
  <c r="AR258" i="3"/>
  <c r="AR21" i="3"/>
  <c r="AQ258" i="3"/>
  <c r="AR85" i="3"/>
  <c r="AQ209" i="3"/>
  <c r="AR132" i="3"/>
  <c r="AR169" i="3"/>
  <c r="F279" i="3"/>
  <c r="E279" i="3" s="1" a="1"/>
  <c r="E279" i="3" s="1"/>
  <c r="F84" i="3"/>
  <c r="E84" i="3" s="1" a="1"/>
  <c r="E84" i="3" s="1"/>
  <c r="AQ194" i="3"/>
  <c r="F209" i="3"/>
  <c r="E209" i="3" s="1" a="1"/>
  <c r="E209" i="3" s="1"/>
  <c r="AQ149" i="3"/>
  <c r="F49" i="3"/>
  <c r="E49" i="3" s="1" a="1"/>
  <c r="E49" i="3" s="1"/>
  <c r="H44" i="2"/>
  <c r="AQ287" i="3"/>
  <c r="AQ186" i="3"/>
  <c r="AQ22" i="3"/>
  <c r="AQ150" i="3"/>
  <c r="F261" i="3"/>
  <c r="E261" i="3" s="1" a="1"/>
  <c r="E261" i="3" s="1"/>
  <c r="H90" i="2"/>
  <c r="AQ29" i="3"/>
  <c r="AQ71" i="3"/>
  <c r="AQ271" i="3"/>
  <c r="AQ113" i="3"/>
  <c r="AQ181" i="3"/>
  <c r="AQ185" i="3"/>
  <c r="F262" i="3"/>
  <c r="E262" i="3" s="1" a="1"/>
  <c r="E262" i="3" s="1"/>
  <c r="AQ243" i="3"/>
  <c r="AQ247" i="3"/>
  <c r="F144" i="3"/>
  <c r="E144" i="3" s="1" a="1"/>
  <c r="E144" i="3" s="1"/>
  <c r="AQ33" i="3"/>
  <c r="AQ321" i="3"/>
  <c r="AQ244" i="3"/>
  <c r="P199" i="3"/>
  <c r="AQ196" i="3"/>
  <c r="AQ50" i="3"/>
  <c r="AQ109" i="3"/>
  <c r="AQ45" i="3"/>
  <c r="AQ223" i="3"/>
  <c r="F269" i="3"/>
  <c r="E269" i="3" s="1" a="1"/>
  <c r="E269" i="3" s="1"/>
  <c r="AQ48" i="3"/>
  <c r="AR162" i="3"/>
  <c r="AQ268" i="3"/>
  <c r="AQ124" i="3"/>
  <c r="AB199" i="3"/>
  <c r="AB310" i="3"/>
  <c r="AQ309" i="3"/>
  <c r="AQ314" i="3"/>
  <c r="AQ278" i="3"/>
  <c r="AQ73" i="3"/>
  <c r="AQ301" i="3"/>
  <c r="AQ9" i="3"/>
  <c r="AQ192" i="3"/>
  <c r="F131" i="3"/>
  <c r="E131" i="3" s="1" a="1"/>
  <c r="E131" i="3" s="1"/>
  <c r="AQ14" i="3"/>
  <c r="AQ100" i="3"/>
  <c r="F226" i="3"/>
  <c r="E226" i="3" s="1" a="1"/>
  <c r="E226" i="3" s="1"/>
  <c r="AQ221" i="3"/>
  <c r="AQ70" i="3"/>
  <c r="AR16" i="3"/>
  <c r="AQ24" i="3"/>
  <c r="F5" i="4" s="1"/>
  <c r="G5" i="4" s="1" a="1"/>
  <c r="G5" i="4" s="1"/>
  <c r="AB51" i="3"/>
  <c r="AB83" i="3"/>
  <c r="F222" i="3"/>
  <c r="E222" i="3" s="1" a="1"/>
  <c r="E222" i="3" s="1"/>
  <c r="AB317" i="3"/>
  <c r="AQ157" i="3"/>
  <c r="AB42" i="3"/>
  <c r="AR70" i="3"/>
  <c r="AF70" i="3"/>
  <c r="F202" i="3"/>
  <c r="E202" i="3" s="1" a="1"/>
  <c r="E202" i="3" s="1"/>
  <c r="AQ17" i="3"/>
  <c r="AQ189" i="3"/>
  <c r="AQ58" i="3"/>
  <c r="M5" i="4" s="1"/>
  <c r="AR153" i="3"/>
  <c r="F38" i="3"/>
  <c r="E38" i="3" s="1" a="1"/>
  <c r="E38" i="3" s="1"/>
  <c r="H66" i="2"/>
  <c r="AQ138" i="3"/>
  <c r="AQ296" i="3"/>
  <c r="F234" i="3"/>
  <c r="E234" i="3" s="1" a="1"/>
  <c r="E234" i="3" s="1"/>
  <c r="H86" i="2"/>
  <c r="AQ315" i="3"/>
  <c r="AQ302" i="3"/>
  <c r="F328" i="3"/>
  <c r="E328" i="3" s="1" a="1"/>
  <c r="E328" i="3" s="1"/>
  <c r="AB44" i="3"/>
  <c r="AQ3" i="3"/>
  <c r="AQ197" i="3"/>
  <c r="AQ211" i="3"/>
  <c r="AQ193" i="3"/>
  <c r="AQ313" i="3"/>
  <c r="AQ53" i="3"/>
  <c r="H5" i="2"/>
  <c r="F11" i="3"/>
  <c r="E11" i="3" s="1" a="1"/>
  <c r="E11" i="3" s="1"/>
  <c r="AQ288" i="3"/>
  <c r="AQ82" i="3"/>
  <c r="AQ324" i="3"/>
  <c r="AQ203" i="3"/>
  <c r="AB201" i="3"/>
  <c r="AQ289" i="3"/>
  <c r="F232" i="3"/>
  <c r="E232" i="3" s="1" a="1"/>
  <c r="E232" i="3" s="1"/>
  <c r="H58" i="2"/>
  <c r="F164" i="3"/>
  <c r="E164" i="3" s="1" a="1"/>
  <c r="E164" i="3" s="1"/>
  <c r="AQ116" i="3"/>
  <c r="AQ158" i="3"/>
  <c r="F80" i="3"/>
  <c r="E80" i="3" s="1" a="1"/>
  <c r="E80" i="3" s="1"/>
  <c r="AQ115" i="3"/>
  <c r="AQ78" i="3"/>
  <c r="AQ251" i="3"/>
  <c r="AQ323" i="3"/>
  <c r="AQ118" i="3"/>
  <c r="AQ304" i="3"/>
  <c r="F66" i="3"/>
  <c r="E66" i="3" s="1" a="1"/>
  <c r="E66" i="3" s="1"/>
  <c r="H33" i="2"/>
  <c r="F59" i="3"/>
  <c r="E59" i="3" s="1" a="1"/>
  <c r="E59" i="3" s="1"/>
  <c r="AQ105" i="3"/>
  <c r="AR285" i="3"/>
  <c r="AQ126" i="3"/>
  <c r="AQ184" i="3"/>
  <c r="AQ6" i="3"/>
  <c r="AQ206" i="3"/>
  <c r="AQ254" i="3"/>
  <c r="AQ233" i="3"/>
  <c r="F255" i="3"/>
  <c r="E255" i="3" s="1" a="1"/>
  <c r="E255" i="3" s="1"/>
  <c r="AQ319" i="3"/>
  <c r="AQ179" i="3"/>
  <c r="AQ140" i="3"/>
  <c r="AQ34" i="3"/>
  <c r="AQ31" i="3"/>
  <c r="AQ139" i="3"/>
  <c r="AQ4" i="3"/>
  <c r="AQ130" i="3"/>
  <c r="AQ267" i="3"/>
  <c r="AB257" i="3"/>
  <c r="F43" i="3"/>
  <c r="E43" i="3" s="1" a="1"/>
  <c r="E43" i="3" s="1"/>
  <c r="H15" i="2"/>
  <c r="AQ245" i="3"/>
  <c r="AQ141" i="3"/>
  <c r="F122" i="3"/>
  <c r="E122" i="3" s="1" a="1"/>
  <c r="E122" i="3" s="1"/>
  <c r="H40" i="2"/>
  <c r="AQ218" i="3"/>
  <c r="AQ19" i="3"/>
  <c r="AQ266" i="3"/>
  <c r="AQ259" i="3"/>
  <c r="AQ26" i="3"/>
  <c r="F168" i="3"/>
  <c r="E168" i="3" s="1" a="1"/>
  <c r="E168" i="3" s="1"/>
  <c r="AQ154" i="3"/>
  <c r="AR12" i="3"/>
  <c r="H67" i="2"/>
  <c r="F39" i="3"/>
  <c r="E39" i="3" s="1" a="1"/>
  <c r="E39" i="3" s="1"/>
  <c r="AQ238" i="3"/>
  <c r="AQ237" i="3"/>
  <c r="AQ108" i="3"/>
  <c r="F27" i="3"/>
  <c r="E27" i="3" s="1" a="1"/>
  <c r="E27" i="3" s="1"/>
  <c r="F229" i="3"/>
  <c r="E229" i="3" s="1" a="1"/>
  <c r="E229" i="3" s="1"/>
  <c r="AQ99" i="3"/>
  <c r="AR248" i="3"/>
  <c r="AQ275" i="3"/>
  <c r="F214" i="3"/>
  <c r="E214" i="3" s="1" a="1"/>
  <c r="E214" i="3" s="1"/>
  <c r="H17" i="2"/>
  <c r="AQ235" i="3"/>
  <c r="F36" i="3"/>
  <c r="E36" i="3" s="1" a="1"/>
  <c r="E36" i="3" s="1"/>
  <c r="H7" i="2"/>
  <c r="AQ104" i="3"/>
  <c r="AQ54" i="3"/>
  <c r="AQ151" i="3"/>
  <c r="F156" i="3"/>
  <c r="E156" i="3" s="1" a="1"/>
  <c r="E156" i="3" s="1"/>
  <c r="AQ231" i="3"/>
  <c r="AQ91" i="3"/>
  <c r="AQ61" i="3"/>
  <c r="AQ215" i="3"/>
  <c r="F213" i="3"/>
  <c r="E213" i="3" s="1" a="1"/>
  <c r="E213" i="3" s="1"/>
  <c r="F195" i="3"/>
  <c r="E195" i="3" s="1" a="1"/>
  <c r="E195" i="3" s="1"/>
  <c r="AQ190" i="3"/>
  <c r="AR187" i="3"/>
  <c r="F303" i="3"/>
  <c r="E303" i="3" s="1" a="1"/>
  <c r="E303" i="3" s="1"/>
  <c r="AQ40" i="3"/>
  <c r="F242" i="3"/>
  <c r="E242" i="3" s="1" a="1"/>
  <c r="E242" i="3" s="1"/>
  <c r="AQ297" i="3"/>
  <c r="AQ8" i="3"/>
  <c r="AQ282" i="3"/>
  <c r="AQ225" i="3"/>
  <c r="AQ136" i="3"/>
  <c r="AQ298" i="3"/>
  <c r="AQ308" i="3"/>
  <c r="AQ95" i="3"/>
  <c r="AQ64" i="3"/>
  <c r="AR87" i="3"/>
  <c r="AF87" i="3"/>
  <c r="AQ210" i="3"/>
  <c r="AQ273" i="3"/>
  <c r="AQ102" i="3"/>
  <c r="AB103" i="3"/>
  <c r="F322" i="3"/>
  <c r="E322" i="3" s="1" a="1"/>
  <c r="E322" i="3" s="1"/>
  <c r="AQ274" i="3"/>
  <c r="F256" i="3"/>
  <c r="E256" i="3" s="1" a="1"/>
  <c r="E256" i="3" s="1"/>
  <c r="H89" i="2"/>
  <c r="F174" i="3"/>
  <c r="E174" i="3" s="1" a="1"/>
  <c r="E174" i="3" s="1"/>
  <c r="AQ178" i="3"/>
  <c r="F32" i="3"/>
  <c r="AQ220" i="3"/>
  <c r="F224" i="3"/>
  <c r="E224" i="3" s="1" a="1"/>
  <c r="E224" i="3" s="1"/>
  <c r="AQ107" i="3"/>
  <c r="AQ263" i="3"/>
  <c r="AQ212" i="3"/>
  <c r="AQ167" i="3"/>
  <c r="AQ86" i="3"/>
  <c r="H45" i="2"/>
  <c r="F28" i="3"/>
  <c r="E28" i="3" s="1" a="1"/>
  <c r="E28" i="3" s="1"/>
  <c r="AQ21" i="3"/>
  <c r="F160" i="3"/>
  <c r="E160" i="3" s="1" a="1"/>
  <c r="E160" i="3" s="1"/>
  <c r="H71" i="2"/>
  <c r="AQ68" i="3"/>
  <c r="AR318" i="3"/>
  <c r="AR188" i="3"/>
  <c r="AQ93" i="3"/>
  <c r="F74" i="3"/>
  <c r="E74" i="3" s="1" a="1"/>
  <c r="E74" i="3" s="1"/>
  <c r="H74" i="2"/>
  <c r="AQ172" i="3"/>
  <c r="F75" i="3"/>
  <c r="E75" i="3" s="1" a="1"/>
  <c r="E75" i="3" s="1"/>
  <c r="H46" i="2"/>
  <c r="AQ239" i="3"/>
  <c r="AR316" i="3"/>
  <c r="AB286" i="3"/>
  <c r="F249" i="3"/>
  <c r="E249" i="3" s="1" a="1"/>
  <c r="E249" i="3" s="1"/>
  <c r="H60" i="2"/>
  <c r="F127" i="3"/>
  <c r="E127" i="3" s="1" a="1"/>
  <c r="E127" i="3" s="1"/>
  <c r="H49" i="2"/>
  <c r="F217" i="3"/>
  <c r="E217" i="3" s="1" a="1"/>
  <c r="E217" i="3" s="1"/>
  <c r="AQ200" i="3"/>
  <c r="AQ101" i="3"/>
  <c r="AQ125" i="3"/>
  <c r="AQ227" i="3"/>
  <c r="AQ65" i="3"/>
  <c r="F208" i="3"/>
  <c r="E208" i="3" s="1" a="1"/>
  <c r="E208" i="3" s="1"/>
  <c r="H57" i="2"/>
  <c r="H61" i="2"/>
  <c r="AQ264" i="3"/>
  <c r="AQ325" i="3"/>
  <c r="AQ57" i="3"/>
  <c r="AQ312" i="3"/>
  <c r="AQ291" i="3"/>
  <c r="AQ35" i="3"/>
  <c r="AQ145" i="3"/>
  <c r="P87" i="3"/>
  <c r="AQ132" i="3"/>
  <c r="AQ295" i="3"/>
  <c r="AQ240" i="3"/>
  <c r="AQ120" i="3"/>
  <c r="AQ135" i="3"/>
  <c r="AQ55" i="3"/>
  <c r="AQ326" i="3"/>
  <c r="AQ299" i="3"/>
  <c r="F142" i="3"/>
  <c r="E142" i="3" s="1" a="1"/>
  <c r="E142" i="3" s="1"/>
  <c r="AQ148" i="3"/>
  <c r="F169" i="3"/>
  <c r="E169" i="3" s="1" a="1"/>
  <c r="E169" i="3" s="1"/>
  <c r="AQ90" i="3"/>
  <c r="F98" i="3"/>
  <c r="E98" i="3" s="1" a="1"/>
  <c r="E98" i="3" s="1"/>
  <c r="AQ292" i="3"/>
  <c r="AQ230" i="3"/>
  <c r="AQ88" i="3"/>
  <c r="F159" i="3"/>
  <c r="E159" i="3" s="1" a="1"/>
  <c r="E159" i="3" s="1"/>
  <c r="H52" i="2"/>
  <c r="AQ47" i="3"/>
  <c r="F320" i="3"/>
  <c r="E320" i="3" s="1" a="1"/>
  <c r="E320" i="3" s="1"/>
  <c r="AR293" i="3"/>
  <c r="F37" i="3"/>
  <c r="E37" i="3" s="1" a="1"/>
  <c r="E37" i="3" s="1"/>
  <c r="F280" i="3"/>
  <c r="E280" i="3" s="1" a="1"/>
  <c r="E280" i="3" s="1"/>
  <c r="AB284" i="3"/>
  <c r="F46" i="3"/>
  <c r="E46" i="3" s="1" a="1"/>
  <c r="E46" i="3" s="1"/>
  <c r="H42" i="2"/>
  <c r="AQ143" i="3"/>
  <c r="AQ207" i="3"/>
  <c r="AQ250" i="3"/>
  <c r="AQ76" i="3"/>
  <c r="F134" i="3"/>
  <c r="E134" i="3" s="1" a="1"/>
  <c r="E134" i="3" s="1"/>
  <c r="H12" i="2"/>
  <c r="AQ133" i="3"/>
  <c r="AQ30" i="3"/>
  <c r="F92" i="3"/>
  <c r="E92" i="3" s="1" a="1"/>
  <c r="E92" i="3" s="1"/>
  <c r="H54" i="2"/>
  <c r="AQ276" i="3"/>
  <c r="AQ307" i="3"/>
  <c r="AQ236" i="3"/>
  <c r="AQ176" i="3"/>
  <c r="AQ183" i="3"/>
  <c r="AQ311" i="3"/>
  <c r="F94" i="3"/>
  <c r="E94" i="3" s="1" a="1"/>
  <c r="E94" i="3" s="1"/>
  <c r="AQ18" i="3"/>
  <c r="AQ191" i="3"/>
  <c r="AQ123" i="3"/>
  <c r="AQ146" i="3"/>
  <c r="AF257" i="3"/>
  <c r="F165" i="3"/>
  <c r="E165" i="3" s="1" a="1"/>
  <c r="E165" i="3" s="1"/>
  <c r="AB87" i="3"/>
  <c r="AQ228" i="3"/>
  <c r="F8" i="4" l="1"/>
  <c r="G8" i="4" s="1" a="1"/>
  <c r="G8" i="4" s="1"/>
  <c r="P110" i="3"/>
  <c r="F300" i="3"/>
  <c r="E300" i="3" s="1" a="1"/>
  <c r="E300" i="3" s="1"/>
  <c r="P216" i="3"/>
  <c r="F270" i="3"/>
  <c r="E270" i="3" s="1" a="1"/>
  <c r="E270" i="3" s="1"/>
  <c r="F277" i="3"/>
  <c r="E277" i="3" s="1" a="1"/>
  <c r="E277" i="3" s="1"/>
  <c r="F60" i="3"/>
  <c r="E60" i="3" s="1" a="1"/>
  <c r="E60" i="3" s="1"/>
  <c r="F41" i="3"/>
  <c r="E41" i="3" s="1" a="1"/>
  <c r="E41" i="3" s="1"/>
  <c r="AQ137" i="3"/>
  <c r="P137" i="3" s="1"/>
  <c r="F204" i="3"/>
  <c r="E204" i="3" s="1" a="1"/>
  <c r="E204" i="3" s="1"/>
  <c r="P204" i="3"/>
  <c r="AQ253" i="3"/>
  <c r="P253" i="3" s="1"/>
  <c r="AQ260" i="3"/>
  <c r="P260" i="3" s="1"/>
  <c r="F241" i="3"/>
  <c r="E241" i="3" s="1" a="1"/>
  <c r="E241" i="3" s="1"/>
  <c r="P198" i="3"/>
  <c r="P171" i="3"/>
  <c r="F62" i="3"/>
  <c r="E62" i="3" s="1" a="1"/>
  <c r="E62" i="3" s="1"/>
  <c r="P67" i="3"/>
  <c r="AQ117" i="3"/>
  <c r="P117" i="3" s="1"/>
  <c r="F281" i="3"/>
  <c r="E281" i="3" s="1" a="1"/>
  <c r="E281" i="3" s="1"/>
  <c r="P294" i="3"/>
  <c r="F283" i="3"/>
  <c r="E283" i="3" s="1" a="1"/>
  <c r="E283" i="3" s="1"/>
  <c r="F171" i="3"/>
  <c r="E171" i="3" s="1" a="1"/>
  <c r="E171" i="3" s="1"/>
  <c r="F265" i="3"/>
  <c r="E265" i="3" s="1" a="1"/>
  <c r="E265" i="3" s="1"/>
  <c r="AQ290" i="3"/>
  <c r="P290" i="3" s="1"/>
  <c r="F290" i="3"/>
  <c r="E290" i="3" s="1" a="1"/>
  <c r="E290" i="3" s="1"/>
  <c r="F198" i="3"/>
  <c r="E198" i="3" s="1" a="1"/>
  <c r="E198" i="3" s="1"/>
  <c r="P246" i="3"/>
  <c r="AQ25" i="3"/>
  <c r="P25" i="3" s="1"/>
  <c r="AQ128" i="3"/>
  <c r="P128" i="3" s="1"/>
  <c r="F128" i="3"/>
  <c r="E128" i="3" s="1" a="1"/>
  <c r="E128" i="3" s="1"/>
  <c r="F67" i="3"/>
  <c r="E67" i="3" s="1" a="1"/>
  <c r="E67" i="3" s="1"/>
  <c r="F216" i="3"/>
  <c r="E216" i="3" s="1" a="1"/>
  <c r="E216" i="3" s="1"/>
  <c r="N5" i="4" a="1"/>
  <c r="N5" i="4" s="1"/>
  <c r="E129" i="3" a="1"/>
  <c r="E129" i="3" s="1"/>
  <c r="T15" i="4"/>
  <c r="E32" i="3" a="1"/>
  <c r="E32" i="3" s="1"/>
  <c r="AR24" i="3"/>
  <c r="F6" i="4" s="1"/>
  <c r="G6" i="4" s="1" a="1"/>
  <c r="G6" i="4" s="1"/>
  <c r="AQ89" i="3"/>
  <c r="U5" i="4" a="1"/>
  <c r="U5" i="4" s="1"/>
  <c r="U6" i="4" a="1"/>
  <c r="U6" i="4" s="1"/>
  <c r="AR73" i="3"/>
  <c r="N6" i="4" s="1" a="1"/>
  <c r="N6" i="4" s="1"/>
  <c r="H81" i="2"/>
  <c r="F81" i="3"/>
  <c r="E81" i="3" s="1" a="1"/>
  <c r="E81" i="3" s="1"/>
  <c r="H93" i="2"/>
  <c r="F155" i="3"/>
  <c r="E155" i="3" s="1" a="1"/>
  <c r="E155" i="3" s="1"/>
  <c r="H78" i="2"/>
  <c r="F20" i="3"/>
  <c r="E20" i="3" s="1" a="1"/>
  <c r="E20" i="3" s="1"/>
  <c r="F219" i="3"/>
  <c r="E219" i="3" s="1" a="1"/>
  <c r="E219" i="3" s="1"/>
  <c r="H79" i="2"/>
  <c r="H51" i="2"/>
  <c r="F96" i="3"/>
  <c r="E96" i="3" s="1" a="1"/>
  <c r="E96" i="3" s="1"/>
  <c r="H36" i="2"/>
  <c r="F112" i="3"/>
  <c r="E112" i="3" s="1" a="1"/>
  <c r="E112" i="3" s="1"/>
  <c r="F7" i="3"/>
  <c r="E7" i="3" s="1" a="1"/>
  <c r="E7" i="3" s="1"/>
  <c r="H25" i="2"/>
  <c r="H34" i="2"/>
  <c r="H24" i="2"/>
  <c r="F15" i="3"/>
  <c r="E15" i="3" s="1" a="1"/>
  <c r="E15" i="3" s="1"/>
  <c r="H6" i="2"/>
  <c r="H4" i="2"/>
  <c r="H2" i="2"/>
  <c r="K2" i="2" s="1"/>
  <c r="F10" i="3"/>
  <c r="E10" i="3" s="1" a="1"/>
  <c r="E10" i="3" s="1"/>
  <c r="F97" i="3"/>
  <c r="E97" i="3" s="1" a="1"/>
  <c r="E97" i="3" s="1"/>
  <c r="F23" i="3"/>
  <c r="E23" i="3" s="1" a="1"/>
  <c r="E23" i="3" s="1"/>
  <c r="B214" i="3"/>
  <c r="B92" i="3"/>
  <c r="D6" i="2"/>
  <c r="D44" i="2"/>
  <c r="B159" i="3"/>
  <c r="B74" i="3"/>
  <c r="B261" i="3"/>
  <c r="B272" i="3"/>
  <c r="B202" i="3"/>
  <c r="F258" i="3"/>
  <c r="E258" i="3" s="1" a="1"/>
  <c r="E258" i="3" s="1"/>
  <c r="F306" i="3"/>
  <c r="E306" i="3" s="1" a="1"/>
  <c r="E306" i="3" s="1"/>
  <c r="AQ161" i="3"/>
  <c r="AR56" i="3"/>
  <c r="F13" i="3"/>
  <c r="E13" i="3" s="1" a="1"/>
  <c r="E13" i="3" s="1"/>
  <c r="F252" i="3"/>
  <c r="E252" i="3" s="1" a="1"/>
  <c r="E252" i="3" s="1"/>
  <c r="AR257" i="3"/>
  <c r="AR267" i="3"/>
  <c r="F182" i="3"/>
  <c r="E182" i="3" s="1" a="1"/>
  <c r="E182" i="3" s="1"/>
  <c r="F56" i="3"/>
  <c r="E56" i="3" s="1" a="1"/>
  <c r="E56" i="3" s="1"/>
  <c r="F114" i="3"/>
  <c r="E114" i="3" s="1" a="1"/>
  <c r="E114" i="3" s="1"/>
  <c r="F149" i="3"/>
  <c r="E149" i="3" s="1" a="1"/>
  <c r="E149" i="3" s="1"/>
  <c r="F69" i="3"/>
  <c r="E69" i="3" s="1" a="1"/>
  <c r="E69" i="3" s="1"/>
  <c r="F121" i="3"/>
  <c r="E121" i="3" s="1" a="1"/>
  <c r="E121" i="3" s="1"/>
  <c r="F85" i="3"/>
  <c r="E85" i="3" s="1" a="1"/>
  <c r="E85" i="3" s="1"/>
  <c r="F194" i="3"/>
  <c r="E194" i="3" s="1" a="1"/>
  <c r="E194" i="3" s="1"/>
  <c r="B169" i="3"/>
  <c r="B279" i="3"/>
  <c r="B231" i="3"/>
  <c r="F231" i="3"/>
  <c r="E231" i="3" s="1" a="1"/>
  <c r="E231" i="3" s="1"/>
  <c r="AQ83" i="3"/>
  <c r="AQ310" i="3"/>
  <c r="B316" i="3"/>
  <c r="F316" i="3"/>
  <c r="E316" i="3" s="1" a="1"/>
  <c r="E316" i="3" s="1"/>
  <c r="B297" i="3"/>
  <c r="F297" i="3"/>
  <c r="E297" i="3" s="1" a="1"/>
  <c r="E297" i="3" s="1"/>
  <c r="F235" i="3"/>
  <c r="E235" i="3" s="1" a="1"/>
  <c r="E235" i="3" s="1"/>
  <c r="F26" i="3"/>
  <c r="E26" i="3" s="1" a="1"/>
  <c r="E26" i="3" s="1"/>
  <c r="B130" i="3"/>
  <c r="F130" i="3"/>
  <c r="E130" i="3" s="1" a="1"/>
  <c r="E130" i="3" s="1"/>
  <c r="F34" i="3"/>
  <c r="E34" i="3" s="1" a="1"/>
  <c r="E34" i="3" s="1"/>
  <c r="H9" i="2"/>
  <c r="F233" i="3"/>
  <c r="E233" i="3" s="1" a="1"/>
  <c r="E233" i="3" s="1"/>
  <c r="H30" i="2"/>
  <c r="F278" i="3"/>
  <c r="E278" i="3" s="1" a="1"/>
  <c r="E278" i="3" s="1"/>
  <c r="H23" i="2"/>
  <c r="B321" i="3"/>
  <c r="F321" i="3"/>
  <c r="E321" i="3" s="1" a="1"/>
  <c r="E321" i="3" s="1"/>
  <c r="F22" i="3"/>
  <c r="E22" i="3" s="1" a="1"/>
  <c r="E22" i="3" s="1"/>
  <c r="B255" i="3"/>
  <c r="F99" i="3"/>
  <c r="E99" i="3" s="1" a="1"/>
  <c r="E99" i="3" s="1"/>
  <c r="F315" i="3"/>
  <c r="E315" i="3" s="1" a="1"/>
  <c r="E315" i="3" s="1"/>
  <c r="B153" i="3"/>
  <c r="F153" i="3"/>
  <c r="E153" i="3" s="1" a="1"/>
  <c r="E153" i="3" s="1"/>
  <c r="B14" i="3"/>
  <c r="F14" i="3"/>
  <c r="E14" i="3" s="1" a="1"/>
  <c r="E14" i="3" s="1"/>
  <c r="F223" i="3"/>
  <c r="E223" i="3" s="1" a="1"/>
  <c r="E223" i="3" s="1"/>
  <c r="H88" i="2"/>
  <c r="F113" i="3"/>
  <c r="E113" i="3" s="1" a="1"/>
  <c r="E113" i="3" s="1"/>
  <c r="H19" i="2"/>
  <c r="H31" i="2"/>
  <c r="F30" i="3"/>
  <c r="E30" i="3" s="1" a="1"/>
  <c r="E30" i="3" s="1"/>
  <c r="B145" i="3"/>
  <c r="F145" i="3"/>
  <c r="E145" i="3" s="1" a="1"/>
  <c r="E145" i="3" s="1"/>
  <c r="F264" i="3"/>
  <c r="E264" i="3" s="1" a="1"/>
  <c r="E264" i="3" s="1"/>
  <c r="H64" i="2"/>
  <c r="F167" i="3"/>
  <c r="E167" i="3" s="1" a="1"/>
  <c r="E167" i="3" s="1"/>
  <c r="H63" i="2"/>
  <c r="B228" i="3"/>
  <c r="F228" i="3"/>
  <c r="E228" i="3" s="1" a="1"/>
  <c r="E228" i="3" s="1"/>
  <c r="F123" i="3"/>
  <c r="E123" i="3" s="1" a="1"/>
  <c r="E123" i="3" s="1"/>
  <c r="F176" i="3"/>
  <c r="E176" i="3" s="1" a="1"/>
  <c r="E176" i="3" s="1"/>
  <c r="B207" i="3"/>
  <c r="F207" i="3"/>
  <c r="E207" i="3" s="1" a="1"/>
  <c r="E207" i="3" s="1"/>
  <c r="F88" i="3"/>
  <c r="E88" i="3" s="1" a="1"/>
  <c r="E88" i="3" s="1"/>
  <c r="F148" i="3"/>
  <c r="E148" i="3" s="1" a="1"/>
  <c r="E148" i="3" s="1"/>
  <c r="F135" i="3"/>
  <c r="E135" i="3" s="1" a="1"/>
  <c r="E135" i="3" s="1"/>
  <c r="F200" i="3"/>
  <c r="E200" i="3" s="1" a="1"/>
  <c r="E200" i="3" s="1"/>
  <c r="H56" i="2"/>
  <c r="F93" i="3"/>
  <c r="E93" i="3" s="1" a="1"/>
  <c r="E93" i="3" s="1"/>
  <c r="AQ103" i="3"/>
  <c r="F308" i="3"/>
  <c r="E308" i="3" s="1" a="1"/>
  <c r="E308" i="3" s="1"/>
  <c r="B141" i="3"/>
  <c r="F141" i="3"/>
  <c r="E141" i="3" s="1" a="1"/>
  <c r="E141" i="3" s="1"/>
  <c r="F118" i="3"/>
  <c r="E118" i="3" s="1" a="1"/>
  <c r="E118" i="3" s="1"/>
  <c r="B158" i="3"/>
  <c r="F158" i="3"/>
  <c r="E158" i="3" s="1" a="1"/>
  <c r="E158" i="3" s="1"/>
  <c r="F24" i="3"/>
  <c r="E24" i="3" s="1" a="1"/>
  <c r="E24" i="3" s="1"/>
  <c r="AQ51" i="3"/>
  <c r="F124" i="3"/>
  <c r="E124" i="3" s="1" a="1"/>
  <c r="E124" i="3" s="1"/>
  <c r="AQ199" i="3"/>
  <c r="F45" i="3"/>
  <c r="E45" i="3" s="1" a="1"/>
  <c r="E45" i="3" s="1"/>
  <c r="H69" i="2"/>
  <c r="F302" i="3"/>
  <c r="E302" i="3" s="1" a="1"/>
  <c r="E302" i="3" s="1"/>
  <c r="F243" i="3"/>
  <c r="E243" i="3" s="1" a="1"/>
  <c r="E243" i="3" s="1"/>
  <c r="B250" i="3"/>
  <c r="F250" i="3"/>
  <c r="E250" i="3" s="1" a="1"/>
  <c r="E250" i="3" s="1"/>
  <c r="B238" i="3"/>
  <c r="F238" i="3"/>
  <c r="E238" i="3" s="1" a="1"/>
  <c r="E238" i="3" s="1"/>
  <c r="B212" i="3"/>
  <c r="F212" i="3"/>
  <c r="E212" i="3" s="1" a="1"/>
  <c r="E212" i="3" s="1"/>
  <c r="F89" i="3"/>
  <c r="E89" i="3" s="1" a="1"/>
  <c r="E89" i="3" s="1"/>
  <c r="AQ201" i="3"/>
  <c r="B16" i="3"/>
  <c r="F16" i="3"/>
  <c r="E16" i="3" s="1" a="1"/>
  <c r="E16" i="3" s="1"/>
  <c r="B129" i="3"/>
  <c r="B77" i="3"/>
  <c r="B205" i="3"/>
  <c r="B142" i="3"/>
  <c r="B235" i="3"/>
  <c r="AQ87" i="3"/>
  <c r="F120" i="3"/>
  <c r="E120" i="3" s="1" a="1"/>
  <c r="E120" i="3" s="1"/>
  <c r="H14" i="2"/>
  <c r="F291" i="3"/>
  <c r="E291" i="3" s="1" a="1"/>
  <c r="E291" i="3" s="1"/>
  <c r="F239" i="3"/>
  <c r="E239" i="3" s="1" a="1"/>
  <c r="E239" i="3" s="1"/>
  <c r="H38" i="2"/>
  <c r="F273" i="3"/>
  <c r="E273" i="3" s="1" a="1"/>
  <c r="E273" i="3" s="1"/>
  <c r="H55" i="2"/>
  <c r="F298" i="3"/>
  <c r="E298" i="3" s="1" a="1"/>
  <c r="E298" i="3" s="1"/>
  <c r="B215" i="3"/>
  <c r="F215" i="3"/>
  <c r="E215" i="3" s="1" a="1"/>
  <c r="E215" i="3" s="1"/>
  <c r="F151" i="3"/>
  <c r="E151" i="3" s="1" a="1"/>
  <c r="E151" i="3" s="1"/>
  <c r="H50" i="2"/>
  <c r="B27" i="3"/>
  <c r="H65" i="2"/>
  <c r="F12" i="3"/>
  <c r="E12" i="3" s="1" a="1"/>
  <c r="E12" i="3" s="1"/>
  <c r="B323" i="3"/>
  <c r="F323" i="3"/>
  <c r="E323" i="3" s="1" a="1"/>
  <c r="E323" i="3" s="1"/>
  <c r="F116" i="3"/>
  <c r="E116" i="3" s="1" a="1"/>
  <c r="E116" i="3" s="1"/>
  <c r="H83" i="2"/>
  <c r="AQ42" i="3"/>
  <c r="B131" i="3"/>
  <c r="F268" i="3"/>
  <c r="E268" i="3" s="1" a="1"/>
  <c r="E268" i="3" s="1"/>
  <c r="H18" i="2"/>
  <c r="F109" i="3"/>
  <c r="E109" i="3" s="1" a="1"/>
  <c r="E109" i="3" s="1"/>
  <c r="F271" i="3"/>
  <c r="E271" i="3" s="1" a="1"/>
  <c r="E271" i="3" s="1"/>
  <c r="H77" i="2"/>
  <c r="F326" i="3"/>
  <c r="E326" i="3" s="1" a="1"/>
  <c r="E326" i="3" s="1"/>
  <c r="F240" i="3"/>
  <c r="E240" i="3" s="1" a="1"/>
  <c r="E240" i="3" s="1"/>
  <c r="B263" i="3"/>
  <c r="F263" i="3"/>
  <c r="E263" i="3" s="1" a="1"/>
  <c r="E263" i="3" s="1"/>
  <c r="B266" i="3"/>
  <c r="F266" i="3"/>
  <c r="E266" i="3" s="1" a="1"/>
  <c r="E266" i="3" s="1"/>
  <c r="F4" i="3"/>
  <c r="E4" i="3" s="1" a="1"/>
  <c r="E4" i="3" s="1"/>
  <c r="F179" i="3"/>
  <c r="E179" i="3" s="1" a="1"/>
  <c r="E179" i="3" s="1"/>
  <c r="H39" i="2"/>
  <c r="F206" i="3"/>
  <c r="E206" i="3" s="1" a="1"/>
  <c r="E206" i="3" s="1"/>
  <c r="H35" i="2"/>
  <c r="F324" i="3"/>
  <c r="E324" i="3" s="1" a="1"/>
  <c r="E324" i="3" s="1"/>
  <c r="B53" i="3"/>
  <c r="F53" i="3"/>
  <c r="E53" i="3" s="1" a="1"/>
  <c r="E53" i="3" s="1"/>
  <c r="F3" i="3"/>
  <c r="F189" i="3"/>
  <c r="E189" i="3" s="1" a="1"/>
  <c r="E189" i="3" s="1"/>
  <c r="F192" i="3"/>
  <c r="E192" i="3" s="1" a="1"/>
  <c r="E192" i="3" s="1"/>
  <c r="H16" i="2"/>
  <c r="F162" i="3"/>
  <c r="E162" i="3" s="1" a="1"/>
  <c r="E162" i="3" s="1"/>
  <c r="H75" i="2"/>
  <c r="B144" i="3"/>
  <c r="F287" i="3"/>
  <c r="E287" i="3" s="1" a="1"/>
  <c r="E287" i="3" s="1"/>
  <c r="F220" i="3"/>
  <c r="E220" i="3" s="1" a="1"/>
  <c r="E220" i="3" s="1"/>
  <c r="H92" i="2"/>
  <c r="F289" i="3"/>
  <c r="E289" i="3" s="1" a="1"/>
  <c r="E289" i="3" s="1"/>
  <c r="F101" i="3"/>
  <c r="E101" i="3" s="1" a="1"/>
  <c r="E101" i="3" s="1"/>
  <c r="F304" i="3"/>
  <c r="E304" i="3" s="1" a="1"/>
  <c r="E304" i="3" s="1"/>
  <c r="F293" i="3"/>
  <c r="E293" i="3" s="1" a="1"/>
  <c r="E293" i="3" s="1"/>
  <c r="F178" i="3"/>
  <c r="E178" i="3" s="1" a="1"/>
  <c r="E178" i="3" s="1"/>
  <c r="F58" i="3"/>
  <c r="F236" i="3"/>
  <c r="E236" i="3" s="1" a="1"/>
  <c r="E236" i="3" s="1"/>
  <c r="B307" i="3"/>
  <c r="F307" i="3"/>
  <c r="E307" i="3" s="1" a="1"/>
  <c r="E307" i="3" s="1"/>
  <c r="B292" i="3"/>
  <c r="F292" i="3"/>
  <c r="E292" i="3" s="1" a="1"/>
  <c r="E292" i="3" s="1"/>
  <c r="F65" i="3"/>
  <c r="E65" i="3" s="1" a="1"/>
  <c r="E65" i="3" s="1"/>
  <c r="B210" i="3"/>
  <c r="F210" i="3"/>
  <c r="E210" i="3" s="1" a="1"/>
  <c r="E210" i="3" s="1"/>
  <c r="B136" i="3"/>
  <c r="F136" i="3"/>
  <c r="E136" i="3" s="1" a="1"/>
  <c r="E136" i="3" s="1"/>
  <c r="F61" i="3"/>
  <c r="E61" i="3" s="1" a="1"/>
  <c r="E61" i="3" s="1"/>
  <c r="B54" i="3"/>
  <c r="F54" i="3"/>
  <c r="E54" i="3" s="1" a="1"/>
  <c r="E54" i="3" s="1"/>
  <c r="F102" i="3"/>
  <c r="E102" i="3" s="1" a="1"/>
  <c r="E102" i="3" s="1"/>
  <c r="F245" i="3"/>
  <c r="E245" i="3" s="1" a="1"/>
  <c r="E245" i="3" s="1"/>
  <c r="H91" i="2"/>
  <c r="F251" i="3"/>
  <c r="E251" i="3" s="1" a="1"/>
  <c r="E251" i="3" s="1"/>
  <c r="H37" i="2"/>
  <c r="B296" i="3"/>
  <c r="F296" i="3"/>
  <c r="E296" i="3" s="1" a="1"/>
  <c r="E296" i="3" s="1"/>
  <c r="F157" i="3"/>
  <c r="E157" i="3" s="1" a="1"/>
  <c r="E157" i="3" s="1"/>
  <c r="B177" i="3"/>
  <c r="F50" i="3"/>
  <c r="E50" i="3" s="1" a="1"/>
  <c r="E50" i="3" s="1"/>
  <c r="H29" i="2"/>
  <c r="B185" i="3"/>
  <c r="F185" i="3"/>
  <c r="E185" i="3" s="1" a="1"/>
  <c r="E185" i="3" s="1"/>
  <c r="F150" i="3"/>
  <c r="E150" i="3" s="1" a="1"/>
  <c r="E150" i="3" s="1"/>
  <c r="H47" i="2"/>
  <c r="H20" i="2"/>
  <c r="F126" i="3"/>
  <c r="E126" i="3" s="1" a="1"/>
  <c r="E126" i="3" s="1"/>
  <c r="F244" i="3"/>
  <c r="E244" i="3" s="1" a="1"/>
  <c r="E244" i="3" s="1"/>
  <c r="H32" i="2"/>
  <c r="F183" i="3"/>
  <c r="E183" i="3" s="1" a="1"/>
  <c r="E183" i="3" s="1"/>
  <c r="AQ286" i="3"/>
  <c r="B285" i="3"/>
  <c r="F285" i="3"/>
  <c r="E285" i="3" s="1" a="1"/>
  <c r="E285" i="3" s="1"/>
  <c r="F35" i="3"/>
  <c r="E35" i="3" s="1" a="1"/>
  <c r="E35" i="3" s="1"/>
  <c r="H80" i="2"/>
  <c r="F21" i="3"/>
  <c r="E21" i="3" s="1" a="1"/>
  <c r="E21" i="3" s="1"/>
  <c r="B149" i="3"/>
  <c r="B194" i="3"/>
  <c r="F254" i="3"/>
  <c r="E254" i="3" s="1" a="1"/>
  <c r="E254" i="3" s="1"/>
  <c r="F299" i="3"/>
  <c r="E299" i="3" s="1" a="1"/>
  <c r="E299" i="3" s="1"/>
  <c r="H41" i="2"/>
  <c r="F18" i="3"/>
  <c r="E18" i="3" s="1" a="1"/>
  <c r="E18" i="3" s="1"/>
  <c r="H3" i="2"/>
  <c r="F318" i="3"/>
  <c r="E318" i="3" s="1" a="1"/>
  <c r="E318" i="3" s="1"/>
  <c r="B318" i="3"/>
  <c r="H26" i="2"/>
  <c r="F40" i="3"/>
  <c r="E40" i="3" s="1" a="1"/>
  <c r="E40" i="3" s="1"/>
  <c r="F312" i="3"/>
  <c r="E312" i="3" s="1" a="1"/>
  <c r="E312" i="3" s="1"/>
  <c r="B312" i="3"/>
  <c r="F107" i="3"/>
  <c r="E107" i="3" s="1" a="1"/>
  <c r="E107" i="3" s="1"/>
  <c r="F154" i="3"/>
  <c r="E154" i="3" s="1" a="1"/>
  <c r="E154" i="3" s="1"/>
  <c r="H68" i="2"/>
  <c r="F19" i="3"/>
  <c r="E19" i="3" s="1" a="1"/>
  <c r="E19" i="3" s="1"/>
  <c r="F139" i="3"/>
  <c r="E139" i="3" s="1" a="1"/>
  <c r="E139" i="3" s="1"/>
  <c r="F6" i="3"/>
  <c r="E6" i="3" s="1" a="1"/>
  <c r="E6" i="3" s="1"/>
  <c r="F82" i="3"/>
  <c r="E82" i="3" s="1" a="1"/>
  <c r="E82" i="3" s="1"/>
  <c r="B313" i="3"/>
  <c r="F313" i="3"/>
  <c r="E313" i="3" s="1" a="1"/>
  <c r="E313" i="3" s="1"/>
  <c r="AQ44" i="3"/>
  <c r="AQ317" i="3"/>
  <c r="F247" i="3"/>
  <c r="E247" i="3" s="1" a="1"/>
  <c r="E247" i="3" s="1"/>
  <c r="B86" i="3"/>
  <c r="F86" i="3"/>
  <c r="E86" i="3" s="1" a="1"/>
  <c r="E86" i="3" s="1"/>
  <c r="F55" i="3"/>
  <c r="E55" i="3" s="1" a="1"/>
  <c r="E55" i="3" s="1"/>
  <c r="F95" i="3"/>
  <c r="E95" i="3" s="1" a="1"/>
  <c r="E95" i="3" s="1"/>
  <c r="H11" i="2"/>
  <c r="F105" i="3"/>
  <c r="E105" i="3" s="1" a="1"/>
  <c r="E105" i="3" s="1"/>
  <c r="H87" i="2"/>
  <c r="F186" i="3"/>
  <c r="E186" i="3" s="1" a="1"/>
  <c r="E186" i="3" s="1"/>
  <c r="F143" i="3"/>
  <c r="E143" i="3" s="1" a="1"/>
  <c r="E143" i="3" s="1"/>
  <c r="B165" i="3"/>
  <c r="F276" i="3"/>
  <c r="E276" i="3" s="1" a="1"/>
  <c r="E276" i="3" s="1"/>
  <c r="H8" i="2"/>
  <c r="F76" i="3"/>
  <c r="E76" i="3" s="1" a="1"/>
  <c r="E76" i="3" s="1"/>
  <c r="H82" i="2"/>
  <c r="B98" i="3"/>
  <c r="F295" i="3"/>
  <c r="E295" i="3" s="1" a="1"/>
  <c r="E295" i="3" s="1"/>
  <c r="F227" i="3"/>
  <c r="E227" i="3" s="1" a="1"/>
  <c r="E227" i="3" s="1"/>
  <c r="F68" i="3"/>
  <c r="E68" i="3" s="1" a="1"/>
  <c r="E68" i="3" s="1"/>
  <c r="F274" i="3"/>
  <c r="E274" i="3" s="1" a="1"/>
  <c r="E274" i="3" s="1"/>
  <c r="H94" i="2"/>
  <c r="B225" i="3"/>
  <c r="F225" i="3"/>
  <c r="E225" i="3" s="1" a="1"/>
  <c r="E225" i="3" s="1"/>
  <c r="B303" i="3"/>
  <c r="F91" i="3"/>
  <c r="E91" i="3" s="1" a="1"/>
  <c r="E91" i="3" s="1"/>
  <c r="H85" i="2"/>
  <c r="F104" i="3"/>
  <c r="E104" i="3" s="1" a="1"/>
  <c r="E104" i="3" s="1"/>
  <c r="F275" i="3"/>
  <c r="E275" i="3" s="1" a="1"/>
  <c r="E275" i="3" s="1"/>
  <c r="F108" i="3"/>
  <c r="E108" i="3" s="1" a="1"/>
  <c r="E108" i="3" s="1"/>
  <c r="F78" i="3"/>
  <c r="E78" i="3" s="1" a="1"/>
  <c r="E78" i="3" s="1"/>
  <c r="H62" i="2"/>
  <c r="F193" i="3"/>
  <c r="E193" i="3" s="1" a="1"/>
  <c r="E193" i="3" s="1"/>
  <c r="F138" i="3"/>
  <c r="E138" i="3" s="1" a="1"/>
  <c r="E138" i="3" s="1"/>
  <c r="F221" i="3"/>
  <c r="E221" i="3" s="1" a="1"/>
  <c r="E221" i="3" s="1"/>
  <c r="H22" i="2"/>
  <c r="F9" i="3"/>
  <c r="E9" i="3" s="1" a="1"/>
  <c r="E9" i="3" s="1"/>
  <c r="B314" i="3"/>
  <c r="F314" i="3"/>
  <c r="E314" i="3" s="1" a="1"/>
  <c r="E314" i="3" s="1"/>
  <c r="F48" i="3"/>
  <c r="E48" i="3" s="1" a="1"/>
  <c r="E48" i="3" s="1"/>
  <c r="F196" i="3"/>
  <c r="E196" i="3" s="1" a="1"/>
  <c r="E196" i="3" s="1"/>
  <c r="F181" i="3"/>
  <c r="E181" i="3" s="1" a="1"/>
  <c r="E181" i="3" s="1"/>
  <c r="H53" i="2"/>
  <c r="B71" i="3"/>
  <c r="F71" i="3"/>
  <c r="E71" i="3" s="1" a="1"/>
  <c r="E71" i="3" s="1"/>
  <c r="F267" i="3"/>
  <c r="E267" i="3" s="1" a="1"/>
  <c r="E267" i="3" s="1"/>
  <c r="AQ257" i="3"/>
  <c r="F161" i="3"/>
  <c r="E161" i="3" s="1" a="1"/>
  <c r="E161" i="3" s="1"/>
  <c r="F8" i="3"/>
  <c r="E8" i="3" s="1" a="1"/>
  <c r="E8" i="3" s="1"/>
  <c r="B140" i="3"/>
  <c r="F140" i="3"/>
  <c r="E140" i="3" s="1" a="1"/>
  <c r="E140" i="3" s="1"/>
  <c r="B230" i="3"/>
  <c r="F230" i="3"/>
  <c r="E230" i="3" s="1" a="1"/>
  <c r="E230" i="3" s="1"/>
  <c r="AQ284" i="3"/>
  <c r="F47" i="3"/>
  <c r="E47" i="3" s="1" a="1"/>
  <c r="E47" i="3" s="1"/>
  <c r="F57" i="3"/>
  <c r="E57" i="3" s="1" a="1"/>
  <c r="E57" i="3" s="1"/>
  <c r="H10" i="2"/>
  <c r="F172" i="3"/>
  <c r="E172" i="3" s="1" a="1"/>
  <c r="E172" i="3" s="1"/>
  <c r="F187" i="3"/>
  <c r="E187" i="3" s="1" a="1"/>
  <c r="E187" i="3" s="1"/>
  <c r="B248" i="3"/>
  <c r="F248" i="3"/>
  <c r="E248" i="3" s="1" a="1"/>
  <c r="E248" i="3" s="1"/>
  <c r="B168" i="3"/>
  <c r="F218" i="3"/>
  <c r="E218" i="3" s="1" a="1"/>
  <c r="E218" i="3" s="1"/>
  <c r="F184" i="3"/>
  <c r="E184" i="3" s="1" a="1"/>
  <c r="E184" i="3" s="1"/>
  <c r="B184" i="3"/>
  <c r="B325" i="3"/>
  <c r="F325" i="3"/>
  <c r="E325" i="3" s="1" a="1"/>
  <c r="E325" i="3" s="1"/>
  <c r="H72" i="2"/>
  <c r="F31" i="3"/>
  <c r="E31" i="3" s="1" a="1"/>
  <c r="E31" i="3" s="1"/>
  <c r="B211" i="3"/>
  <c r="F211" i="3"/>
  <c r="E211" i="3" s="1" a="1"/>
  <c r="E211" i="3" s="1"/>
  <c r="F190" i="3"/>
  <c r="E190" i="3" s="1" a="1"/>
  <c r="E190" i="3" s="1"/>
  <c r="B133" i="3"/>
  <c r="F133" i="3"/>
  <c r="E133" i="3" s="1" a="1"/>
  <c r="E133" i="3" s="1"/>
  <c r="F188" i="3"/>
  <c r="E188" i="3" s="1" a="1"/>
  <c r="E188" i="3" s="1"/>
  <c r="H73" i="2"/>
  <c r="B259" i="3"/>
  <c r="F259" i="3"/>
  <c r="E259" i="3" s="1" a="1"/>
  <c r="E259" i="3" s="1"/>
  <c r="F197" i="3"/>
  <c r="E197" i="3" s="1" a="1"/>
  <c r="E197" i="3" s="1"/>
  <c r="H21" i="2"/>
  <c r="F33" i="3"/>
  <c r="E33" i="3" s="1" a="1"/>
  <c r="E33" i="3" s="1"/>
  <c r="H27" i="2"/>
  <c r="F191" i="3"/>
  <c r="E191" i="3" s="1" a="1"/>
  <c r="E191" i="3" s="1"/>
  <c r="B319" i="3"/>
  <c r="F319" i="3"/>
  <c r="E319" i="3" s="1" a="1"/>
  <c r="E319" i="3" s="1"/>
  <c r="F288" i="3"/>
  <c r="E288" i="3" s="1" a="1"/>
  <c r="E288" i="3" s="1"/>
  <c r="B328" i="3"/>
  <c r="F301" i="3"/>
  <c r="E301" i="3" s="1" a="1"/>
  <c r="E301" i="3" s="1"/>
  <c r="F146" i="3"/>
  <c r="E146" i="3" s="1" a="1"/>
  <c r="E146" i="3" s="1"/>
  <c r="H84" i="2"/>
  <c r="F311" i="3"/>
  <c r="E311" i="3" s="1" a="1"/>
  <c r="E311" i="3" s="1"/>
  <c r="F90" i="3"/>
  <c r="E90" i="3" s="1" a="1"/>
  <c r="E90" i="3" s="1"/>
  <c r="H43" i="2"/>
  <c r="F132" i="3"/>
  <c r="E132" i="3" s="1" a="1"/>
  <c r="E132" i="3" s="1"/>
  <c r="F125" i="3"/>
  <c r="E125" i="3" s="1" a="1"/>
  <c r="E125" i="3" s="1"/>
  <c r="B322" i="3"/>
  <c r="F64" i="3"/>
  <c r="E64" i="3" s="1" a="1"/>
  <c r="E64" i="3" s="1"/>
  <c r="H48" i="2"/>
  <c r="B282" i="3"/>
  <c r="F282" i="3"/>
  <c r="E282" i="3" s="1" a="1"/>
  <c r="E282" i="3" s="1"/>
  <c r="F237" i="3"/>
  <c r="E237" i="3" s="1" a="1"/>
  <c r="E237" i="3" s="1"/>
  <c r="B258" i="3"/>
  <c r="F115" i="3"/>
  <c r="E115" i="3" s="1" a="1"/>
  <c r="E115" i="3" s="1"/>
  <c r="H76" i="2"/>
  <c r="F17" i="3"/>
  <c r="E17" i="3" s="1" a="1"/>
  <c r="E17" i="3" s="1"/>
  <c r="F100" i="3"/>
  <c r="E100" i="3" s="1" a="1"/>
  <c r="E100" i="3" s="1"/>
  <c r="H28" i="2"/>
  <c r="B309" i="3"/>
  <c r="F309" i="3"/>
  <c r="E309" i="3" s="1" a="1"/>
  <c r="E309" i="3" s="1"/>
  <c r="B269" i="3"/>
  <c r="F29" i="3"/>
  <c r="E29" i="3" s="1" a="1"/>
  <c r="E29" i="3" s="1"/>
  <c r="F7" i="4" l="1"/>
  <c r="G7" i="4" s="1" a="1"/>
  <c r="G7" i="4" s="1"/>
  <c r="B164" i="3"/>
  <c r="B195" i="3"/>
  <c r="F5" i="3"/>
  <c r="E5" i="3" s="1" a="1"/>
  <c r="E5" i="3" s="1"/>
  <c r="F246" i="3"/>
  <c r="E246" i="3" s="1" a="1"/>
  <c r="E246" i="3" s="1"/>
  <c r="F260" i="3"/>
  <c r="E260" i="3" s="1" a="1"/>
  <c r="E260" i="3" s="1"/>
  <c r="F137" i="3"/>
  <c r="E137" i="3" s="1" a="1"/>
  <c r="E137" i="3" s="1"/>
  <c r="F15" i="4"/>
  <c r="F110" i="3"/>
  <c r="E110" i="3" s="1" a="1"/>
  <c r="E110" i="3" s="1"/>
  <c r="F119" i="3"/>
  <c r="E119" i="3" s="1" a="1"/>
  <c r="E119" i="3" s="1"/>
  <c r="F294" i="3"/>
  <c r="E294" i="3" s="1" a="1"/>
  <c r="E294" i="3" s="1"/>
  <c r="F117" i="3"/>
  <c r="E117" i="3" s="1" a="1"/>
  <c r="E117" i="3" s="1"/>
  <c r="B327" i="3"/>
  <c r="B5" i="3"/>
  <c r="F253" i="3"/>
  <c r="E253" i="3" s="1" a="1"/>
  <c r="E253" i="3" s="1"/>
  <c r="F25" i="3"/>
  <c r="E25" i="3" s="1" a="1"/>
  <c r="E25" i="3" s="1"/>
  <c r="B25" i="3"/>
  <c r="E3" i="3" a="1"/>
  <c r="E3" i="3" s="1"/>
  <c r="E58" i="3" a="1"/>
  <c r="E58" i="3" s="1"/>
  <c r="M15" i="4"/>
  <c r="F73" i="3"/>
  <c r="E73" i="3" s="1" a="1"/>
  <c r="E73" i="3" s="1"/>
  <c r="F72" i="3"/>
  <c r="E72" i="3" s="1" a="1"/>
  <c r="E72" i="3" s="1"/>
  <c r="B58" i="3"/>
  <c r="B190" i="3"/>
  <c r="B173" i="3"/>
  <c r="B148" i="3"/>
  <c r="B295" i="3"/>
  <c r="B99" i="3"/>
  <c r="D54" i="2"/>
  <c r="B94" i="3"/>
  <c r="B15" i="3"/>
  <c r="B79" i="3"/>
  <c r="B242" i="3"/>
  <c r="B152" i="3"/>
  <c r="B26" i="3"/>
  <c r="B302" i="3"/>
  <c r="D17" i="2"/>
  <c r="B49" i="3"/>
  <c r="B236" i="3"/>
  <c r="B3" i="3"/>
  <c r="B37" i="3"/>
  <c r="B311" i="3"/>
  <c r="D74" i="2"/>
  <c r="B17" i="3"/>
  <c r="B48" i="3"/>
  <c r="B82" i="3"/>
  <c r="B8" i="3"/>
  <c r="B111" i="3"/>
  <c r="B218" i="3"/>
  <c r="B143" i="3"/>
  <c r="B324" i="3"/>
  <c r="B183" i="3"/>
  <c r="D52" i="2"/>
  <c r="B293" i="3"/>
  <c r="B101" i="3"/>
  <c r="B224" i="3"/>
  <c r="B107" i="3"/>
  <c r="B305" i="3"/>
  <c r="D90" i="2"/>
  <c r="B9" i="3"/>
  <c r="B135" i="3"/>
  <c r="B288" i="3"/>
  <c r="B61" i="3"/>
  <c r="B291" i="3"/>
  <c r="B326" i="3"/>
  <c r="B308" i="3"/>
  <c r="B222" i="3"/>
  <c r="B4" i="3"/>
  <c r="B157" i="3"/>
  <c r="B68" i="3"/>
  <c r="B108" i="3"/>
  <c r="B247" i="3"/>
  <c r="B254" i="3"/>
  <c r="B178" i="3"/>
  <c r="B32" i="3"/>
  <c r="F70" i="3"/>
  <c r="E70" i="3" s="1" a="1"/>
  <c r="E70" i="3" s="1"/>
  <c r="F203" i="3"/>
  <c r="E203" i="3" s="1" a="1"/>
  <c r="E203" i="3" s="1"/>
  <c r="B56" i="3"/>
  <c r="B88" i="3"/>
  <c r="B187" i="3"/>
  <c r="B209" i="3"/>
  <c r="B69" i="3"/>
  <c r="B114" i="3"/>
  <c r="B84" i="3"/>
  <c r="B172" i="3"/>
  <c r="B47" i="3"/>
  <c r="B85" i="3"/>
  <c r="B121" i="3"/>
  <c r="B275" i="3"/>
  <c r="B132" i="3"/>
  <c r="B21" i="3"/>
  <c r="D83" i="2"/>
  <c r="B116" i="3"/>
  <c r="B115" i="3"/>
  <c r="D76" i="2"/>
  <c r="B299" i="3"/>
  <c r="D41" i="2"/>
  <c r="D29" i="2"/>
  <c r="B50" i="3"/>
  <c r="F257" i="3"/>
  <c r="E257" i="3" s="1" a="1"/>
  <c r="E257" i="3" s="1"/>
  <c r="B181" i="3"/>
  <c r="D53" i="2"/>
  <c r="B91" i="3"/>
  <c r="D85" i="2"/>
  <c r="B105" i="3"/>
  <c r="D87" i="2"/>
  <c r="B38" i="3"/>
  <c r="D66" i="2"/>
  <c r="B317" i="3"/>
  <c r="F317" i="3"/>
  <c r="E317" i="3" s="1" a="1"/>
  <c r="E317" i="3" s="1"/>
  <c r="B244" i="3"/>
  <c r="D32" i="2"/>
  <c r="B65" i="3"/>
  <c r="F201" i="3"/>
  <c r="E201" i="3" s="1" a="1"/>
  <c r="E201" i="3" s="1"/>
  <c r="B118" i="3"/>
  <c r="B278" i="3"/>
  <c r="D23" i="2"/>
  <c r="B251" i="3"/>
  <c r="D37" i="2"/>
  <c r="B96" i="3"/>
  <c r="D51" i="2"/>
  <c r="D9" i="2"/>
  <c r="B34" i="3"/>
  <c r="B76" i="3"/>
  <c r="D82" i="2"/>
  <c r="B59" i="3"/>
  <c r="D33" i="2"/>
  <c r="B100" i="3"/>
  <c r="D28" i="2"/>
  <c r="D27" i="2"/>
  <c r="B33" i="3"/>
  <c r="B289" i="3"/>
  <c r="B240" i="3"/>
  <c r="B147" i="3"/>
  <c r="D34" i="2"/>
  <c r="B268" i="3"/>
  <c r="D18" i="2"/>
  <c r="D50" i="2"/>
  <c r="B151" i="3"/>
  <c r="B239" i="3"/>
  <c r="D38" i="2"/>
  <c r="B39" i="3"/>
  <c r="D67" i="2"/>
  <c r="B30" i="3"/>
  <c r="D31" i="2"/>
  <c r="B223" i="3"/>
  <c r="D88" i="2"/>
  <c r="B315" i="3"/>
  <c r="B256" i="3"/>
  <c r="D89" i="2"/>
  <c r="B220" i="3"/>
  <c r="D92" i="2"/>
  <c r="B162" i="3"/>
  <c r="D75" i="2"/>
  <c r="F199" i="3"/>
  <c r="E199" i="3" s="1" a="1"/>
  <c r="E199" i="3" s="1"/>
  <c r="F103" i="3"/>
  <c r="E103" i="3" s="1" a="1"/>
  <c r="E103" i="3" s="1"/>
  <c r="D78" i="2"/>
  <c r="B20" i="3"/>
  <c r="B22" i="3"/>
  <c r="B64" i="3"/>
  <c r="D48" i="2"/>
  <c r="B226" i="3"/>
  <c r="D24" i="2"/>
  <c r="B44" i="3"/>
  <c r="F44" i="3"/>
  <c r="E44" i="3" s="1" a="1"/>
  <c r="E44" i="3" s="1"/>
  <c r="B280" i="3"/>
  <c r="B66" i="3"/>
  <c r="B163" i="3"/>
  <c r="B217" i="3"/>
  <c r="B80" i="3"/>
  <c r="B213" i="3"/>
  <c r="B127" i="3"/>
  <c r="D49" i="2"/>
  <c r="B134" i="3"/>
  <c r="D12" i="2"/>
  <c r="B245" i="3"/>
  <c r="D91" i="2"/>
  <c r="B262" i="3"/>
  <c r="D61" i="2"/>
  <c r="B264" i="3"/>
  <c r="D64" i="2"/>
  <c r="B219" i="3"/>
  <c r="D79" i="2"/>
  <c r="F310" i="3"/>
  <c r="E310" i="3" s="1" a="1"/>
  <c r="E310" i="3" s="1"/>
  <c r="B310" i="3"/>
  <c r="B320" i="3"/>
  <c r="B75" i="3"/>
  <c r="D46" i="2"/>
  <c r="F286" i="3"/>
  <c r="E286" i="3" s="1" a="1"/>
  <c r="E286" i="3" s="1"/>
  <c r="D47" i="2"/>
  <c r="B150" i="3"/>
  <c r="B179" i="3"/>
  <c r="D39" i="2"/>
  <c r="B42" i="3"/>
  <c r="F42" i="3"/>
  <c r="E42" i="3" s="1" a="1"/>
  <c r="E42" i="3" s="1"/>
  <c r="B229" i="3"/>
  <c r="D70" i="2"/>
  <c r="B52" i="3"/>
  <c r="B155" i="3"/>
  <c r="D93" i="2"/>
  <c r="D7" i="2"/>
  <c r="B36" i="3"/>
  <c r="B31" i="3"/>
  <c r="D72" i="2"/>
  <c r="B7" i="3"/>
  <c r="D25" i="2"/>
  <c r="B208" i="3"/>
  <c r="D57" i="2"/>
  <c r="B35" i="3"/>
  <c r="D80" i="2"/>
  <c r="B126" i="3"/>
  <c r="D20" i="2"/>
  <c r="B63" i="3"/>
  <c r="D4" i="2"/>
  <c r="B221" i="3"/>
  <c r="D22" i="2"/>
  <c r="B271" i="3"/>
  <c r="D77" i="2"/>
  <c r="B274" i="3"/>
  <c r="D94" i="2"/>
  <c r="B197" i="3"/>
  <c r="D21" i="2"/>
  <c r="B122" i="3"/>
  <c r="D40" i="2"/>
  <c r="B138" i="3"/>
  <c r="B19" i="3"/>
  <c r="D68" i="2"/>
  <c r="B180" i="3"/>
  <c r="B234" i="3"/>
  <c r="D86" i="2"/>
  <c r="D14" i="2"/>
  <c r="B120" i="3"/>
  <c r="D19" i="2"/>
  <c r="B113" i="3"/>
  <c r="B81" i="3"/>
  <c r="D81" i="2"/>
  <c r="B233" i="3"/>
  <c r="D30" i="2"/>
  <c r="B276" i="3"/>
  <c r="D8" i="2"/>
  <c r="D71" i="2"/>
  <c r="B160" i="3"/>
  <c r="B146" i="3"/>
  <c r="D84" i="2"/>
  <c r="D45" i="2"/>
  <c r="B28" i="3"/>
  <c r="B206" i="3"/>
  <c r="D35" i="2"/>
  <c r="B90" i="3"/>
  <c r="D43" i="2"/>
  <c r="D62" i="2"/>
  <c r="B78" i="3"/>
  <c r="B10" i="3"/>
  <c r="D2" i="2"/>
  <c r="B249" i="3"/>
  <c r="D60" i="2"/>
  <c r="B186" i="3"/>
  <c r="D26" i="2"/>
  <c r="B40" i="3"/>
  <c r="B18" i="3"/>
  <c r="D3" i="2"/>
  <c r="B166" i="3"/>
  <c r="F51" i="3"/>
  <c r="E51" i="3" s="1" a="1"/>
  <c r="E51" i="3" s="1"/>
  <c r="B72" i="3"/>
  <c r="B252" i="3"/>
  <c r="B83" i="3"/>
  <c r="F83" i="3"/>
  <c r="E83" i="3" s="1" a="1"/>
  <c r="E83" i="3" s="1"/>
  <c r="B57" i="3"/>
  <c r="D10" i="2"/>
  <c r="B46" i="3"/>
  <c r="D42" i="2"/>
  <c r="B45" i="3"/>
  <c r="D69" i="2"/>
  <c r="B167" i="3"/>
  <c r="D63" i="2"/>
  <c r="B188" i="3"/>
  <c r="D73" i="2"/>
  <c r="B232" i="3"/>
  <c r="D58" i="2"/>
  <c r="B106" i="3"/>
  <c r="D13" i="2"/>
  <c r="B43" i="3"/>
  <c r="D15" i="2"/>
  <c r="F284" i="3"/>
  <c r="E284" i="3" s="1" a="1"/>
  <c r="E284" i="3" s="1"/>
  <c r="D5" i="2"/>
  <c r="B11" i="3"/>
  <c r="B95" i="3"/>
  <c r="D11" i="2"/>
  <c r="B287" i="3"/>
  <c r="B192" i="3"/>
  <c r="D16" i="2"/>
  <c r="D65" i="2"/>
  <c r="B12" i="3"/>
  <c r="B273" i="3"/>
  <c r="D55" i="2"/>
  <c r="B87" i="3"/>
  <c r="F87" i="3"/>
  <c r="E87" i="3" s="1" a="1"/>
  <c r="E87" i="3" s="1"/>
  <c r="B200" i="3"/>
  <c r="D56" i="2"/>
  <c r="B123" i="3"/>
  <c r="D36" i="2"/>
  <c r="B112" i="3"/>
  <c r="B286" i="3" l="1"/>
  <c r="B170" i="3"/>
  <c r="B189" i="3"/>
  <c r="B298" i="3"/>
  <c r="B103" i="3"/>
  <c r="B93" i="3"/>
  <c r="B300" i="3"/>
  <c r="B41" i="3"/>
  <c r="B60" i="3"/>
  <c r="B260" i="3"/>
  <c r="B253" i="3"/>
  <c r="B62" i="3"/>
  <c r="B277" i="3"/>
  <c r="B281" i="3"/>
  <c r="B283" i="3"/>
  <c r="B290" i="3"/>
  <c r="B265" i="3"/>
  <c r="B294" i="3"/>
  <c r="B270" i="3"/>
  <c r="B67" i="3"/>
  <c r="B246" i="3"/>
  <c r="B117" i="3"/>
  <c r="B171" i="3"/>
  <c r="B110" i="3"/>
  <c r="B241" i="3"/>
  <c r="B119" i="3"/>
  <c r="B128" i="3"/>
  <c r="B137" i="3"/>
  <c r="B198" i="3"/>
  <c r="B216" i="3"/>
  <c r="B204" i="3"/>
  <c r="A60" i="3"/>
  <c r="H294" i="3"/>
  <c r="G5" i="3"/>
  <c r="A283" i="3"/>
  <c r="G270" i="3"/>
  <c r="G204" i="3"/>
  <c r="A41" i="3"/>
  <c r="A110" i="3"/>
  <c r="A117" i="3"/>
  <c r="A25" i="3"/>
  <c r="A270" i="3"/>
  <c r="H171" i="3"/>
  <c r="H110" i="3"/>
  <c r="G246" i="3"/>
  <c r="G283" i="3"/>
  <c r="G41" i="3"/>
  <c r="H281" i="3"/>
  <c r="G137" i="3"/>
  <c r="G119" i="3"/>
  <c r="A260" i="3"/>
  <c r="H119" i="3"/>
  <c r="H265" i="3"/>
  <c r="A294" i="3"/>
  <c r="H283" i="3"/>
  <c r="A246" i="3"/>
  <c r="A300" i="3"/>
  <c r="H41" i="3"/>
  <c r="G60" i="3"/>
  <c r="G62" i="3"/>
  <c r="H300" i="3"/>
  <c r="H198" i="3"/>
  <c r="G25" i="3"/>
  <c r="G277" i="3"/>
  <c r="H241" i="3"/>
  <c r="G198" i="3"/>
  <c r="G171" i="3"/>
  <c r="A171" i="3"/>
  <c r="A119" i="3"/>
  <c r="H67" i="3"/>
  <c r="H60" i="3"/>
  <c r="G327" i="3"/>
  <c r="H117" i="3"/>
  <c r="A198" i="3"/>
  <c r="A67" i="3"/>
  <c r="G281" i="3"/>
  <c r="H290" i="3"/>
  <c r="H327" i="3"/>
  <c r="H270" i="3"/>
  <c r="G300" i="3"/>
  <c r="G110" i="3"/>
  <c r="G216" i="3"/>
  <c r="A327" i="3"/>
  <c r="G265" i="3"/>
  <c r="H253" i="3"/>
  <c r="G117" i="3"/>
  <c r="A290" i="3"/>
  <c r="A281" i="3"/>
  <c r="H128" i="3"/>
  <c r="H204" i="3"/>
  <c r="A204" i="3"/>
  <c r="H5" i="3"/>
  <c r="G294" i="3"/>
  <c r="H62" i="3"/>
  <c r="G290" i="3"/>
  <c r="A277" i="3"/>
  <c r="H216" i="3"/>
  <c r="G241" i="3"/>
  <c r="H260" i="3"/>
  <c r="G67" i="3"/>
  <c r="G128" i="3"/>
  <c r="A241" i="3"/>
  <c r="A128" i="3"/>
  <c r="H246" i="3"/>
  <c r="A253" i="3"/>
  <c r="A62" i="3"/>
  <c r="A137" i="3"/>
  <c r="H25" i="3"/>
  <c r="A5" i="3"/>
  <c r="G253" i="3"/>
  <c r="A216" i="3"/>
  <c r="H137" i="3"/>
  <c r="H277" i="3"/>
  <c r="G260" i="3"/>
  <c r="A265" i="3"/>
  <c r="B23" i="3"/>
  <c r="B237" i="3"/>
  <c r="B154" i="3"/>
  <c r="B196" i="3"/>
  <c r="B267" i="3"/>
  <c r="B97" i="3"/>
  <c r="B124" i="3"/>
  <c r="B243" i="3"/>
  <c r="B109" i="3"/>
  <c r="B156" i="3"/>
  <c r="B174" i="3"/>
  <c r="B284" i="3"/>
  <c r="B301" i="3"/>
  <c r="B102" i="3"/>
  <c r="B193" i="3"/>
  <c r="B175" i="3"/>
  <c r="B203" i="3"/>
  <c r="B125" i="3"/>
  <c r="B89" i="3"/>
  <c r="B55" i="3"/>
  <c r="B104" i="3"/>
  <c r="B6" i="3"/>
  <c r="B161" i="3"/>
  <c r="B304" i="3"/>
  <c r="B70" i="3"/>
  <c r="B13" i="3"/>
  <c r="B257" i="3"/>
  <c r="B176" i="3"/>
  <c r="B29" i="3"/>
  <c r="B24" i="3"/>
  <c r="B51" i="3"/>
  <c r="B73" i="3"/>
  <c r="B182" i="3"/>
  <c r="B191" i="3"/>
  <c r="B306" i="3"/>
  <c r="B139" i="3"/>
  <c r="B199" i="3"/>
  <c r="G318" i="3"/>
  <c r="B227" i="3"/>
  <c r="A109" i="3"/>
  <c r="H187" i="3"/>
  <c r="H131" i="3"/>
  <c r="A127" i="3"/>
  <c r="H95" i="3"/>
  <c r="A99" i="3"/>
  <c r="H154" i="3"/>
  <c r="B201" i="3"/>
  <c r="A16" i="3"/>
  <c r="G153" i="3"/>
  <c r="G56" i="3"/>
  <c r="G309" i="3"/>
  <c r="H71" i="3"/>
  <c r="A252" i="3"/>
  <c r="A240" i="3"/>
  <c r="A326" i="3"/>
  <c r="A139" i="3"/>
  <c r="A78" i="3"/>
  <c r="G23" i="3"/>
  <c r="H222" i="3"/>
  <c r="H134" i="3"/>
  <c r="G123" i="3"/>
  <c r="A38" i="3"/>
  <c r="A138" i="3"/>
  <c r="A19" i="3"/>
  <c r="H149" i="3"/>
  <c r="A194" i="3"/>
  <c r="G52" i="3"/>
  <c r="A68" i="3"/>
  <c r="H65" i="3"/>
  <c r="G242" i="3"/>
  <c r="A268" i="3"/>
  <c r="H98" i="3"/>
  <c r="G230" i="3"/>
  <c r="H169" i="3"/>
  <c r="A323" i="3"/>
  <c r="G104" i="3"/>
  <c r="G92" i="3"/>
  <c r="G94" i="3"/>
  <c r="H73" i="3"/>
  <c r="G4" i="3"/>
  <c r="H123" i="3"/>
  <c r="A183" i="3"/>
  <c r="H269" i="3"/>
  <c r="A140" i="3"/>
  <c r="G302" i="3"/>
  <c r="H185" i="3"/>
  <c r="H172" i="3"/>
  <c r="G293" i="3"/>
  <c r="H176" i="3"/>
  <c r="G40" i="3"/>
  <c r="H63" i="3"/>
  <c r="G162" i="3"/>
  <c r="G139" i="3"/>
  <c r="G76" i="3"/>
  <c r="G97" i="3"/>
  <c r="H179" i="3"/>
  <c r="G296" i="3"/>
  <c r="G19" i="3"/>
  <c r="H121" i="3"/>
  <c r="H78" i="3"/>
  <c r="A319" i="3"/>
  <c r="G141" i="3"/>
  <c r="G20" i="3"/>
  <c r="H180" i="3"/>
  <c r="G10" i="3"/>
  <c r="H20" i="3"/>
  <c r="G175" i="3"/>
  <c r="H81" i="3"/>
  <c r="G174" i="3"/>
  <c r="G245" i="3"/>
  <c r="G306" i="3"/>
  <c r="H26" i="3"/>
  <c r="A45" i="3"/>
  <c r="A70" i="3"/>
  <c r="H6" i="3"/>
  <c r="G168" i="3"/>
  <c r="G105" i="3"/>
  <c r="G222" i="3"/>
  <c r="H228" i="3"/>
  <c r="H268" i="3"/>
  <c r="H289" i="3"/>
  <c r="H303" i="3"/>
  <c r="H193" i="3"/>
  <c r="A230" i="3"/>
  <c r="H100" i="3"/>
  <c r="A30" i="3"/>
  <c r="G165" i="3"/>
  <c r="G303" i="3"/>
  <c r="A84" i="3"/>
  <c r="G206" i="3"/>
  <c r="G50" i="3"/>
  <c r="G39" i="3"/>
  <c r="H323" i="3"/>
  <c r="H114" i="3"/>
  <c r="H56" i="3"/>
  <c r="A176" i="3"/>
  <c r="A10" i="3"/>
  <c r="H166" i="3"/>
  <c r="G26" i="3"/>
  <c r="G202" i="3"/>
  <c r="A105" i="3"/>
  <c r="G228" i="3"/>
  <c r="A213" i="3"/>
  <c r="G289" i="3"/>
  <c r="A43" i="3"/>
  <c r="A100" i="3"/>
  <c r="A231" i="3"/>
  <c r="A251" i="3"/>
  <c r="A258" i="3"/>
  <c r="H309" i="3"/>
  <c r="H258" i="3"/>
  <c r="G269" i="3"/>
  <c r="H90" i="3"/>
  <c r="A212" i="3"/>
  <c r="H262" i="3"/>
  <c r="G83" i="3"/>
  <c r="A83" i="3"/>
  <c r="H83" i="3"/>
  <c r="H273" i="3"/>
  <c r="G82" i="3"/>
  <c r="H316" i="3"/>
  <c r="G299" i="3"/>
  <c r="A134" i="3"/>
  <c r="A186" i="3"/>
  <c r="A318" i="3"/>
  <c r="H85" i="3"/>
  <c r="G231" i="3"/>
  <c r="G251" i="3"/>
  <c r="A195" i="3"/>
  <c r="G191" i="3"/>
  <c r="G134" i="3"/>
  <c r="H104" i="3"/>
  <c r="A31" i="3"/>
  <c r="G280" i="3"/>
  <c r="A208" i="3"/>
  <c r="G90" i="3"/>
  <c r="A73" i="3"/>
  <c r="G212" i="3"/>
  <c r="G46" i="3"/>
  <c r="H4" i="3"/>
  <c r="A123" i="3"/>
  <c r="A273" i="3"/>
  <c r="G183" i="3"/>
  <c r="H82" i="3"/>
  <c r="A49" i="3"/>
  <c r="A316" i="3"/>
  <c r="A307" i="3"/>
  <c r="G140" i="3"/>
  <c r="A238" i="3"/>
  <c r="H256" i="3"/>
  <c r="A185" i="3"/>
  <c r="G186" i="3"/>
  <c r="G114" i="3"/>
  <c r="H159" i="3"/>
  <c r="H293" i="3"/>
  <c r="H42" i="3"/>
  <c r="G42" i="3"/>
  <c r="A42" i="3"/>
  <c r="A165" i="3"/>
  <c r="H127" i="3"/>
  <c r="A66" i="3"/>
  <c r="G69" i="3"/>
  <c r="G249" i="3"/>
  <c r="A170" i="3"/>
  <c r="A222" i="3"/>
  <c r="H43" i="3"/>
  <c r="H242" i="3"/>
  <c r="A164" i="3"/>
  <c r="A303" i="3"/>
  <c r="A328" i="3"/>
  <c r="G258" i="3"/>
  <c r="A36" i="3"/>
  <c r="A28" i="3"/>
  <c r="A92" i="3"/>
  <c r="G160" i="3"/>
  <c r="H40" i="3"/>
  <c r="A306" i="3"/>
  <c r="H162" i="3"/>
  <c r="H226" i="3"/>
  <c r="H76" i="3"/>
  <c r="G298" i="3"/>
  <c r="G179" i="3"/>
  <c r="H296" i="3"/>
  <c r="H19" i="3"/>
  <c r="A143" i="3"/>
  <c r="A269" i="3"/>
  <c r="H141" i="3"/>
  <c r="H79" i="3"/>
  <c r="G129" i="3"/>
  <c r="G305" i="3"/>
  <c r="A173" i="3"/>
  <c r="H175" i="3"/>
  <c r="G111" i="3"/>
  <c r="A155" i="3"/>
  <c r="H245" i="3"/>
  <c r="G24" i="3"/>
  <c r="A26" i="3"/>
  <c r="G45" i="3"/>
  <c r="G126" i="3"/>
  <c r="G226" i="3"/>
  <c r="A232" i="3"/>
  <c r="H105" i="3"/>
  <c r="A132" i="3"/>
  <c r="G135" i="3"/>
  <c r="G169" i="3"/>
  <c r="G37" i="3"/>
  <c r="G268" i="3"/>
  <c r="H217" i="3"/>
  <c r="H66" i="3"/>
  <c r="A193" i="3"/>
  <c r="G322" i="3"/>
  <c r="G100" i="3"/>
  <c r="G30" i="3"/>
  <c r="G28" i="3"/>
  <c r="A91" i="3"/>
  <c r="H153" i="3"/>
  <c r="A51" i="3"/>
  <c r="H51" i="3"/>
  <c r="G51" i="3"/>
  <c r="H299" i="3"/>
  <c r="G172" i="3"/>
  <c r="G121" i="3"/>
  <c r="G233" i="3"/>
  <c r="H27" i="3"/>
  <c r="A11" i="3"/>
  <c r="A272" i="3"/>
  <c r="G319" i="3"/>
  <c r="A142" i="3"/>
  <c r="G205" i="3"/>
  <c r="A6" i="3"/>
  <c r="H68" i="3"/>
  <c r="G65" i="3"/>
  <c r="H325" i="3"/>
  <c r="A151" i="3"/>
  <c r="A320" i="3"/>
  <c r="G87" i="3"/>
  <c r="A87" i="3"/>
  <c r="H87" i="3"/>
  <c r="A187" i="3"/>
  <c r="H59" i="3"/>
  <c r="H72" i="3"/>
  <c r="G185" i="3"/>
  <c r="A172" i="3"/>
  <c r="H272" i="3"/>
  <c r="H50" i="3"/>
  <c r="G159" i="3"/>
  <c r="H319" i="3"/>
  <c r="A219" i="3"/>
  <c r="G6" i="3"/>
  <c r="H191" i="3"/>
  <c r="G31" i="3"/>
  <c r="H38" i="3"/>
  <c r="H261" i="3"/>
  <c r="A4" i="3"/>
  <c r="G273" i="3"/>
  <c r="A291" i="3"/>
  <c r="H140" i="3"/>
  <c r="A27" i="3"/>
  <c r="H84" i="3"/>
  <c r="A75" i="3"/>
  <c r="A162" i="3"/>
  <c r="H298" i="3"/>
  <c r="G77" i="3"/>
  <c r="G152" i="3"/>
  <c r="G84" i="3"/>
  <c r="G244" i="3"/>
  <c r="H135" i="3"/>
  <c r="H201" i="3"/>
  <c r="G201" i="3"/>
  <c r="A201" i="3"/>
  <c r="H165" i="3"/>
  <c r="G193" i="3"/>
  <c r="G91" i="3"/>
  <c r="A161" i="3"/>
  <c r="H31" i="3"/>
  <c r="A255" i="3"/>
  <c r="G192" i="3"/>
  <c r="H307" i="3"/>
  <c r="A177" i="3"/>
  <c r="A188" i="3"/>
  <c r="G313" i="3"/>
  <c r="H304" i="3"/>
  <c r="G93" i="3"/>
  <c r="G85" i="3"/>
  <c r="H143" i="3"/>
  <c r="A79" i="3"/>
  <c r="G155" i="3"/>
  <c r="G86" i="3"/>
  <c r="A135" i="3"/>
  <c r="A136" i="3"/>
  <c r="G9" i="3"/>
  <c r="H91" i="3"/>
  <c r="G34" i="3"/>
  <c r="A158" i="3"/>
  <c r="G101" i="3"/>
  <c r="A247" i="3"/>
  <c r="G161" i="3"/>
  <c r="G287" i="3"/>
  <c r="H328" i="3"/>
  <c r="H190" i="3"/>
  <c r="H48" i="3"/>
  <c r="A221" i="3"/>
  <c r="A17" i="3"/>
  <c r="A215" i="3"/>
  <c r="H225" i="3"/>
  <c r="A192" i="3"/>
  <c r="G321" i="3"/>
  <c r="A200" i="3"/>
  <c r="G263" i="3"/>
  <c r="G224" i="3"/>
  <c r="A24" i="3"/>
  <c r="H291" i="3"/>
  <c r="A37" i="3"/>
  <c r="H202" i="3"/>
  <c r="A209" i="3"/>
  <c r="A85" i="3"/>
  <c r="G18" i="3"/>
  <c r="G195" i="3"/>
  <c r="H197" i="3"/>
  <c r="G22" i="3"/>
  <c r="H308" i="3"/>
  <c r="G188" i="3"/>
  <c r="G113" i="3"/>
  <c r="G102" i="3"/>
  <c r="A313" i="3"/>
  <c r="A304" i="3"/>
  <c r="H220" i="3"/>
  <c r="G210" i="3"/>
  <c r="A115" i="3"/>
  <c r="H93" i="3"/>
  <c r="H150" i="3"/>
  <c r="A295" i="3"/>
  <c r="G63" i="3"/>
  <c r="G264" i="3"/>
  <c r="H97" i="3"/>
  <c r="A305" i="3"/>
  <c r="A180" i="3"/>
  <c r="G180" i="3"/>
  <c r="H305" i="3"/>
  <c r="G81" i="3"/>
  <c r="A3" i="3"/>
  <c r="A52" i="3"/>
  <c r="G108" i="3"/>
  <c r="H133" i="3"/>
  <c r="A262" i="3"/>
  <c r="H86" i="3"/>
  <c r="G57" i="3"/>
  <c r="H282" i="3"/>
  <c r="A244" i="3"/>
  <c r="H69" i="3"/>
  <c r="H36" i="3"/>
  <c r="G122" i="3"/>
  <c r="H315" i="3"/>
  <c r="H147" i="3"/>
  <c r="A266" i="3"/>
  <c r="G136" i="3"/>
  <c r="A9" i="3"/>
  <c r="A184" i="3"/>
  <c r="H297" i="3"/>
  <c r="H118" i="3"/>
  <c r="G189" i="3"/>
  <c r="G43" i="3"/>
  <c r="A34" i="3"/>
  <c r="H158" i="3"/>
  <c r="G116" i="3"/>
  <c r="H101" i="3"/>
  <c r="G247" i="3"/>
  <c r="H161" i="3"/>
  <c r="H92" i="3"/>
  <c r="G127" i="3"/>
  <c r="G314" i="3"/>
  <c r="G190" i="3"/>
  <c r="G47" i="3"/>
  <c r="G74" i="3"/>
  <c r="H17" i="3"/>
  <c r="G88" i="3"/>
  <c r="A267" i="3"/>
  <c r="A225" i="3"/>
  <c r="H192" i="3"/>
  <c r="H321" i="3"/>
  <c r="H229" i="3"/>
  <c r="H263" i="3"/>
  <c r="G301" i="3"/>
  <c r="H163" i="3"/>
  <c r="A271" i="3"/>
  <c r="G59" i="3"/>
  <c r="G234" i="3"/>
  <c r="H160" i="3"/>
  <c r="H18" i="3"/>
  <c r="A197" i="3"/>
  <c r="H22" i="3"/>
  <c r="A131" i="3"/>
  <c r="H188" i="3"/>
  <c r="G235" i="3"/>
  <c r="A113" i="3"/>
  <c r="A97" i="3"/>
  <c r="G256" i="3"/>
  <c r="H102" i="3"/>
  <c r="A121" i="3"/>
  <c r="A285" i="3"/>
  <c r="A220" i="3"/>
  <c r="A210" i="3"/>
  <c r="G115" i="3"/>
  <c r="A93" i="3"/>
  <c r="G236" i="3"/>
  <c r="G27" i="3"/>
  <c r="G295" i="3"/>
  <c r="H214" i="3"/>
  <c r="A163" i="3"/>
  <c r="H264" i="3"/>
  <c r="G203" i="3"/>
  <c r="G149" i="3"/>
  <c r="H112" i="3"/>
  <c r="A106" i="3"/>
  <c r="H96" i="3"/>
  <c r="H155" i="3"/>
  <c r="A81" i="3"/>
  <c r="A152" i="3"/>
  <c r="H108" i="3"/>
  <c r="A234" i="3"/>
  <c r="G131" i="3"/>
  <c r="A217" i="3"/>
  <c r="H320" i="3"/>
  <c r="G208" i="3"/>
  <c r="H57" i="3"/>
  <c r="G255" i="3"/>
  <c r="H21" i="3"/>
  <c r="G181" i="3"/>
  <c r="H156" i="3"/>
  <c r="H32" i="3"/>
  <c r="H223" i="3"/>
  <c r="G239" i="3"/>
  <c r="G266" i="3"/>
  <c r="H136" i="3"/>
  <c r="H9" i="3"/>
  <c r="A202" i="3"/>
  <c r="A130" i="3"/>
  <c r="A118" i="3"/>
  <c r="H189" i="3"/>
  <c r="H249" i="3"/>
  <c r="A61" i="3"/>
  <c r="H53" i="3"/>
  <c r="A256" i="3"/>
  <c r="A20" i="3"/>
  <c r="A59" i="3"/>
  <c r="H278" i="3"/>
  <c r="A309" i="3"/>
  <c r="H234" i="3"/>
  <c r="A293" i="3"/>
  <c r="A296" i="3"/>
  <c r="G221" i="3"/>
  <c r="A156" i="3"/>
  <c r="H177" i="3"/>
  <c r="G96" i="3"/>
  <c r="H126" i="3"/>
  <c r="G164" i="3"/>
  <c r="A48" i="3"/>
  <c r="H200" i="3"/>
  <c r="G272" i="3"/>
  <c r="G144" i="3"/>
  <c r="A298" i="3"/>
  <c r="H219" i="3"/>
  <c r="G133" i="3"/>
  <c r="H244" i="3"/>
  <c r="G297" i="3"/>
  <c r="H116" i="3"/>
  <c r="G261" i="3"/>
  <c r="G227" i="3"/>
  <c r="A312" i="3"/>
  <c r="A157" i="3"/>
  <c r="A120" i="3"/>
  <c r="G285" i="3"/>
  <c r="A124" i="3"/>
  <c r="H236" i="3"/>
  <c r="H295" i="3"/>
  <c r="H13" i="3"/>
  <c r="G38" i="3"/>
  <c r="A207" i="3"/>
  <c r="H203" i="3"/>
  <c r="G112" i="3"/>
  <c r="G219" i="3"/>
  <c r="A205" i="3"/>
  <c r="H142" i="3"/>
  <c r="H174" i="3"/>
  <c r="H3" i="3"/>
  <c r="A108" i="3"/>
  <c r="A64" i="3"/>
  <c r="A292" i="3"/>
  <c r="A98" i="3"/>
  <c r="A276" i="3"/>
  <c r="H322" i="3"/>
  <c r="A21" i="3"/>
  <c r="H181" i="3"/>
  <c r="A147" i="3"/>
  <c r="A223" i="3"/>
  <c r="H239" i="3"/>
  <c r="H266" i="3"/>
  <c r="A72" i="3"/>
  <c r="A242" i="3"/>
  <c r="G130" i="3"/>
  <c r="H122" i="3"/>
  <c r="G170" i="3"/>
  <c r="A322" i="3"/>
  <c r="G61" i="3"/>
  <c r="H302" i="3"/>
  <c r="G176" i="3"/>
  <c r="H243" i="3"/>
  <c r="A39" i="3"/>
  <c r="H74" i="3"/>
  <c r="H230" i="3"/>
  <c r="A224" i="3"/>
  <c r="H212" i="3"/>
  <c r="A299" i="3"/>
  <c r="H139" i="3"/>
  <c r="G214" i="3"/>
  <c r="G328" i="3"/>
  <c r="A90" i="3"/>
  <c r="H183" i="3"/>
  <c r="H313" i="3"/>
  <c r="A150" i="3"/>
  <c r="A199" i="3"/>
  <c r="H199" i="3"/>
  <c r="G199" i="3"/>
  <c r="A133" i="3"/>
  <c r="A297" i="3"/>
  <c r="G158" i="3"/>
  <c r="G13" i="3"/>
  <c r="A321" i="3"/>
  <c r="A18" i="3"/>
  <c r="A308" i="3"/>
  <c r="H182" i="3"/>
  <c r="G106" i="3"/>
  <c r="A46" i="3"/>
  <c r="G282" i="3"/>
  <c r="G118" i="3"/>
  <c r="A101" i="3"/>
  <c r="A190" i="3"/>
  <c r="G225" i="3"/>
  <c r="G279" i="3"/>
  <c r="A63" i="3"/>
  <c r="A275" i="3"/>
  <c r="G259" i="3"/>
  <c r="A211" i="3"/>
  <c r="H11" i="3"/>
  <c r="A88" i="3"/>
  <c r="H267" i="3"/>
  <c r="H168" i="3"/>
  <c r="H55" i="3"/>
  <c r="G14" i="3"/>
  <c r="A301" i="3"/>
  <c r="G248" i="3"/>
  <c r="H271" i="3"/>
  <c r="H227" i="3"/>
  <c r="G35" i="3"/>
  <c r="H146" i="3"/>
  <c r="G12" i="3"/>
  <c r="G58" i="3"/>
  <c r="G312" i="3"/>
  <c r="A8" i="3"/>
  <c r="H280" i="3"/>
  <c r="G157" i="3"/>
  <c r="G288" i="3"/>
  <c r="A235" i="3"/>
  <c r="G145" i="3"/>
  <c r="G120" i="3"/>
  <c r="G275" i="3"/>
  <c r="H285" i="3"/>
  <c r="G254" i="3"/>
  <c r="A226" i="3"/>
  <c r="G124" i="3"/>
  <c r="H89" i="3"/>
  <c r="A236" i="3"/>
  <c r="G274" i="3"/>
  <c r="H306" i="3"/>
  <c r="G29" i="3"/>
  <c r="G207" i="3"/>
  <c r="A203" i="3"/>
  <c r="G79" i="3"/>
  <c r="H205" i="3"/>
  <c r="A129" i="3"/>
  <c r="G15" i="3"/>
  <c r="H7" i="3"/>
  <c r="A166" i="3"/>
  <c r="G196" i="3"/>
  <c r="G64" i="3"/>
  <c r="G167" i="3"/>
  <c r="G292" i="3"/>
  <c r="A107" i="3"/>
  <c r="G276" i="3"/>
  <c r="G218" i="3"/>
  <c r="G21" i="3"/>
  <c r="A181" i="3"/>
  <c r="G223" i="3"/>
  <c r="A239" i="3"/>
  <c r="H164" i="3"/>
  <c r="G33" i="3"/>
  <c r="H130" i="3"/>
  <c r="G32" i="3"/>
  <c r="G217" i="3"/>
  <c r="G311" i="3"/>
  <c r="H61" i="3"/>
  <c r="A237" i="3"/>
  <c r="H138" i="3"/>
  <c r="H52" i="3"/>
  <c r="A160" i="3"/>
  <c r="A144" i="3"/>
  <c r="G177" i="3"/>
  <c r="A179" i="3"/>
  <c r="H45" i="3"/>
  <c r="A104" i="3"/>
  <c r="H49" i="3"/>
  <c r="A80" i="3"/>
  <c r="H318" i="3"/>
  <c r="A76" i="3"/>
  <c r="A280" i="3"/>
  <c r="A175" i="3"/>
  <c r="H30" i="3"/>
  <c r="G156" i="3"/>
  <c r="H287" i="3"/>
  <c r="H215" i="3"/>
  <c r="H144" i="3"/>
  <c r="G197" i="3"/>
  <c r="A102" i="3"/>
  <c r="H115" i="3"/>
  <c r="G150" i="3"/>
  <c r="A264" i="3"/>
  <c r="G166" i="3"/>
  <c r="H132" i="3"/>
  <c r="A189" i="3"/>
  <c r="G125" i="3"/>
  <c r="G17" i="3"/>
  <c r="G209" i="3"/>
  <c r="G271" i="3"/>
  <c r="A58" i="3"/>
  <c r="H210" i="3"/>
  <c r="A116" i="3"/>
  <c r="H125" i="3"/>
  <c r="H47" i="3"/>
  <c r="H16" i="3"/>
  <c r="A125" i="3"/>
  <c r="G250" i="3"/>
  <c r="A23" i="3"/>
  <c r="A14" i="3"/>
  <c r="H248" i="3"/>
  <c r="H312" i="3"/>
  <c r="A89" i="3"/>
  <c r="A29" i="3"/>
  <c r="A174" i="3"/>
  <c r="H292" i="3"/>
  <c r="G325" i="3"/>
  <c r="G151" i="3"/>
  <c r="A69" i="3"/>
  <c r="A257" i="3"/>
  <c r="H257" i="3"/>
  <c r="G257" i="3"/>
  <c r="A33" i="3"/>
  <c r="A278" i="3"/>
  <c r="G147" i="3"/>
  <c r="H311" i="3"/>
  <c r="H279" i="3"/>
  <c r="A324" i="3"/>
  <c r="A96" i="3"/>
  <c r="H194" i="3"/>
  <c r="A111" i="3"/>
  <c r="G70" i="3"/>
  <c r="G182" i="3"/>
  <c r="G66" i="3"/>
  <c r="A228" i="3"/>
  <c r="H148" i="3"/>
  <c r="A289" i="3"/>
  <c r="H251" i="3"/>
  <c r="A95" i="3"/>
  <c r="G73" i="3"/>
  <c r="A82" i="3"/>
  <c r="G316" i="3"/>
  <c r="A302" i="3"/>
  <c r="G49" i="3"/>
  <c r="A40" i="3"/>
  <c r="H23" i="3"/>
  <c r="G243" i="3"/>
  <c r="G78" i="3"/>
  <c r="A141" i="3"/>
  <c r="G194" i="3"/>
  <c r="H70" i="3"/>
  <c r="H231" i="3"/>
  <c r="A287" i="3"/>
  <c r="G48" i="3"/>
  <c r="G215" i="3"/>
  <c r="G200" i="3"/>
  <c r="G307" i="3"/>
  <c r="G238" i="3"/>
  <c r="H186" i="3"/>
  <c r="A214" i="3"/>
  <c r="G308" i="3"/>
  <c r="A229" i="3"/>
  <c r="G304" i="3"/>
  <c r="H232" i="3"/>
  <c r="G143" i="3"/>
  <c r="A261" i="3"/>
  <c r="H15" i="3"/>
  <c r="H106" i="3"/>
  <c r="G7" i="3"/>
  <c r="A245" i="3"/>
  <c r="H37" i="3"/>
  <c r="A86" i="3"/>
  <c r="A282" i="3"/>
  <c r="G132" i="3"/>
  <c r="A315" i="3"/>
  <c r="H317" i="3"/>
  <c r="A317" i="3"/>
  <c r="G317" i="3"/>
  <c r="G184" i="3"/>
  <c r="A153" i="3"/>
  <c r="A191" i="3"/>
  <c r="H195" i="3"/>
  <c r="H221" i="3"/>
  <c r="G291" i="3"/>
  <c r="A182" i="3"/>
  <c r="H238" i="3"/>
  <c r="H224" i="3"/>
  <c r="A22" i="3"/>
  <c r="G220" i="3"/>
  <c r="H10" i="3"/>
  <c r="H152" i="3"/>
  <c r="A126" i="3"/>
  <c r="A57" i="3"/>
  <c r="G315" i="3"/>
  <c r="H28" i="3"/>
  <c r="H184" i="3"/>
  <c r="H34" i="3"/>
  <c r="A122" i="3"/>
  <c r="H247" i="3"/>
  <c r="H284" i="3"/>
  <c r="G284" i="3"/>
  <c r="A284" i="3"/>
  <c r="A54" i="3"/>
  <c r="H314" i="3"/>
  <c r="A47" i="3"/>
  <c r="A13" i="3"/>
  <c r="H88" i="3"/>
  <c r="G267" i="3"/>
  <c r="G55" i="3"/>
  <c r="A263" i="3"/>
  <c r="H301" i="3"/>
  <c r="A248" i="3"/>
  <c r="G146" i="3"/>
  <c r="A12" i="3"/>
  <c r="A288" i="3"/>
  <c r="H235" i="3"/>
  <c r="H113" i="3"/>
  <c r="A254" i="3"/>
  <c r="H209" i="3"/>
  <c r="A32" i="3"/>
  <c r="A178" i="3"/>
  <c r="G54" i="3"/>
  <c r="A314" i="3"/>
  <c r="H250" i="3"/>
  <c r="G252" i="3"/>
  <c r="G109" i="3"/>
  <c r="G178" i="3"/>
  <c r="A249" i="3"/>
  <c r="H54" i="3"/>
  <c r="A71" i="3"/>
  <c r="H259" i="3"/>
  <c r="A114" i="3"/>
  <c r="G211" i="3"/>
  <c r="G99" i="3"/>
  <c r="H240" i="3"/>
  <c r="G232" i="3"/>
  <c r="A55" i="3"/>
  <c r="H324" i="3"/>
  <c r="G154" i="3"/>
  <c r="G326" i="3"/>
  <c r="A227" i="3"/>
  <c r="A35" i="3"/>
  <c r="A146" i="3"/>
  <c r="H12" i="3"/>
  <c r="H58" i="3"/>
  <c r="G8" i="3"/>
  <c r="G237" i="3"/>
  <c r="A94" i="3"/>
  <c r="H157" i="3"/>
  <c r="H206" i="3"/>
  <c r="H288" i="3"/>
  <c r="H233" i="3"/>
  <c r="H145" i="3"/>
  <c r="H120" i="3"/>
  <c r="A53" i="3"/>
  <c r="H275" i="3"/>
  <c r="H254" i="3"/>
  <c r="H208" i="3"/>
  <c r="G310" i="3"/>
  <c r="A310" i="3"/>
  <c r="H310" i="3"/>
  <c r="H124" i="3"/>
  <c r="H75" i="3"/>
  <c r="H94" i="3"/>
  <c r="H274" i="3"/>
  <c r="H24" i="3"/>
  <c r="H207" i="3"/>
  <c r="A279" i="3"/>
  <c r="A112" i="3"/>
  <c r="H129" i="3"/>
  <c r="A77" i="3"/>
  <c r="A149" i="3"/>
  <c r="A7" i="3"/>
  <c r="H196" i="3"/>
  <c r="H64" i="3"/>
  <c r="H167" i="3"/>
  <c r="G107" i="3"/>
  <c r="H276" i="3"/>
  <c r="H218" i="3"/>
  <c r="H213" i="3"/>
  <c r="G320" i="3"/>
  <c r="A169" i="3"/>
  <c r="G148" i="3"/>
  <c r="G16" i="3"/>
  <c r="H109" i="3"/>
  <c r="H178" i="3"/>
  <c r="G187" i="3"/>
  <c r="G36" i="3"/>
  <c r="G95" i="3"/>
  <c r="G71" i="3"/>
  <c r="A259" i="3"/>
  <c r="H80" i="3"/>
  <c r="A250" i="3"/>
  <c r="H211" i="3"/>
  <c r="H99" i="3"/>
  <c r="G240" i="3"/>
  <c r="A74" i="3"/>
  <c r="A56" i="3"/>
  <c r="H14" i="3"/>
  <c r="G324" i="3"/>
  <c r="A154" i="3"/>
  <c r="H326" i="3"/>
  <c r="A168" i="3"/>
  <c r="H35" i="3"/>
  <c r="G213" i="3"/>
  <c r="G229" i="3"/>
  <c r="G75" i="3"/>
  <c r="H8" i="3"/>
  <c r="H237" i="3"/>
  <c r="A159" i="3"/>
  <c r="A206" i="3"/>
  <c r="H255" i="3"/>
  <c r="A233" i="3"/>
  <c r="A145" i="3"/>
  <c r="G53" i="3"/>
  <c r="H286" i="3"/>
  <c r="G286" i="3"/>
  <c r="A286" i="3"/>
  <c r="G138" i="3"/>
  <c r="H46" i="3"/>
  <c r="A50" i="3"/>
  <c r="H39" i="3"/>
  <c r="A243" i="3"/>
  <c r="G89" i="3"/>
  <c r="H44" i="3"/>
  <c r="G44" i="3"/>
  <c r="A44" i="3"/>
  <c r="A274" i="3"/>
  <c r="G80" i="3"/>
  <c r="H29" i="3"/>
  <c r="A103" i="3"/>
  <c r="G103" i="3"/>
  <c r="H103" i="3"/>
  <c r="A15" i="3"/>
  <c r="G173" i="3"/>
  <c r="H77" i="3"/>
  <c r="G142" i="3"/>
  <c r="H173" i="3"/>
  <c r="H111" i="3"/>
  <c r="G3" i="3"/>
  <c r="A196" i="3"/>
  <c r="G163" i="3"/>
  <c r="A167" i="3"/>
  <c r="G72" i="3"/>
  <c r="H107" i="3"/>
  <c r="G68" i="3"/>
  <c r="A218" i="3"/>
  <c r="A65" i="3"/>
  <c r="G98" i="3"/>
  <c r="A325" i="3"/>
  <c r="H252" i="3"/>
  <c r="A148" i="3"/>
  <c r="H151" i="3"/>
  <c r="H170" i="3"/>
  <c r="G262" i="3"/>
  <c r="H33" i="3"/>
  <c r="G278" i="3"/>
  <c r="G323" i="3"/>
  <c r="A311" i="3"/>
  <c r="G11" i="3"/>
  <c r="G15" i="4" l="1"/>
  <c r="U15" i="4"/>
  <c r="N15" i="4"/>
  <c r="G196" i="15"/>
  <c r="G184" i="15"/>
  <c r="G172" i="15"/>
  <c r="G160" i="15"/>
  <c r="G148" i="15"/>
  <c r="G136" i="15"/>
  <c r="G124" i="15"/>
  <c r="G112" i="15"/>
  <c r="G100" i="15"/>
  <c r="G88" i="15"/>
  <c r="G76" i="15"/>
  <c r="G64" i="15"/>
  <c r="G52" i="15"/>
  <c r="G40" i="15"/>
  <c r="G35" i="15"/>
  <c r="G192" i="15"/>
  <c r="G189" i="15"/>
  <c r="G176" i="15"/>
  <c r="G163" i="15"/>
  <c r="G150" i="15"/>
  <c r="G137" i="15"/>
  <c r="G123" i="15"/>
  <c r="G110" i="15"/>
  <c r="G97" i="15"/>
  <c r="G84" i="15"/>
  <c r="G71" i="15"/>
  <c r="G58" i="15"/>
  <c r="G187" i="15"/>
  <c r="G173" i="15"/>
  <c r="G158" i="15"/>
  <c r="G144" i="15"/>
  <c r="G130" i="15"/>
  <c r="G116" i="15"/>
  <c r="G102" i="15"/>
  <c r="G87" i="15"/>
  <c r="G73" i="15"/>
  <c r="G59" i="15"/>
  <c r="G45" i="15"/>
  <c r="G32" i="15"/>
  <c r="G28" i="15"/>
  <c r="G186" i="15"/>
  <c r="G171" i="15"/>
  <c r="G157" i="15"/>
  <c r="G143" i="15"/>
  <c r="G129" i="15"/>
  <c r="G115" i="15"/>
  <c r="G101" i="15"/>
  <c r="G86" i="15"/>
  <c r="G72" i="15"/>
  <c r="G57" i="15"/>
  <c r="G44" i="15"/>
  <c r="G185" i="15"/>
  <c r="G170" i="15"/>
  <c r="G156" i="15"/>
  <c r="G142" i="15"/>
  <c r="G128" i="15"/>
  <c r="G114" i="15"/>
  <c r="G99" i="15"/>
  <c r="G85" i="15"/>
  <c r="G70" i="15"/>
  <c r="G56" i="15"/>
  <c r="G43" i="15"/>
  <c r="G183" i="15"/>
  <c r="G169" i="15"/>
  <c r="G155" i="15"/>
  <c r="G141" i="15"/>
  <c r="G127" i="15"/>
  <c r="G113" i="15"/>
  <c r="G98" i="15"/>
  <c r="G83" i="15"/>
  <c r="G69" i="15"/>
  <c r="G55" i="15"/>
  <c r="G42" i="15"/>
  <c r="G31" i="15"/>
  <c r="G27" i="15"/>
  <c r="G23" i="15"/>
  <c r="G11" i="15"/>
  <c r="G193" i="15"/>
  <c r="G178" i="15"/>
  <c r="G164" i="15"/>
  <c r="G149" i="15"/>
  <c r="G134" i="15"/>
  <c r="G120" i="15"/>
  <c r="G106" i="15"/>
  <c r="G92" i="15"/>
  <c r="G78" i="15"/>
  <c r="G63" i="15"/>
  <c r="G49" i="15"/>
  <c r="G36" i="15"/>
  <c r="G182" i="15"/>
  <c r="G161" i="15"/>
  <c r="G135" i="15"/>
  <c r="G109" i="15"/>
  <c r="G89" i="15"/>
  <c r="G62" i="15"/>
  <c r="G38" i="15"/>
  <c r="G10" i="15"/>
  <c r="G4" i="15"/>
  <c r="G181" i="15"/>
  <c r="G159" i="15"/>
  <c r="G133" i="15"/>
  <c r="G108" i="15"/>
  <c r="G82" i="15"/>
  <c r="G61" i="15"/>
  <c r="G37" i="15"/>
  <c r="G33" i="15"/>
  <c r="G22" i="15"/>
  <c r="G9" i="15"/>
  <c r="G180" i="15"/>
  <c r="G154" i="15"/>
  <c r="G132" i="15"/>
  <c r="G107" i="15"/>
  <c r="G81" i="15"/>
  <c r="G60" i="15"/>
  <c r="G179" i="15"/>
  <c r="G153" i="15"/>
  <c r="G131" i="15"/>
  <c r="G105" i="15"/>
  <c r="G80" i="15"/>
  <c r="G54" i="15"/>
  <c r="G20" i="15"/>
  <c r="G7" i="15"/>
  <c r="G194" i="15"/>
  <c r="G167" i="15"/>
  <c r="G145" i="15"/>
  <c r="G119" i="15"/>
  <c r="G94" i="15"/>
  <c r="G68" i="15"/>
  <c r="G47" i="15"/>
  <c r="G165" i="15"/>
  <c r="G121" i="15"/>
  <c r="G77" i="15"/>
  <c r="G39" i="15"/>
  <c r="G30" i="15"/>
  <c r="G162" i="15"/>
  <c r="G118" i="15"/>
  <c r="G75" i="15"/>
  <c r="G21" i="15"/>
  <c r="G152" i="15"/>
  <c r="G117" i="15"/>
  <c r="R3" i="15" s="1"/>
  <c r="G74" i="15"/>
  <c r="G29" i="15"/>
  <c r="G19" i="15"/>
  <c r="G3" i="15"/>
  <c r="G195" i="15"/>
  <c r="G151" i="15"/>
  <c r="G111" i="15"/>
  <c r="G67" i="15"/>
  <c r="G18" i="15"/>
  <c r="G175" i="15"/>
  <c r="G138" i="15"/>
  <c r="G93" i="15"/>
  <c r="G50" i="15"/>
  <c r="G139" i="15"/>
  <c r="G65" i="15"/>
  <c r="G126" i="15"/>
  <c r="G53" i="15"/>
  <c r="G34" i="15"/>
  <c r="G17" i="15"/>
  <c r="G191" i="15"/>
  <c r="G125" i="15"/>
  <c r="G51" i="15"/>
  <c r="G16" i="15"/>
  <c r="G166" i="15"/>
  <c r="G91" i="15"/>
  <c r="G103" i="15"/>
  <c r="G15" i="15"/>
  <c r="G96" i="15"/>
  <c r="G14" i="15"/>
  <c r="G190" i="15"/>
  <c r="G95" i="15"/>
  <c r="G13" i="15"/>
  <c r="G188" i="15"/>
  <c r="G90" i="15"/>
  <c r="G12" i="15"/>
  <c r="G146" i="15"/>
  <c r="G41" i="15"/>
  <c r="G25" i="15"/>
  <c r="G140" i="15"/>
  <c r="G122" i="15"/>
  <c r="G104" i="15"/>
  <c r="G26" i="15"/>
  <c r="G79" i="15"/>
  <c r="G177" i="15"/>
  <c r="G174" i="15"/>
  <c r="G6" i="15"/>
  <c r="G168" i="15"/>
  <c r="G147" i="15"/>
  <c r="G5" i="15"/>
  <c r="G66" i="15"/>
  <c r="G24" i="15"/>
  <c r="G8" i="15"/>
  <c r="G46" i="15"/>
  <c r="G48" i="15"/>
  <c r="AB31" i="15" l="1"/>
  <c r="AA31" i="15"/>
  <c r="AA33" i="15"/>
  <c r="AB33" i="15"/>
  <c r="AB27" i="15"/>
  <c r="AA23" i="15"/>
  <c r="R4" i="15" s="1"/>
  <c r="AA27" i="15"/>
  <c r="AB35" i="15"/>
  <c r="AB32" i="15"/>
  <c r="AB26" i="15"/>
  <c r="AA32" i="15"/>
  <c r="AA26" i="15"/>
  <c r="AA29" i="15"/>
  <c r="AB29" i="15"/>
  <c r="AB28" i="15"/>
  <c r="AA34" i="15"/>
  <c r="AB34" i="15"/>
  <c r="AB23" i="15"/>
  <c r="AB30" i="15"/>
  <c r="AA30" i="15"/>
  <c r="AA28" i="15"/>
  <c r="AB25" i="15"/>
  <c r="AA25" i="15"/>
  <c r="AB24" i="15"/>
  <c r="AA24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<sst xmlns="http://schemas.openxmlformats.org/spreadsheetml/2006/main" count="3741" uniqueCount="646">
  <si>
    <t>Parameter</t>
  </si>
  <si>
    <t>Definition</t>
  </si>
  <si>
    <t>RB Grade</t>
  </si>
  <si>
    <t>A weighted combination of DOM++,Breakout Age, 40 Time, Body Mass Index, Yards per Carry, Elusiveness Rating, Yards After Contact per Attempt, Breakaway Percentage, Draft Capital and "Bama" Rating</t>
  </si>
  <si>
    <t>Breakout</t>
  </si>
  <si>
    <t>The age in which a player was at the beginning of the season that they first surpasses a 20% dominator rating for their respective offense.</t>
  </si>
  <si>
    <t>Dominator Rating</t>
  </si>
  <si>
    <t>The percentage of the total offense a player commanded during a season based on their percentage of yards to the total yards</t>
  </si>
  <si>
    <t>YPC</t>
  </si>
  <si>
    <t>Yards Per Carry</t>
  </si>
  <si>
    <t>YCO/A</t>
  </si>
  <si>
    <t>Yards After Contact Per Attempt</t>
  </si>
  <si>
    <t>ELU</t>
  </si>
  <si>
    <t>Elusive Rating - A PFF signature stat measuring success and impact of a runner with the ball independently of the blocking</t>
  </si>
  <si>
    <t>Break %</t>
  </si>
  <si>
    <t>Breakaway Percentage - Percentage of yards coming on runs of 15 or more yards</t>
  </si>
  <si>
    <t>BAMA</t>
  </si>
  <si>
    <t>Better Athletes, More Average - A subjective adjustment balancing mechanism for equalizing players who, in college, were a part of a "crowded position room" that may have impacted their production numbers. Ex. Alabama from 2020-2022 - WR Room for 3 seasons consisted of a combination of Jerry Jeudy, Henry Ruggs, Jaylen Waddle, DeVonta Smith, Jameson Williams and John Metchie. Due to a high number of highly skilled players, and thus more competition for playing time and production, production is typically lower than that of a player who has less or no competition on their respective team.</t>
  </si>
  <si>
    <t>TDOM</t>
  </si>
  <si>
    <t>A dominator rating based metric that takes the average of a player's best season in terms of dominator rating with their final season to create one number</t>
  </si>
  <si>
    <t>DOM+</t>
  </si>
  <si>
    <t>A weighted dominator rating using Conf Rk to balance for higher levels of competition in better conferences</t>
  </si>
  <si>
    <t>Draft Cap</t>
  </si>
  <si>
    <t>Draft capital or in which round a WR was drafted in the NFL draft</t>
  </si>
  <si>
    <t>Conf Rk</t>
  </si>
  <si>
    <t xml:space="preserve">A rank for every conference in college football from power five to D2. Used in tandem with DOM+. </t>
  </si>
  <si>
    <t>DC+</t>
  </si>
  <si>
    <t>A weighting metric used to balance for the importance of in which round a receiver was drafted which should help to balance based on team investment and tangible NFL interest</t>
  </si>
  <si>
    <t>DOB</t>
  </si>
  <si>
    <t>Birthdate of a player</t>
  </si>
  <si>
    <t>Age</t>
  </si>
  <si>
    <t>The current age of a player</t>
  </si>
  <si>
    <t>School Yr</t>
  </si>
  <si>
    <t>School Year of a player at the time of their final season in at the collegiate level</t>
  </si>
  <si>
    <t>Draft Age</t>
  </si>
  <si>
    <t>The age in which a given player was at the date of the first round of their respective NFL Draft</t>
  </si>
  <si>
    <t>DOM1</t>
  </si>
  <si>
    <t>Dominator Rating for the 1st year a player in the draft class was playing in college</t>
  </si>
  <si>
    <t>DOM2</t>
  </si>
  <si>
    <t>Dominator Rating for the 2nd year a player in the draft class was playing in college</t>
  </si>
  <si>
    <t>DOM3</t>
  </si>
  <si>
    <t>Dominator Rating for the 3rd year a player in the draft class was playing in college</t>
  </si>
  <si>
    <t>DOM4</t>
  </si>
  <si>
    <t>Dominator Rating for the 4th year a player in the draft class was playing in college</t>
  </si>
  <si>
    <t>DOM5</t>
  </si>
  <si>
    <t>Dominator Rating for the final year a player in the draft class was playing in college</t>
  </si>
  <si>
    <t>Unweighted</t>
  </si>
  <si>
    <t>The unweighted version of "WR Score"</t>
  </si>
  <si>
    <t>Highlighted 2025 signifies players in the 2025 draft pool. Part of their rating (40 time and Draft Capital) are preliminary thus they are denoted as they are subject to change</t>
  </si>
  <si>
    <t>Build</t>
  </si>
  <si>
    <t>Build is the Physical Build archetype for an RB. It is broken up into six buckets: Bruiser, Bell Cow, Bell Calf, Freak, Jitterbug and Dynamic. The buckets are mostly determined by Height, Weight and 40 Time.
Bruiser - Achieved when an RB weighs 225+ pounds and runs a 4.51 or slower 40 Yard Dash
Bell Cow - Achieved when an RB is taller than 5'10", weighs 200+ pounds and runs a 4.51 or faster 40 Yard Dash
Bell Calf - Achieved when an RB meets the weight and speed requirements for a "Bell Cow" however, they are 5'10" or shorter
Freak - Achieved when an RB weighs 215+ pounds and runs a 4.51 or faster 40 Yard Dash
Jitterbug - Achieved when an RB is either less than 200 pounds and runs a 40 Yard Dash in less than 4.50 seconds OR weighs 200+ pounds and runs a 4.35 or faster 40 Yard Dash
Dynamic - Achieved by any RB who does not fall into the previous five buckets and typically has the size/speed combination to be used in various ways in the NFL</t>
  </si>
  <si>
    <t>Type</t>
  </si>
  <si>
    <t>Type is the Usage Archetype of an RB prospect. It is broken up into five buckets: +Receiver, 3Down, Committee, Plodding and Lead Back
+Receiver - Achieved when an RB has a career yards share of less than 25% and a Reception per Touch of 13.3%" or higher. It can also be achieved by a "Jitterbug" Build who has a Reception per Touch of greater than 11%
3Down - Achieved when an RB has a career yards share of 25% or higher and a Reception per Touch of 8.67%. Cannot be a "Jitterbug" Build
Committee - Achieved when an RB has a career yards share of 22% or less and a Reception per Touch of less than 13.3%. This indicates they need another skilled RB in an offense to fill their usage gaps
Plodding - Achieved when an RB foes not fit any of the 3 previous buckets and has a Breakaway Run Percentage of 46% or less
Lead Back - Achieved when an RB is not a "Committee" Type RB because they have a career yards share of greater than 22%. This indicates that they do not have the receiving upside to be a "3Down" Type, but can still lead a backfield due to rushing production.</t>
  </si>
  <si>
    <t xml:space="preserve">All data was sourced from a combination of ESPN, SportsReference, NFL Combine, Campus to Canton and PFF's databases </t>
  </si>
  <si>
    <t>Name</t>
  </si>
  <si>
    <t>Overall Rk</t>
  </si>
  <si>
    <t>Rank</t>
  </si>
  <si>
    <t>Year</t>
  </si>
  <si>
    <t>Player Name</t>
  </si>
  <si>
    <t>Draft Capital</t>
  </si>
  <si>
    <t>WR Score</t>
  </si>
  <si>
    <t>AVG PPR Pts/G</t>
  </si>
  <si>
    <t>Correlation among Drafted RBs</t>
  </si>
  <si>
    <t>Christian McCaffrey</t>
  </si>
  <si>
    <t>Kareem Hunt</t>
  </si>
  <si>
    <t>Alvin Kamara</t>
  </si>
  <si>
    <t>Dalvin Cook</t>
  </si>
  <si>
    <t>Leonard Fournette</t>
  </si>
  <si>
    <t>Aaron Jones</t>
  </si>
  <si>
    <t>Chris Carson</t>
  </si>
  <si>
    <t>Joe Mixon</t>
  </si>
  <si>
    <t>James Conner</t>
  </si>
  <si>
    <t>Marlon Mack</t>
  </si>
  <si>
    <t>Jamaal Williams</t>
  </si>
  <si>
    <t>Samaje Perine</t>
  </si>
  <si>
    <t>Elijah McGuire</t>
  </si>
  <si>
    <t>D'Onta Foreman</t>
  </si>
  <si>
    <t>Brian Hill</t>
  </si>
  <si>
    <t>Wayne Gallman</t>
  </si>
  <si>
    <t>T.J. Logan</t>
  </si>
  <si>
    <t>Jeremy McNichols</t>
  </si>
  <si>
    <t>Donnel Pumphrey</t>
  </si>
  <si>
    <t>Joe Williams</t>
  </si>
  <si>
    <t>Elijah Hood</t>
  </si>
  <si>
    <t>Khalfani Muhammad</t>
  </si>
  <si>
    <t>Devante Mays</t>
  </si>
  <si>
    <t>Saquon Barkley</t>
  </si>
  <si>
    <t>Nick Chubb</t>
  </si>
  <si>
    <t>Sony Michel</t>
  </si>
  <si>
    <t>Kerryon Johnson</t>
  </si>
  <si>
    <t>Derrius Guice</t>
  </si>
  <si>
    <t>Nyheim Hines</t>
  </si>
  <si>
    <t>Rashaad Penny</t>
  </si>
  <si>
    <t>Bo Scarbrough</t>
  </si>
  <si>
    <t>Royce Freeman</t>
  </si>
  <si>
    <t>Justin Jackson</t>
  </si>
  <si>
    <t>Boston Scott</t>
  </si>
  <si>
    <t>Ito Smith</t>
  </si>
  <si>
    <t>Kalen Ballage</t>
  </si>
  <si>
    <t>Jordan Wilkins</t>
  </si>
  <si>
    <t>Mark Walton</t>
  </si>
  <si>
    <t>John Kelly</t>
  </si>
  <si>
    <t>David Williams</t>
  </si>
  <si>
    <t>Josh Jacobs</t>
  </si>
  <si>
    <t>David Montgomery</t>
  </si>
  <si>
    <t>Damien Harris</t>
  </si>
  <si>
    <t>Miles Sanders</t>
  </si>
  <si>
    <t>Devin Singletary</t>
  </si>
  <si>
    <t>Myles Gaskin</t>
  </si>
  <si>
    <t>Darrell Henderson</t>
  </si>
  <si>
    <t>Tony Pollard</t>
  </si>
  <si>
    <t>Alexander Mattison</t>
  </si>
  <si>
    <t>Ty Johnson</t>
  </si>
  <si>
    <t>Qadree Ollison</t>
  </si>
  <si>
    <t>Travis Homer</t>
  </si>
  <si>
    <t>Benny Snell Jr.</t>
  </si>
  <si>
    <t>Kerrith Whyte Jr.</t>
  </si>
  <si>
    <t>Justice Hill</t>
  </si>
  <si>
    <t>Darwin Thompson</t>
  </si>
  <si>
    <t>Ryquell Armstead</t>
  </si>
  <si>
    <t>Trayveon Williams</t>
  </si>
  <si>
    <t>Dexter Williams</t>
  </si>
  <si>
    <t>Jordan Scarlett</t>
  </si>
  <si>
    <t>Bryce Love</t>
  </si>
  <si>
    <t>Rodney Anderson</t>
  </si>
  <si>
    <t>Mike Weber</t>
  </si>
  <si>
    <t>Jonathan Taylor</t>
  </si>
  <si>
    <t>D'Andre Swift</t>
  </si>
  <si>
    <t>Clyde Edwards-Helaire</t>
  </si>
  <si>
    <t>J.K. Dobbins</t>
  </si>
  <si>
    <t>Cam Akers</t>
  </si>
  <si>
    <t>Zack Moss</t>
  </si>
  <si>
    <t>DeeJay Dallas</t>
  </si>
  <si>
    <t>Ke'Shawn Vaughn</t>
  </si>
  <si>
    <t>Joshua Kelley</t>
  </si>
  <si>
    <t>Darrynton Evans</t>
  </si>
  <si>
    <t>Eno Benjamin</t>
  </si>
  <si>
    <t>Jason Huntley</t>
  </si>
  <si>
    <t>Raymond Calais</t>
  </si>
  <si>
    <t>Najee Harris</t>
  </si>
  <si>
    <t>Elijah Mitchell</t>
  </si>
  <si>
    <t>Javonte Williams</t>
  </si>
  <si>
    <t>Michael Carter</t>
  </si>
  <si>
    <t>Rhamondre Stevenson</t>
  </si>
  <si>
    <t>Chuba Hubbard</t>
  </si>
  <si>
    <t>Jermar Jefferson</t>
  </si>
  <si>
    <t>Trey Sermon</t>
  </si>
  <si>
    <t>Kenneth Gainwell</t>
  </si>
  <si>
    <t>Khalil Herbert</t>
  </si>
  <si>
    <t>Chris Evans</t>
  </si>
  <si>
    <t>Larry Rountree III</t>
  </si>
  <si>
    <t>Kylin Hill</t>
  </si>
  <si>
    <t>Gary Brightwell</t>
  </si>
  <si>
    <t>Jake Funk</t>
  </si>
  <si>
    <t>Kene Nwangwu</t>
  </si>
  <si>
    <t>Gerrid Doaks</t>
  </si>
  <si>
    <t>Prospect Information</t>
  </si>
  <si>
    <t>Production</t>
  </si>
  <si>
    <t>Metrics</t>
  </si>
  <si>
    <t>Model Inputs</t>
  </si>
  <si>
    <t>Season 1</t>
  </si>
  <si>
    <t>Season 2</t>
  </si>
  <si>
    <t>Season 3</t>
  </si>
  <si>
    <t>Season 4</t>
  </si>
  <si>
    <t>Season 5</t>
  </si>
  <si>
    <t>Class Rk</t>
  </si>
  <si>
    <t>Overall</t>
  </si>
  <si>
    <t>Z-Score</t>
  </si>
  <si>
    <t>School</t>
  </si>
  <si>
    <t>Class</t>
  </si>
  <si>
    <t>Height</t>
  </si>
  <si>
    <t>Weight</t>
  </si>
  <si>
    <t>40 Time</t>
  </si>
  <si>
    <t>RDOM1</t>
  </si>
  <si>
    <t>RDOM2</t>
  </si>
  <si>
    <t>ADOM</t>
  </si>
  <si>
    <t>RDOM+</t>
  </si>
  <si>
    <t>BOUT</t>
  </si>
  <si>
    <t>Speed</t>
  </si>
  <si>
    <t>BMI</t>
  </si>
  <si>
    <t>MTF/A</t>
  </si>
  <si>
    <t>YPR</t>
  </si>
  <si>
    <t>RPT</t>
  </si>
  <si>
    <t>DOM++</t>
  </si>
  <si>
    <t>RDOM++</t>
  </si>
  <si>
    <t>BOUT+</t>
  </si>
  <si>
    <t>Speed+</t>
  </si>
  <si>
    <t>YPC+</t>
  </si>
  <si>
    <t>ELU+</t>
  </si>
  <si>
    <t>YCO/A+</t>
  </si>
  <si>
    <t>Rush Yds</t>
  </si>
  <si>
    <t>Team Yds</t>
  </si>
  <si>
    <t>Rush TDs</t>
  </si>
  <si>
    <t>Team TD</t>
  </si>
  <si>
    <t>Att</t>
  </si>
  <si>
    <t>MTF</t>
  </si>
  <si>
    <t>Rec Yds</t>
  </si>
  <si>
    <t>Recs</t>
  </si>
  <si>
    <t>Rec TDs</t>
  </si>
  <si>
    <t>Team TDs</t>
  </si>
  <si>
    <t>Player Search</t>
  </si>
  <si>
    <t>Stat</t>
  </si>
  <si>
    <t>Grade</t>
  </si>
  <si>
    <t>Letter Grade</t>
  </si>
  <si>
    <t>Dominator</t>
  </si>
  <si>
    <t>Receiving Dominator</t>
  </si>
  <si>
    <t>Breakout Age</t>
  </si>
  <si>
    <t>Speed Score</t>
  </si>
  <si>
    <t>Elusiveness</t>
  </si>
  <si>
    <t>Overall Grade</t>
  </si>
  <si>
    <t>Bijan Robinson</t>
  </si>
  <si>
    <t>Unicorn</t>
  </si>
  <si>
    <t>Ashton Jeanty</t>
  </si>
  <si>
    <t>RB Grade &gt; 13.00</t>
  </si>
  <si>
    <t>Blue Chip</t>
  </si>
  <si>
    <t>Omarion Hampton</t>
  </si>
  <si>
    <t>RB Grade &gt; 12.00</t>
  </si>
  <si>
    <t>Travis Etienne</t>
  </si>
  <si>
    <t>Jahmyr Gibbs</t>
  </si>
  <si>
    <t>Future Stud</t>
  </si>
  <si>
    <t>Kaleb Johnson</t>
  </si>
  <si>
    <t>RB Grade &gt; 11.00</t>
  </si>
  <si>
    <t>Breece Hall</t>
  </si>
  <si>
    <t>Jonathon Brooks</t>
  </si>
  <si>
    <t>Kenneth Walker III</t>
  </si>
  <si>
    <t>TreVeyon Henderson</t>
  </si>
  <si>
    <t>Good Starter</t>
  </si>
  <si>
    <t>De'Von Achane</t>
  </si>
  <si>
    <t>RB Grade &gt; 9.00</t>
  </si>
  <si>
    <t>Antonio Gibson</t>
  </si>
  <si>
    <t>Tank Bigsby</t>
  </si>
  <si>
    <t>Zach Charbonnet</t>
  </si>
  <si>
    <t>Trey Benson</t>
  </si>
  <si>
    <t>DJ Giddens</t>
  </si>
  <si>
    <t>A.J. Dillon</t>
  </si>
  <si>
    <t>Quinshon Judkins</t>
  </si>
  <si>
    <t>Cam Skattebo</t>
  </si>
  <si>
    <t>Tyjae Spears</t>
  </si>
  <si>
    <t>Rachaad White</t>
  </si>
  <si>
    <t>MarShawn Lloyd</t>
  </si>
  <si>
    <t>Braelon Allen</t>
  </si>
  <si>
    <t>Bhayshul Tuten</t>
  </si>
  <si>
    <t>A Year or Two of Relevance</t>
  </si>
  <si>
    <t>RB Grade &gt; 8.00</t>
  </si>
  <si>
    <t>Devin Neal</t>
  </si>
  <si>
    <t>Kendre Miller</t>
  </si>
  <si>
    <t>Trevor Etienne</t>
  </si>
  <si>
    <t>Jaylen Wright</t>
  </si>
  <si>
    <t>Isaiah Spiller</t>
  </si>
  <si>
    <t>Audric Estime</t>
  </si>
  <si>
    <t>Bucky Irving</t>
  </si>
  <si>
    <t>James Cook</t>
  </si>
  <si>
    <t>Zach Evans</t>
  </si>
  <si>
    <t>Dylan Sampson</t>
  </si>
  <si>
    <t>Damien Martinez</t>
  </si>
  <si>
    <t>Jordan James</t>
  </si>
  <si>
    <t>RJ Harvey</t>
  </si>
  <si>
    <t>Israel Abanikanda</t>
  </si>
  <si>
    <t>Brian Robinson Jr.</t>
  </si>
  <si>
    <t>Ronald Jones</t>
  </si>
  <si>
    <t>Chase Brown</t>
  </si>
  <si>
    <t>Blake Corum</t>
  </si>
  <si>
    <t>Jarquez Hunter</t>
  </si>
  <si>
    <t>Jaydon Blue</t>
  </si>
  <si>
    <t>Roschon Johnson</t>
  </si>
  <si>
    <t>Evan Hull</t>
  </si>
  <si>
    <t>Anthony McFarland Jr.</t>
  </si>
  <si>
    <t>Ollie Gordon II</t>
  </si>
  <si>
    <t>Ray Davis</t>
  </si>
  <si>
    <t>Raheim Sanders</t>
  </si>
  <si>
    <t>Dameon Pierce</t>
  </si>
  <si>
    <t>Tyrone Tracy</t>
  </si>
  <si>
    <t>Will Shipley</t>
  </si>
  <si>
    <t>Good Luck</t>
  </si>
  <si>
    <t>7.00 &gt; RB Grade &gt; 6.00</t>
  </si>
  <si>
    <t>Sean Tucker</t>
  </si>
  <si>
    <t>Josh Adams</t>
  </si>
  <si>
    <t>LeQuint Allen</t>
  </si>
  <si>
    <t>Kyren Williams</t>
  </si>
  <si>
    <t>Isaac Guerendo</t>
  </si>
  <si>
    <t>Ty Chandler</t>
  </si>
  <si>
    <t>Tyler Badie</t>
  </si>
  <si>
    <t>Deuce Vaughn</t>
  </si>
  <si>
    <t>George Holani</t>
  </si>
  <si>
    <t>Michael Wiley</t>
  </si>
  <si>
    <t>Jaret Patterson</t>
  </si>
  <si>
    <t>Hassan Haskins</t>
  </si>
  <si>
    <t>Tyler Allgeier</t>
  </si>
  <si>
    <t>Zamir White</t>
  </si>
  <si>
    <t>Brashard Smith</t>
  </si>
  <si>
    <t>Eric Gray</t>
  </si>
  <si>
    <t>Kalel Mullings</t>
  </si>
  <si>
    <t>Kenny McIntosh</t>
  </si>
  <si>
    <t>Isaiah Davis</t>
  </si>
  <si>
    <t>Jase McClellan</t>
  </si>
  <si>
    <t>Woody Marks</t>
  </si>
  <si>
    <t>Keilan Robinson</t>
  </si>
  <si>
    <t>1-100</t>
  </si>
  <si>
    <t>Jerome Ford</t>
  </si>
  <si>
    <t>RB Grade &gt; 5.00</t>
  </si>
  <si>
    <t>Tyler Goodson</t>
  </si>
  <si>
    <t>Chris Rodriguez Jr.</t>
  </si>
  <si>
    <t>Tyrion Davis-Price</t>
  </si>
  <si>
    <t>Jerrion Ealy</t>
  </si>
  <si>
    <t>Kyle Monangai</t>
  </si>
  <si>
    <t>Blake Watson</t>
  </si>
  <si>
    <t>Rasheen Ali</t>
  </si>
  <si>
    <t>Carson Steele</t>
  </si>
  <si>
    <t>Emani Bailey</t>
  </si>
  <si>
    <t>Keaontay Ingram</t>
  </si>
  <si>
    <t>La'mical Perine</t>
  </si>
  <si>
    <t>Pierre Strong Jr.</t>
  </si>
  <si>
    <t>Kevin Harris</t>
  </si>
  <si>
    <t>Jaylen Warren</t>
  </si>
  <si>
    <t>Kimani Vidal</t>
  </si>
  <si>
    <t>Keaton Mitchell</t>
  </si>
  <si>
    <t>Frank Gore Jr.</t>
  </si>
  <si>
    <t>Donovan Edwards</t>
  </si>
  <si>
    <t>Trestan Ebner</t>
  </si>
  <si>
    <t>Zonovan Knight</t>
  </si>
  <si>
    <t>DeWayne McBride</t>
  </si>
  <si>
    <t>Jashaun Corbin</t>
  </si>
  <si>
    <t>Tahj Brooks</t>
  </si>
  <si>
    <t>ZaQuandre White</t>
  </si>
  <si>
    <t>Phil Mafah</t>
  </si>
  <si>
    <t>Mohamed Ibrahim</t>
  </si>
  <si>
    <t>Corey Kiner</t>
  </si>
  <si>
    <t>Jaylen Samuels</t>
  </si>
  <si>
    <t>Miyan Williams</t>
  </si>
  <si>
    <t>Demetric Felton</t>
  </si>
  <si>
    <t>Phillip Lindsay</t>
  </si>
  <si>
    <t>Kennedy Brooks</t>
  </si>
  <si>
    <t>Roman Hemby</t>
  </si>
  <si>
    <t>Kendall Milton</t>
  </si>
  <si>
    <t>Gus Edwards</t>
  </si>
  <si>
    <t>Chase Edmonds</t>
  </si>
  <si>
    <t>Deon Jackson</t>
  </si>
  <si>
    <t>Marcus Yarns</t>
  </si>
  <si>
    <t>Xazavian Valladay</t>
  </si>
  <si>
    <t>Brittain Brown</t>
  </si>
  <si>
    <t>J.J. Taylor</t>
  </si>
  <si>
    <t>Corey Clement</t>
  </si>
  <si>
    <t>Daijun Edwards</t>
  </si>
  <si>
    <t>Ja'Quinden Jackson</t>
  </si>
  <si>
    <t>Matt Dayes</t>
  </si>
  <si>
    <t>Isiah Pacheco</t>
  </si>
  <si>
    <t>Rico Dowdle</t>
  </si>
  <si>
    <t>Cody Schrader</t>
  </si>
  <si>
    <t>De'Angelo Henderson</t>
  </si>
  <si>
    <t>Darius Anderson</t>
  </si>
  <si>
    <t>Travis Dye</t>
  </si>
  <si>
    <t>Dillon Johnson</t>
  </si>
  <si>
    <t>Abram Smith</t>
  </si>
  <si>
    <t>Snoop Conner</t>
  </si>
  <si>
    <t>Tiyon Evans</t>
  </si>
  <si>
    <t>Kay'ron Lynch-Adams</t>
  </si>
  <si>
    <t>Tony Jones Jr.</t>
  </si>
  <si>
    <t>Salvon Ahmed</t>
  </si>
  <si>
    <t>Tavion Thomas</t>
  </si>
  <si>
    <t>Darrel Williams</t>
  </si>
  <si>
    <t>Jawhar Jordan</t>
  </si>
  <si>
    <t>Sincere McCormick</t>
  </si>
  <si>
    <t>Camerun Peoples</t>
  </si>
  <si>
    <t>D'Vonte Price</t>
  </si>
  <si>
    <t>SaRodorick Thompson</t>
  </si>
  <si>
    <t>JaMycal Hasty</t>
  </si>
  <si>
    <t>De'Veon Smith</t>
  </si>
  <si>
    <t>Jeff Wilson Jr.</t>
  </si>
  <si>
    <t>Deneric Prince</t>
  </si>
  <si>
    <t>L.J. Scott</t>
  </si>
  <si>
    <t>Caleb Huntley</t>
  </si>
  <si>
    <t>CJ Verdell</t>
  </si>
  <si>
    <t>D'Ernest Johnson</t>
  </si>
  <si>
    <t>2010 Season</t>
  </si>
  <si>
    <t>2011 Season</t>
  </si>
  <si>
    <t>2012 Season</t>
  </si>
  <si>
    <t>2013 Season</t>
  </si>
  <si>
    <t>2014 Season</t>
  </si>
  <si>
    <t>Break%</t>
  </si>
  <si>
    <t>Conferences</t>
  </si>
  <si>
    <t>multiplier</t>
  </si>
  <si>
    <t>Season Starts</t>
  </si>
  <si>
    <t>Draft</t>
  </si>
  <si>
    <t>Todd Gurley</t>
  </si>
  <si>
    <t>Georgia</t>
  </si>
  <si>
    <t>JR</t>
  </si>
  <si>
    <t>SEC</t>
  </si>
  <si>
    <t>Melvin Gordon</t>
  </si>
  <si>
    <t>Wisconsin</t>
  </si>
  <si>
    <t>SR</t>
  </si>
  <si>
    <t>Big 10</t>
  </si>
  <si>
    <t>Tevin Coleman</t>
  </si>
  <si>
    <t>Indiana</t>
  </si>
  <si>
    <t>Big 12</t>
  </si>
  <si>
    <t>Duke Johnson</t>
  </si>
  <si>
    <t>Miami</t>
  </si>
  <si>
    <t>ACC</t>
  </si>
  <si>
    <t>TJ Yeldon</t>
  </si>
  <si>
    <t>Alabama</t>
  </si>
  <si>
    <t>Pac 12</t>
  </si>
  <si>
    <t>David Johnson</t>
  </si>
  <si>
    <t>Northern Iowa</t>
  </si>
  <si>
    <t>AAC</t>
  </si>
  <si>
    <t>Ameer Abdullah</t>
  </si>
  <si>
    <t>Nebraska</t>
  </si>
  <si>
    <t>Mountain West</t>
  </si>
  <si>
    <t>Mike Davis</t>
  </si>
  <si>
    <t>South Carolina</t>
  </si>
  <si>
    <t>Sun Belt</t>
  </si>
  <si>
    <t>Javorius Allen</t>
  </si>
  <si>
    <t>USC</t>
  </si>
  <si>
    <t>MAC</t>
  </si>
  <si>
    <t>Karlos Williams</t>
  </si>
  <si>
    <t>Florida State</t>
  </si>
  <si>
    <t>C-USA</t>
  </si>
  <si>
    <t>Jay Ajayi</t>
  </si>
  <si>
    <t>Boise State</t>
  </si>
  <si>
    <t>the rest</t>
  </si>
  <si>
    <t>Josh Robinson</t>
  </si>
  <si>
    <t>Mississippi State</t>
  </si>
  <si>
    <t>DII</t>
  </si>
  <si>
    <t>David Cobb</t>
  </si>
  <si>
    <t>Minnesota</t>
  </si>
  <si>
    <t>Matt Jones</t>
  </si>
  <si>
    <t>Florida</t>
  </si>
  <si>
    <t>Cameron Artis-Payne</t>
  </si>
  <si>
    <t>Auburn</t>
  </si>
  <si>
    <t>Jeremy Langford</t>
  </si>
  <si>
    <t>Michigan State</t>
  </si>
  <si>
    <t>Akeem Hunt</t>
  </si>
  <si>
    <t>Purdue</t>
  </si>
  <si>
    <t>Terrence MaGee</t>
  </si>
  <si>
    <t>LSU</t>
  </si>
  <si>
    <t>Marcus Murphy</t>
  </si>
  <si>
    <t>Missouri</t>
  </si>
  <si>
    <t>Malcolm Brown</t>
  </si>
  <si>
    <t>Texas</t>
  </si>
  <si>
    <t>Dominique Brown</t>
  </si>
  <si>
    <t>Louisville</t>
  </si>
  <si>
    <t>Michael Dyer</t>
  </si>
  <si>
    <t>Trey Williams</t>
  </si>
  <si>
    <t>Texas A&amp;M</t>
  </si>
  <si>
    <t>Kenny Hilliard</t>
  </si>
  <si>
    <t>2015 Season</t>
  </si>
  <si>
    <t>Ezekiel Elliott</t>
  </si>
  <si>
    <t>Ohio State</t>
  </si>
  <si>
    <t>Derrick Henry</t>
  </si>
  <si>
    <t>Kenyan Drake</t>
  </si>
  <si>
    <t>CJ Prosise</t>
  </si>
  <si>
    <t>Notre Dame</t>
  </si>
  <si>
    <t>Jordan Howard</t>
  </si>
  <si>
    <t>Paul Perkins</t>
  </si>
  <si>
    <t>UCLA</t>
  </si>
  <si>
    <t>Jonathan Williams</t>
  </si>
  <si>
    <t>Arkansas</t>
  </si>
  <si>
    <t>Kenneth Dixon</t>
  </si>
  <si>
    <t>Louisiana Tech</t>
  </si>
  <si>
    <t>Alex Collins</t>
  </si>
  <si>
    <t>Devontae Booker</t>
  </si>
  <si>
    <t>Utah</t>
  </si>
  <si>
    <t>DeAndre Washington</t>
  </si>
  <si>
    <t>Texas Tech</t>
  </si>
  <si>
    <t>Dwayne Washington</t>
  </si>
  <si>
    <t>Washington</t>
  </si>
  <si>
    <t>Wendell Smallwood</t>
  </si>
  <si>
    <t>West Virginia</t>
  </si>
  <si>
    <t>Kelvin Taylor</t>
  </si>
  <si>
    <t>Tyler Ervin</t>
  </si>
  <si>
    <t>San Jose State</t>
  </si>
  <si>
    <t>RS SR</t>
  </si>
  <si>
    <t>Josh Ferguson</t>
  </si>
  <si>
    <t>Illinois</t>
  </si>
  <si>
    <t>DJ Foster</t>
  </si>
  <si>
    <t>Arizona State</t>
  </si>
  <si>
    <t>Peyton Barber</t>
  </si>
  <si>
    <t>Devon Johnson</t>
  </si>
  <si>
    <t>Marshall</t>
  </si>
  <si>
    <t>Brandon Wilds</t>
  </si>
  <si>
    <t>Tra Carson</t>
  </si>
  <si>
    <t>Shadrach Thornton</t>
  </si>
  <si>
    <t>North Carolina State</t>
  </si>
  <si>
    <t>Keith Marshall</t>
  </si>
  <si>
    <t>Daniel Lasco</t>
  </si>
  <si>
    <t>California</t>
  </si>
  <si>
    <t>Jhurell Pressley</t>
  </si>
  <si>
    <t>New Mexico</t>
  </si>
  <si>
    <t>Darius Jackson</t>
  </si>
  <si>
    <t>Eastern Michigan</t>
  </si>
  <si>
    <t>Tre Madden</t>
  </si>
  <si>
    <t>Zac Brooks</t>
  </si>
  <si>
    <t>Clemson</t>
  </si>
  <si>
    <t>2016 Season</t>
  </si>
  <si>
    <t>Stanford</t>
  </si>
  <si>
    <t>Oklahoma</t>
  </si>
  <si>
    <t>RS SO</t>
  </si>
  <si>
    <t>Tennessee</t>
  </si>
  <si>
    <t>Toledo</t>
  </si>
  <si>
    <t>Pitt</t>
  </si>
  <si>
    <t>RS JR</t>
  </si>
  <si>
    <t>UTEP</t>
  </si>
  <si>
    <t>South Florida</t>
  </si>
  <si>
    <t>San Diego State</t>
  </si>
  <si>
    <t>North Carolina</t>
  </si>
  <si>
    <t>ULL</t>
  </si>
  <si>
    <t>Okahoma State</t>
  </si>
  <si>
    <t>BYU</t>
  </si>
  <si>
    <t>Wyoming</t>
  </si>
  <si>
    <t>North Caroina</t>
  </si>
  <si>
    <t>Utah State</t>
  </si>
  <si>
    <t>NC State</t>
  </si>
  <si>
    <t>Coastal Carolina</t>
  </si>
  <si>
    <t>Michigan</t>
  </si>
  <si>
    <t>2017 Season</t>
  </si>
  <si>
    <t>Penn State</t>
  </si>
  <si>
    <t>SR*</t>
  </si>
  <si>
    <t>Oregon</t>
  </si>
  <si>
    <t>Southern Miss</t>
  </si>
  <si>
    <t>Northwestern</t>
  </si>
  <si>
    <t>Ole Miss</t>
  </si>
  <si>
    <t>Colorado</t>
  </si>
  <si>
    <t>LA Tech</t>
  </si>
  <si>
    <t>Rutgers</t>
  </si>
  <si>
    <t>Fordham</t>
  </si>
  <si>
    <t>North Texas</t>
  </si>
  <si>
    <t>2018 Season</t>
  </si>
  <si>
    <t>Penn St</t>
  </si>
  <si>
    <t>Memphis</t>
  </si>
  <si>
    <t>Iowa State</t>
  </si>
  <si>
    <t>FAU</t>
  </si>
  <si>
    <t>Kentucky</t>
  </si>
  <si>
    <t>Maryland</t>
  </si>
  <si>
    <t>Oklahoma State</t>
  </si>
  <si>
    <t>Temple</t>
  </si>
  <si>
    <t>2019 Season</t>
  </si>
  <si>
    <t>Vanderbilt</t>
  </si>
  <si>
    <t>Boston College</t>
  </si>
  <si>
    <t>New Mexico State</t>
  </si>
  <si>
    <t>App State</t>
  </si>
  <si>
    <t>Arizona</t>
  </si>
  <si>
    <t>TCU</t>
  </si>
  <si>
    <t>Baylor</t>
  </si>
  <si>
    <t>2020 Season</t>
  </si>
  <si>
    <t>Virginia Tech</t>
  </si>
  <si>
    <t>Oregon State</t>
  </si>
  <si>
    <t>Buffalo</t>
  </si>
  <si>
    <t>Duke</t>
  </si>
  <si>
    <t>Cincinnati</t>
  </si>
  <si>
    <t>Ball State</t>
  </si>
  <si>
    <t>2021 Season</t>
  </si>
  <si>
    <t>Iowa</t>
  </si>
  <si>
    <t>South Dakota State</t>
  </si>
  <si>
    <t>UTSA</t>
  </si>
  <si>
    <t>FIU</t>
  </si>
  <si>
    <t>2022 Season</t>
  </si>
  <si>
    <t>Tulane</t>
  </si>
  <si>
    <t>Syracuse</t>
  </si>
  <si>
    <t>Kansas State</t>
  </si>
  <si>
    <t>ECU</t>
  </si>
  <si>
    <t>UAB</t>
  </si>
  <si>
    <t>Tulsa</t>
  </si>
  <si>
    <t>Yards Per Touch</t>
  </si>
  <si>
    <t>Yds</t>
  </si>
  <si>
    <t>Touches</t>
  </si>
  <si>
    <t>Yds Per Touch</t>
  </si>
  <si>
    <t>ray davis</t>
  </si>
  <si>
    <t>Letter</t>
  </si>
  <si>
    <t>Lower</t>
  </si>
  <si>
    <t>Upper</t>
  </si>
  <si>
    <t>DOM+ Between</t>
  </si>
  <si>
    <t>RDOM+ Between</t>
  </si>
  <si>
    <t>MTF/A Between</t>
  </si>
  <si>
    <t>YPC Between</t>
  </si>
  <si>
    <t>YCO/A Between</t>
  </si>
  <si>
    <t>YPT Between</t>
  </si>
  <si>
    <t>Break Between</t>
  </si>
  <si>
    <t>A+</t>
  </si>
  <si>
    <t>A</t>
  </si>
  <si>
    <t>A-</t>
  </si>
  <si>
    <t>B+</t>
  </si>
  <si>
    <t>B</t>
  </si>
  <si>
    <t>B-</t>
  </si>
  <si>
    <t>C+</t>
  </si>
  <si>
    <t>C</t>
  </si>
  <si>
    <t>C-</t>
  </si>
  <si>
    <t>D+</t>
  </si>
  <si>
    <t>D</t>
  </si>
  <si>
    <t>D-</t>
  </si>
  <si>
    <t>F</t>
  </si>
  <si>
    <t>Devon Achane</t>
  </si>
  <si>
    <t>Sean Tyler</t>
  </si>
  <si>
    <t>2023 Season</t>
  </si>
  <si>
    <t>Troy</t>
  </si>
  <si>
    <t>2024 Season</t>
  </si>
  <si>
    <t>UCF</t>
  </si>
  <si>
    <t>Kansas</t>
  </si>
  <si>
    <t>Jacory Croskey-Merritt</t>
  </si>
  <si>
    <t>Antario Brown</t>
  </si>
  <si>
    <t>Northern Illinois</t>
  </si>
  <si>
    <t>Montrell Johnson Jr.</t>
  </si>
  <si>
    <t>Lan Larison</t>
  </si>
  <si>
    <t>UC Davis</t>
  </si>
  <si>
    <t>SMU</t>
  </si>
  <si>
    <t>Delaware</t>
  </si>
  <si>
    <t>Ulysses Bentley IV</t>
  </si>
  <si>
    <t>2025 Season</t>
  </si>
  <si>
    <t>Jeremiyah Love</t>
  </si>
  <si>
    <t>Darius Taylor</t>
  </si>
  <si>
    <t>Jonah Coleman</t>
  </si>
  <si>
    <t>Makhi Hughes</t>
  </si>
  <si>
    <t>Nicholas Singleton</t>
  </si>
  <si>
    <t>Le'Veon Moss</t>
  </si>
  <si>
    <t>Jaydn Ott</t>
  </si>
  <si>
    <t>Kaytron Allen</t>
  </si>
  <si>
    <t>Dylan Edwards</t>
  </si>
  <si>
    <t>Mark Fletcher Jr.</t>
  </si>
  <si>
    <t>Justice Haynes</t>
  </si>
  <si>
    <t>Quintrevion Wisner</t>
  </si>
  <si>
    <t>Josh McCray</t>
  </si>
  <si>
    <t>Kanye Udoh</t>
  </si>
  <si>
    <t>Kyson Brown</t>
  </si>
  <si>
    <t>LJ Martin</t>
  </si>
  <si>
    <t>Bryson Washington</t>
  </si>
  <si>
    <t>Malik Sherrod</t>
  </si>
  <si>
    <t>CJ Baxter</t>
  </si>
  <si>
    <t>Dante Dowdell</t>
  </si>
  <si>
    <t>Kaden Feagin</t>
  </si>
  <si>
    <t>CJ Donaldson</t>
  </si>
  <si>
    <t>Noah Whittington</t>
  </si>
  <si>
    <t>Jahiem White</t>
  </si>
  <si>
    <t>Rueben Owens</t>
  </si>
  <si>
    <t>Kedrick Reescano</t>
  </si>
  <si>
    <t>Tier</t>
  </si>
  <si>
    <t>2026 Season</t>
  </si>
  <si>
    <t>Nate Frazier</t>
  </si>
  <si>
    <t>Caden Durham</t>
  </si>
  <si>
    <t>Isaac Brown</t>
  </si>
  <si>
    <t>Jerrick Gibson</t>
  </si>
  <si>
    <t>Jadan Baugh</t>
  </si>
  <si>
    <t>Taylor Tatum</t>
  </si>
  <si>
    <t>Jam Miller</t>
  </si>
  <si>
    <t>Demond Claiborne</t>
  </si>
  <si>
    <t>Wake Forest</t>
  </si>
  <si>
    <t>Quinten Joyner</t>
  </si>
  <si>
    <t>Jadarian Price</t>
  </si>
  <si>
    <t>Raleek Brown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</si>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</sst>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_(* #,##0_);_(* \(#,##0\);_(* &quot;-&quot;??_);_(@_)"/>
    <numFmt numFmtId="166" formatCode="_(* #,##0.0_);_(* \(#,##0.0\);_(* &quot;-&quot;??_);_(@_)"/>
  </numFmts>
  <fonts count="31" x14ac:knownFonts="1">
    <font>
      <sz val="11"/>
      <color theme="1"/>
      <name val="Calibri"/>
      <scheme val="minor"/>
    </font>
    <font>
      <b/>
      <u/>
      <sz val="11"/>
      <color theme="1"/>
      <name val="Calibri"/>
      <family val="2"/>
    </font>
    <font>
      <b/>
      <u/>
      <sz val="11"/>
      <color theme="1"/>
      <name val="Calibri"/>
      <family val="2"/>
    </font>
    <font>
      <u/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rgb="FF006100"/>
      <name val="Calibri"/>
      <family val="2"/>
    </font>
    <font>
      <sz val="11"/>
      <name val="Calibri"/>
      <family val="2"/>
    </font>
    <font>
      <b/>
      <sz val="11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</font>
    <font>
      <b/>
      <u/>
      <sz val="11"/>
      <color theme="1"/>
      <name val="Calibri"/>
      <family val="2"/>
    </font>
    <font>
      <b/>
      <u/>
      <sz val="11"/>
      <color theme="1"/>
      <name val="Calibri"/>
      <family val="2"/>
    </font>
    <font>
      <b/>
      <u/>
      <sz val="11"/>
      <color theme="1"/>
      <name val="Calibri"/>
      <family val="2"/>
    </font>
    <font>
      <b/>
      <u/>
      <sz val="11"/>
      <color theme="1"/>
      <name val="Calibri"/>
      <family val="2"/>
    </font>
    <font>
      <b/>
      <u/>
      <sz val="11"/>
      <color theme="1"/>
      <name val="Calibri"/>
      <family val="2"/>
    </font>
    <font>
      <b/>
      <u/>
      <sz val="11"/>
      <color theme="1"/>
      <name val="Calibri"/>
      <family val="2"/>
    </font>
    <font>
      <b/>
      <u/>
      <sz val="11"/>
      <color theme="1"/>
      <name val="Calibri"/>
      <family val="2"/>
    </font>
    <font>
      <b/>
      <u/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E7E6E6"/>
      <name val="Calibri"/>
      <family val="2"/>
    </font>
    <font>
      <b/>
      <u/>
      <sz val="11"/>
      <color theme="1"/>
      <name val="Calibri"/>
      <family val="2"/>
    </font>
    <font>
      <sz val="11"/>
      <color rgb="FFFF0000"/>
      <name val="Courier New"/>
      <family val="3"/>
    </font>
    <font>
      <u/>
      <sz val="11"/>
      <color rgb="FF006100"/>
      <name val="Calibri"/>
      <family val="2"/>
    </font>
    <font>
      <sz val="11"/>
      <color rgb="FF006100"/>
      <name val="Calibri"/>
      <family val="2"/>
    </font>
    <font>
      <sz val="11"/>
      <color rgb="FFFF0000"/>
      <name val="Calibri"/>
      <family val="2"/>
    </font>
    <font>
      <b/>
      <sz val="11"/>
      <color rgb="FFFF0000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CEF9B9"/>
        <bgColor rgb="FFCEF9B9"/>
      </patternFill>
    </fill>
    <fill>
      <patternFill patternType="solid">
        <fgColor rgb="FFFFC000"/>
        <bgColor rgb="FFFFC000"/>
      </patternFill>
    </fill>
    <fill>
      <patternFill patternType="solid">
        <fgColor rgb="FFBDD6EE"/>
        <bgColor rgb="FFBDD6EE"/>
      </patternFill>
    </fill>
    <fill>
      <patternFill patternType="solid">
        <fgColor rgb="FFFFE598"/>
        <bgColor rgb="FFFFE598"/>
      </patternFill>
    </fill>
    <fill>
      <patternFill patternType="solid">
        <fgColor rgb="FFF7CAAC"/>
        <bgColor rgb="FFF7CAAC"/>
      </patternFill>
    </fill>
    <fill>
      <patternFill patternType="solid">
        <fgColor rgb="FFC5E0B3"/>
        <bgColor rgb="FFC5E0B3"/>
      </patternFill>
    </fill>
    <fill>
      <patternFill patternType="solid">
        <fgColor rgb="FFFAFFBD"/>
        <bgColor rgb="FFFAFFBD"/>
      </patternFill>
    </fill>
    <fill>
      <patternFill patternType="solid">
        <fgColor rgb="FFE7E6E6"/>
        <bgColor rgb="FFE7E6E6"/>
      </patternFill>
    </fill>
    <fill>
      <patternFill patternType="solid">
        <fgColor rgb="FFAEABAB"/>
        <bgColor rgb="FFAEABAB"/>
      </patternFill>
    </fill>
    <fill>
      <patternFill patternType="solid">
        <fgColor rgb="FFDEEAF6"/>
        <bgColor rgb="FFDEEAF6"/>
      </patternFill>
    </fill>
    <fill>
      <patternFill patternType="solid">
        <fgColor rgb="FFFEF2CB"/>
        <bgColor rgb="FFFEF2CB"/>
      </patternFill>
    </fill>
    <fill>
      <patternFill patternType="solid">
        <fgColor rgb="FFE2EFD9"/>
        <bgColor rgb="FFE2EFD9"/>
      </patternFill>
    </fill>
    <fill>
      <patternFill patternType="solid">
        <fgColor rgb="FFFDFFE5"/>
        <bgColor rgb="FFFDFFE5"/>
      </patternFill>
    </fill>
    <fill>
      <patternFill patternType="solid">
        <fgColor rgb="FFFBE4D5"/>
        <bgColor rgb="FFFBE4D5"/>
      </patternFill>
    </fill>
    <fill>
      <patternFill patternType="solid">
        <fgColor rgb="FFD8D8D8"/>
        <bgColor rgb="FFD8D8D8"/>
      </patternFill>
    </fill>
    <fill>
      <patternFill patternType="solid">
        <fgColor rgb="FFDC9CFF"/>
        <bgColor rgb="FFDC9CFF"/>
      </patternFill>
    </fill>
    <fill>
      <patternFill patternType="solid">
        <fgColor rgb="FFFFCCCC"/>
        <bgColor rgb="FFFFCCCC"/>
      </patternFill>
    </fill>
    <fill>
      <patternFill patternType="solid">
        <fgColor rgb="FFBFBFBF"/>
        <bgColor rgb="FFBFBFBF"/>
      </patternFill>
    </fill>
    <fill>
      <patternFill patternType="solid">
        <fgColor rgb="FFC6EFCE"/>
        <bgColor rgb="FFC6EFCE"/>
      </patternFill>
    </fill>
    <fill>
      <patternFill patternType="solid">
        <fgColor rgb="FFCA75FF"/>
        <bgColor rgb="FFCA75FF"/>
      </patternFill>
    </fill>
    <fill>
      <patternFill patternType="solid">
        <fgColor theme="4"/>
        <bgColor theme="4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rgb="FFFFFF00"/>
      </patternFill>
    </fill>
    <fill>
      <patternFill patternType="solid">
        <fgColor rgb="FFFC0C0C"/>
        <bgColor rgb="FFFC0C0C"/>
      </patternFill>
    </fill>
  </fills>
  <borders count="52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3">
    <xf numFmtId="0" fontId="0" fillId="0" borderId="0"/>
    <xf numFmtId="9" fontId="29" fillId="0" borderId="0" applyFont="0" applyFill="0" applyBorder="0" applyAlignment="0" applyProtection="0"/>
    <xf numFmtId="43" fontId="30" fillId="0" borderId="0" applyFont="0" applyFill="0" applyBorder="0" applyAlignment="0" applyProtection="0"/>
  </cellStyleXfs>
  <cellXfs count="264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4" fontId="6" fillId="0" borderId="0" xfId="0" applyNumberFormat="1" applyFont="1" applyAlignment="1">
      <alignment horizontal="center" vertical="center"/>
    </xf>
    <xf numFmtId="0" fontId="4" fillId="0" borderId="0" xfId="0" applyFont="1"/>
    <xf numFmtId="0" fontId="4" fillId="3" borderId="1" xfId="0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8" fillId="4" borderId="1" xfId="0" applyFont="1" applyFill="1" applyBorder="1" applyAlignment="1">
      <alignment horizontal="center"/>
    </xf>
    <xf numFmtId="2" fontId="4" fillId="4" borderId="1" xfId="0" applyNumberFormat="1" applyFont="1" applyFill="1" applyBorder="1" applyAlignment="1">
      <alignment horizontal="center"/>
    </xf>
    <xf numFmtId="0" fontId="10" fillId="4" borderId="8" xfId="0" applyFont="1" applyFill="1" applyBorder="1" applyAlignment="1">
      <alignment horizontal="left"/>
    </xf>
    <xf numFmtId="0" fontId="10" fillId="4" borderId="9" xfId="0" applyFont="1" applyFill="1" applyBorder="1" applyAlignment="1">
      <alignment horizontal="left"/>
    </xf>
    <xf numFmtId="0" fontId="10" fillId="4" borderId="10" xfId="0" applyFont="1" applyFill="1" applyBorder="1" applyAlignment="1">
      <alignment horizontal="left"/>
    </xf>
    <xf numFmtId="0" fontId="10" fillId="5" borderId="8" xfId="0" applyFont="1" applyFill="1" applyBorder="1" applyAlignment="1">
      <alignment horizontal="center"/>
    </xf>
    <xf numFmtId="0" fontId="10" fillId="5" borderId="9" xfId="0" applyFont="1" applyFill="1" applyBorder="1" applyAlignment="1">
      <alignment horizontal="left"/>
    </xf>
    <xf numFmtId="0" fontId="10" fillId="5" borderId="10" xfId="0" applyFont="1" applyFill="1" applyBorder="1" applyAlignment="1">
      <alignment horizontal="left"/>
    </xf>
    <xf numFmtId="0" fontId="10" fillId="6" borderId="8" xfId="0" applyFont="1" applyFill="1" applyBorder="1" applyAlignment="1">
      <alignment horizontal="left"/>
    </xf>
    <xf numFmtId="0" fontId="10" fillId="6" borderId="9" xfId="0" applyFont="1" applyFill="1" applyBorder="1" applyAlignment="1">
      <alignment horizontal="left"/>
    </xf>
    <xf numFmtId="0" fontId="10" fillId="6" borderId="10" xfId="0" applyFont="1" applyFill="1" applyBorder="1" applyAlignment="1">
      <alignment horizontal="left"/>
    </xf>
    <xf numFmtId="0" fontId="10" fillId="7" borderId="8" xfId="0" applyFont="1" applyFill="1" applyBorder="1" applyAlignment="1">
      <alignment horizontal="left"/>
    </xf>
    <xf numFmtId="0" fontId="10" fillId="7" borderId="9" xfId="0" applyFont="1" applyFill="1" applyBorder="1" applyAlignment="1">
      <alignment horizontal="left"/>
    </xf>
    <xf numFmtId="0" fontId="10" fillId="7" borderId="10" xfId="0" applyFont="1" applyFill="1" applyBorder="1" applyAlignment="1">
      <alignment horizontal="left"/>
    </xf>
    <xf numFmtId="0" fontId="10" fillId="8" borderId="8" xfId="0" applyFont="1" applyFill="1" applyBorder="1" applyAlignment="1">
      <alignment horizontal="left"/>
    </xf>
    <xf numFmtId="0" fontId="10" fillId="8" borderId="9" xfId="0" applyFont="1" applyFill="1" applyBorder="1" applyAlignment="1">
      <alignment horizontal="left"/>
    </xf>
    <xf numFmtId="0" fontId="10" fillId="8" borderId="10" xfId="0" applyFont="1" applyFill="1" applyBorder="1" applyAlignment="1">
      <alignment horizontal="left"/>
    </xf>
    <xf numFmtId="0" fontId="10" fillId="10" borderId="11" xfId="0" applyFont="1" applyFill="1" applyBorder="1" applyAlignment="1">
      <alignment horizontal="left"/>
    </xf>
    <xf numFmtId="0" fontId="10" fillId="9" borderId="12" xfId="0" applyFont="1" applyFill="1" applyBorder="1" applyAlignment="1">
      <alignment horizontal="left"/>
    </xf>
    <xf numFmtId="0" fontId="10" fillId="9" borderId="13" xfId="0" applyFont="1" applyFill="1" applyBorder="1" applyAlignment="1">
      <alignment horizontal="left"/>
    </xf>
    <xf numFmtId="0" fontId="4" fillId="0" borderId="14" xfId="0" applyFont="1" applyBorder="1" applyAlignment="1">
      <alignment horizontal="center"/>
    </xf>
    <xf numFmtId="0" fontId="4" fillId="0" borderId="0" xfId="0" applyFont="1" applyAlignment="1">
      <alignment horizontal="left"/>
    </xf>
    <xf numFmtId="2" fontId="4" fillId="11" borderId="15" xfId="0" applyNumberFormat="1" applyFont="1" applyFill="1" applyBorder="1" applyAlignment="1">
      <alignment horizontal="center"/>
    </xf>
    <xf numFmtId="0" fontId="4" fillId="12" borderId="16" xfId="0" applyFont="1" applyFill="1" applyBorder="1" applyAlignment="1">
      <alignment horizontal="center"/>
    </xf>
    <xf numFmtId="0" fontId="4" fillId="12" borderId="1" xfId="0" applyFont="1" applyFill="1" applyBorder="1" applyAlignment="1">
      <alignment horizontal="center"/>
    </xf>
    <xf numFmtId="14" fontId="4" fillId="12" borderId="1" xfId="0" applyNumberFormat="1" applyFont="1" applyFill="1" applyBorder="1" applyAlignment="1">
      <alignment horizontal="center"/>
    </xf>
    <xf numFmtId="2" fontId="4" fillId="12" borderId="1" xfId="0" applyNumberFormat="1" applyFont="1" applyFill="1" applyBorder="1" applyAlignment="1">
      <alignment horizontal="center"/>
    </xf>
    <xf numFmtId="0" fontId="4" fillId="12" borderId="15" xfId="0" applyFont="1" applyFill="1" applyBorder="1" applyAlignment="1">
      <alignment horizontal="center"/>
    </xf>
    <xf numFmtId="10" fontId="4" fillId="0" borderId="14" xfId="0" applyNumberFormat="1" applyFont="1" applyBorder="1" applyAlignment="1">
      <alignment horizontal="center"/>
    </xf>
    <xf numFmtId="10" fontId="4" fillId="0" borderId="0" xfId="0" applyNumberFormat="1" applyFont="1" applyAlignment="1">
      <alignment horizontal="center"/>
    </xf>
    <xf numFmtId="10" fontId="4" fillId="0" borderId="17" xfId="0" applyNumberFormat="1" applyFont="1" applyBorder="1" applyAlignment="1">
      <alignment horizontal="center"/>
    </xf>
    <xf numFmtId="2" fontId="4" fillId="13" borderId="16" xfId="0" applyNumberFormat="1" applyFont="1" applyFill="1" applyBorder="1" applyAlignment="1">
      <alignment horizontal="center"/>
    </xf>
    <xf numFmtId="2" fontId="4" fillId="13" borderId="1" xfId="0" applyNumberFormat="1" applyFont="1" applyFill="1" applyBorder="1" applyAlignment="1">
      <alignment horizontal="center"/>
    </xf>
    <xf numFmtId="2" fontId="4" fillId="13" borderId="15" xfId="0" applyNumberFormat="1" applyFont="1" applyFill="1" applyBorder="1" applyAlignment="1">
      <alignment horizontal="center"/>
    </xf>
    <xf numFmtId="2" fontId="4" fillId="14" borderId="16" xfId="0" applyNumberFormat="1" applyFont="1" applyFill="1" applyBorder="1" applyAlignment="1">
      <alignment horizontal="center"/>
    </xf>
    <xf numFmtId="2" fontId="4" fillId="14" borderId="1" xfId="0" applyNumberFormat="1" applyFont="1" applyFill="1" applyBorder="1" applyAlignment="1">
      <alignment horizontal="center"/>
    </xf>
    <xf numFmtId="164" fontId="4" fillId="14" borderId="1" xfId="0" applyNumberFormat="1" applyFont="1" applyFill="1" applyBorder="1" applyAlignment="1">
      <alignment horizontal="center"/>
    </xf>
    <xf numFmtId="2" fontId="4" fillId="14" borderId="15" xfId="0" applyNumberFormat="1" applyFont="1" applyFill="1" applyBorder="1" applyAlignment="1">
      <alignment horizontal="center"/>
    </xf>
    <xf numFmtId="1" fontId="4" fillId="10" borderId="18" xfId="0" applyNumberFormat="1" applyFont="1" applyFill="1" applyBorder="1"/>
    <xf numFmtId="1" fontId="4" fillId="9" borderId="19" xfId="0" applyNumberFormat="1" applyFont="1" applyFill="1" applyBorder="1"/>
    <xf numFmtId="2" fontId="4" fillId="9" borderId="19" xfId="0" applyNumberFormat="1" applyFont="1" applyFill="1" applyBorder="1"/>
    <xf numFmtId="1" fontId="4" fillId="9" borderId="20" xfId="0" applyNumberFormat="1" applyFont="1" applyFill="1" applyBorder="1"/>
    <xf numFmtId="1" fontId="4" fillId="12" borderId="15" xfId="0" applyNumberFormat="1" applyFont="1" applyFill="1" applyBorder="1" applyAlignment="1">
      <alignment horizontal="center"/>
    </xf>
    <xf numFmtId="1" fontId="4" fillId="10" borderId="21" xfId="0" applyNumberFormat="1" applyFont="1" applyFill="1" applyBorder="1"/>
    <xf numFmtId="1" fontId="4" fillId="9" borderId="22" xfId="0" applyNumberFormat="1" applyFont="1" applyFill="1" applyBorder="1"/>
    <xf numFmtId="2" fontId="4" fillId="9" borderId="22" xfId="0" applyNumberFormat="1" applyFont="1" applyFill="1" applyBorder="1"/>
    <xf numFmtId="1" fontId="4" fillId="9" borderId="23" xfId="0" applyNumberFormat="1" applyFont="1" applyFill="1" applyBorder="1"/>
    <xf numFmtId="0" fontId="4" fillId="0" borderId="24" xfId="0" applyFont="1" applyBorder="1" applyAlignment="1">
      <alignment horizontal="center"/>
    </xf>
    <xf numFmtId="0" fontId="4" fillId="0" borderId="25" xfId="0" applyFont="1" applyBorder="1" applyAlignment="1">
      <alignment horizontal="center"/>
    </xf>
    <xf numFmtId="0" fontId="4" fillId="0" borderId="25" xfId="0" applyFont="1" applyBorder="1" applyAlignment="1">
      <alignment horizontal="left"/>
    </xf>
    <xf numFmtId="2" fontId="4" fillId="4" borderId="9" xfId="0" applyNumberFormat="1" applyFont="1" applyFill="1" applyBorder="1" applyAlignment="1">
      <alignment horizontal="center"/>
    </xf>
    <xf numFmtId="2" fontId="4" fillId="11" borderId="10" xfId="0" applyNumberFormat="1" applyFont="1" applyFill="1" applyBorder="1" applyAlignment="1">
      <alignment horizontal="center"/>
    </xf>
    <xf numFmtId="0" fontId="4" fillId="12" borderId="8" xfId="0" applyFont="1" applyFill="1" applyBorder="1" applyAlignment="1">
      <alignment horizontal="center"/>
    </xf>
    <xf numFmtId="0" fontId="4" fillId="12" borderId="9" xfId="0" applyFont="1" applyFill="1" applyBorder="1" applyAlignment="1">
      <alignment horizontal="center"/>
    </xf>
    <xf numFmtId="14" fontId="4" fillId="12" borderId="9" xfId="0" applyNumberFormat="1" applyFont="1" applyFill="1" applyBorder="1" applyAlignment="1">
      <alignment horizontal="center"/>
    </xf>
    <xf numFmtId="2" fontId="4" fillId="12" borderId="9" xfId="0" applyNumberFormat="1" applyFont="1" applyFill="1" applyBorder="1" applyAlignment="1">
      <alignment horizontal="center"/>
    </xf>
    <xf numFmtId="0" fontId="4" fillId="12" borderId="10" xfId="0" applyFont="1" applyFill="1" applyBorder="1" applyAlignment="1">
      <alignment horizontal="center"/>
    </xf>
    <xf numFmtId="10" fontId="4" fillId="0" borderId="24" xfId="0" applyNumberFormat="1" applyFont="1" applyBorder="1" applyAlignment="1">
      <alignment horizontal="center"/>
    </xf>
    <xf numFmtId="10" fontId="4" fillId="0" borderId="25" xfId="0" applyNumberFormat="1" applyFont="1" applyBorder="1" applyAlignment="1">
      <alignment horizontal="center"/>
    </xf>
    <xf numFmtId="10" fontId="4" fillId="0" borderId="26" xfId="0" applyNumberFormat="1" applyFont="1" applyBorder="1" applyAlignment="1">
      <alignment horizontal="center"/>
    </xf>
    <xf numFmtId="2" fontId="4" fillId="13" borderId="8" xfId="0" applyNumberFormat="1" applyFont="1" applyFill="1" applyBorder="1" applyAlignment="1">
      <alignment horizontal="center"/>
    </xf>
    <xf numFmtId="2" fontId="4" fillId="13" borderId="9" xfId="0" applyNumberFormat="1" applyFont="1" applyFill="1" applyBorder="1" applyAlignment="1">
      <alignment horizontal="center"/>
    </xf>
    <xf numFmtId="2" fontId="4" fillId="13" borderId="10" xfId="0" applyNumberFormat="1" applyFont="1" applyFill="1" applyBorder="1" applyAlignment="1">
      <alignment horizontal="center"/>
    </xf>
    <xf numFmtId="2" fontId="4" fillId="14" borderId="8" xfId="0" applyNumberFormat="1" applyFont="1" applyFill="1" applyBorder="1" applyAlignment="1">
      <alignment horizontal="center"/>
    </xf>
    <xf numFmtId="2" fontId="4" fillId="14" borderId="9" xfId="0" applyNumberFormat="1" applyFont="1" applyFill="1" applyBorder="1" applyAlignment="1">
      <alignment horizontal="center"/>
    </xf>
    <xf numFmtId="164" fontId="4" fillId="14" borderId="9" xfId="0" applyNumberFormat="1" applyFont="1" applyFill="1" applyBorder="1" applyAlignment="1">
      <alignment horizontal="center"/>
    </xf>
    <xf numFmtId="2" fontId="4" fillId="14" borderId="10" xfId="0" applyNumberFormat="1" applyFont="1" applyFill="1" applyBorder="1" applyAlignment="1">
      <alignment horizontal="center"/>
    </xf>
    <xf numFmtId="1" fontId="4" fillId="10" borderId="11" xfId="0" applyNumberFormat="1" applyFont="1" applyFill="1" applyBorder="1"/>
    <xf numFmtId="1" fontId="4" fillId="9" borderId="12" xfId="0" applyNumberFormat="1" applyFont="1" applyFill="1" applyBorder="1"/>
    <xf numFmtId="2" fontId="4" fillId="9" borderId="12" xfId="0" applyNumberFormat="1" applyFont="1" applyFill="1" applyBorder="1"/>
    <xf numFmtId="1" fontId="4" fillId="9" borderId="13" xfId="0" applyNumberFormat="1" applyFont="1" applyFill="1" applyBorder="1"/>
    <xf numFmtId="0" fontId="10" fillId="0" borderId="27" xfId="0" applyFont="1" applyBorder="1" applyAlignment="1">
      <alignment horizontal="center"/>
    </xf>
    <xf numFmtId="0" fontId="10" fillId="0" borderId="28" xfId="0" applyFont="1" applyBorder="1" applyAlignment="1">
      <alignment horizontal="center"/>
    </xf>
    <xf numFmtId="0" fontId="10" fillId="0" borderId="29" xfId="0" applyFont="1" applyBorder="1" applyAlignment="1">
      <alignment horizontal="center"/>
    </xf>
    <xf numFmtId="0" fontId="4" fillId="15" borderId="21" xfId="0" applyFont="1" applyFill="1" applyBorder="1" applyAlignment="1">
      <alignment horizontal="right"/>
    </xf>
    <xf numFmtId="0" fontId="4" fillId="15" borderId="23" xfId="0" applyFont="1" applyFill="1" applyBorder="1" applyAlignment="1">
      <alignment horizontal="center"/>
    </xf>
    <xf numFmtId="0" fontId="4" fillId="16" borderId="21" xfId="0" applyFont="1" applyFill="1" applyBorder="1" applyAlignment="1">
      <alignment horizontal="right"/>
    </xf>
    <xf numFmtId="2" fontId="4" fillId="0" borderId="22" xfId="0" applyNumberFormat="1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12" borderId="21" xfId="0" applyFont="1" applyFill="1" applyBorder="1" applyAlignment="1">
      <alignment horizontal="right"/>
    </xf>
    <xf numFmtId="0" fontId="4" fillId="12" borderId="23" xfId="0" applyFont="1" applyFill="1" applyBorder="1" applyAlignment="1">
      <alignment horizontal="center"/>
    </xf>
    <xf numFmtId="0" fontId="4" fillId="0" borderId="23" xfId="0" applyFont="1" applyBorder="1" applyAlignment="1">
      <alignment horizontal="center"/>
    </xf>
    <xf numFmtId="2" fontId="4" fillId="12" borderId="23" xfId="0" applyNumberFormat="1" applyFont="1" applyFill="1" applyBorder="1" applyAlignment="1">
      <alignment horizontal="center"/>
    </xf>
    <xf numFmtId="0" fontId="4" fillId="16" borderId="11" xfId="0" applyFont="1" applyFill="1" applyBorder="1" applyAlignment="1">
      <alignment horizontal="right"/>
    </xf>
    <xf numFmtId="2" fontId="4" fillId="0" borderId="12" xfId="0" applyNumberFormat="1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12" borderId="11" xfId="0" applyFont="1" applyFill="1" applyBorder="1" applyAlignment="1">
      <alignment horizontal="right"/>
    </xf>
    <xf numFmtId="0" fontId="4" fillId="12" borderId="13" xfId="0" applyFont="1" applyFill="1" applyBorder="1" applyAlignment="1">
      <alignment horizontal="center"/>
    </xf>
    <xf numFmtId="0" fontId="4" fillId="11" borderId="11" xfId="0" applyFont="1" applyFill="1" applyBorder="1" applyAlignment="1">
      <alignment horizontal="right"/>
    </xf>
    <xf numFmtId="2" fontId="4" fillId="11" borderId="12" xfId="0" applyNumberFormat="1" applyFont="1" applyFill="1" applyBorder="1" applyAlignment="1">
      <alignment horizontal="center"/>
    </xf>
    <xf numFmtId="2" fontId="4" fillId="11" borderId="31" xfId="0" applyNumberFormat="1" applyFont="1" applyFill="1" applyBorder="1" applyAlignment="1">
      <alignment horizontal="center"/>
    </xf>
    <xf numFmtId="0" fontId="11" fillId="0" borderId="0" xfId="0" applyFont="1" applyAlignment="1">
      <alignment horizontal="left"/>
    </xf>
    <xf numFmtId="0" fontId="12" fillId="4" borderId="1" xfId="0" applyFont="1" applyFill="1" applyBorder="1" applyAlignment="1">
      <alignment horizontal="left"/>
    </xf>
    <xf numFmtId="0" fontId="13" fillId="17" borderId="1" xfId="0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0" fontId="15" fillId="7" borderId="1" xfId="0" applyFont="1" applyFill="1" applyBorder="1" applyAlignment="1">
      <alignment horizontal="center"/>
    </xf>
    <xf numFmtId="0" fontId="16" fillId="5" borderId="1" xfId="0" applyFont="1" applyFill="1" applyBorder="1" applyAlignment="1">
      <alignment horizontal="center"/>
    </xf>
    <xf numFmtId="0" fontId="17" fillId="6" borderId="1" xfId="0" applyFont="1" applyFill="1" applyBorder="1" applyAlignment="1">
      <alignment horizontal="center"/>
    </xf>
    <xf numFmtId="0" fontId="18" fillId="18" borderId="1" xfId="0" applyFont="1" applyFill="1" applyBorder="1" applyAlignment="1">
      <alignment horizontal="center"/>
    </xf>
    <xf numFmtId="0" fontId="19" fillId="16" borderId="1" xfId="0" applyFont="1" applyFill="1" applyBorder="1" applyAlignment="1">
      <alignment horizontal="center"/>
    </xf>
    <xf numFmtId="0" fontId="20" fillId="19" borderId="1" xfId="0" applyFont="1" applyFill="1" applyBorder="1" applyAlignment="1">
      <alignment horizontal="center"/>
    </xf>
    <xf numFmtId="0" fontId="10" fillId="0" borderId="0" xfId="0" applyFont="1" applyAlignment="1">
      <alignment horizontal="left"/>
    </xf>
    <xf numFmtId="0" fontId="10" fillId="5" borderId="8" xfId="0" applyFont="1" applyFill="1" applyBorder="1" applyAlignment="1">
      <alignment horizontal="left"/>
    </xf>
    <xf numFmtId="2" fontId="4" fillId="4" borderId="15" xfId="0" applyNumberFormat="1" applyFont="1" applyFill="1" applyBorder="1" applyAlignment="1">
      <alignment horizontal="center"/>
    </xf>
    <xf numFmtId="0" fontId="4" fillId="12" borderId="16" xfId="0" applyFont="1" applyFill="1" applyBorder="1"/>
    <xf numFmtId="14" fontId="4" fillId="12" borderId="1" xfId="0" applyNumberFormat="1" applyFont="1" applyFill="1" applyBorder="1"/>
    <xf numFmtId="2" fontId="4" fillId="12" borderId="1" xfId="0" applyNumberFormat="1" applyFont="1" applyFill="1" applyBorder="1"/>
    <xf numFmtId="0" fontId="4" fillId="12" borderId="1" xfId="0" applyFont="1" applyFill="1" applyBorder="1"/>
    <xf numFmtId="10" fontId="4" fillId="0" borderId="14" xfId="0" applyNumberFormat="1" applyFont="1" applyBorder="1"/>
    <xf numFmtId="10" fontId="4" fillId="0" borderId="0" xfId="0" applyNumberFormat="1" applyFont="1"/>
    <xf numFmtId="164" fontId="4" fillId="14" borderId="32" xfId="0" applyNumberFormat="1" applyFont="1" applyFill="1" applyBorder="1" applyAlignment="1">
      <alignment horizontal="center"/>
    </xf>
    <xf numFmtId="164" fontId="4" fillId="14" borderId="33" xfId="0" applyNumberFormat="1" applyFont="1" applyFill="1" applyBorder="1" applyAlignment="1">
      <alignment horizontal="center"/>
    </xf>
    <xf numFmtId="164" fontId="4" fillId="9" borderId="19" xfId="0" applyNumberFormat="1" applyFont="1" applyFill="1" applyBorder="1"/>
    <xf numFmtId="1" fontId="4" fillId="0" borderId="0" xfId="0" applyNumberFormat="1" applyFont="1"/>
    <xf numFmtId="14" fontId="4" fillId="0" borderId="0" xfId="0" applyNumberFormat="1" applyFont="1"/>
    <xf numFmtId="164" fontId="4" fillId="14" borderId="16" xfId="0" applyNumberFormat="1" applyFont="1" applyFill="1" applyBorder="1" applyAlignment="1">
      <alignment horizontal="center"/>
    </xf>
    <xf numFmtId="164" fontId="4" fillId="9" borderId="22" xfId="0" applyNumberFormat="1" applyFont="1" applyFill="1" applyBorder="1"/>
    <xf numFmtId="14" fontId="21" fillId="0" borderId="0" xfId="0" applyNumberFormat="1" applyFont="1"/>
    <xf numFmtId="14" fontId="22" fillId="0" borderId="0" xfId="0" applyNumberFormat="1" applyFont="1"/>
    <xf numFmtId="0" fontId="4" fillId="12" borderId="1" xfId="0" applyFont="1" applyFill="1" applyBorder="1" applyAlignment="1">
      <alignment horizontal="right"/>
    </xf>
    <xf numFmtId="2" fontId="4" fillId="12" borderId="1" xfId="0" applyNumberFormat="1" applyFont="1" applyFill="1" applyBorder="1" applyAlignment="1">
      <alignment horizontal="right"/>
    </xf>
    <xf numFmtId="2" fontId="4" fillId="4" borderId="10" xfId="0" applyNumberFormat="1" applyFont="1" applyFill="1" applyBorder="1" applyAlignment="1">
      <alignment horizontal="center"/>
    </xf>
    <xf numFmtId="0" fontId="4" fillId="12" borderId="8" xfId="0" applyFont="1" applyFill="1" applyBorder="1"/>
    <xf numFmtId="14" fontId="4" fillId="12" borderId="9" xfId="0" applyNumberFormat="1" applyFont="1" applyFill="1" applyBorder="1"/>
    <xf numFmtId="2" fontId="4" fillId="12" borderId="9" xfId="0" applyNumberFormat="1" applyFont="1" applyFill="1" applyBorder="1"/>
    <xf numFmtId="0" fontId="4" fillId="12" borderId="9" xfId="0" applyFont="1" applyFill="1" applyBorder="1"/>
    <xf numFmtId="1" fontId="4" fillId="12" borderId="10" xfId="0" applyNumberFormat="1" applyFont="1" applyFill="1" applyBorder="1" applyAlignment="1">
      <alignment horizontal="center"/>
    </xf>
    <xf numFmtId="10" fontId="4" fillId="0" borderId="24" xfId="0" applyNumberFormat="1" applyFont="1" applyBorder="1"/>
    <xf numFmtId="10" fontId="4" fillId="0" borderId="25" xfId="0" applyNumberFormat="1" applyFont="1" applyBorder="1"/>
    <xf numFmtId="164" fontId="4" fillId="14" borderId="8" xfId="0" applyNumberFormat="1" applyFont="1" applyFill="1" applyBorder="1" applyAlignment="1">
      <alignment horizontal="center"/>
    </xf>
    <xf numFmtId="164" fontId="4" fillId="9" borderId="34" xfId="0" applyNumberFormat="1" applyFont="1" applyFill="1" applyBorder="1"/>
    <xf numFmtId="164" fontId="4" fillId="9" borderId="12" xfId="0" applyNumberFormat="1" applyFont="1" applyFill="1" applyBorder="1"/>
    <xf numFmtId="1" fontId="4" fillId="10" borderId="35" xfId="0" applyNumberFormat="1" applyFont="1" applyFill="1" applyBorder="1"/>
    <xf numFmtId="1" fontId="4" fillId="9" borderId="34" xfId="0" applyNumberFormat="1" applyFont="1" applyFill="1" applyBorder="1"/>
    <xf numFmtId="2" fontId="4" fillId="9" borderId="34" xfId="0" applyNumberFormat="1" applyFont="1" applyFill="1" applyBorder="1"/>
    <xf numFmtId="1" fontId="4" fillId="9" borderId="36" xfId="0" applyNumberFormat="1" applyFont="1" applyFill="1" applyBorder="1"/>
    <xf numFmtId="2" fontId="4" fillId="13" borderId="33" xfId="0" applyNumberFormat="1" applyFont="1" applyFill="1" applyBorder="1" applyAlignment="1">
      <alignment horizontal="center"/>
    </xf>
    <xf numFmtId="0" fontId="4" fillId="12" borderId="9" xfId="0" applyFont="1" applyFill="1" applyBorder="1" applyAlignment="1">
      <alignment horizontal="right"/>
    </xf>
    <xf numFmtId="0" fontId="10" fillId="4" borderId="8" xfId="0" applyFont="1" applyFill="1" applyBorder="1"/>
    <xf numFmtId="0" fontId="10" fillId="4" borderId="9" xfId="0" applyFont="1" applyFill="1" applyBorder="1"/>
    <xf numFmtId="0" fontId="10" fillId="4" borderId="10" xfId="0" applyFont="1" applyFill="1" applyBorder="1"/>
    <xf numFmtId="0" fontId="10" fillId="5" borderId="8" xfId="0" applyFont="1" applyFill="1" applyBorder="1"/>
    <xf numFmtId="0" fontId="10" fillId="5" borderId="9" xfId="0" applyFont="1" applyFill="1" applyBorder="1"/>
    <xf numFmtId="0" fontId="10" fillId="5" borderId="10" xfId="0" applyFont="1" applyFill="1" applyBorder="1"/>
    <xf numFmtId="0" fontId="10" fillId="6" borderId="8" xfId="0" applyFont="1" applyFill="1" applyBorder="1"/>
    <xf numFmtId="0" fontId="10" fillId="6" borderId="9" xfId="0" applyFont="1" applyFill="1" applyBorder="1"/>
    <xf numFmtId="0" fontId="10" fillId="6" borderId="10" xfId="0" applyFont="1" applyFill="1" applyBorder="1"/>
    <xf numFmtId="0" fontId="10" fillId="7" borderId="8" xfId="0" applyFont="1" applyFill="1" applyBorder="1"/>
    <xf numFmtId="0" fontId="10" fillId="7" borderId="9" xfId="0" applyFont="1" applyFill="1" applyBorder="1"/>
    <xf numFmtId="0" fontId="10" fillId="7" borderId="10" xfId="0" applyFont="1" applyFill="1" applyBorder="1"/>
    <xf numFmtId="0" fontId="10" fillId="8" borderId="8" xfId="0" applyFont="1" applyFill="1" applyBorder="1"/>
    <xf numFmtId="0" fontId="10" fillId="8" borderId="9" xfId="0" applyFont="1" applyFill="1" applyBorder="1"/>
    <xf numFmtId="0" fontId="10" fillId="8" borderId="10" xfId="0" applyFont="1" applyFill="1" applyBorder="1"/>
    <xf numFmtId="0" fontId="10" fillId="10" borderId="11" xfId="0" applyFont="1" applyFill="1" applyBorder="1"/>
    <xf numFmtId="0" fontId="10" fillId="9" borderId="12" xfId="0" applyFont="1" applyFill="1" applyBorder="1"/>
    <xf numFmtId="0" fontId="10" fillId="9" borderId="13" xfId="0" applyFont="1" applyFill="1" applyBorder="1"/>
    <xf numFmtId="0" fontId="23" fillId="0" borderId="0" xfId="0" applyFont="1"/>
    <xf numFmtId="2" fontId="4" fillId="13" borderId="1" xfId="0" applyNumberFormat="1" applyFont="1" applyFill="1" applyBorder="1"/>
    <xf numFmtId="0" fontId="24" fillId="0" borderId="0" xfId="0" applyFont="1" applyAlignment="1">
      <alignment horizontal="left" vertical="center"/>
    </xf>
    <xf numFmtId="2" fontId="4" fillId="13" borderId="9" xfId="0" applyNumberFormat="1" applyFont="1" applyFill="1" applyBorder="1"/>
    <xf numFmtId="0" fontId="25" fillId="20" borderId="1" xfId="0" applyFont="1" applyFill="1" applyBorder="1" applyAlignment="1">
      <alignment horizontal="left"/>
    </xf>
    <xf numFmtId="0" fontId="26" fillId="20" borderId="1" xfId="0" applyFont="1" applyFill="1" applyBorder="1" applyAlignment="1">
      <alignment horizontal="left"/>
    </xf>
    <xf numFmtId="2" fontId="4" fillId="2" borderId="1" xfId="0" applyNumberFormat="1" applyFont="1" applyFill="1" applyBorder="1" applyAlignment="1">
      <alignment horizontal="center"/>
    </xf>
    <xf numFmtId="1" fontId="4" fillId="2" borderId="1" xfId="0" applyNumberFormat="1" applyFont="1" applyFill="1" applyBorder="1" applyAlignment="1">
      <alignment horizontal="center"/>
    </xf>
    <xf numFmtId="0" fontId="4" fillId="21" borderId="1" xfId="0" applyFont="1" applyFill="1" applyBorder="1" applyAlignment="1">
      <alignment horizontal="center"/>
    </xf>
    <xf numFmtId="9" fontId="4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0" fontId="4" fillId="22" borderId="1" xfId="0" applyFont="1" applyFill="1" applyBorder="1" applyAlignment="1">
      <alignment horizontal="center"/>
    </xf>
    <xf numFmtId="0" fontId="4" fillId="23" borderId="1" xfId="0" applyFont="1" applyFill="1" applyBorder="1" applyAlignment="1">
      <alignment horizontal="center"/>
    </xf>
    <xf numFmtId="0" fontId="4" fillId="24" borderId="1" xfId="0" applyFont="1" applyFill="1" applyBorder="1" applyAlignment="1">
      <alignment horizontal="center"/>
    </xf>
    <xf numFmtId="0" fontId="4" fillId="25" borderId="1" xfId="0" applyFont="1" applyFill="1" applyBorder="1" applyAlignment="1">
      <alignment horizontal="center"/>
    </xf>
    <xf numFmtId="0" fontId="10" fillId="0" borderId="0" xfId="0" applyFont="1"/>
    <xf numFmtId="0" fontId="10" fillId="0" borderId="0" xfId="0" applyFont="1" applyAlignment="1">
      <alignment horizontal="center"/>
    </xf>
    <xf numFmtId="14" fontId="27" fillId="12" borderId="9" xfId="0" applyNumberFormat="1" applyFont="1" applyFill="1" applyBorder="1"/>
    <xf numFmtId="0" fontId="4" fillId="0" borderId="37" xfId="0" applyFont="1" applyBorder="1" applyAlignment="1">
      <alignment horizontal="center"/>
    </xf>
    <xf numFmtId="1" fontId="4" fillId="10" borderId="38" xfId="0" applyNumberFormat="1" applyFont="1" applyFill="1" applyBorder="1"/>
    <xf numFmtId="1" fontId="4" fillId="9" borderId="39" xfId="0" applyNumberFormat="1" applyFont="1" applyFill="1" applyBorder="1"/>
    <xf numFmtId="1" fontId="4" fillId="9" borderId="40" xfId="0" applyNumberFormat="1" applyFont="1" applyFill="1" applyBorder="1"/>
    <xf numFmtId="2" fontId="4" fillId="9" borderId="39" xfId="0" applyNumberFormat="1" applyFont="1" applyFill="1" applyBorder="1"/>
    <xf numFmtId="0" fontId="28" fillId="7" borderId="9" xfId="0" applyFont="1" applyFill="1" applyBorder="1" applyAlignment="1">
      <alignment horizontal="left"/>
    </xf>
    <xf numFmtId="0" fontId="10" fillId="9" borderId="31" xfId="0" applyFont="1" applyFill="1" applyBorder="1" applyAlignment="1">
      <alignment horizontal="left"/>
    </xf>
    <xf numFmtId="0" fontId="27" fillId="12" borderId="15" xfId="0" applyFont="1" applyFill="1" applyBorder="1" applyAlignment="1">
      <alignment horizontal="center"/>
    </xf>
    <xf numFmtId="1" fontId="4" fillId="9" borderId="42" xfId="0" applyNumberFormat="1" applyFont="1" applyFill="1" applyBorder="1"/>
    <xf numFmtId="1" fontId="4" fillId="9" borderId="43" xfId="0" applyNumberFormat="1" applyFont="1" applyFill="1" applyBorder="1"/>
    <xf numFmtId="14" fontId="27" fillId="12" borderId="1" xfId="0" applyNumberFormat="1" applyFont="1" applyFill="1" applyBorder="1"/>
    <xf numFmtId="1" fontId="4" fillId="9" borderId="44" xfId="0" applyNumberFormat="1" applyFont="1" applyFill="1" applyBorder="1"/>
    <xf numFmtId="0" fontId="27" fillId="12" borderId="10" xfId="0" applyFont="1" applyFill="1" applyBorder="1" applyAlignment="1">
      <alignment horizontal="center"/>
    </xf>
    <xf numFmtId="1" fontId="4" fillId="9" borderId="31" xfId="0" applyNumberFormat="1" applyFont="1" applyFill="1" applyBorder="1"/>
    <xf numFmtId="0" fontId="27" fillId="0" borderId="0" xfId="0" applyFont="1" applyAlignment="1">
      <alignment horizontal="center"/>
    </xf>
    <xf numFmtId="0" fontId="0" fillId="0" borderId="45" xfId="0" applyBorder="1"/>
    <xf numFmtId="2" fontId="4" fillId="11" borderId="46" xfId="0" applyNumberFormat="1" applyFont="1" applyFill="1" applyBorder="1" applyAlignment="1">
      <alignment horizontal="center"/>
    </xf>
    <xf numFmtId="0" fontId="4" fillId="0" borderId="47" xfId="0" applyFont="1" applyBorder="1" applyAlignment="1">
      <alignment horizontal="center"/>
    </xf>
    <xf numFmtId="0" fontId="27" fillId="12" borderId="1" xfId="0" applyFont="1" applyFill="1" applyBorder="1" applyAlignment="1">
      <alignment horizontal="center"/>
    </xf>
    <xf numFmtId="0" fontId="27" fillId="12" borderId="9" xfId="0" applyFont="1" applyFill="1" applyBorder="1" applyAlignment="1">
      <alignment horizontal="center"/>
    </xf>
    <xf numFmtId="10" fontId="4" fillId="0" borderId="47" xfId="0" applyNumberFormat="1" applyFont="1" applyBorder="1"/>
    <xf numFmtId="10" fontId="4" fillId="0" borderId="48" xfId="0" applyNumberFormat="1" applyFont="1" applyBorder="1"/>
    <xf numFmtId="10" fontId="4" fillId="0" borderId="33" xfId="0" applyNumberFormat="1" applyFont="1" applyBorder="1" applyAlignment="1">
      <alignment horizontal="center"/>
    </xf>
    <xf numFmtId="10" fontId="4" fillId="0" borderId="1" xfId="0" applyNumberFormat="1" applyFont="1" applyBorder="1" applyAlignment="1">
      <alignment horizontal="center"/>
    </xf>
    <xf numFmtId="10" fontId="4" fillId="0" borderId="48" xfId="0" applyNumberFormat="1" applyFont="1" applyBorder="1" applyAlignment="1">
      <alignment horizontal="center"/>
    </xf>
    <xf numFmtId="0" fontId="28" fillId="6" borderId="9" xfId="0" applyFont="1" applyFill="1" applyBorder="1" applyAlignment="1">
      <alignment horizontal="left"/>
    </xf>
    <xf numFmtId="0" fontId="27" fillId="12" borderId="17" xfId="0" applyFont="1" applyFill="1" applyBorder="1" applyAlignment="1">
      <alignment horizontal="center"/>
    </xf>
    <xf numFmtId="2" fontId="4" fillId="14" borderId="17" xfId="0" applyNumberFormat="1" applyFont="1" applyFill="1" applyBorder="1" applyAlignment="1">
      <alignment horizontal="center"/>
    </xf>
    <xf numFmtId="164" fontId="4" fillId="14" borderId="48" xfId="0" applyNumberFormat="1" applyFont="1" applyFill="1" applyBorder="1" applyAlignment="1">
      <alignment horizontal="center"/>
    </xf>
    <xf numFmtId="0" fontId="10" fillId="8" borderId="48" xfId="0" applyFont="1" applyFill="1" applyBorder="1" applyAlignment="1">
      <alignment horizontal="left"/>
    </xf>
    <xf numFmtId="9" fontId="0" fillId="0" borderId="0" xfId="1" applyFont="1"/>
    <xf numFmtId="164" fontId="0" fillId="0" borderId="0" xfId="0" applyNumberFormat="1"/>
    <xf numFmtId="164" fontId="4" fillId="14" borderId="49" xfId="0" applyNumberFormat="1" applyFont="1" applyFill="1" applyBorder="1" applyAlignment="1">
      <alignment horizontal="center"/>
    </xf>
    <xf numFmtId="164" fontId="4" fillId="14" borderId="17" xfId="0" applyNumberFormat="1" applyFont="1" applyFill="1" applyBorder="1" applyAlignment="1">
      <alignment horizontal="center"/>
    </xf>
    <xf numFmtId="1" fontId="9" fillId="9" borderId="40" xfId="0" applyNumberFormat="1" applyFont="1" applyFill="1" applyBorder="1"/>
    <xf numFmtId="0" fontId="10" fillId="4" borderId="48" xfId="0" applyFont="1" applyFill="1" applyBorder="1" applyAlignment="1">
      <alignment horizontal="left"/>
    </xf>
    <xf numFmtId="0" fontId="4" fillId="0" borderId="49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4" fillId="0" borderId="48" xfId="0" applyFont="1" applyBorder="1" applyAlignment="1">
      <alignment horizontal="left"/>
    </xf>
    <xf numFmtId="14" fontId="9" fillId="12" borderId="1" xfId="0" applyNumberFormat="1" applyFont="1" applyFill="1" applyBorder="1"/>
    <xf numFmtId="2" fontId="4" fillId="9" borderId="50" xfId="0" applyNumberFormat="1" applyFont="1" applyFill="1" applyBorder="1"/>
    <xf numFmtId="0" fontId="28" fillId="7" borderId="10" xfId="0" applyFont="1" applyFill="1" applyBorder="1" applyAlignment="1">
      <alignment horizontal="left"/>
    </xf>
    <xf numFmtId="165" fontId="0" fillId="0" borderId="0" xfId="2" applyNumberFormat="1" applyFont="1"/>
    <xf numFmtId="0" fontId="4" fillId="0" borderId="16" xfId="0" applyFont="1" applyBorder="1" applyAlignment="1">
      <alignment horizontal="center"/>
    </xf>
    <xf numFmtId="2" fontId="4" fillId="4" borderId="17" xfId="0" applyNumberFormat="1" applyFont="1" applyFill="1" applyBorder="1" applyAlignment="1">
      <alignment horizontal="center"/>
    </xf>
    <xf numFmtId="10" fontId="4" fillId="0" borderId="16" xfId="0" applyNumberFormat="1" applyFont="1" applyBorder="1"/>
    <xf numFmtId="1" fontId="0" fillId="0" borderId="0" xfId="0" applyNumberFormat="1"/>
    <xf numFmtId="164" fontId="4" fillId="9" borderId="39" xfId="0" applyNumberFormat="1" applyFont="1" applyFill="1" applyBorder="1"/>
    <xf numFmtId="166" fontId="4" fillId="9" borderId="19" xfId="2" applyNumberFormat="1" applyFont="1" applyFill="1" applyBorder="1"/>
    <xf numFmtId="166" fontId="4" fillId="9" borderId="22" xfId="2" applyNumberFormat="1" applyFont="1" applyFill="1" applyBorder="1"/>
    <xf numFmtId="166" fontId="4" fillId="9" borderId="39" xfId="2" applyNumberFormat="1" applyFont="1" applyFill="1" applyBorder="1"/>
    <xf numFmtId="166" fontId="4" fillId="9" borderId="12" xfId="2" applyNumberFormat="1" applyFont="1" applyFill="1" applyBorder="1"/>
    <xf numFmtId="0" fontId="28" fillId="6" borderId="48" xfId="0" applyFont="1" applyFill="1" applyBorder="1" applyAlignment="1">
      <alignment horizontal="left"/>
    </xf>
    <xf numFmtId="2" fontId="10" fillId="8" borderId="10" xfId="0" applyNumberFormat="1" applyFont="1" applyFill="1" applyBorder="1" applyAlignment="1">
      <alignment horizontal="left"/>
    </xf>
    <xf numFmtId="2" fontId="4" fillId="9" borderId="51" xfId="0" applyNumberFormat="1" applyFont="1" applyFill="1" applyBorder="1"/>
    <xf numFmtId="0" fontId="10" fillId="5" borderId="25" xfId="0" applyFont="1" applyFill="1" applyBorder="1" applyAlignment="1">
      <alignment horizontal="left"/>
    </xf>
    <xf numFmtId="0" fontId="4" fillId="0" borderId="0" xfId="0" applyFont="1" applyAlignment="1">
      <alignment horizontal="left" vertical="top" wrapText="1"/>
    </xf>
    <xf numFmtId="0" fontId="0" fillId="0" borderId="0" xfId="0"/>
    <xf numFmtId="0" fontId="4" fillId="0" borderId="0" xfId="0" applyFont="1" applyAlignment="1">
      <alignment wrapText="1"/>
    </xf>
    <xf numFmtId="0" fontId="4" fillId="0" borderId="0" xfId="0" applyFont="1"/>
    <xf numFmtId="0" fontId="10" fillId="9" borderId="5" xfId="0" applyFont="1" applyFill="1" applyBorder="1" applyAlignment="1">
      <alignment horizontal="center"/>
    </xf>
    <xf numFmtId="0" fontId="9" fillId="0" borderId="6" xfId="0" applyFont="1" applyBorder="1"/>
    <xf numFmtId="0" fontId="9" fillId="0" borderId="7" xfId="0" applyFont="1" applyBorder="1"/>
    <xf numFmtId="0" fontId="4" fillId="4" borderId="2" xfId="0" applyFont="1" applyFill="1" applyBorder="1" applyAlignment="1">
      <alignment horizontal="center"/>
    </xf>
    <xf numFmtId="0" fontId="9" fillId="0" borderId="3" xfId="0" applyFont="1" applyBorder="1"/>
    <xf numFmtId="0" fontId="9" fillId="0" borderId="33" xfId="0" applyFont="1" applyBorder="1"/>
    <xf numFmtId="0" fontId="9" fillId="0" borderId="4" xfId="0" applyFont="1" applyBorder="1"/>
    <xf numFmtId="0" fontId="10" fillId="5" borderId="2" xfId="0" applyFont="1" applyFill="1" applyBorder="1" applyAlignment="1">
      <alignment horizontal="center"/>
    </xf>
    <xf numFmtId="0" fontId="10" fillId="6" borderId="2" xfId="0" applyFont="1" applyFill="1" applyBorder="1" applyAlignment="1">
      <alignment horizontal="center"/>
    </xf>
    <xf numFmtId="0" fontId="10" fillId="7" borderId="2" xfId="0" applyFont="1" applyFill="1" applyBorder="1" applyAlignment="1">
      <alignment horizontal="center"/>
    </xf>
    <xf numFmtId="0" fontId="10" fillId="8" borderId="2" xfId="0" applyFont="1" applyFill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164" fontId="10" fillId="8" borderId="2" xfId="0" applyNumberFormat="1" applyFont="1" applyFill="1" applyBorder="1" applyAlignment="1">
      <alignment horizontal="center"/>
    </xf>
    <xf numFmtId="0" fontId="10" fillId="4" borderId="2" xfId="0" applyFont="1" applyFill="1" applyBorder="1" applyAlignment="1">
      <alignment horizontal="left"/>
    </xf>
    <xf numFmtId="0" fontId="4" fillId="0" borderId="0" xfId="0" applyFont="1" applyAlignment="1">
      <alignment horizontal="center"/>
    </xf>
    <xf numFmtId="0" fontId="9" fillId="0" borderId="41" xfId="0" applyFont="1" applyBorder="1"/>
  </cellXfs>
  <cellStyles count="3">
    <cellStyle name="Comma" xfId="2" builtinId="3"/>
    <cellStyle name="Normal" xfId="0" builtinId="0"/>
    <cellStyle name="Percent" xfId="1" builtinId="5"/>
  </cellStyles>
  <dxfs count="222"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ACACA"/>
          <bgColor rgb="FFFACACA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DC9CFF"/>
          <bgColor rgb="FFDC9C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ACACA"/>
          <bgColor rgb="FFFACACA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DC9CFF"/>
          <bgColor rgb="FFDC9C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ACACA"/>
          <bgColor rgb="FFFACACA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DC9CFF"/>
          <bgColor rgb="FFDC9C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ACACA"/>
          <bgColor rgb="FFFACACA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DC9CFF"/>
          <bgColor rgb="FFDC9CFF"/>
        </patternFill>
      </fill>
    </dxf>
    <dxf>
      <fill>
        <patternFill patternType="solid">
          <fgColor rgb="FFAEABAB"/>
          <bgColor rgb="FFAEABAB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CCCC"/>
          <bgColor rgb="FFFFCCCC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FACACA"/>
          <bgColor rgb="FFFACACA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DC9CFF"/>
          <bgColor rgb="FFDC9C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ACACA"/>
          <bgColor rgb="FFFACACA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DC9CFF"/>
          <bgColor rgb="FFDC9C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ACACA"/>
          <bgColor rgb="FFFACACA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DC9CFF"/>
          <bgColor rgb="FFDC9C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ACACA"/>
          <bgColor rgb="FFFACACA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DC9CFF"/>
          <bgColor rgb="FFDC9C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ACACA"/>
          <bgColor rgb="FFFACACA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DC9CFF"/>
          <bgColor rgb="FFDC9C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ACACA"/>
          <bgColor rgb="FFFACACA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DC9CFF"/>
          <bgColor rgb="FFDC9C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ACACA"/>
          <bgColor rgb="FFFACACA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DC9CFF"/>
          <bgColor rgb="FFDC9C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ACACA"/>
          <bgColor rgb="FFFACACA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DC9CFF"/>
          <bgColor rgb="FFDC9C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ACACA"/>
          <bgColor rgb="FFFACACA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DC9CFF"/>
          <bgColor rgb="FFDC9C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ACACA"/>
          <bgColor rgb="FFFACACA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DC9CFF"/>
          <bgColor rgb="FFDC9CF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ACACA"/>
          <bgColor rgb="FFFACACA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DC9CFF"/>
          <bgColor rgb="FFDC9CFF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A8D08D"/>
          <bgColor rgb="FFA8D08D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FFD965"/>
          <bgColor rgb="FFFFD965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4B083"/>
          <bgColor rgb="FFF4B083"/>
        </patternFill>
      </fill>
    </dxf>
    <dxf>
      <fill>
        <patternFill patternType="solid">
          <fgColor rgb="FFFFCCCC"/>
          <bgColor rgb="FFFFCCCC"/>
        </patternFill>
      </fill>
    </dxf>
    <dxf>
      <fill>
        <patternFill patternType="solid">
          <fgColor rgb="FFFF6161"/>
          <bgColor rgb="FFFF6161"/>
        </patternFill>
      </fill>
    </dxf>
    <dxf>
      <fill>
        <patternFill patternType="solid">
          <fgColor rgb="FFFF6161"/>
          <bgColor rgb="FFFF6161"/>
        </patternFill>
      </fill>
    </dxf>
    <dxf>
      <fill>
        <patternFill patternType="solid">
          <fgColor rgb="FFFFCCCC"/>
          <bgColor rgb="FFFFCCCC"/>
        </patternFill>
      </fill>
    </dxf>
    <dxf>
      <fill>
        <patternFill patternType="solid">
          <fgColor rgb="FFF4B083"/>
          <bgColor rgb="FFF4B083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A8D08D"/>
          <bgColor rgb="FFA8D08D"/>
        </patternFill>
      </fill>
    </dxf>
    <dxf>
      <fill>
        <patternFill patternType="solid">
          <fgColor rgb="FFFFD965"/>
          <bgColor rgb="FFFFD96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A8D08D"/>
          <bgColor rgb="FFA8D08D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FFD965"/>
          <bgColor rgb="FFFFD965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4B083"/>
          <bgColor rgb="FFF4B083"/>
        </patternFill>
      </fill>
    </dxf>
    <dxf>
      <fill>
        <patternFill patternType="solid">
          <fgColor rgb="FFFFCCCC"/>
          <bgColor rgb="FFFFCCCC"/>
        </patternFill>
      </fill>
    </dxf>
    <dxf>
      <fill>
        <patternFill patternType="solid">
          <fgColor rgb="FFFF6161"/>
          <bgColor rgb="FFFF6161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ACACA"/>
          <bgColor rgb="FFFACACA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DC9CFF"/>
          <bgColor rgb="FFDC9CF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ACACA"/>
          <bgColor rgb="FFFACACA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DC9CFF"/>
          <bgColor rgb="FFDC9CF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FFE598"/>
          <bgColor rgb="FFFFE598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colors>
    <mruColors>
      <color rgb="FFD99BFF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00"/>
  <sheetViews>
    <sheetView workbookViewId="0"/>
  </sheetViews>
  <sheetFormatPr baseColWidth="10" defaultColWidth="14.5" defaultRowHeight="15" customHeight="1" x14ac:dyDescent="0.2"/>
  <cols>
    <col min="1" max="1" width="17.1640625" customWidth="1"/>
    <col min="2" max="9" width="11.5" customWidth="1"/>
  </cols>
  <sheetData>
    <row r="1" spans="1:9" x14ac:dyDescent="0.2">
      <c r="A1" s="1" t="s">
        <v>0</v>
      </c>
      <c r="B1" s="2" t="s">
        <v>1</v>
      </c>
    </row>
    <row r="2" spans="1:9" ht="31.5" customHeight="1" x14ac:dyDescent="0.2">
      <c r="A2" s="3" t="s">
        <v>2</v>
      </c>
      <c r="B2" s="243" t="s">
        <v>3</v>
      </c>
      <c r="C2" s="244"/>
      <c r="D2" s="244"/>
      <c r="E2" s="244"/>
      <c r="F2" s="244"/>
      <c r="G2" s="244"/>
      <c r="H2" s="244"/>
      <c r="I2" s="244"/>
    </row>
    <row r="3" spans="1:9" x14ac:dyDescent="0.2">
      <c r="A3" s="4" t="s">
        <v>4</v>
      </c>
      <c r="B3" s="245" t="s">
        <v>5</v>
      </c>
      <c r="C3" s="244"/>
      <c r="D3" s="244"/>
      <c r="E3" s="244"/>
      <c r="F3" s="244"/>
      <c r="G3" s="244"/>
      <c r="H3" s="244"/>
      <c r="I3" s="244"/>
    </row>
    <row r="4" spans="1:9" ht="33" customHeight="1" x14ac:dyDescent="0.2">
      <c r="A4" s="4" t="s">
        <v>6</v>
      </c>
      <c r="B4" s="243" t="s">
        <v>7</v>
      </c>
      <c r="C4" s="244"/>
      <c r="D4" s="244"/>
      <c r="E4" s="244"/>
      <c r="F4" s="244"/>
      <c r="G4" s="244"/>
      <c r="H4" s="244"/>
      <c r="I4" s="244"/>
    </row>
    <row r="5" spans="1:9" x14ac:dyDescent="0.2">
      <c r="A5" s="4" t="s">
        <v>8</v>
      </c>
      <c r="B5" s="245" t="s">
        <v>9</v>
      </c>
      <c r="C5" s="244"/>
      <c r="D5" s="244"/>
      <c r="E5" s="244"/>
      <c r="F5" s="244"/>
      <c r="G5" s="244"/>
      <c r="H5" s="244"/>
      <c r="I5" s="244"/>
    </row>
    <row r="6" spans="1:9" x14ac:dyDescent="0.2">
      <c r="A6" s="4" t="s">
        <v>10</v>
      </c>
      <c r="B6" s="245" t="s">
        <v>11</v>
      </c>
      <c r="C6" s="244"/>
      <c r="D6" s="244"/>
      <c r="E6" s="244"/>
      <c r="F6" s="244"/>
      <c r="G6" s="244"/>
      <c r="H6" s="244"/>
      <c r="I6" s="244"/>
    </row>
    <row r="7" spans="1:9" x14ac:dyDescent="0.2">
      <c r="A7" s="4" t="s">
        <v>12</v>
      </c>
      <c r="B7" s="245" t="s">
        <v>13</v>
      </c>
      <c r="C7" s="244"/>
      <c r="D7" s="244"/>
      <c r="E7" s="244"/>
      <c r="F7" s="244"/>
      <c r="G7" s="244"/>
      <c r="H7" s="244"/>
      <c r="I7" s="244"/>
    </row>
    <row r="8" spans="1:9" x14ac:dyDescent="0.2">
      <c r="A8" s="4" t="s">
        <v>14</v>
      </c>
      <c r="B8" s="245" t="s">
        <v>15</v>
      </c>
      <c r="C8" s="244"/>
      <c r="D8" s="244"/>
      <c r="E8" s="244"/>
      <c r="F8" s="244"/>
      <c r="G8" s="244"/>
      <c r="H8" s="244"/>
      <c r="I8" s="244"/>
    </row>
    <row r="9" spans="1:9" x14ac:dyDescent="0.2">
      <c r="A9" s="4" t="s">
        <v>16</v>
      </c>
      <c r="B9" s="243" t="s">
        <v>17</v>
      </c>
      <c r="C9" s="244"/>
      <c r="D9" s="244"/>
      <c r="E9" s="244"/>
      <c r="F9" s="244"/>
      <c r="G9" s="244"/>
      <c r="H9" s="244"/>
      <c r="I9" s="244"/>
    </row>
    <row r="10" spans="1:9" ht="33" customHeight="1" x14ac:dyDescent="0.2">
      <c r="A10" s="4" t="s">
        <v>18</v>
      </c>
      <c r="B10" s="243" t="s">
        <v>19</v>
      </c>
      <c r="C10" s="244"/>
      <c r="D10" s="244"/>
      <c r="E10" s="244"/>
      <c r="F10" s="244"/>
      <c r="G10" s="244"/>
      <c r="H10" s="244"/>
      <c r="I10" s="244"/>
    </row>
    <row r="11" spans="1:9" x14ac:dyDescent="0.2">
      <c r="A11" s="4" t="s">
        <v>20</v>
      </c>
      <c r="B11" s="245" t="s">
        <v>21</v>
      </c>
      <c r="C11" s="244"/>
      <c r="D11" s="244"/>
      <c r="E11" s="244"/>
      <c r="F11" s="244"/>
      <c r="G11" s="244"/>
      <c r="H11" s="244"/>
      <c r="I11" s="244"/>
    </row>
    <row r="12" spans="1:9" x14ac:dyDescent="0.2">
      <c r="A12" s="5" t="s">
        <v>22</v>
      </c>
      <c r="B12" s="245" t="s">
        <v>23</v>
      </c>
      <c r="C12" s="244"/>
      <c r="D12" s="244"/>
      <c r="E12" s="244"/>
      <c r="F12" s="244"/>
      <c r="G12" s="244"/>
      <c r="H12" s="244"/>
      <c r="I12" s="244"/>
    </row>
    <row r="13" spans="1:9" x14ac:dyDescent="0.2">
      <c r="A13" s="4" t="s">
        <v>24</v>
      </c>
      <c r="B13" s="245" t="s">
        <v>25</v>
      </c>
      <c r="C13" s="244"/>
      <c r="D13" s="244"/>
      <c r="E13" s="244"/>
      <c r="F13" s="244"/>
      <c r="G13" s="244"/>
      <c r="H13" s="244"/>
      <c r="I13" s="244"/>
    </row>
    <row r="14" spans="1:9" ht="30.75" customHeight="1" x14ac:dyDescent="0.2">
      <c r="A14" s="4" t="s">
        <v>26</v>
      </c>
      <c r="B14" s="243" t="s">
        <v>27</v>
      </c>
      <c r="C14" s="244"/>
      <c r="D14" s="244"/>
      <c r="E14" s="244"/>
      <c r="F14" s="244"/>
      <c r="G14" s="244"/>
      <c r="H14" s="244"/>
      <c r="I14" s="244"/>
    </row>
    <row r="15" spans="1:9" x14ac:dyDescent="0.2">
      <c r="A15" s="6" t="s">
        <v>28</v>
      </c>
      <c r="B15" s="245" t="s">
        <v>29</v>
      </c>
      <c r="C15" s="244"/>
      <c r="D15" s="244"/>
      <c r="E15" s="244"/>
      <c r="F15" s="244"/>
      <c r="G15" s="244"/>
      <c r="H15" s="244"/>
      <c r="I15" s="244"/>
    </row>
    <row r="16" spans="1:9" x14ac:dyDescent="0.2">
      <c r="A16" s="4" t="s">
        <v>30</v>
      </c>
      <c r="B16" s="245" t="s">
        <v>31</v>
      </c>
      <c r="C16" s="244"/>
      <c r="D16" s="244"/>
      <c r="E16" s="244"/>
      <c r="F16" s="244"/>
      <c r="G16" s="244"/>
      <c r="H16" s="244"/>
      <c r="I16" s="244"/>
    </row>
    <row r="17" spans="1:9" x14ac:dyDescent="0.2">
      <c r="A17" s="4" t="s">
        <v>32</v>
      </c>
      <c r="B17" s="246" t="s">
        <v>33</v>
      </c>
      <c r="C17" s="244"/>
      <c r="D17" s="244"/>
      <c r="E17" s="244"/>
      <c r="F17" s="244"/>
      <c r="G17" s="244"/>
      <c r="H17" s="244"/>
      <c r="I17" s="244"/>
    </row>
    <row r="18" spans="1:9" x14ac:dyDescent="0.2">
      <c r="A18" s="4" t="s">
        <v>34</v>
      </c>
      <c r="B18" s="245" t="s">
        <v>35</v>
      </c>
      <c r="C18" s="244"/>
      <c r="D18" s="244"/>
      <c r="E18" s="244"/>
      <c r="F18" s="244"/>
      <c r="G18" s="244"/>
      <c r="H18" s="244"/>
      <c r="I18" s="244"/>
    </row>
    <row r="19" spans="1:9" x14ac:dyDescent="0.2">
      <c r="A19" s="4" t="s">
        <v>36</v>
      </c>
      <c r="B19" s="245" t="s">
        <v>37</v>
      </c>
      <c r="C19" s="244"/>
      <c r="D19" s="244"/>
      <c r="E19" s="244"/>
      <c r="F19" s="244"/>
      <c r="G19" s="244"/>
      <c r="H19" s="244"/>
      <c r="I19" s="244"/>
    </row>
    <row r="20" spans="1:9" x14ac:dyDescent="0.2">
      <c r="A20" s="4" t="s">
        <v>38</v>
      </c>
      <c r="B20" s="245" t="s">
        <v>39</v>
      </c>
      <c r="C20" s="244"/>
      <c r="D20" s="244"/>
      <c r="E20" s="244"/>
      <c r="F20" s="244"/>
      <c r="G20" s="244"/>
      <c r="H20" s="244"/>
      <c r="I20" s="244"/>
    </row>
    <row r="21" spans="1:9" ht="15.75" customHeight="1" x14ac:dyDescent="0.2">
      <c r="A21" s="4" t="s">
        <v>40</v>
      </c>
      <c r="B21" s="245" t="s">
        <v>41</v>
      </c>
      <c r="C21" s="244"/>
      <c r="D21" s="244"/>
      <c r="E21" s="244"/>
      <c r="F21" s="244"/>
      <c r="G21" s="244"/>
      <c r="H21" s="244"/>
      <c r="I21" s="244"/>
    </row>
    <row r="22" spans="1:9" ht="15.75" customHeight="1" x14ac:dyDescent="0.2">
      <c r="A22" s="4" t="s">
        <v>42</v>
      </c>
      <c r="B22" s="245" t="s">
        <v>43</v>
      </c>
      <c r="C22" s="244"/>
      <c r="D22" s="244"/>
      <c r="E22" s="244"/>
      <c r="F22" s="244"/>
      <c r="G22" s="244"/>
      <c r="H22" s="244"/>
      <c r="I22" s="244"/>
    </row>
    <row r="23" spans="1:9" ht="15.75" customHeight="1" x14ac:dyDescent="0.2">
      <c r="A23" s="4" t="s">
        <v>44</v>
      </c>
      <c r="B23" s="245" t="s">
        <v>45</v>
      </c>
      <c r="C23" s="244"/>
      <c r="D23" s="244"/>
      <c r="E23" s="244"/>
      <c r="F23" s="244"/>
      <c r="G23" s="244"/>
      <c r="H23" s="244"/>
      <c r="I23" s="244"/>
    </row>
    <row r="24" spans="1:9" ht="15.75" customHeight="1" x14ac:dyDescent="0.2">
      <c r="A24" s="4" t="s">
        <v>46</v>
      </c>
      <c r="B24" s="245" t="s">
        <v>47</v>
      </c>
      <c r="C24" s="244"/>
      <c r="D24" s="244"/>
      <c r="E24" s="244"/>
      <c r="F24" s="244"/>
      <c r="G24" s="244"/>
      <c r="H24" s="244"/>
      <c r="I24" s="244"/>
    </row>
    <row r="25" spans="1:9" ht="30.75" customHeight="1" x14ac:dyDescent="0.2">
      <c r="A25" s="8">
        <v>2025</v>
      </c>
      <c r="B25" s="243" t="s">
        <v>48</v>
      </c>
      <c r="C25" s="244"/>
      <c r="D25" s="244"/>
      <c r="E25" s="244"/>
      <c r="F25" s="244"/>
      <c r="G25" s="244"/>
      <c r="H25" s="244"/>
      <c r="I25" s="244"/>
    </row>
    <row r="26" spans="1:9" ht="182.25" customHeight="1" x14ac:dyDescent="0.2">
      <c r="A26" s="4" t="s">
        <v>49</v>
      </c>
      <c r="B26" s="243" t="s">
        <v>50</v>
      </c>
      <c r="C26" s="244"/>
      <c r="D26" s="244"/>
      <c r="E26" s="244"/>
      <c r="F26" s="244"/>
      <c r="G26" s="244"/>
      <c r="H26" s="244"/>
      <c r="I26" s="244"/>
    </row>
    <row r="27" spans="1:9" ht="212.25" customHeight="1" x14ac:dyDescent="0.2">
      <c r="A27" s="4" t="s">
        <v>51</v>
      </c>
      <c r="B27" s="243" t="s">
        <v>52</v>
      </c>
      <c r="C27" s="244"/>
      <c r="D27" s="244"/>
      <c r="E27" s="244"/>
      <c r="F27" s="244"/>
      <c r="G27" s="244"/>
      <c r="H27" s="244"/>
      <c r="I27" s="244"/>
    </row>
    <row r="28" spans="1:9" ht="15.75" customHeight="1" x14ac:dyDescent="0.2">
      <c r="A28" s="9"/>
    </row>
    <row r="29" spans="1:9" ht="15.75" customHeight="1" x14ac:dyDescent="0.2">
      <c r="A29" s="10" t="s">
        <v>53</v>
      </c>
    </row>
    <row r="30" spans="1:9" ht="15.75" customHeight="1" x14ac:dyDescent="0.2"/>
    <row r="31" spans="1:9" ht="15.75" customHeight="1" x14ac:dyDescent="0.2"/>
    <row r="32" spans="1:9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26">
    <mergeCell ref="B24:I24"/>
    <mergeCell ref="B25:I25"/>
    <mergeCell ref="B26:I26"/>
    <mergeCell ref="B27:I27"/>
    <mergeCell ref="B16:I16"/>
    <mergeCell ref="B17:I17"/>
    <mergeCell ref="B18:I18"/>
    <mergeCell ref="B19:I19"/>
    <mergeCell ref="B20:I20"/>
    <mergeCell ref="B21:I21"/>
    <mergeCell ref="B22:I22"/>
    <mergeCell ref="B12:I12"/>
    <mergeCell ref="B13:I13"/>
    <mergeCell ref="B14:I14"/>
    <mergeCell ref="B15:I15"/>
    <mergeCell ref="B23:I23"/>
    <mergeCell ref="B7:I7"/>
    <mergeCell ref="B8:I8"/>
    <mergeCell ref="B9:I9"/>
    <mergeCell ref="B10:I10"/>
    <mergeCell ref="B11:I11"/>
    <mergeCell ref="B2:I2"/>
    <mergeCell ref="B3:I3"/>
    <mergeCell ref="B4:I4"/>
    <mergeCell ref="B5:I5"/>
    <mergeCell ref="B6:I6"/>
  </mergeCells>
  <conditionalFormatting sqref="A17">
    <cfRule type="expression" dxfId="221" priority="1">
      <formula>$AJ10=TRUE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0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G2" sqref="G2"/>
    </sheetView>
  </sheetViews>
  <sheetFormatPr baseColWidth="10" defaultColWidth="14.5" defaultRowHeight="15" customHeight="1" x14ac:dyDescent="0.2"/>
  <cols>
    <col min="1" max="1" width="18.33203125" hidden="1" customWidth="1"/>
    <col min="2" max="2" width="8.6640625" customWidth="1"/>
    <col min="3" max="3" width="10.83203125" hidden="1" customWidth="1"/>
    <col min="4" max="4" width="4.83203125" customWidth="1"/>
    <col min="5" max="5" width="10.83203125" customWidth="1"/>
    <col min="6" max="7" width="19" customWidth="1"/>
    <col min="8" max="8" width="8.33203125" customWidth="1"/>
    <col min="9" max="11" width="10.83203125" customWidth="1"/>
  </cols>
  <sheetData>
    <row r="1" spans="1:11" x14ac:dyDescent="0.2">
      <c r="A1" s="11" t="s">
        <v>54</v>
      </c>
      <c r="B1" s="11" t="s">
        <v>55</v>
      </c>
      <c r="C1" s="11"/>
      <c r="D1" s="12" t="s">
        <v>56</v>
      </c>
      <c r="E1" s="12" t="s">
        <v>57</v>
      </c>
      <c r="F1" s="12" t="s">
        <v>58</v>
      </c>
      <c r="G1" s="12" t="s">
        <v>59</v>
      </c>
      <c r="H1" s="13" t="s">
        <v>60</v>
      </c>
      <c r="I1" s="11" t="s">
        <v>61</v>
      </c>
      <c r="J1" s="11"/>
      <c r="K1" s="11" t="s">
        <v>62</v>
      </c>
    </row>
    <row r="2" spans="1:11" x14ac:dyDescent="0.2">
      <c r="A2" s="11" t="str">
        <f t="shared" ref="A2:A94" si="0">F2</f>
        <v>Christian McCaffrey</v>
      </c>
      <c r="B2" s="11">
        <v>16</v>
      </c>
      <c r="C2" s="11"/>
      <c r="D2" s="11">
        <f>'2017'!A3</f>
        <v>1</v>
      </c>
      <c r="E2" s="11">
        <v>2017</v>
      </c>
      <c r="F2" s="11" t="s">
        <v>63</v>
      </c>
      <c r="G2" s="11" t="e">
        <f t="shared" ref="G2:G94" si="1">VLOOKUP(F2,#REF!,14,FALSE)</f>
        <v>#REF!</v>
      </c>
      <c r="H2" s="14">
        <f>'2017'!C3</f>
        <v>13.144444444444444</v>
      </c>
      <c r="I2" s="11" t="e">
        <v>#N/A</v>
      </c>
      <c r="J2" s="11"/>
      <c r="K2" s="11" t="e">
        <f>CORREL(H2:H94,I2:I94)</f>
        <v>#N/A</v>
      </c>
    </row>
    <row r="3" spans="1:11" x14ac:dyDescent="0.2">
      <c r="A3" s="11" t="str">
        <f t="shared" si="0"/>
        <v>Kareem Hunt</v>
      </c>
      <c r="B3" s="11">
        <v>17</v>
      </c>
      <c r="C3" s="11"/>
      <c r="D3" s="11">
        <f>'2017'!A6</f>
        <v>4</v>
      </c>
      <c r="E3" s="11">
        <v>2017</v>
      </c>
      <c r="F3" s="11" t="s">
        <v>64</v>
      </c>
      <c r="G3" s="11" t="e">
        <f t="shared" si="1"/>
        <v>#REF!</v>
      </c>
      <c r="H3" s="14">
        <f>'2017'!C6</f>
        <v>11.911111111111111</v>
      </c>
      <c r="I3" s="11" t="e">
        <v>#N/A</v>
      </c>
      <c r="J3" s="11"/>
      <c r="K3" s="11"/>
    </row>
    <row r="4" spans="1:11" x14ac:dyDescent="0.2">
      <c r="A4" s="11" t="str">
        <f t="shared" si="0"/>
        <v>Alvin Kamara</v>
      </c>
      <c r="B4" s="11">
        <v>18</v>
      </c>
      <c r="C4" s="11"/>
      <c r="D4" s="11">
        <f>'2017'!A11</f>
        <v>9</v>
      </c>
      <c r="E4" s="11">
        <v>2017</v>
      </c>
      <c r="F4" s="11" t="s">
        <v>65</v>
      </c>
      <c r="G4" s="11" t="e">
        <f t="shared" si="1"/>
        <v>#REF!</v>
      </c>
      <c r="H4" s="14">
        <f>'2017'!C11</f>
        <v>9.6166666666666671</v>
      </c>
      <c r="I4" s="11" t="e">
        <v>#N/A</v>
      </c>
      <c r="J4" s="11"/>
      <c r="K4" s="11"/>
    </row>
    <row r="5" spans="1:11" x14ac:dyDescent="0.2">
      <c r="A5" s="11" t="str">
        <f t="shared" si="0"/>
        <v>Dalvin Cook</v>
      </c>
      <c r="B5" s="11">
        <v>19</v>
      </c>
      <c r="C5" s="11"/>
      <c r="D5" s="11">
        <f>'2017'!A4</f>
        <v>2</v>
      </c>
      <c r="E5" s="11">
        <v>2017</v>
      </c>
      <c r="F5" s="11" t="s">
        <v>66</v>
      </c>
      <c r="G5" s="11" t="e">
        <f t="shared" si="1"/>
        <v>#REF!</v>
      </c>
      <c r="H5" s="14">
        <f>'2017'!C4</f>
        <v>12.961111111111112</v>
      </c>
      <c r="I5" s="11" t="e">
        <v>#N/A</v>
      </c>
      <c r="J5" s="11"/>
      <c r="K5" s="11"/>
    </row>
    <row r="6" spans="1:11" x14ac:dyDescent="0.2">
      <c r="A6" s="11" t="str">
        <f t="shared" si="0"/>
        <v>Leonard Fournette</v>
      </c>
      <c r="B6" s="11">
        <v>20</v>
      </c>
      <c r="C6" s="11"/>
      <c r="D6" s="11">
        <f>'2017'!A5</f>
        <v>3</v>
      </c>
      <c r="E6" s="11">
        <v>2017</v>
      </c>
      <c r="F6" s="11" t="s">
        <v>67</v>
      </c>
      <c r="G6" s="11" t="e">
        <f t="shared" si="1"/>
        <v>#REF!</v>
      </c>
      <c r="H6" s="14">
        <f>'2017'!C5</f>
        <v>12.438888888888888</v>
      </c>
      <c r="I6" s="11" t="e">
        <v>#N/A</v>
      </c>
      <c r="J6" s="11"/>
      <c r="K6" s="11"/>
    </row>
    <row r="7" spans="1:11" x14ac:dyDescent="0.2">
      <c r="A7" s="11" t="str">
        <f t="shared" si="0"/>
        <v>Aaron Jones</v>
      </c>
      <c r="B7" s="11">
        <v>21</v>
      </c>
      <c r="C7" s="11"/>
      <c r="D7" s="11">
        <f>'2017'!A8</f>
        <v>6</v>
      </c>
      <c r="E7" s="11">
        <v>2017</v>
      </c>
      <c r="F7" s="11" t="s">
        <v>68</v>
      </c>
      <c r="G7" s="11" t="e">
        <f t="shared" si="1"/>
        <v>#REF!</v>
      </c>
      <c r="H7" s="14">
        <f>'2017'!C8</f>
        <v>10.777777777777779</v>
      </c>
      <c r="I7" s="11" t="e">
        <v>#N/A</v>
      </c>
      <c r="J7" s="11"/>
      <c r="K7" s="11"/>
    </row>
    <row r="8" spans="1:11" x14ac:dyDescent="0.2">
      <c r="A8" s="11" t="str">
        <f t="shared" si="0"/>
        <v>Chris Carson</v>
      </c>
      <c r="B8" s="11">
        <v>22</v>
      </c>
      <c r="C8" s="11"/>
      <c r="D8" s="11">
        <f>'2017'!A26</f>
        <v>24</v>
      </c>
      <c r="E8" s="11">
        <v>2017</v>
      </c>
      <c r="F8" s="11" t="s">
        <v>69</v>
      </c>
      <c r="G8" s="11" t="e">
        <f t="shared" si="1"/>
        <v>#REF!</v>
      </c>
      <c r="H8" s="14">
        <f>'2017'!C26</f>
        <v>3.9833333333333325</v>
      </c>
      <c r="I8" s="11" t="e">
        <v>#N/A</v>
      </c>
      <c r="J8" s="11"/>
      <c r="K8" s="11"/>
    </row>
    <row r="9" spans="1:11" x14ac:dyDescent="0.2">
      <c r="A9" s="11" t="str">
        <f t="shared" si="0"/>
        <v>Joe Mixon</v>
      </c>
      <c r="B9" s="11">
        <v>23</v>
      </c>
      <c r="C9" s="11"/>
      <c r="D9" s="11">
        <f>'2017'!A7</f>
        <v>5</v>
      </c>
      <c r="E9" s="11">
        <v>2017</v>
      </c>
      <c r="F9" s="11" t="s">
        <v>70</v>
      </c>
      <c r="G9" s="11" t="e">
        <f t="shared" si="1"/>
        <v>#REF!</v>
      </c>
      <c r="H9" s="14">
        <f>'2017'!C7</f>
        <v>10.844444444444443</v>
      </c>
      <c r="I9" s="11" t="e">
        <v>#N/A</v>
      </c>
      <c r="J9" s="11"/>
      <c r="K9" s="11"/>
    </row>
    <row r="10" spans="1:11" x14ac:dyDescent="0.2">
      <c r="A10" s="11" t="str">
        <f t="shared" si="0"/>
        <v>James Conner</v>
      </c>
      <c r="B10" s="11">
        <v>24</v>
      </c>
      <c r="C10" s="11"/>
      <c r="D10" s="11">
        <f>'2017'!A10</f>
        <v>8</v>
      </c>
      <c r="E10" s="11">
        <v>2017</v>
      </c>
      <c r="F10" s="11" t="s">
        <v>71</v>
      </c>
      <c r="G10" s="11" t="e">
        <f t="shared" si="1"/>
        <v>#REF!</v>
      </c>
      <c r="H10" s="14">
        <f>'2017'!C10</f>
        <v>9.8666666666666671</v>
      </c>
      <c r="I10" s="11" t="e">
        <v>#N/A</v>
      </c>
      <c r="J10" s="11"/>
      <c r="K10" s="11"/>
    </row>
    <row r="11" spans="1:11" x14ac:dyDescent="0.2">
      <c r="A11" s="11" t="str">
        <f t="shared" si="0"/>
        <v>Marlon Mack</v>
      </c>
      <c r="B11" s="11">
        <v>25</v>
      </c>
      <c r="C11" s="11"/>
      <c r="D11" s="11">
        <f>'2017'!A12</f>
        <v>10</v>
      </c>
      <c r="E11" s="11">
        <v>2017</v>
      </c>
      <c r="F11" s="11" t="s">
        <v>72</v>
      </c>
      <c r="G11" s="11" t="e">
        <f t="shared" si="1"/>
        <v>#REF!</v>
      </c>
      <c r="H11" s="14">
        <f>'2017'!C12</f>
        <v>8.2722222222222221</v>
      </c>
      <c r="I11" s="11" t="e">
        <v>#N/A</v>
      </c>
      <c r="J11" s="11"/>
      <c r="K11" s="11"/>
    </row>
    <row r="12" spans="1:11" x14ac:dyDescent="0.2">
      <c r="A12" s="11" t="str">
        <f t="shared" si="0"/>
        <v>Jamaal Williams</v>
      </c>
      <c r="B12" s="11">
        <v>26</v>
      </c>
      <c r="C12" s="11"/>
      <c r="D12" s="11">
        <f>'2017'!A17</f>
        <v>15</v>
      </c>
      <c r="E12" s="11">
        <v>2017</v>
      </c>
      <c r="F12" s="11" t="s">
        <v>73</v>
      </c>
      <c r="G12" s="11" t="e">
        <f t="shared" si="1"/>
        <v>#REF!</v>
      </c>
      <c r="H12" s="14">
        <f>'2017'!C17</f>
        <v>7.1277777777777782</v>
      </c>
      <c r="I12" s="11" t="e">
        <v>#N/A</v>
      </c>
      <c r="J12" s="11"/>
      <c r="K12" s="11"/>
    </row>
    <row r="13" spans="1:11" x14ac:dyDescent="0.2">
      <c r="A13" s="11" t="str">
        <f t="shared" si="0"/>
        <v>Samaje Perine</v>
      </c>
      <c r="B13" s="11">
        <v>28</v>
      </c>
      <c r="C13" s="11"/>
      <c r="D13" s="11">
        <f>'2017'!A13</f>
        <v>11</v>
      </c>
      <c r="E13" s="11">
        <v>2017</v>
      </c>
      <c r="F13" s="11" t="s">
        <v>74</v>
      </c>
      <c r="G13" s="11" t="e">
        <f t="shared" si="1"/>
        <v>#REF!</v>
      </c>
      <c r="H13" s="14">
        <f>'2017'!C13</f>
        <v>8.0500000000000007</v>
      </c>
      <c r="I13" s="11" t="e">
        <v>#N/A</v>
      </c>
      <c r="J13" s="11"/>
      <c r="K13" s="11"/>
    </row>
    <row r="14" spans="1:11" x14ac:dyDescent="0.2">
      <c r="A14" s="11" t="str">
        <f t="shared" si="0"/>
        <v>Elijah McGuire</v>
      </c>
      <c r="B14" s="11">
        <v>29</v>
      </c>
      <c r="C14" s="11"/>
      <c r="D14" s="11">
        <f>'2017'!A15</f>
        <v>13</v>
      </c>
      <c r="E14" s="11">
        <v>2017</v>
      </c>
      <c r="F14" s="11" t="s">
        <v>75</v>
      </c>
      <c r="G14" s="11" t="e">
        <f t="shared" si="1"/>
        <v>#REF!</v>
      </c>
      <c r="H14" s="14">
        <f>'2017'!C15</f>
        <v>7.6499999999999986</v>
      </c>
      <c r="I14" s="11" t="e">
        <v>#N/A</v>
      </c>
      <c r="J14" s="11"/>
      <c r="K14" s="11"/>
    </row>
    <row r="15" spans="1:11" x14ac:dyDescent="0.2">
      <c r="A15" s="11" t="str">
        <f t="shared" si="0"/>
        <v>D'Onta Foreman</v>
      </c>
      <c r="B15" s="11">
        <v>30</v>
      </c>
      <c r="C15" s="11"/>
      <c r="D15" s="11">
        <f>'2017'!A9</f>
        <v>7</v>
      </c>
      <c r="E15" s="11">
        <v>2017</v>
      </c>
      <c r="F15" s="11" t="s">
        <v>76</v>
      </c>
      <c r="G15" s="11" t="e">
        <f t="shared" si="1"/>
        <v>#REF!</v>
      </c>
      <c r="H15" s="14">
        <f>'2017'!C9</f>
        <v>10.5</v>
      </c>
      <c r="I15" s="11" t="e">
        <v>#N/A</v>
      </c>
      <c r="J15" s="11"/>
      <c r="K15" s="11"/>
    </row>
    <row r="16" spans="1:11" x14ac:dyDescent="0.2">
      <c r="A16" s="11" t="str">
        <f t="shared" si="0"/>
        <v>Brian Hill</v>
      </c>
      <c r="B16" s="11">
        <v>31</v>
      </c>
      <c r="C16" s="11"/>
      <c r="D16" s="11">
        <f>'2017'!A18</f>
        <v>16</v>
      </c>
      <c r="E16" s="11">
        <v>2017</v>
      </c>
      <c r="F16" s="11" t="s">
        <v>77</v>
      </c>
      <c r="G16" s="11" t="e">
        <f t="shared" si="1"/>
        <v>#REF!</v>
      </c>
      <c r="H16" s="14">
        <f>'2017'!C18</f>
        <v>5.8833333333333329</v>
      </c>
      <c r="I16" s="11" t="e">
        <v>#N/A</v>
      </c>
      <c r="J16" s="11"/>
      <c r="K16" s="11"/>
    </row>
    <row r="17" spans="1:9" x14ac:dyDescent="0.2">
      <c r="A17" s="11" t="str">
        <f t="shared" si="0"/>
        <v>Wayne Gallman</v>
      </c>
      <c r="B17" s="11">
        <v>32</v>
      </c>
      <c r="C17" s="11"/>
      <c r="D17" s="11">
        <f>'2017'!A20</f>
        <v>18</v>
      </c>
      <c r="E17" s="11">
        <v>2017</v>
      </c>
      <c r="F17" s="11" t="s">
        <v>78</v>
      </c>
      <c r="G17" s="11" t="e">
        <f t="shared" si="1"/>
        <v>#REF!</v>
      </c>
      <c r="H17" s="14">
        <f>'2017'!C20</f>
        <v>5.4499999999999993</v>
      </c>
      <c r="I17" s="11" t="e">
        <v>#N/A</v>
      </c>
    </row>
    <row r="18" spans="1:9" x14ac:dyDescent="0.2">
      <c r="A18" s="11" t="str">
        <f t="shared" si="0"/>
        <v>T.J. Logan</v>
      </c>
      <c r="B18" s="11">
        <v>33</v>
      </c>
      <c r="C18" s="11"/>
      <c r="D18" s="11">
        <f>'2017'!A25</f>
        <v>23</v>
      </c>
      <c r="E18" s="11">
        <v>2017</v>
      </c>
      <c r="F18" s="11" t="s">
        <v>79</v>
      </c>
      <c r="G18" s="11" t="e">
        <f t="shared" si="1"/>
        <v>#REF!</v>
      </c>
      <c r="H18" s="14">
        <f>'2017'!C25</f>
        <v>4.0611111111111109</v>
      </c>
      <c r="I18" s="11" t="e">
        <v>#N/A</v>
      </c>
    </row>
    <row r="19" spans="1:9" x14ac:dyDescent="0.2">
      <c r="A19" s="11" t="str">
        <f t="shared" si="0"/>
        <v>Jeremy McNichols</v>
      </c>
      <c r="B19" s="11">
        <v>34</v>
      </c>
      <c r="C19" s="11"/>
      <c r="D19" s="11">
        <f>'2017'!A14</f>
        <v>12</v>
      </c>
      <c r="E19" s="11">
        <v>2017</v>
      </c>
      <c r="F19" s="11" t="s">
        <v>80</v>
      </c>
      <c r="G19" s="11" t="e">
        <f t="shared" si="1"/>
        <v>#REF!</v>
      </c>
      <c r="H19" s="14">
        <f>'2017'!C14</f>
        <v>7.8500000000000014</v>
      </c>
      <c r="I19" s="11" t="e">
        <v>#N/A</v>
      </c>
    </row>
    <row r="20" spans="1:9" x14ac:dyDescent="0.2">
      <c r="A20" s="11" t="str">
        <f t="shared" si="0"/>
        <v>Donnel Pumphrey</v>
      </c>
      <c r="B20" s="11">
        <v>35</v>
      </c>
      <c r="C20" s="11"/>
      <c r="D20" s="11">
        <f>'2017'!A16</f>
        <v>14</v>
      </c>
      <c r="E20" s="11">
        <v>2017</v>
      </c>
      <c r="F20" s="11" t="s">
        <v>81</v>
      </c>
      <c r="G20" s="11" t="e">
        <f t="shared" si="1"/>
        <v>#REF!</v>
      </c>
      <c r="H20" s="14">
        <f>'2017'!C16</f>
        <v>7.3388888888888886</v>
      </c>
      <c r="I20" s="11" t="e">
        <v>#N/A</v>
      </c>
    </row>
    <row r="21" spans="1:9" ht="15.75" customHeight="1" x14ac:dyDescent="0.2">
      <c r="A21" s="11" t="str">
        <f t="shared" si="0"/>
        <v>Joe Williams</v>
      </c>
      <c r="B21" s="11">
        <v>36</v>
      </c>
      <c r="C21" s="11"/>
      <c r="D21" s="11">
        <f>'2017'!A19</f>
        <v>17</v>
      </c>
      <c r="E21" s="11">
        <v>2017</v>
      </c>
      <c r="F21" s="11" t="s">
        <v>82</v>
      </c>
      <c r="G21" s="11" t="e">
        <f t="shared" si="1"/>
        <v>#REF!</v>
      </c>
      <c r="H21" s="14">
        <f>'2017'!C19</f>
        <v>5.7277777777777779</v>
      </c>
      <c r="I21" s="11" t="e">
        <v>#N/A</v>
      </c>
    </row>
    <row r="22" spans="1:9" ht="15.75" customHeight="1" x14ac:dyDescent="0.2">
      <c r="A22" s="11" t="str">
        <f t="shared" si="0"/>
        <v>Elijah Hood</v>
      </c>
      <c r="B22" s="11">
        <v>37</v>
      </c>
      <c r="C22" s="11"/>
      <c r="D22" s="11">
        <f>'2017'!A21</f>
        <v>19</v>
      </c>
      <c r="E22" s="11">
        <v>2017</v>
      </c>
      <c r="F22" s="11" t="s">
        <v>83</v>
      </c>
      <c r="G22" s="11" t="e">
        <f t="shared" si="1"/>
        <v>#REF!</v>
      </c>
      <c r="H22" s="14">
        <f>'2017'!C21</f>
        <v>5.3277777777777775</v>
      </c>
      <c r="I22" s="11" t="e">
        <v>#N/A</v>
      </c>
    </row>
    <row r="23" spans="1:9" ht="15.75" customHeight="1" x14ac:dyDescent="0.2">
      <c r="A23" s="11" t="str">
        <f t="shared" si="0"/>
        <v>Khalfani Muhammad</v>
      </c>
      <c r="B23" s="11">
        <v>38</v>
      </c>
      <c r="C23" s="11"/>
      <c r="D23" s="11">
        <f>'2017'!A27</f>
        <v>25</v>
      </c>
      <c r="E23" s="11">
        <v>2017</v>
      </c>
      <c r="F23" s="11" t="s">
        <v>84</v>
      </c>
      <c r="G23" s="11" t="e">
        <f t="shared" si="1"/>
        <v>#REF!</v>
      </c>
      <c r="H23" s="14">
        <f>'2017'!C27</f>
        <v>3.9444444444444446</v>
      </c>
      <c r="I23" s="11" t="e">
        <v>#N/A</v>
      </c>
    </row>
    <row r="24" spans="1:9" ht="15.75" customHeight="1" x14ac:dyDescent="0.2">
      <c r="A24" s="11" t="str">
        <f t="shared" si="0"/>
        <v>Devante Mays</v>
      </c>
      <c r="B24" s="11">
        <v>40</v>
      </c>
      <c r="C24" s="11"/>
      <c r="D24" s="11">
        <f>'2017'!A22</f>
        <v>20</v>
      </c>
      <c r="E24" s="11">
        <v>2017</v>
      </c>
      <c r="F24" s="11" t="s">
        <v>85</v>
      </c>
      <c r="G24" s="11" t="e">
        <f t="shared" si="1"/>
        <v>#REF!</v>
      </c>
      <c r="H24" s="14">
        <f>'2017'!C22</f>
        <v>5.2333333333333334</v>
      </c>
      <c r="I24" s="11" t="e">
        <v>#N/A</v>
      </c>
    </row>
    <row r="25" spans="1:9" ht="15.75" customHeight="1" x14ac:dyDescent="0.2">
      <c r="A25" s="11" t="str">
        <f t="shared" si="0"/>
        <v>Saquon Barkley</v>
      </c>
      <c r="B25" s="11">
        <v>41</v>
      </c>
      <c r="C25" s="11"/>
      <c r="D25" s="11">
        <f>'2018'!A3</f>
        <v>1</v>
      </c>
      <c r="E25" s="11">
        <v>2018</v>
      </c>
      <c r="F25" s="11" t="s">
        <v>86</v>
      </c>
      <c r="G25" s="11" t="e">
        <f t="shared" si="1"/>
        <v>#REF!</v>
      </c>
      <c r="H25" s="14">
        <f>'2018'!C3</f>
        <v>14.383333333333333</v>
      </c>
      <c r="I25" s="11" t="e">
        <v>#N/A</v>
      </c>
    </row>
    <row r="26" spans="1:9" ht="15.75" customHeight="1" x14ac:dyDescent="0.2">
      <c r="A26" s="11" t="str">
        <f t="shared" si="0"/>
        <v>Nick Chubb</v>
      </c>
      <c r="B26" s="11">
        <v>42</v>
      </c>
      <c r="C26" s="11"/>
      <c r="D26" s="11">
        <f>'2018'!A6</f>
        <v>4</v>
      </c>
      <c r="E26" s="11">
        <v>2018</v>
      </c>
      <c r="F26" s="11" t="s">
        <v>87</v>
      </c>
      <c r="G26" s="11" t="e">
        <f t="shared" si="1"/>
        <v>#REF!</v>
      </c>
      <c r="H26" s="14">
        <f>'2018'!C6</f>
        <v>10.666666666666666</v>
      </c>
      <c r="I26" s="11" t="e">
        <v>#N/A</v>
      </c>
    </row>
    <row r="27" spans="1:9" ht="15.75" customHeight="1" x14ac:dyDescent="0.2">
      <c r="A27" s="11" t="str">
        <f t="shared" si="0"/>
        <v>Sony Michel</v>
      </c>
      <c r="B27" s="11">
        <v>44</v>
      </c>
      <c r="C27" s="11"/>
      <c r="D27" s="11">
        <f>'2018'!A5</f>
        <v>3</v>
      </c>
      <c r="E27" s="11">
        <v>2018</v>
      </c>
      <c r="F27" s="11" t="s">
        <v>88</v>
      </c>
      <c r="G27" s="11" t="e">
        <f t="shared" si="1"/>
        <v>#REF!</v>
      </c>
      <c r="H27" s="14">
        <f>'2018'!C5</f>
        <v>10.877777777777778</v>
      </c>
      <c r="I27" s="11" t="e">
        <v>#N/A</v>
      </c>
    </row>
    <row r="28" spans="1:9" ht="15.75" customHeight="1" x14ac:dyDescent="0.2">
      <c r="A28" s="11" t="str">
        <f t="shared" si="0"/>
        <v>Kerryon Johnson</v>
      </c>
      <c r="B28" s="11">
        <v>45</v>
      </c>
      <c r="C28" s="11"/>
      <c r="D28" s="11">
        <f>'2018'!A10</f>
        <v>8</v>
      </c>
      <c r="E28" s="11">
        <v>2018</v>
      </c>
      <c r="F28" s="11" t="s">
        <v>89</v>
      </c>
      <c r="G28" s="11" t="e">
        <f t="shared" si="1"/>
        <v>#REF!</v>
      </c>
      <c r="H28" s="14">
        <f>'2018'!C10</f>
        <v>8.1944444444444446</v>
      </c>
      <c r="I28" s="11" t="e">
        <v>#N/A</v>
      </c>
    </row>
    <row r="29" spans="1:9" ht="15.75" customHeight="1" x14ac:dyDescent="0.2">
      <c r="A29" s="11" t="str">
        <f t="shared" si="0"/>
        <v>Derrius Guice</v>
      </c>
      <c r="B29" s="11">
        <v>46</v>
      </c>
      <c r="C29" s="11"/>
      <c r="D29" s="11">
        <f>'2018'!A7</f>
        <v>5</v>
      </c>
      <c r="E29" s="11">
        <v>2018</v>
      </c>
      <c r="F29" s="11" t="s">
        <v>90</v>
      </c>
      <c r="G29" s="11" t="e">
        <f t="shared" si="1"/>
        <v>#REF!</v>
      </c>
      <c r="H29" s="14">
        <f>'2018'!C7</f>
        <v>10.155555555555557</v>
      </c>
      <c r="I29" s="11" t="e">
        <v>#N/A</v>
      </c>
    </row>
    <row r="30" spans="1:9" ht="15.75" customHeight="1" x14ac:dyDescent="0.2">
      <c r="A30" s="11" t="str">
        <f t="shared" si="0"/>
        <v>Nyheim Hines</v>
      </c>
      <c r="B30" s="11">
        <v>47</v>
      </c>
      <c r="C30" s="11"/>
      <c r="D30" s="11">
        <f>'2018'!A19</f>
        <v>17</v>
      </c>
      <c r="E30" s="11">
        <v>2018</v>
      </c>
      <c r="F30" s="11" t="s">
        <v>91</v>
      </c>
      <c r="G30" s="11" t="e">
        <f t="shared" si="1"/>
        <v>#REF!</v>
      </c>
      <c r="H30" s="14">
        <f>'2018'!C19</f>
        <v>4.9666666666666659</v>
      </c>
      <c r="I30" s="11" t="e">
        <v>#N/A</v>
      </c>
    </row>
    <row r="31" spans="1:9" ht="15.75" customHeight="1" x14ac:dyDescent="0.2">
      <c r="A31" s="11" t="str">
        <f t="shared" si="0"/>
        <v>Rashaad Penny</v>
      </c>
      <c r="B31" s="11">
        <v>48</v>
      </c>
      <c r="C31" s="11"/>
      <c r="D31" s="11">
        <f>'2018'!A4</f>
        <v>2</v>
      </c>
      <c r="E31" s="11">
        <v>2018</v>
      </c>
      <c r="F31" s="11" t="s">
        <v>92</v>
      </c>
      <c r="G31" s="11" t="e">
        <f t="shared" si="1"/>
        <v>#REF!</v>
      </c>
      <c r="H31" s="14">
        <f>'2018'!C4</f>
        <v>11.022222222222222</v>
      </c>
      <c r="I31" s="11" t="e">
        <v>#N/A</v>
      </c>
    </row>
    <row r="32" spans="1:9" ht="15.75" customHeight="1" x14ac:dyDescent="0.2">
      <c r="A32" s="11" t="str">
        <f t="shared" si="0"/>
        <v>Bo Scarbrough</v>
      </c>
      <c r="B32" s="11">
        <v>49</v>
      </c>
      <c r="C32" s="11"/>
      <c r="D32" s="11">
        <f>'2018'!A21</f>
        <v>19</v>
      </c>
      <c r="E32" s="11">
        <v>2018</v>
      </c>
      <c r="F32" s="11" t="s">
        <v>93</v>
      </c>
      <c r="G32" s="11" t="e">
        <f t="shared" si="1"/>
        <v>#REF!</v>
      </c>
      <c r="H32" s="14">
        <f>'2018'!C21</f>
        <v>4.75</v>
      </c>
      <c r="I32" s="11" t="e">
        <v>#N/A</v>
      </c>
    </row>
    <row r="33" spans="1:9" ht="15.75" customHeight="1" x14ac:dyDescent="0.2">
      <c r="A33" s="11" t="str">
        <f t="shared" si="0"/>
        <v>Royce Freeman</v>
      </c>
      <c r="B33" s="11">
        <v>50</v>
      </c>
      <c r="C33" s="11"/>
      <c r="D33" s="11">
        <f>'2018'!A8</f>
        <v>6</v>
      </c>
      <c r="E33" s="11">
        <v>2018</v>
      </c>
      <c r="F33" s="11" t="s">
        <v>94</v>
      </c>
      <c r="G33" s="11" t="e">
        <f t="shared" si="1"/>
        <v>#REF!</v>
      </c>
      <c r="H33" s="14">
        <f>'2018'!C8</f>
        <v>9.7666666666666675</v>
      </c>
      <c r="I33" s="11" t="e">
        <v>#N/A</v>
      </c>
    </row>
    <row r="34" spans="1:9" ht="15.75" customHeight="1" x14ac:dyDescent="0.2">
      <c r="A34" s="11" t="str">
        <f t="shared" si="0"/>
        <v>Justin Jackson</v>
      </c>
      <c r="B34" s="11">
        <v>51</v>
      </c>
      <c r="C34" s="11"/>
      <c r="D34" s="11">
        <f>'2018'!A15</f>
        <v>13</v>
      </c>
      <c r="E34" s="11">
        <v>2018</v>
      </c>
      <c r="F34" s="11" t="s">
        <v>95</v>
      </c>
      <c r="G34" s="11" t="e">
        <f t="shared" si="1"/>
        <v>#REF!</v>
      </c>
      <c r="H34" s="14">
        <f>'2018'!C15</f>
        <v>6.8388888888888886</v>
      </c>
      <c r="I34" s="11" t="e">
        <v>#N/A</v>
      </c>
    </row>
    <row r="35" spans="1:9" ht="15.75" customHeight="1" x14ac:dyDescent="0.2">
      <c r="A35" s="11" t="str">
        <f t="shared" si="0"/>
        <v>Boston Scott</v>
      </c>
      <c r="B35" s="11">
        <v>53</v>
      </c>
      <c r="C35" s="11"/>
      <c r="D35" s="11">
        <f>'2018'!A17</f>
        <v>15</v>
      </c>
      <c r="E35" s="11">
        <v>2018</v>
      </c>
      <c r="F35" s="11" t="s">
        <v>96</v>
      </c>
      <c r="G35" s="11" t="e">
        <f t="shared" si="1"/>
        <v>#REF!</v>
      </c>
      <c r="H35" s="14">
        <f>'2018'!C17</f>
        <v>5.6222222222222227</v>
      </c>
      <c r="I35" s="11" t="e">
        <v>#N/A</v>
      </c>
    </row>
    <row r="36" spans="1:9" ht="15.75" customHeight="1" x14ac:dyDescent="0.2">
      <c r="A36" s="11" t="str">
        <f t="shared" si="0"/>
        <v>Ito Smith</v>
      </c>
      <c r="B36" s="11">
        <v>55</v>
      </c>
      <c r="C36" s="11"/>
      <c r="D36" s="11">
        <f>'2018'!A11</f>
        <v>9</v>
      </c>
      <c r="E36" s="11">
        <v>2018</v>
      </c>
      <c r="F36" s="11" t="s">
        <v>97</v>
      </c>
      <c r="G36" s="11" t="e">
        <f t="shared" si="1"/>
        <v>#REF!</v>
      </c>
      <c r="H36" s="14">
        <f>'2018'!C11</f>
        <v>7.8555555555555561</v>
      </c>
      <c r="I36" s="11" t="e">
        <v>#N/A</v>
      </c>
    </row>
    <row r="37" spans="1:9" ht="15.75" customHeight="1" x14ac:dyDescent="0.2">
      <c r="A37" s="11" t="str">
        <f t="shared" si="0"/>
        <v>Kalen Ballage</v>
      </c>
      <c r="B37" s="11">
        <v>56</v>
      </c>
      <c r="C37" s="11"/>
      <c r="D37" s="11">
        <f>'2018'!A22</f>
        <v>20</v>
      </c>
      <c r="E37" s="11">
        <v>2018</v>
      </c>
      <c r="F37" s="11" t="s">
        <v>98</v>
      </c>
      <c r="G37" s="11" t="e">
        <f t="shared" si="1"/>
        <v>#REF!</v>
      </c>
      <c r="H37" s="14">
        <f>'2018'!C22</f>
        <v>4.5166666666666666</v>
      </c>
      <c r="I37" s="11" t="e">
        <v>#N/A</v>
      </c>
    </row>
    <row r="38" spans="1:9" ht="15.75" customHeight="1" x14ac:dyDescent="0.2">
      <c r="A38" s="11" t="str">
        <f t="shared" si="0"/>
        <v>Jordan Wilkins</v>
      </c>
      <c r="B38" s="11">
        <v>57</v>
      </c>
      <c r="C38" s="11"/>
      <c r="D38" s="11">
        <f>'2018'!A20</f>
        <v>18</v>
      </c>
      <c r="E38" s="11">
        <v>2018</v>
      </c>
      <c r="F38" s="11" t="s">
        <v>99</v>
      </c>
      <c r="G38" s="11" t="e">
        <f t="shared" si="1"/>
        <v>#REF!</v>
      </c>
      <c r="H38" s="14">
        <f>'2018'!C20</f>
        <v>4.8555555555555552</v>
      </c>
      <c r="I38" s="11" t="e">
        <v>#N/A</v>
      </c>
    </row>
    <row r="39" spans="1:9" ht="15.75" customHeight="1" x14ac:dyDescent="0.2">
      <c r="A39" s="11" t="str">
        <f t="shared" si="0"/>
        <v>Mark Walton</v>
      </c>
      <c r="B39" s="11">
        <v>58</v>
      </c>
      <c r="C39" s="11"/>
      <c r="D39" s="11">
        <f>'2018'!A16</f>
        <v>14</v>
      </c>
      <c r="E39" s="11">
        <v>2018</v>
      </c>
      <c r="F39" s="11" t="s">
        <v>100</v>
      </c>
      <c r="G39" s="11" t="e">
        <f t="shared" si="1"/>
        <v>#REF!</v>
      </c>
      <c r="H39" s="14">
        <f>'2018'!C16</f>
        <v>6.2055555555555557</v>
      </c>
      <c r="I39" s="11" t="e">
        <v>#N/A</v>
      </c>
    </row>
    <row r="40" spans="1:9" ht="15.75" customHeight="1" x14ac:dyDescent="0.2">
      <c r="A40" s="11" t="str">
        <f t="shared" si="0"/>
        <v>John Kelly</v>
      </c>
      <c r="B40" s="11">
        <v>59</v>
      </c>
      <c r="C40" s="11"/>
      <c r="D40" s="11">
        <f>'2018'!A12</f>
        <v>10</v>
      </c>
      <c r="E40" s="11">
        <v>2018</v>
      </c>
      <c r="F40" s="11" t="s">
        <v>101</v>
      </c>
      <c r="G40" s="11" t="e">
        <f t="shared" si="1"/>
        <v>#REF!</v>
      </c>
      <c r="H40" s="14">
        <f>'2018'!C12</f>
        <v>7.5333333333333332</v>
      </c>
      <c r="I40" s="11" t="e">
        <v>#N/A</v>
      </c>
    </row>
    <row r="41" spans="1:9" ht="15.75" customHeight="1" x14ac:dyDescent="0.2">
      <c r="A41" s="11" t="str">
        <f t="shared" si="0"/>
        <v>David Williams</v>
      </c>
      <c r="B41" s="11">
        <v>60</v>
      </c>
      <c r="C41" s="11"/>
      <c r="D41" s="11">
        <f>'2018'!A25</f>
        <v>23</v>
      </c>
      <c r="E41" s="11">
        <v>2018</v>
      </c>
      <c r="F41" s="11" t="s">
        <v>102</v>
      </c>
      <c r="G41" s="11" t="e">
        <f t="shared" si="1"/>
        <v>#REF!</v>
      </c>
      <c r="H41" s="14">
        <f>'2018'!C25</f>
        <v>3.2166666666666668</v>
      </c>
      <c r="I41" s="11" t="e">
        <v>#N/A</v>
      </c>
    </row>
    <row r="42" spans="1:9" ht="15.75" customHeight="1" x14ac:dyDescent="0.2">
      <c r="A42" s="11" t="str">
        <f t="shared" si="0"/>
        <v>Josh Jacobs</v>
      </c>
      <c r="B42" s="11">
        <v>62</v>
      </c>
      <c r="C42" s="11"/>
      <c r="D42" s="11">
        <f>'2019'!A4</f>
        <v>2</v>
      </c>
      <c r="E42" s="11">
        <v>2019</v>
      </c>
      <c r="F42" s="11" t="s">
        <v>103</v>
      </c>
      <c r="G42" s="11" t="e">
        <f t="shared" si="1"/>
        <v>#REF!</v>
      </c>
      <c r="H42" s="14">
        <f>'2019'!C4</f>
        <v>10.277777777777779</v>
      </c>
      <c r="I42" s="11" t="e">
        <v>#N/A</v>
      </c>
    </row>
    <row r="43" spans="1:9" ht="15.75" customHeight="1" x14ac:dyDescent="0.2">
      <c r="A43" s="11" t="str">
        <f t="shared" si="0"/>
        <v>David Montgomery</v>
      </c>
      <c r="B43" s="11">
        <v>63</v>
      </c>
      <c r="C43" s="11"/>
      <c r="D43" s="11">
        <f>'2019'!A9</f>
        <v>7</v>
      </c>
      <c r="E43" s="11">
        <v>2019</v>
      </c>
      <c r="F43" s="11" t="s">
        <v>104</v>
      </c>
      <c r="G43" s="11" t="e">
        <f t="shared" si="1"/>
        <v>#REF!</v>
      </c>
      <c r="H43" s="14">
        <f>'2019'!C9</f>
        <v>8.7222222222222214</v>
      </c>
      <c r="I43" s="11" t="e">
        <v>#N/A</v>
      </c>
    </row>
    <row r="44" spans="1:9" ht="15.75" customHeight="1" x14ac:dyDescent="0.2">
      <c r="A44" s="11" t="str">
        <f t="shared" si="0"/>
        <v>Damien Harris</v>
      </c>
      <c r="B44" s="11">
        <v>64</v>
      </c>
      <c r="C44" s="11"/>
      <c r="D44" s="11">
        <f>'2019'!A5</f>
        <v>3</v>
      </c>
      <c r="E44" s="11">
        <v>2019</v>
      </c>
      <c r="F44" s="11" t="s">
        <v>105</v>
      </c>
      <c r="G44" s="11" t="e">
        <f t="shared" si="1"/>
        <v>#REF!</v>
      </c>
      <c r="H44" s="14">
        <f>'2019'!C5</f>
        <v>10.211111111111112</v>
      </c>
      <c r="I44" s="11" t="e">
        <v>#N/A</v>
      </c>
    </row>
    <row r="45" spans="1:9" ht="15.75" customHeight="1" x14ac:dyDescent="0.2">
      <c r="A45" s="11" t="str">
        <f t="shared" si="0"/>
        <v>Miles Sanders</v>
      </c>
      <c r="B45" s="11">
        <v>65</v>
      </c>
      <c r="C45" s="11"/>
      <c r="D45" s="11">
        <f>'2019'!A3</f>
        <v>1</v>
      </c>
      <c r="E45" s="11">
        <v>2019</v>
      </c>
      <c r="F45" s="11" t="s">
        <v>106</v>
      </c>
      <c r="G45" s="11" t="e">
        <f t="shared" si="1"/>
        <v>#REF!</v>
      </c>
      <c r="H45" s="14">
        <f>'2019'!C3</f>
        <v>11.211111111111112</v>
      </c>
      <c r="I45" s="11" t="e">
        <v>#N/A</v>
      </c>
    </row>
    <row r="46" spans="1:9" ht="15.75" customHeight="1" x14ac:dyDescent="0.2">
      <c r="A46" s="11" t="str">
        <f t="shared" si="0"/>
        <v>Devin Singletary</v>
      </c>
      <c r="B46" s="11">
        <v>66</v>
      </c>
      <c r="C46" s="11"/>
      <c r="D46" s="11">
        <f>'2019'!A7</f>
        <v>5</v>
      </c>
      <c r="E46" s="11">
        <v>2019</v>
      </c>
      <c r="F46" s="11" t="s">
        <v>107</v>
      </c>
      <c r="G46" s="11" t="e">
        <f t="shared" si="1"/>
        <v>#REF!</v>
      </c>
      <c r="H46" s="14">
        <f>'2019'!C7</f>
        <v>9.3277777777777757</v>
      </c>
      <c r="I46" s="11" t="e">
        <v>#N/A</v>
      </c>
    </row>
    <row r="47" spans="1:9" ht="15.75" customHeight="1" x14ac:dyDescent="0.2">
      <c r="A47" s="11" t="str">
        <f t="shared" si="0"/>
        <v>Myles Gaskin</v>
      </c>
      <c r="B47" s="11">
        <v>67</v>
      </c>
      <c r="C47" s="11"/>
      <c r="D47" s="11">
        <f>'2019'!A14</f>
        <v>12</v>
      </c>
      <c r="E47" s="11">
        <v>2019</v>
      </c>
      <c r="F47" s="11" t="s">
        <v>108</v>
      </c>
      <c r="G47" s="11" t="e">
        <f t="shared" si="1"/>
        <v>#REF!</v>
      </c>
      <c r="H47" s="14">
        <f>'2019'!C14</f>
        <v>6.7888888888888888</v>
      </c>
      <c r="I47" s="11" t="e">
        <v>#N/A</v>
      </c>
    </row>
    <row r="48" spans="1:9" ht="15.75" customHeight="1" x14ac:dyDescent="0.2">
      <c r="A48" s="11" t="str">
        <f t="shared" si="0"/>
        <v>Darrell Henderson</v>
      </c>
      <c r="B48" s="11">
        <v>68</v>
      </c>
      <c r="C48" s="11"/>
      <c r="D48" s="11">
        <f>'2019'!A6</f>
        <v>4</v>
      </c>
      <c r="E48" s="11">
        <v>2019</v>
      </c>
      <c r="F48" s="11" t="s">
        <v>109</v>
      </c>
      <c r="G48" s="11" t="e">
        <f t="shared" si="1"/>
        <v>#REF!</v>
      </c>
      <c r="H48" s="14">
        <f>'2019'!C6</f>
        <v>9.6111111111111107</v>
      </c>
      <c r="I48" s="11" t="e">
        <v>#N/A</v>
      </c>
    </row>
    <row r="49" spans="1:9" ht="15.75" customHeight="1" x14ac:dyDescent="0.2">
      <c r="A49" s="11" t="str">
        <f t="shared" si="0"/>
        <v>Tony Pollard</v>
      </c>
      <c r="B49" s="11">
        <v>69</v>
      </c>
      <c r="C49" s="11"/>
      <c r="D49" s="11">
        <f>'2019'!A13</f>
        <v>11</v>
      </c>
      <c r="E49" s="11">
        <v>2019</v>
      </c>
      <c r="F49" s="11" t="s">
        <v>110</v>
      </c>
      <c r="G49" s="11" t="e">
        <f t="shared" si="1"/>
        <v>#REF!</v>
      </c>
      <c r="H49" s="14">
        <f>'2019'!C13</f>
        <v>7.3055555555555554</v>
      </c>
      <c r="I49" s="11" t="e">
        <v>#N/A</v>
      </c>
    </row>
    <row r="50" spans="1:9" ht="15.75" customHeight="1" x14ac:dyDescent="0.2">
      <c r="A50" s="11" t="str">
        <f t="shared" si="0"/>
        <v>Alexander Mattison</v>
      </c>
      <c r="B50" s="11">
        <v>70</v>
      </c>
      <c r="C50" s="11"/>
      <c r="D50" s="11">
        <f>'2019'!A15</f>
        <v>13</v>
      </c>
      <c r="E50" s="11">
        <v>2019</v>
      </c>
      <c r="F50" s="11" t="s">
        <v>111</v>
      </c>
      <c r="G50" s="11" t="e">
        <f t="shared" si="1"/>
        <v>#REF!</v>
      </c>
      <c r="H50" s="14">
        <f>'2019'!C15</f>
        <v>6.7388888888888898</v>
      </c>
      <c r="I50" s="11" t="e">
        <v>#N/A</v>
      </c>
    </row>
    <row r="51" spans="1:9" ht="15.75" customHeight="1" x14ac:dyDescent="0.2">
      <c r="A51" s="11" t="str">
        <f t="shared" si="0"/>
        <v>Ty Johnson</v>
      </c>
      <c r="B51" s="11">
        <v>71</v>
      </c>
      <c r="C51" s="11"/>
      <c r="D51" s="11">
        <f>'2019'!A11</f>
        <v>9</v>
      </c>
      <c r="E51" s="11">
        <v>2019</v>
      </c>
      <c r="F51" s="11" t="s">
        <v>112</v>
      </c>
      <c r="G51" s="11" t="e">
        <f t="shared" si="1"/>
        <v>#REF!</v>
      </c>
      <c r="H51" s="14">
        <f>'2019'!C11</f>
        <v>8.25</v>
      </c>
      <c r="I51" s="11" t="e">
        <v>#N/A</v>
      </c>
    </row>
    <row r="52" spans="1:9" ht="15.75" customHeight="1" x14ac:dyDescent="0.2">
      <c r="A52" s="11" t="str">
        <f t="shared" si="0"/>
        <v>Qadree Ollison</v>
      </c>
      <c r="B52" s="11">
        <v>72</v>
      </c>
      <c r="C52" s="11"/>
      <c r="D52" s="11">
        <f>'2019'!A16</f>
        <v>14</v>
      </c>
      <c r="E52" s="11">
        <v>2019</v>
      </c>
      <c r="F52" s="11" t="s">
        <v>113</v>
      </c>
      <c r="G52" s="11" t="e">
        <f t="shared" si="1"/>
        <v>#REF!</v>
      </c>
      <c r="H52" s="14">
        <f>'2019'!C16</f>
        <v>6.6166666666666663</v>
      </c>
      <c r="I52" s="11" t="e">
        <v>#N/A</v>
      </c>
    </row>
    <row r="53" spans="1:9" ht="15.75" customHeight="1" x14ac:dyDescent="0.2">
      <c r="A53" s="11" t="str">
        <f t="shared" si="0"/>
        <v>Travis Homer</v>
      </c>
      <c r="B53" s="11">
        <v>73</v>
      </c>
      <c r="C53" s="11"/>
      <c r="D53" s="11">
        <f>'2019'!A18</f>
        <v>16</v>
      </c>
      <c r="E53" s="11">
        <v>2019</v>
      </c>
      <c r="F53" s="11" t="s">
        <v>114</v>
      </c>
      <c r="G53" s="11" t="e">
        <f t="shared" si="1"/>
        <v>#REF!</v>
      </c>
      <c r="H53" s="14">
        <f>'2019'!C18</f>
        <v>6.1444444444444448</v>
      </c>
      <c r="I53" s="11" t="e">
        <v>#N/A</v>
      </c>
    </row>
    <row r="54" spans="1:9" ht="15.75" customHeight="1" x14ac:dyDescent="0.2">
      <c r="A54" s="11" t="str">
        <f t="shared" si="0"/>
        <v>Benny Snell Jr.</v>
      </c>
      <c r="B54" s="11">
        <v>74</v>
      </c>
      <c r="C54" s="11"/>
      <c r="D54" s="11">
        <f>'2019'!A10</f>
        <v>8</v>
      </c>
      <c r="E54" s="11">
        <v>2019</v>
      </c>
      <c r="F54" s="11" t="s">
        <v>115</v>
      </c>
      <c r="G54" s="11" t="e">
        <f t="shared" si="1"/>
        <v>#REF!</v>
      </c>
      <c r="H54" s="14">
        <f>'2019'!C10</f>
        <v>8.6499999999999986</v>
      </c>
      <c r="I54" s="11" t="e">
        <v>#N/A</v>
      </c>
    </row>
    <row r="55" spans="1:9" ht="15.75" customHeight="1" x14ac:dyDescent="0.2">
      <c r="A55" s="11" t="str">
        <f t="shared" si="0"/>
        <v>Kerrith Whyte Jr.</v>
      </c>
      <c r="B55" s="11">
        <v>75</v>
      </c>
      <c r="C55" s="11"/>
      <c r="D55" s="11">
        <f>'2019'!A25</f>
        <v>23</v>
      </c>
      <c r="E55" s="11">
        <v>2019</v>
      </c>
      <c r="F55" s="11" t="s">
        <v>116</v>
      </c>
      <c r="G55" s="11" t="e">
        <f t="shared" si="1"/>
        <v>#REF!</v>
      </c>
      <c r="H55" s="14">
        <f>'2019'!C25</f>
        <v>4.0111111111111111</v>
      </c>
      <c r="I55" s="11" t="e">
        <v>#N/A</v>
      </c>
    </row>
    <row r="56" spans="1:9" ht="15.75" customHeight="1" x14ac:dyDescent="0.2">
      <c r="A56" s="11" t="str">
        <f t="shared" si="0"/>
        <v>Justice Hill</v>
      </c>
      <c r="B56" s="11">
        <v>76</v>
      </c>
      <c r="C56" s="11"/>
      <c r="D56" s="11">
        <f>'2019'!A19</f>
        <v>17</v>
      </c>
      <c r="E56" s="11">
        <v>2019</v>
      </c>
      <c r="F56" s="11" t="s">
        <v>117</v>
      </c>
      <c r="G56" s="11" t="e">
        <f t="shared" si="1"/>
        <v>#REF!</v>
      </c>
      <c r="H56" s="14">
        <f>'2019'!C19</f>
        <v>5.6888888888888891</v>
      </c>
      <c r="I56" s="11" t="e">
        <v>#N/A</v>
      </c>
    </row>
    <row r="57" spans="1:9" ht="15.75" customHeight="1" x14ac:dyDescent="0.2">
      <c r="A57" s="11" t="str">
        <f t="shared" si="0"/>
        <v>Darwin Thompson</v>
      </c>
      <c r="B57" s="11">
        <v>77</v>
      </c>
      <c r="C57" s="11"/>
      <c r="D57" s="11">
        <f>'2019'!A20</f>
        <v>18</v>
      </c>
      <c r="E57" s="11">
        <v>2019</v>
      </c>
      <c r="F57" s="11" t="s">
        <v>118</v>
      </c>
      <c r="G57" s="11" t="e">
        <f t="shared" si="1"/>
        <v>#REF!</v>
      </c>
      <c r="H57" s="14">
        <f>'2019'!C20</f>
        <v>5.5611111111111109</v>
      </c>
      <c r="I57" s="11" t="e">
        <v>#N/A</v>
      </c>
    </row>
    <row r="58" spans="1:9" ht="15.75" customHeight="1" x14ac:dyDescent="0.2">
      <c r="A58" s="11" t="str">
        <f t="shared" si="0"/>
        <v>Ryquell Armstead</v>
      </c>
      <c r="B58" s="11">
        <v>78</v>
      </c>
      <c r="C58" s="11"/>
      <c r="D58" s="11">
        <f>'2019'!A21</f>
        <v>19</v>
      </c>
      <c r="E58" s="11">
        <v>2019</v>
      </c>
      <c r="F58" s="11" t="s">
        <v>119</v>
      </c>
      <c r="G58" s="11" t="e">
        <f t="shared" si="1"/>
        <v>#REF!</v>
      </c>
      <c r="H58" s="14">
        <f>'2019'!C21</f>
        <v>4.9722222222222223</v>
      </c>
      <c r="I58" s="11" t="e">
        <v>#N/A</v>
      </c>
    </row>
    <row r="59" spans="1:9" ht="15.75" customHeight="1" x14ac:dyDescent="0.2">
      <c r="A59" s="11" t="str">
        <f t="shared" si="0"/>
        <v>Trayveon Williams</v>
      </c>
      <c r="B59" s="11">
        <v>79</v>
      </c>
      <c r="C59" s="11"/>
      <c r="D59" s="11" t="e">
        <f>'2019'!#REF!</f>
        <v>#REF!</v>
      </c>
      <c r="E59" s="11">
        <v>2019</v>
      </c>
      <c r="F59" s="11" t="s">
        <v>120</v>
      </c>
      <c r="G59" s="11" t="e">
        <f t="shared" si="1"/>
        <v>#REF!</v>
      </c>
      <c r="H59" s="14" t="e">
        <f>'2019'!#REF!</f>
        <v>#REF!</v>
      </c>
      <c r="I59" s="11" t="e">
        <v>#N/A</v>
      </c>
    </row>
    <row r="60" spans="1:9" ht="15.75" customHeight="1" x14ac:dyDescent="0.2">
      <c r="A60" s="11" t="str">
        <f t="shared" si="0"/>
        <v>Dexter Williams</v>
      </c>
      <c r="B60" s="11">
        <v>80</v>
      </c>
      <c r="C60" s="11"/>
      <c r="D60" s="11">
        <f>'2019'!A22</f>
        <v>20</v>
      </c>
      <c r="E60" s="11">
        <v>2019</v>
      </c>
      <c r="F60" s="11" t="s">
        <v>121</v>
      </c>
      <c r="G60" s="11" t="e">
        <f t="shared" si="1"/>
        <v>#REF!</v>
      </c>
      <c r="H60" s="14">
        <f>'2019'!C22</f>
        <v>4.5500000000000007</v>
      </c>
      <c r="I60" s="11" t="e">
        <v>#N/A</v>
      </c>
    </row>
    <row r="61" spans="1:9" ht="15.75" customHeight="1" x14ac:dyDescent="0.2">
      <c r="A61" s="11" t="str">
        <f t="shared" si="0"/>
        <v>Jordan Scarlett</v>
      </c>
      <c r="B61" s="11">
        <v>81</v>
      </c>
      <c r="C61" s="11"/>
      <c r="D61" s="11">
        <f>'2019'!A23</f>
        <v>21</v>
      </c>
      <c r="E61" s="11">
        <v>2019</v>
      </c>
      <c r="F61" s="11" t="s">
        <v>122</v>
      </c>
      <c r="G61" s="11" t="e">
        <f t="shared" si="1"/>
        <v>#REF!</v>
      </c>
      <c r="H61" s="14">
        <f>'2019'!C23</f>
        <v>4.2555555555555564</v>
      </c>
      <c r="I61" s="11" t="e">
        <v>#N/A</v>
      </c>
    </row>
    <row r="62" spans="1:9" ht="15.75" customHeight="1" x14ac:dyDescent="0.2">
      <c r="A62" s="11" t="str">
        <f t="shared" si="0"/>
        <v>Bryce Love</v>
      </c>
      <c r="B62" s="11">
        <v>82</v>
      </c>
      <c r="C62" s="11"/>
      <c r="D62" s="11">
        <f>'2019'!A8</f>
        <v>6</v>
      </c>
      <c r="E62" s="11">
        <v>2019</v>
      </c>
      <c r="F62" s="11" t="s">
        <v>123</v>
      </c>
      <c r="G62" s="11" t="e">
        <f t="shared" si="1"/>
        <v>#REF!</v>
      </c>
      <c r="H62" s="14">
        <f>'2019'!C8</f>
        <v>9.18888888888889</v>
      </c>
      <c r="I62" s="11" t="e">
        <v>#N/A</v>
      </c>
    </row>
    <row r="63" spans="1:9" ht="15.75" customHeight="1" x14ac:dyDescent="0.2">
      <c r="A63" s="11" t="str">
        <f t="shared" si="0"/>
        <v>Rodney Anderson</v>
      </c>
      <c r="B63" s="11">
        <v>83</v>
      </c>
      <c r="C63" s="11"/>
      <c r="D63" s="11">
        <f>'2019'!A17</f>
        <v>15</v>
      </c>
      <c r="E63" s="11">
        <v>2019</v>
      </c>
      <c r="F63" s="11" t="s">
        <v>124</v>
      </c>
      <c r="G63" s="11" t="e">
        <f t="shared" si="1"/>
        <v>#REF!</v>
      </c>
      <c r="H63" s="14">
        <f>'2019'!C17</f>
        <v>6.4833333333333334</v>
      </c>
      <c r="I63" s="11" t="e">
        <v>#N/A</v>
      </c>
    </row>
    <row r="64" spans="1:9" ht="15.75" customHeight="1" x14ac:dyDescent="0.2">
      <c r="A64" s="11" t="str">
        <f t="shared" si="0"/>
        <v>Mike Weber</v>
      </c>
      <c r="B64" s="11">
        <v>84</v>
      </c>
      <c r="C64" s="11"/>
      <c r="D64" s="11">
        <f>'2019'!A24</f>
        <v>22</v>
      </c>
      <c r="E64" s="11">
        <v>2019</v>
      </c>
      <c r="F64" s="11" t="s">
        <v>125</v>
      </c>
      <c r="G64" s="11" t="e">
        <f t="shared" si="1"/>
        <v>#REF!</v>
      </c>
      <c r="H64" s="14">
        <f>'2019'!C24</f>
        <v>4.2222222222222223</v>
      </c>
      <c r="I64" s="11" t="e">
        <v>#N/A</v>
      </c>
    </row>
    <row r="65" spans="1:9" ht="15.75" customHeight="1" x14ac:dyDescent="0.2">
      <c r="A65" s="11" t="str">
        <f t="shared" si="0"/>
        <v>Jonathan Taylor</v>
      </c>
      <c r="B65" s="11">
        <v>85</v>
      </c>
      <c r="C65" s="11"/>
      <c r="D65" s="11">
        <f>'2020'!A3</f>
        <v>1</v>
      </c>
      <c r="E65" s="11">
        <v>2020</v>
      </c>
      <c r="F65" s="11" t="s">
        <v>126</v>
      </c>
      <c r="G65" s="11" t="e">
        <f t="shared" si="1"/>
        <v>#REF!</v>
      </c>
      <c r="H65" s="14">
        <f>'2020'!C3</f>
        <v>12.81111111111111</v>
      </c>
      <c r="I65" s="11" t="e">
        <v>#N/A</v>
      </c>
    </row>
    <row r="66" spans="1:9" ht="15.75" customHeight="1" x14ac:dyDescent="0.2">
      <c r="A66" s="11" t="str">
        <f t="shared" si="0"/>
        <v>D'Andre Swift</v>
      </c>
      <c r="B66" s="11">
        <v>86</v>
      </c>
      <c r="C66" s="11"/>
      <c r="D66" s="11">
        <f>'2020'!A6</f>
        <v>4</v>
      </c>
      <c r="E66" s="11">
        <v>2020</v>
      </c>
      <c r="F66" s="11" t="s">
        <v>127</v>
      </c>
      <c r="G66" s="11" t="e">
        <f t="shared" si="1"/>
        <v>#REF!</v>
      </c>
      <c r="H66" s="14">
        <f>'2020'!C6</f>
        <v>10.722222222222221</v>
      </c>
      <c r="I66" s="11" t="e">
        <v>#N/A</v>
      </c>
    </row>
    <row r="67" spans="1:9" ht="15.75" customHeight="1" x14ac:dyDescent="0.2">
      <c r="A67" s="11" t="str">
        <f t="shared" si="0"/>
        <v>Clyde Edwards-Helaire</v>
      </c>
      <c r="B67" s="11">
        <v>87</v>
      </c>
      <c r="C67" s="11"/>
      <c r="D67" s="11">
        <f>'2020'!A7</f>
        <v>5</v>
      </c>
      <c r="E67" s="11">
        <v>2020</v>
      </c>
      <c r="F67" s="11" t="s">
        <v>128</v>
      </c>
      <c r="G67" s="11" t="e">
        <f t="shared" si="1"/>
        <v>#REF!</v>
      </c>
      <c r="H67" s="14">
        <f>'2020'!C7</f>
        <v>10.68888888888889</v>
      </c>
      <c r="I67" s="11" t="e">
        <v>#N/A</v>
      </c>
    </row>
    <row r="68" spans="1:9" ht="15.75" customHeight="1" x14ac:dyDescent="0.2">
      <c r="A68" s="11" t="str">
        <f t="shared" si="0"/>
        <v>J.K. Dobbins</v>
      </c>
      <c r="B68" s="11">
        <v>88</v>
      </c>
      <c r="C68" s="11"/>
      <c r="D68" s="11">
        <f>'2020'!A4</f>
        <v>2</v>
      </c>
      <c r="E68" s="11">
        <v>2020</v>
      </c>
      <c r="F68" s="11" t="s">
        <v>129</v>
      </c>
      <c r="G68" s="11" t="e">
        <f t="shared" si="1"/>
        <v>#REF!</v>
      </c>
      <c r="H68" s="14">
        <f>'2020'!C4</f>
        <v>11.894444444444444</v>
      </c>
      <c r="I68" s="11" t="e">
        <v>#N/A</v>
      </c>
    </row>
    <row r="69" spans="1:9" ht="15.75" customHeight="1" x14ac:dyDescent="0.2">
      <c r="A69" s="11" t="str">
        <f t="shared" si="0"/>
        <v>Cam Akers</v>
      </c>
      <c r="B69" s="11">
        <v>89</v>
      </c>
      <c r="C69" s="11"/>
      <c r="D69" s="11">
        <f>'2020'!A8</f>
        <v>6</v>
      </c>
      <c r="E69" s="11">
        <v>2020</v>
      </c>
      <c r="F69" s="11" t="s">
        <v>130</v>
      </c>
      <c r="G69" s="11" t="e">
        <f t="shared" si="1"/>
        <v>#REF!</v>
      </c>
      <c r="H69" s="14">
        <f>'2020'!C8</f>
        <v>10.316666666666666</v>
      </c>
      <c r="I69" s="11" t="e">
        <v>#N/A</v>
      </c>
    </row>
    <row r="70" spans="1:9" ht="15.75" customHeight="1" x14ac:dyDescent="0.2">
      <c r="A70" s="11" t="str">
        <f t="shared" si="0"/>
        <v>Zack Moss</v>
      </c>
      <c r="B70" s="11">
        <v>90</v>
      </c>
      <c r="C70" s="11"/>
      <c r="D70" s="11">
        <f>'2020'!A9</f>
        <v>7</v>
      </c>
      <c r="E70" s="11">
        <v>2020</v>
      </c>
      <c r="F70" s="11" t="s">
        <v>131</v>
      </c>
      <c r="G70" s="11" t="e">
        <f t="shared" si="1"/>
        <v>#REF!</v>
      </c>
      <c r="H70" s="14">
        <f>'2020'!C9</f>
        <v>10.072222222222221</v>
      </c>
      <c r="I70" s="11" t="e">
        <v>#N/A</v>
      </c>
    </row>
    <row r="71" spans="1:9" ht="15.75" customHeight="1" x14ac:dyDescent="0.2">
      <c r="A71" s="11" t="str">
        <f t="shared" si="0"/>
        <v>DeeJay Dallas</v>
      </c>
      <c r="B71" s="11">
        <v>92</v>
      </c>
      <c r="C71" s="11"/>
      <c r="D71" s="11">
        <f>'2020'!A14</f>
        <v>12</v>
      </c>
      <c r="E71" s="11">
        <v>2020</v>
      </c>
      <c r="F71" s="11" t="s">
        <v>132</v>
      </c>
      <c r="G71" s="11" t="e">
        <f t="shared" si="1"/>
        <v>#REF!</v>
      </c>
      <c r="H71" s="14">
        <f>'2020'!C14</f>
        <v>6.6055555555555552</v>
      </c>
      <c r="I71" s="11" t="e">
        <v>#N/A</v>
      </c>
    </row>
    <row r="72" spans="1:9" ht="15.75" customHeight="1" x14ac:dyDescent="0.2">
      <c r="A72" s="11" t="str">
        <f t="shared" si="0"/>
        <v>Ke'Shawn Vaughn</v>
      </c>
      <c r="B72" s="11">
        <v>93</v>
      </c>
      <c r="C72" s="11"/>
      <c r="D72" s="11">
        <f>'2020'!A5</f>
        <v>3</v>
      </c>
      <c r="E72" s="11">
        <v>2020</v>
      </c>
      <c r="F72" s="11" t="s">
        <v>133</v>
      </c>
      <c r="G72" s="11" t="e">
        <f t="shared" si="1"/>
        <v>#REF!</v>
      </c>
      <c r="H72" s="14">
        <f>'2020'!C5</f>
        <v>10.905555555555557</v>
      </c>
      <c r="I72" s="11" t="e">
        <v>#N/A</v>
      </c>
    </row>
    <row r="73" spans="1:9" ht="15.75" customHeight="1" x14ac:dyDescent="0.2">
      <c r="A73" s="11" t="str">
        <f t="shared" si="0"/>
        <v>Joshua Kelley</v>
      </c>
      <c r="B73" s="11">
        <v>94</v>
      </c>
      <c r="C73" s="11"/>
      <c r="D73" s="11">
        <f>'2020'!A17</f>
        <v>15</v>
      </c>
      <c r="E73" s="11">
        <v>2020</v>
      </c>
      <c r="F73" s="11" t="s">
        <v>134</v>
      </c>
      <c r="G73" s="11" t="e">
        <f t="shared" si="1"/>
        <v>#REF!</v>
      </c>
      <c r="H73" s="14">
        <f>'2020'!C17</f>
        <v>5.927777777777778</v>
      </c>
      <c r="I73" s="11" t="e">
        <v>#N/A</v>
      </c>
    </row>
    <row r="74" spans="1:9" ht="15.75" customHeight="1" x14ac:dyDescent="0.2">
      <c r="A74" s="11" t="str">
        <f t="shared" si="0"/>
        <v>Darrynton Evans</v>
      </c>
      <c r="B74" s="11">
        <v>96</v>
      </c>
      <c r="C74" s="11"/>
      <c r="D74" s="11">
        <f>'2020'!A11</f>
        <v>9</v>
      </c>
      <c r="E74" s="11">
        <v>2020</v>
      </c>
      <c r="F74" s="11" t="s">
        <v>135</v>
      </c>
      <c r="G74" s="11" t="e">
        <f t="shared" si="1"/>
        <v>#REF!</v>
      </c>
      <c r="H74" s="14">
        <f>'2020'!C11</f>
        <v>9.3777777777777782</v>
      </c>
      <c r="I74" s="11" t="e">
        <v>#N/A</v>
      </c>
    </row>
    <row r="75" spans="1:9" ht="15.75" customHeight="1" x14ac:dyDescent="0.2">
      <c r="A75" s="11" t="str">
        <f t="shared" si="0"/>
        <v>Eno Benjamin</v>
      </c>
      <c r="B75" s="11">
        <v>97</v>
      </c>
      <c r="C75" s="11"/>
      <c r="D75" s="11">
        <f>'2020'!A15</f>
        <v>13</v>
      </c>
      <c r="E75" s="11">
        <v>2020</v>
      </c>
      <c r="F75" s="11" t="s">
        <v>136</v>
      </c>
      <c r="G75" s="11" t="e">
        <f t="shared" si="1"/>
        <v>#REF!</v>
      </c>
      <c r="H75" s="14">
        <f>'2020'!C15</f>
        <v>6.5944444444444441</v>
      </c>
      <c r="I75" s="11" t="e">
        <v>#N/A</v>
      </c>
    </row>
    <row r="76" spans="1:9" ht="15.75" customHeight="1" x14ac:dyDescent="0.2">
      <c r="A76" s="11" t="str">
        <f t="shared" si="0"/>
        <v>Jason Huntley</v>
      </c>
      <c r="B76" s="11">
        <v>101</v>
      </c>
      <c r="C76" s="11"/>
      <c r="D76" s="11">
        <f>'2020'!A12</f>
        <v>10</v>
      </c>
      <c r="E76" s="11">
        <v>2020</v>
      </c>
      <c r="F76" s="11" t="s">
        <v>137</v>
      </c>
      <c r="G76" s="11" t="e">
        <f t="shared" si="1"/>
        <v>#REF!</v>
      </c>
      <c r="H76" s="14">
        <f>'2020'!C12</f>
        <v>7.7555555555555555</v>
      </c>
      <c r="I76" s="11" t="e">
        <v>#N/A</v>
      </c>
    </row>
    <row r="77" spans="1:9" ht="15.75" customHeight="1" x14ac:dyDescent="0.2">
      <c r="A77" s="11" t="str">
        <f t="shared" si="0"/>
        <v>Raymond Calais</v>
      </c>
      <c r="B77" s="11">
        <v>103</v>
      </c>
      <c r="C77" s="11"/>
      <c r="D77" s="11">
        <f>'2020'!A20</f>
        <v>18</v>
      </c>
      <c r="E77" s="11">
        <v>2020</v>
      </c>
      <c r="F77" s="11" t="s">
        <v>138</v>
      </c>
      <c r="G77" s="11" t="e">
        <f t="shared" si="1"/>
        <v>#REF!</v>
      </c>
      <c r="H77" s="14">
        <f>'2020'!C20</f>
        <v>4.0444444444444452</v>
      </c>
      <c r="I77" s="11" t="e">
        <v>#N/A</v>
      </c>
    </row>
    <row r="78" spans="1:9" ht="15.75" customHeight="1" x14ac:dyDescent="0.2">
      <c r="A78" s="11" t="str">
        <f t="shared" si="0"/>
        <v>Najee Harris</v>
      </c>
      <c r="B78" s="11">
        <v>104</v>
      </c>
      <c r="C78" s="11"/>
      <c r="D78" s="11">
        <f>'2021'!A4</f>
        <v>2</v>
      </c>
      <c r="E78" s="11">
        <v>2021</v>
      </c>
      <c r="F78" s="11" t="s">
        <v>139</v>
      </c>
      <c r="G78" s="11" t="e">
        <f t="shared" si="1"/>
        <v>#REF!</v>
      </c>
      <c r="H78" s="14">
        <f>'2021'!C4</f>
        <v>11.777777777777779</v>
      </c>
      <c r="I78" s="11" t="e">
        <v>#N/A</v>
      </c>
    </row>
    <row r="79" spans="1:9" ht="15.75" customHeight="1" x14ac:dyDescent="0.2">
      <c r="A79" s="11" t="str">
        <f t="shared" si="0"/>
        <v>Elijah Mitchell</v>
      </c>
      <c r="B79" s="11">
        <v>105</v>
      </c>
      <c r="C79" s="11"/>
      <c r="D79" s="11">
        <f>'2021'!A15</f>
        <v>13</v>
      </c>
      <c r="E79" s="11">
        <v>2021</v>
      </c>
      <c r="F79" s="11" t="s">
        <v>140</v>
      </c>
      <c r="G79" s="11" t="e">
        <f t="shared" si="1"/>
        <v>#REF!</v>
      </c>
      <c r="H79" s="14">
        <f>'2021'!C15</f>
        <v>5.3611111111111107</v>
      </c>
      <c r="I79" s="11" t="e">
        <v>#N/A</v>
      </c>
    </row>
    <row r="80" spans="1:9" ht="15.75" customHeight="1" x14ac:dyDescent="0.2">
      <c r="A80" s="11" t="str">
        <f t="shared" si="0"/>
        <v>Javonte Williams</v>
      </c>
      <c r="B80" s="11">
        <v>106</v>
      </c>
      <c r="C80" s="11"/>
      <c r="D80" s="11">
        <f>'2021'!A5</f>
        <v>3</v>
      </c>
      <c r="E80" s="11">
        <v>2021</v>
      </c>
      <c r="F80" s="11" t="s">
        <v>141</v>
      </c>
      <c r="G80" s="11" t="e">
        <f t="shared" si="1"/>
        <v>#REF!</v>
      </c>
      <c r="H80" s="14">
        <f>'2021'!C5</f>
        <v>10.805555555555555</v>
      </c>
      <c r="I80" s="11" t="e">
        <v>#N/A</v>
      </c>
    </row>
    <row r="81" spans="1:9" ht="15.75" customHeight="1" x14ac:dyDescent="0.2">
      <c r="A81" s="11" t="str">
        <f t="shared" si="0"/>
        <v>Michael Carter</v>
      </c>
      <c r="B81" s="11">
        <v>107</v>
      </c>
      <c r="C81" s="11"/>
      <c r="D81" s="11">
        <f>'2021'!A7</f>
        <v>5</v>
      </c>
      <c r="E81" s="11">
        <v>2021</v>
      </c>
      <c r="F81" s="11" t="s">
        <v>142</v>
      </c>
      <c r="G81" s="11" t="e">
        <f t="shared" si="1"/>
        <v>#REF!</v>
      </c>
      <c r="H81" s="14">
        <f>'2021'!C7</f>
        <v>8.9222222222222225</v>
      </c>
      <c r="I81" s="11" t="e">
        <v>#N/A</v>
      </c>
    </row>
    <row r="82" spans="1:9" ht="15.75" customHeight="1" x14ac:dyDescent="0.2">
      <c r="A82" s="11" t="str">
        <f t="shared" si="0"/>
        <v>Rhamondre Stevenson</v>
      </c>
      <c r="B82" s="11">
        <v>108</v>
      </c>
      <c r="C82" s="11"/>
      <c r="D82" s="11">
        <f>'2021'!A6</f>
        <v>4</v>
      </c>
      <c r="E82" s="11">
        <v>2021</v>
      </c>
      <c r="F82" s="11" t="s">
        <v>143</v>
      </c>
      <c r="G82" s="11" t="e">
        <f t="shared" si="1"/>
        <v>#REF!</v>
      </c>
      <c r="H82" s="14">
        <f>'2021'!C6</f>
        <v>9.2666666666666675</v>
      </c>
      <c r="I82" s="11" t="e">
        <v>#N/A</v>
      </c>
    </row>
    <row r="83" spans="1:9" ht="15.75" customHeight="1" x14ac:dyDescent="0.2">
      <c r="A83" s="11" t="str">
        <f t="shared" si="0"/>
        <v>Chuba Hubbard</v>
      </c>
      <c r="B83" s="11">
        <v>109</v>
      </c>
      <c r="C83" s="11"/>
      <c r="D83" s="11">
        <f>'2021'!A10</f>
        <v>8</v>
      </c>
      <c r="E83" s="11">
        <v>2021</v>
      </c>
      <c r="F83" s="11" t="s">
        <v>144</v>
      </c>
      <c r="G83" s="11" t="e">
        <f t="shared" si="1"/>
        <v>#REF!</v>
      </c>
      <c r="H83" s="14">
        <f>'2021'!C10</f>
        <v>7.7388888888888889</v>
      </c>
      <c r="I83" s="11" t="e">
        <v>#N/A</v>
      </c>
    </row>
    <row r="84" spans="1:9" ht="15.75" customHeight="1" x14ac:dyDescent="0.2">
      <c r="A84" s="11" t="str">
        <f t="shared" si="0"/>
        <v>Jermar Jefferson</v>
      </c>
      <c r="B84" s="11">
        <v>110</v>
      </c>
      <c r="C84" s="11"/>
      <c r="D84" s="11">
        <f>'2021'!A12</f>
        <v>10</v>
      </c>
      <c r="E84" s="11">
        <v>2021</v>
      </c>
      <c r="F84" s="11" t="s">
        <v>145</v>
      </c>
      <c r="G84" s="11" t="e">
        <f t="shared" si="1"/>
        <v>#REF!</v>
      </c>
      <c r="H84" s="14">
        <f>'2021'!C12</f>
        <v>6.8500000000000005</v>
      </c>
      <c r="I84" s="11" t="e">
        <v>#N/A</v>
      </c>
    </row>
    <row r="85" spans="1:9" ht="15.75" customHeight="1" x14ac:dyDescent="0.2">
      <c r="A85" s="11" t="str">
        <f t="shared" si="0"/>
        <v>Trey Sermon</v>
      </c>
      <c r="B85" s="11">
        <v>111</v>
      </c>
      <c r="C85" s="11"/>
      <c r="D85" s="11">
        <f>'2021'!A8</f>
        <v>6</v>
      </c>
      <c r="E85" s="11">
        <v>2021</v>
      </c>
      <c r="F85" s="11" t="s">
        <v>146</v>
      </c>
      <c r="G85" s="11" t="e">
        <f t="shared" si="1"/>
        <v>#REF!</v>
      </c>
      <c r="H85" s="14">
        <f>'2021'!C8</f>
        <v>8.6499999999999986</v>
      </c>
      <c r="I85" s="11" t="e">
        <v>#N/A</v>
      </c>
    </row>
    <row r="86" spans="1:9" ht="15.75" customHeight="1" x14ac:dyDescent="0.2">
      <c r="A86" s="11" t="str">
        <f t="shared" si="0"/>
        <v>Kenneth Gainwell</v>
      </c>
      <c r="B86" s="11">
        <v>112</v>
      </c>
      <c r="C86" s="11"/>
      <c r="D86" s="11">
        <f>'2021'!A18</f>
        <v>16</v>
      </c>
      <c r="E86" s="11">
        <v>2021</v>
      </c>
      <c r="F86" s="11" t="s">
        <v>147</v>
      </c>
      <c r="G86" s="11" t="e">
        <f t="shared" si="1"/>
        <v>#REF!</v>
      </c>
      <c r="H86" s="14">
        <f>'2021'!C18</f>
        <v>4.9444444444444446</v>
      </c>
      <c r="I86" s="11" t="e">
        <v>#N/A</v>
      </c>
    </row>
    <row r="87" spans="1:9" ht="15.75" customHeight="1" x14ac:dyDescent="0.2">
      <c r="A87" s="11" t="str">
        <f t="shared" si="0"/>
        <v>Khalil Herbert</v>
      </c>
      <c r="B87" s="11">
        <v>113</v>
      </c>
      <c r="C87" s="11"/>
      <c r="D87" s="11">
        <f>'2021'!A9</f>
        <v>7</v>
      </c>
      <c r="E87" s="11">
        <v>2021</v>
      </c>
      <c r="F87" s="11" t="s">
        <v>148</v>
      </c>
      <c r="G87" s="11" t="e">
        <f t="shared" si="1"/>
        <v>#REF!</v>
      </c>
      <c r="H87" s="14">
        <f>'2021'!C9</f>
        <v>8.06111111111111</v>
      </c>
      <c r="I87" s="11" t="e">
        <v>#N/A</v>
      </c>
    </row>
    <row r="88" spans="1:9" ht="15.75" customHeight="1" x14ac:dyDescent="0.2">
      <c r="A88" s="11" t="str">
        <f t="shared" si="0"/>
        <v>Chris Evans</v>
      </c>
      <c r="B88" s="11">
        <v>115</v>
      </c>
      <c r="C88" s="11"/>
      <c r="D88" s="11">
        <f>'2021'!A17</f>
        <v>15</v>
      </c>
      <c r="E88" s="11">
        <v>2021</v>
      </c>
      <c r="F88" s="11" t="s">
        <v>149</v>
      </c>
      <c r="G88" s="11" t="e">
        <f t="shared" si="1"/>
        <v>#REF!</v>
      </c>
      <c r="H88" s="14">
        <f>'2021'!C17</f>
        <v>5.2722222222222221</v>
      </c>
      <c r="I88" s="11" t="e">
        <v>#N/A</v>
      </c>
    </row>
    <row r="89" spans="1:9" ht="15.75" customHeight="1" x14ac:dyDescent="0.2">
      <c r="A89" s="11" t="str">
        <f t="shared" si="0"/>
        <v>Larry Rountree III</v>
      </c>
      <c r="B89" s="11">
        <v>116</v>
      </c>
      <c r="C89" s="11"/>
      <c r="D89" s="11">
        <f>'2021'!A20</f>
        <v>18</v>
      </c>
      <c r="E89" s="11">
        <v>2021</v>
      </c>
      <c r="F89" s="11" t="s">
        <v>150</v>
      </c>
      <c r="G89" s="11" t="e">
        <f t="shared" si="1"/>
        <v>#REF!</v>
      </c>
      <c r="H89" s="14">
        <f>'2021'!C20</f>
        <v>4.4388888888888891</v>
      </c>
      <c r="I89" s="11" t="e">
        <v>#N/A</v>
      </c>
    </row>
    <row r="90" spans="1:9" ht="15.75" customHeight="1" x14ac:dyDescent="0.2">
      <c r="A90" s="11" t="str">
        <f t="shared" si="0"/>
        <v>Kylin Hill</v>
      </c>
      <c r="B90" s="11">
        <v>117</v>
      </c>
      <c r="C90" s="11"/>
      <c r="D90" s="11">
        <f>'2021'!A21</f>
        <v>19</v>
      </c>
      <c r="E90" s="11">
        <v>2021</v>
      </c>
      <c r="F90" s="11" t="s">
        <v>151</v>
      </c>
      <c r="G90" s="11" t="e">
        <f t="shared" si="1"/>
        <v>#REF!</v>
      </c>
      <c r="H90" s="14">
        <f>'2021'!C21</f>
        <v>4.3055555555555554</v>
      </c>
      <c r="I90" s="11" t="e">
        <v>#N/A</v>
      </c>
    </row>
    <row r="91" spans="1:9" ht="15.75" customHeight="1" x14ac:dyDescent="0.2">
      <c r="A91" s="11" t="str">
        <f t="shared" si="0"/>
        <v>Gary Brightwell</v>
      </c>
      <c r="B91" s="11">
        <v>118</v>
      </c>
      <c r="C91" s="11"/>
      <c r="D91" s="11">
        <f>'2021'!A19</f>
        <v>17</v>
      </c>
      <c r="E91" s="11">
        <v>2021</v>
      </c>
      <c r="F91" s="11" t="s">
        <v>152</v>
      </c>
      <c r="G91" s="11" t="e">
        <f t="shared" si="1"/>
        <v>#REF!</v>
      </c>
      <c r="H91" s="14">
        <f>'2021'!C19</f>
        <v>4.7111111111111112</v>
      </c>
      <c r="I91" s="11" t="e">
        <v>#N/A</v>
      </c>
    </row>
    <row r="92" spans="1:9" ht="15.75" customHeight="1" x14ac:dyDescent="0.2">
      <c r="A92" s="11" t="str">
        <f t="shared" si="0"/>
        <v>Jake Funk</v>
      </c>
      <c r="B92" s="11">
        <v>119</v>
      </c>
      <c r="C92" s="11"/>
      <c r="D92" s="11">
        <f>'2021'!A16</f>
        <v>14</v>
      </c>
      <c r="E92" s="11">
        <v>2021</v>
      </c>
      <c r="F92" s="11" t="s">
        <v>153</v>
      </c>
      <c r="G92" s="11" t="e">
        <f t="shared" si="1"/>
        <v>#REF!</v>
      </c>
      <c r="H92" s="14">
        <f>'2021'!C16</f>
        <v>5.3444444444444441</v>
      </c>
      <c r="I92" s="11" t="e">
        <v>#N/A</v>
      </c>
    </row>
    <row r="93" spans="1:9" ht="15.75" customHeight="1" x14ac:dyDescent="0.2">
      <c r="A93" s="11" t="str">
        <f t="shared" si="0"/>
        <v>Kene Nwangwu</v>
      </c>
      <c r="B93" s="11">
        <v>121</v>
      </c>
      <c r="C93" s="11"/>
      <c r="D93" s="11">
        <f>'2021'!A13</f>
        <v>11</v>
      </c>
      <c r="E93" s="11">
        <v>2021</v>
      </c>
      <c r="F93" s="11" t="s">
        <v>154</v>
      </c>
      <c r="G93" s="11" t="e">
        <f t="shared" si="1"/>
        <v>#REF!</v>
      </c>
      <c r="H93" s="14">
        <f>'2021'!C13</f>
        <v>6.6611111111111114</v>
      </c>
      <c r="I93" s="11" t="e">
        <v>#N/A</v>
      </c>
    </row>
    <row r="94" spans="1:9" ht="15.75" customHeight="1" x14ac:dyDescent="0.2">
      <c r="A94" s="11" t="str">
        <f t="shared" si="0"/>
        <v>Gerrid Doaks</v>
      </c>
      <c r="B94" s="11">
        <v>122</v>
      </c>
      <c r="C94" s="11"/>
      <c r="D94" s="11">
        <f>'2021'!A22</f>
        <v>20</v>
      </c>
      <c r="E94" s="11">
        <v>2021</v>
      </c>
      <c r="F94" s="11" t="s">
        <v>155</v>
      </c>
      <c r="G94" s="11" t="e">
        <f t="shared" si="1"/>
        <v>#REF!</v>
      </c>
      <c r="H94" s="14">
        <f>'2021'!C22</f>
        <v>4.0055555555555555</v>
      </c>
      <c r="I94" s="11" t="e">
        <v>#N/A</v>
      </c>
    </row>
    <row r="95" spans="1:9" ht="15.75" customHeight="1" x14ac:dyDescent="0.2"/>
    <row r="96" spans="1:9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D1:I94" xr:uid="{00000000-0009-0000-0000-000001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8EAADB"/>
  </sheetPr>
  <dimension ref="A1:DW342"/>
  <sheetViews>
    <sheetView tabSelected="1" zoomScale="80" zoomScaleNormal="80" workbookViewId="0">
      <pane xSplit="8" ySplit="2" topLeftCell="I3" activePane="bottomRight" state="frozen"/>
      <selection pane="topRight" activeCell="H1" sqref="H1"/>
      <selection pane="bottomLeft" activeCell="A3" sqref="A3"/>
      <selection pane="bottomRight" activeCell="S4" sqref="S4"/>
    </sheetView>
  </sheetViews>
  <sheetFormatPr baseColWidth="10" defaultColWidth="14.5" defaultRowHeight="15" customHeight="1" x14ac:dyDescent="0.2"/>
  <cols>
    <col min="1" max="1" width="8.5" customWidth="1"/>
    <col min="2" max="2" width="11.5" customWidth="1"/>
    <col min="3" max="3" width="8" customWidth="1"/>
    <col min="4" max="4" width="23.6640625" customWidth="1"/>
    <col min="5" max="5" width="15.83203125" customWidth="1"/>
    <col min="6" max="6" width="12.5" customWidth="1"/>
    <col min="7" max="7" width="10.5" customWidth="1"/>
    <col min="8" max="8" width="10.6640625" customWidth="1"/>
    <col min="9" max="9" width="21.33203125" bestFit="1" customWidth="1"/>
    <col min="10" max="10" width="10.83203125" customWidth="1"/>
    <col min="11" max="11" width="11.5" customWidth="1"/>
    <col min="12" max="12" width="7.5" customWidth="1"/>
    <col min="13" max="13" width="8.5" customWidth="1"/>
    <col min="14" max="14" width="12.6640625" customWidth="1"/>
    <col min="15" max="15" width="11.33203125" customWidth="1"/>
    <col min="16" max="16" width="11" customWidth="1"/>
    <col min="17" max="17" width="10" customWidth="1"/>
    <col min="18" max="19" width="10.5" customWidth="1"/>
    <col min="20" max="20" width="11.33203125" customWidth="1"/>
    <col min="21" max="21" width="12.5" customWidth="1"/>
    <col min="22" max="28" width="9.83203125" customWidth="1"/>
    <col min="29" max="30" width="11" customWidth="1"/>
    <col min="31" max="31" width="10" customWidth="1"/>
    <col min="32" max="32" width="11" customWidth="1"/>
    <col min="33" max="33" width="9.33203125" customWidth="1"/>
    <col min="34" max="34" width="9.5" customWidth="1"/>
    <col min="35" max="35" width="7.6640625" customWidth="1"/>
    <col min="36" max="36" width="10.1640625" customWidth="1"/>
    <col min="37" max="37" width="7.33203125" customWidth="1"/>
    <col min="38" max="40" width="7.5" customWidth="1"/>
    <col min="41" max="41" width="9.83203125" customWidth="1"/>
    <col min="42" max="42" width="11.5" customWidth="1"/>
    <col min="43" max="43" width="10.83203125" customWidth="1"/>
    <col min="44" max="44" width="12.1640625" customWidth="1"/>
    <col min="45" max="45" width="10.33203125" customWidth="1"/>
    <col min="46" max="46" width="10.5" customWidth="1"/>
    <col min="47" max="47" width="10.1640625" customWidth="1"/>
    <col min="48" max="49" width="8.5" customWidth="1"/>
    <col min="50" max="50" width="10.83203125" customWidth="1"/>
    <col min="51" max="51" width="7.6640625" customWidth="1"/>
    <col min="52" max="52" width="9.5" customWidth="1"/>
    <col min="53" max="53" width="12" customWidth="1"/>
    <col min="54" max="54" width="12.6640625" customWidth="1"/>
    <col min="55" max="55" width="12.33203125" customWidth="1"/>
    <col min="56" max="56" width="12.1640625" customWidth="1"/>
    <col min="57" max="57" width="6.6640625" customWidth="1"/>
    <col min="58" max="58" width="8" customWidth="1"/>
    <col min="59" max="59" width="7.33203125" customWidth="1"/>
    <col min="60" max="60" width="8.1640625" customWidth="1"/>
    <col min="61" max="61" width="9.83203125" customWidth="1"/>
    <col min="62" max="62" width="11.5" customWidth="1"/>
    <col min="63" max="63" width="10.83203125" customWidth="1"/>
    <col min="64" max="64" width="12.6640625" customWidth="1"/>
    <col min="65" max="65" width="8.1640625" customWidth="1"/>
    <col min="66" max="66" width="11.33203125" customWidth="1"/>
    <col min="67" max="67" width="13" customWidth="1"/>
    <col min="68" max="68" width="12" customWidth="1"/>
    <col min="69" max="69" width="12.6640625" customWidth="1"/>
    <col min="70" max="70" width="12.33203125" customWidth="1"/>
    <col min="71" max="71" width="12.1640625" customWidth="1"/>
    <col min="72" max="72" width="6.6640625" customWidth="1"/>
    <col min="73" max="73" width="8" customWidth="1"/>
    <col min="74" max="74" width="7.33203125" customWidth="1"/>
    <col min="75" max="75" width="7.5" customWidth="1"/>
    <col min="76" max="76" width="9.83203125" customWidth="1"/>
    <col min="77" max="77" width="11.5" customWidth="1"/>
    <col min="78" max="78" width="10.83203125" customWidth="1"/>
    <col min="79" max="79" width="12.6640625" customWidth="1"/>
    <col min="80" max="80" width="8.1640625" customWidth="1"/>
    <col min="81" max="81" width="11.33203125" customWidth="1"/>
    <col min="82" max="82" width="13" customWidth="1"/>
    <col min="83" max="83" width="12" customWidth="1"/>
    <col min="84" max="84" width="12.6640625" customWidth="1"/>
    <col min="85" max="85" width="12.33203125" customWidth="1"/>
    <col min="86" max="86" width="12.1640625" customWidth="1"/>
    <col min="87" max="87" width="6.6640625" customWidth="1"/>
    <col min="88" max="88" width="8" customWidth="1"/>
    <col min="89" max="89" width="7.33203125" customWidth="1"/>
    <col min="90" max="90" width="7.5" customWidth="1"/>
    <col min="91" max="91" width="9.83203125" customWidth="1"/>
    <col min="92" max="92" width="11.5" customWidth="1"/>
    <col min="93" max="93" width="10.83203125" customWidth="1"/>
    <col min="94" max="94" width="12.6640625" customWidth="1"/>
    <col min="95" max="95" width="8.1640625" customWidth="1"/>
    <col min="96" max="96" width="11.33203125" customWidth="1"/>
    <col min="97" max="97" width="13" customWidth="1"/>
    <col min="98" max="98" width="12" customWidth="1"/>
    <col min="99" max="99" width="12.6640625" customWidth="1"/>
    <col min="100" max="100" width="12.33203125" customWidth="1"/>
    <col min="101" max="101" width="12.1640625" customWidth="1"/>
    <col min="102" max="102" width="6.6640625" customWidth="1"/>
    <col min="103" max="103" width="8" customWidth="1"/>
    <col min="104" max="104" width="7.33203125" customWidth="1"/>
    <col min="105" max="105" width="7.5" customWidth="1"/>
    <col min="106" max="106" width="9.83203125" customWidth="1"/>
    <col min="107" max="107" width="11.5" customWidth="1"/>
    <col min="108" max="108" width="10.83203125" customWidth="1"/>
    <col min="109" max="109" width="12.6640625" customWidth="1"/>
    <col min="110" max="110" width="8.1640625" customWidth="1"/>
    <col min="111" max="111" width="11.33203125" customWidth="1"/>
    <col min="112" max="112" width="13" customWidth="1"/>
    <col min="113" max="113" width="12" customWidth="1"/>
    <col min="114" max="114" width="12.6640625" customWidth="1"/>
    <col min="115" max="115" width="12.33203125" customWidth="1"/>
    <col min="116" max="116" width="12.1640625" customWidth="1"/>
    <col min="117" max="117" width="6.6640625" customWidth="1"/>
    <col min="118" max="118" width="8" customWidth="1"/>
    <col min="119" max="119" width="7.33203125" customWidth="1"/>
    <col min="120" max="120" width="7.5" customWidth="1"/>
    <col min="121" max="121" width="9.83203125" customWidth="1"/>
    <col min="122" max="122" width="11.5" customWidth="1"/>
    <col min="123" max="123" width="10.83203125" customWidth="1"/>
    <col min="124" max="124" width="12.6640625" customWidth="1"/>
    <col min="125" max="125" width="8.1640625" customWidth="1"/>
    <col min="126" max="126" width="11.33203125" customWidth="1"/>
    <col min="127" max="127" width="13" customWidth="1"/>
  </cols>
  <sheetData>
    <row r="1" spans="1:127" x14ac:dyDescent="0.2">
      <c r="A1" s="250"/>
      <c r="B1" s="251"/>
      <c r="C1" s="251"/>
      <c r="D1" s="251"/>
      <c r="E1" s="252"/>
      <c r="F1" s="251"/>
      <c r="G1" s="251"/>
      <c r="H1" s="253"/>
      <c r="I1" s="254" t="s">
        <v>156</v>
      </c>
      <c r="J1" s="251"/>
      <c r="K1" s="251"/>
      <c r="L1" s="251"/>
      <c r="M1" s="251"/>
      <c r="N1" s="251"/>
      <c r="O1" s="251"/>
      <c r="P1" s="251"/>
      <c r="Q1" s="251"/>
      <c r="R1" s="251"/>
      <c r="S1" s="252"/>
      <c r="T1" s="251"/>
      <c r="U1" s="253"/>
      <c r="V1" s="255" t="s">
        <v>157</v>
      </c>
      <c r="W1" s="251"/>
      <c r="X1" s="251"/>
      <c r="Y1" s="251"/>
      <c r="Z1" s="251"/>
      <c r="AA1" s="251"/>
      <c r="AB1" s="251"/>
      <c r="AC1" s="251"/>
      <c r="AD1" s="251"/>
      <c r="AE1" s="251"/>
      <c r="AF1" s="253"/>
      <c r="AG1" s="256" t="s">
        <v>158</v>
      </c>
      <c r="AH1" s="251"/>
      <c r="AI1" s="251"/>
      <c r="AJ1" s="251"/>
      <c r="AK1" s="251"/>
      <c r="AL1" s="251"/>
      <c r="AM1" s="251"/>
      <c r="AN1" s="251"/>
      <c r="AO1" s="251"/>
      <c r="AP1" s="253"/>
      <c r="AQ1" s="257" t="s">
        <v>159</v>
      </c>
      <c r="AR1" s="251"/>
      <c r="AS1" s="251"/>
      <c r="AT1" s="251"/>
      <c r="AU1" s="251"/>
      <c r="AV1" s="251"/>
      <c r="AW1" s="251"/>
      <c r="AX1" s="251"/>
      <c r="AY1" s="251"/>
      <c r="AZ1" s="253"/>
      <c r="BA1" s="247" t="s">
        <v>160</v>
      </c>
      <c r="BB1" s="248"/>
      <c r="BC1" s="248"/>
      <c r="BD1" s="248"/>
      <c r="BE1" s="248"/>
      <c r="BF1" s="248"/>
      <c r="BG1" s="248"/>
      <c r="BH1" s="248"/>
      <c r="BI1" s="248"/>
      <c r="BJ1" s="248"/>
      <c r="BK1" s="248"/>
      <c r="BL1" s="248"/>
      <c r="BM1" s="248"/>
      <c r="BN1" s="248"/>
      <c r="BO1" s="249"/>
      <c r="BP1" s="247" t="s">
        <v>161</v>
      </c>
      <c r="BQ1" s="248"/>
      <c r="BR1" s="248"/>
      <c r="BS1" s="248"/>
      <c r="BT1" s="248"/>
      <c r="BU1" s="248"/>
      <c r="BV1" s="248"/>
      <c r="BW1" s="248"/>
      <c r="BX1" s="248"/>
      <c r="BY1" s="248"/>
      <c r="BZ1" s="248"/>
      <c r="CA1" s="248"/>
      <c r="CB1" s="248"/>
      <c r="CC1" s="248"/>
      <c r="CD1" s="249"/>
      <c r="CE1" s="247" t="s">
        <v>162</v>
      </c>
      <c r="CF1" s="248"/>
      <c r="CG1" s="248"/>
      <c r="CH1" s="248"/>
      <c r="CI1" s="248"/>
      <c r="CJ1" s="248"/>
      <c r="CK1" s="248"/>
      <c r="CL1" s="248"/>
      <c r="CM1" s="248"/>
      <c r="CN1" s="248"/>
      <c r="CO1" s="248"/>
      <c r="CP1" s="248"/>
      <c r="CQ1" s="248"/>
      <c r="CR1" s="248"/>
      <c r="CS1" s="249"/>
      <c r="CT1" s="247" t="s">
        <v>163</v>
      </c>
      <c r="CU1" s="248"/>
      <c r="CV1" s="248"/>
      <c r="CW1" s="248"/>
      <c r="CX1" s="248"/>
      <c r="CY1" s="248"/>
      <c r="CZ1" s="248"/>
      <c r="DA1" s="248"/>
      <c r="DB1" s="248"/>
      <c r="DC1" s="248"/>
      <c r="DD1" s="248"/>
      <c r="DE1" s="248"/>
      <c r="DF1" s="248"/>
      <c r="DG1" s="248"/>
      <c r="DH1" s="249"/>
      <c r="DI1" s="247" t="s">
        <v>164</v>
      </c>
      <c r="DJ1" s="248"/>
      <c r="DK1" s="248"/>
      <c r="DL1" s="248"/>
      <c r="DM1" s="248"/>
      <c r="DN1" s="248"/>
      <c r="DO1" s="248"/>
      <c r="DP1" s="248"/>
      <c r="DQ1" s="248"/>
      <c r="DR1" s="248"/>
      <c r="DS1" s="248"/>
      <c r="DT1" s="248"/>
      <c r="DU1" s="248"/>
      <c r="DV1" s="248"/>
      <c r="DW1" s="249"/>
    </row>
    <row r="2" spans="1:127" ht="16" thickBot="1" x14ac:dyDescent="0.25">
      <c r="A2" s="15" t="s">
        <v>56</v>
      </c>
      <c r="B2" s="16" t="s">
        <v>165</v>
      </c>
      <c r="C2" s="16" t="s">
        <v>57</v>
      </c>
      <c r="D2" s="16" t="s">
        <v>58</v>
      </c>
      <c r="E2" s="222" t="s">
        <v>631</v>
      </c>
      <c r="F2" s="16" t="s">
        <v>2</v>
      </c>
      <c r="G2" s="16" t="s">
        <v>166</v>
      </c>
      <c r="H2" s="17" t="s">
        <v>167</v>
      </c>
      <c r="I2" s="18" t="s">
        <v>168</v>
      </c>
      <c r="J2" s="19" t="s">
        <v>24</v>
      </c>
      <c r="K2" s="19" t="s">
        <v>28</v>
      </c>
      <c r="L2" s="19" t="s">
        <v>30</v>
      </c>
      <c r="M2" s="19" t="s">
        <v>169</v>
      </c>
      <c r="N2" s="19" t="s">
        <v>34</v>
      </c>
      <c r="O2" s="19" t="s">
        <v>49</v>
      </c>
      <c r="P2" s="19" t="s">
        <v>51</v>
      </c>
      <c r="Q2" s="19" t="s">
        <v>170</v>
      </c>
      <c r="R2" s="19" t="s">
        <v>171</v>
      </c>
      <c r="S2" s="242" t="s">
        <v>179</v>
      </c>
      <c r="T2" s="19" t="s">
        <v>172</v>
      </c>
      <c r="U2" s="20" t="s">
        <v>22</v>
      </c>
      <c r="V2" s="21" t="s">
        <v>36</v>
      </c>
      <c r="W2" s="22" t="s">
        <v>38</v>
      </c>
      <c r="X2" s="22" t="s">
        <v>40</v>
      </c>
      <c r="Y2" s="22" t="s">
        <v>42</v>
      </c>
      <c r="Z2" s="22" t="s">
        <v>44</v>
      </c>
      <c r="AA2" s="22" t="s">
        <v>18</v>
      </c>
      <c r="AB2" s="22" t="s">
        <v>20</v>
      </c>
      <c r="AC2" s="22" t="s">
        <v>173</v>
      </c>
      <c r="AD2" s="22" t="s">
        <v>174</v>
      </c>
      <c r="AE2" s="22" t="s">
        <v>175</v>
      </c>
      <c r="AF2" s="23" t="s">
        <v>176</v>
      </c>
      <c r="AG2" s="24" t="s">
        <v>177</v>
      </c>
      <c r="AH2" s="25" t="s">
        <v>178</v>
      </c>
      <c r="AI2" s="25" t="s">
        <v>179</v>
      </c>
      <c r="AJ2" s="25" t="s">
        <v>180</v>
      </c>
      <c r="AK2" s="25" t="s">
        <v>8</v>
      </c>
      <c r="AL2" s="25" t="s">
        <v>181</v>
      </c>
      <c r="AM2" s="25" t="s">
        <v>182</v>
      </c>
      <c r="AN2" s="25" t="s">
        <v>12</v>
      </c>
      <c r="AO2" s="25" t="s">
        <v>10</v>
      </c>
      <c r="AP2" s="26" t="s">
        <v>14</v>
      </c>
      <c r="AQ2" s="27" t="s">
        <v>183</v>
      </c>
      <c r="AR2" s="28" t="s">
        <v>184</v>
      </c>
      <c r="AS2" s="28" t="s">
        <v>185</v>
      </c>
      <c r="AT2" s="28" t="s">
        <v>186</v>
      </c>
      <c r="AU2" s="28" t="s">
        <v>180</v>
      </c>
      <c r="AV2" s="28" t="s">
        <v>187</v>
      </c>
      <c r="AW2" s="28" t="s">
        <v>188</v>
      </c>
      <c r="AX2" s="28" t="s">
        <v>189</v>
      </c>
      <c r="AY2" s="28" t="s">
        <v>26</v>
      </c>
      <c r="AZ2" s="29" t="s">
        <v>16</v>
      </c>
      <c r="BA2" s="30" t="s">
        <v>190</v>
      </c>
      <c r="BB2" s="31" t="s">
        <v>191</v>
      </c>
      <c r="BC2" s="31" t="s">
        <v>192</v>
      </c>
      <c r="BD2" s="31" t="s">
        <v>193</v>
      </c>
      <c r="BE2" s="31" t="s">
        <v>194</v>
      </c>
      <c r="BF2" s="31" t="s">
        <v>195</v>
      </c>
      <c r="BG2" s="31" t="s">
        <v>8</v>
      </c>
      <c r="BH2" s="31" t="s">
        <v>12</v>
      </c>
      <c r="BI2" s="31" t="s">
        <v>10</v>
      </c>
      <c r="BJ2" s="31" t="s">
        <v>14</v>
      </c>
      <c r="BK2" s="31" t="s">
        <v>196</v>
      </c>
      <c r="BL2" s="31" t="s">
        <v>191</v>
      </c>
      <c r="BM2" s="31" t="s">
        <v>197</v>
      </c>
      <c r="BN2" s="31" t="s">
        <v>198</v>
      </c>
      <c r="BO2" s="32" t="s">
        <v>199</v>
      </c>
      <c r="BP2" s="30" t="s">
        <v>190</v>
      </c>
      <c r="BQ2" s="31" t="s">
        <v>191</v>
      </c>
      <c r="BR2" s="31" t="s">
        <v>192</v>
      </c>
      <c r="BS2" s="31" t="s">
        <v>193</v>
      </c>
      <c r="BT2" s="31" t="s">
        <v>194</v>
      </c>
      <c r="BU2" s="31" t="s">
        <v>195</v>
      </c>
      <c r="BV2" s="31" t="s">
        <v>8</v>
      </c>
      <c r="BW2" s="31" t="s">
        <v>12</v>
      </c>
      <c r="BX2" s="31" t="s">
        <v>10</v>
      </c>
      <c r="BY2" s="31" t="s">
        <v>14</v>
      </c>
      <c r="BZ2" s="31" t="s">
        <v>196</v>
      </c>
      <c r="CA2" s="31" t="s">
        <v>191</v>
      </c>
      <c r="CB2" s="31" t="s">
        <v>197</v>
      </c>
      <c r="CC2" s="31" t="s">
        <v>198</v>
      </c>
      <c r="CD2" s="32" t="s">
        <v>199</v>
      </c>
      <c r="CE2" s="30" t="s">
        <v>190</v>
      </c>
      <c r="CF2" s="31" t="s">
        <v>191</v>
      </c>
      <c r="CG2" s="31" t="s">
        <v>192</v>
      </c>
      <c r="CH2" s="31" t="s">
        <v>193</v>
      </c>
      <c r="CI2" s="31" t="s">
        <v>194</v>
      </c>
      <c r="CJ2" s="31" t="s">
        <v>195</v>
      </c>
      <c r="CK2" s="31" t="s">
        <v>8</v>
      </c>
      <c r="CL2" s="31" t="s">
        <v>12</v>
      </c>
      <c r="CM2" s="31" t="s">
        <v>10</v>
      </c>
      <c r="CN2" s="31" t="s">
        <v>14</v>
      </c>
      <c r="CO2" s="31" t="s">
        <v>196</v>
      </c>
      <c r="CP2" s="31" t="s">
        <v>191</v>
      </c>
      <c r="CQ2" s="31" t="s">
        <v>197</v>
      </c>
      <c r="CR2" s="31" t="s">
        <v>198</v>
      </c>
      <c r="CS2" s="32" t="s">
        <v>199</v>
      </c>
      <c r="CT2" s="30" t="s">
        <v>190</v>
      </c>
      <c r="CU2" s="31" t="s">
        <v>191</v>
      </c>
      <c r="CV2" s="31" t="s">
        <v>192</v>
      </c>
      <c r="CW2" s="31" t="s">
        <v>193</v>
      </c>
      <c r="CX2" s="31" t="s">
        <v>194</v>
      </c>
      <c r="CY2" s="31" t="s">
        <v>195</v>
      </c>
      <c r="CZ2" s="31" t="s">
        <v>8</v>
      </c>
      <c r="DA2" s="31" t="s">
        <v>12</v>
      </c>
      <c r="DB2" s="31" t="s">
        <v>10</v>
      </c>
      <c r="DC2" s="31" t="s">
        <v>14</v>
      </c>
      <c r="DD2" s="31" t="s">
        <v>196</v>
      </c>
      <c r="DE2" s="31" t="s">
        <v>191</v>
      </c>
      <c r="DF2" s="31" t="s">
        <v>197</v>
      </c>
      <c r="DG2" s="31" t="s">
        <v>198</v>
      </c>
      <c r="DH2" s="32" t="s">
        <v>199</v>
      </c>
      <c r="DI2" s="30" t="s">
        <v>190</v>
      </c>
      <c r="DJ2" s="31" t="s">
        <v>191</v>
      </c>
      <c r="DK2" s="31" t="s">
        <v>192</v>
      </c>
      <c r="DL2" s="31" t="s">
        <v>193</v>
      </c>
      <c r="DM2" s="31" t="s">
        <v>194</v>
      </c>
      <c r="DN2" s="31" t="s">
        <v>195</v>
      </c>
      <c r="DO2" s="31" t="s">
        <v>8</v>
      </c>
      <c r="DP2" s="31" t="s">
        <v>12</v>
      </c>
      <c r="DQ2" s="31" t="s">
        <v>10</v>
      </c>
      <c r="DR2" s="31" t="s">
        <v>14</v>
      </c>
      <c r="DS2" s="31" t="s">
        <v>196</v>
      </c>
      <c r="DT2" s="31" t="s">
        <v>191</v>
      </c>
      <c r="DU2" s="31" t="s">
        <v>197</v>
      </c>
      <c r="DV2" s="31" t="s">
        <v>198</v>
      </c>
      <c r="DW2" s="32" t="s">
        <v>199</v>
      </c>
    </row>
    <row r="3" spans="1:127" x14ac:dyDescent="0.2">
      <c r="A3" s="33">
        <f t="shared" ref="A3:A66" si="0">_xlfn.RANK.EQ(F3,F$3:F$328)</f>
        <v>1</v>
      </c>
      <c r="B3" s="11">
        <f>'2023'!A3</f>
        <v>1</v>
      </c>
      <c r="C3" s="11">
        <v>2023</v>
      </c>
      <c r="D3" s="34" t="str">
        <f>'2023'!B3</f>
        <v>Bijan Robinson</v>
      </c>
      <c r="E3" s="223" t="str" cm="1">
        <f t="array" ref="E3">_xlfn.IFS(F3&gt;=13,"Cornerstone",AND(F3&gt;=12,F3&lt;13),"Elite",AND(F3&gt;=11,F3&lt;12),"Elite Upside",AND(F3&gt;=9,F3&lt;11),"Upside",AND(F3&gt;=7,F3&lt;9),"Upside Lite",AND(F3&gt;=6,F3&lt;7),"Outlier",AND(F3&gt;=5,F3&lt;6),"Outlier Lite",F3&lt;5,"Purgatory")</f>
        <v>Cornerstone</v>
      </c>
      <c r="F3" s="14">
        <f>'2023'!C3</f>
        <v>15.166666666666666</v>
      </c>
      <c r="G3" s="14">
        <f>(_xlfn.PERCENTRANK.EXC($F$3:$F$301,F3)*100)</f>
        <v>99.6</v>
      </c>
      <c r="H3" s="35">
        <f t="shared" ref="H3:H66" si="1">STANDARDIZE(F3,(AVERAGE($F$3:$F$244)),(_xlfn.STDEV.P($F$3:$F$244)))</f>
        <v>3.032092789774691</v>
      </c>
      <c r="I3" s="36" t="str">
        <f>'2023'!D3</f>
        <v>Texas</v>
      </c>
      <c r="J3" s="37">
        <f>'2023'!E3</f>
        <v>3</v>
      </c>
      <c r="K3" s="38">
        <f>'2023'!F3</f>
        <v>37286</v>
      </c>
      <c r="L3" s="39">
        <f>'2023'!G3</f>
        <v>23.673972602739727</v>
      </c>
      <c r="M3" s="39" t="str">
        <f>'2023'!H3</f>
        <v>JR</v>
      </c>
      <c r="N3" s="39">
        <f>'2023'!I3</f>
        <v>21.252054794520546</v>
      </c>
      <c r="O3" s="39" t="str">
        <f t="shared" ref="O3:O66" si="2">IF(AND(R3&gt;=225,T3&gt;=4.51),"BRUISER",IF(AND(R3&gt;=215,T3&lt;=4.51),"FREAK",IF(AND(R3&gt;=200,T3&gt;=4.51,Q3&gt;70),"BELL COW",IF(AND(R3&gt;=200,T3&gt;=4.51,Q3&lt;=70),"BELL CALF",IF(OR(AND(R3&lt;200,T3&lt;4.5),AND(R3&gt;=200,T3&lt;=4.35)),"JITTERBUG","DYNAMIC")))))</f>
        <v>FREAK</v>
      </c>
      <c r="P3" s="39" t="str">
        <f>IF(OR(AND($AA3&lt;0.25,$AM3&gt;=0.133,AE3&gt;4%),(AND($O3="JITTERBUG",$AM3&gt;0.11)),(AND($O3="JITTERBUG",$AE3&gt;9.5%))),"+RECEIVER",IF(AND($AJ3&gt;=0.25,$AO3&gt;=3.81),"3DOWN",IF($AO3&gt;=3.81,"HORSE",IF(OR(AJ3&gt;0.28,AK3&gt;7,AP3&gt;47),"SLASHER",IF(AM3&gt;0.19,"+RECEIVER","PLODDER")))))</f>
        <v>3DOWN</v>
      </c>
      <c r="Q3" s="37">
        <f>'2023'!J3</f>
        <v>71</v>
      </c>
      <c r="R3" s="37">
        <f>'2023'!K3</f>
        <v>215</v>
      </c>
      <c r="S3" s="39">
        <f>R3*0.453592/(Q3*0.0254)^2</f>
        <v>29.986081396483367</v>
      </c>
      <c r="T3" s="37">
        <f>'2023'!L3</f>
        <v>4.46</v>
      </c>
      <c r="U3" s="40">
        <f>'2023'!M3</f>
        <v>1</v>
      </c>
      <c r="V3" s="41">
        <f>'2023'!N3</f>
        <v>0</v>
      </c>
      <c r="W3" s="42">
        <f>'2023'!O3</f>
        <v>0</v>
      </c>
      <c r="X3" s="42">
        <f>'2023'!P3</f>
        <v>0.18952461085401767</v>
      </c>
      <c r="Y3" s="42">
        <f>'2023'!Q3</f>
        <v>0.27859525210908376</v>
      </c>
      <c r="Z3" s="42">
        <f>'2023'!R3</f>
        <v>0.33828796561604585</v>
      </c>
      <c r="AA3" s="42">
        <f>'2023'!S3</f>
        <v>0.33828796561604585</v>
      </c>
      <c r="AB3" s="42">
        <f>'2023'!T3</f>
        <v>0.30445916905444126</v>
      </c>
      <c r="AC3" s="42">
        <f>'2023'!U3</f>
        <v>0.10831792975970425</v>
      </c>
      <c r="AD3" s="42">
        <f>'2023'!V3</f>
        <v>0.10006373486297004</v>
      </c>
      <c r="AE3" s="42">
        <f>'2023'!W3</f>
        <v>0.10419083231133715</v>
      </c>
      <c r="AF3" s="43">
        <f>'2023'!X3</f>
        <v>9.3771749080203429E-2</v>
      </c>
      <c r="AG3" s="44">
        <f>'2023'!Y3</f>
        <v>18.597260273972601</v>
      </c>
      <c r="AH3" s="45">
        <f>'2023'!Z3</f>
        <v>108.67484282052182</v>
      </c>
      <c r="AI3" s="45">
        <f>'2023'!AA3</f>
        <v>29.983138266217022</v>
      </c>
      <c r="AJ3" s="45">
        <f>'2023'!AB3</f>
        <v>0.40512820512820513</v>
      </c>
      <c r="AK3" s="45">
        <f>'2023'!AC3</f>
        <v>6.1</v>
      </c>
      <c r="AL3" s="45">
        <f t="shared" ref="AL3:AL66" si="3">SUM(BK3,BZ3,CO3,DD3,DS3)/SUM(BM3,CB3,CQ3,DF3,DU3)</f>
        <v>13.383333333333333</v>
      </c>
      <c r="AM3" s="45">
        <f t="shared" ref="AM3:AM34" si="4">DU3/SUM(DM3,DU3)</f>
        <v>6.8840579710144928E-2</v>
      </c>
      <c r="AN3" s="45">
        <f>'2023'!AD3</f>
        <v>197.1</v>
      </c>
      <c r="AO3" s="45">
        <f>'2023'!AE3</f>
        <v>6.09</v>
      </c>
      <c r="AP3" s="46">
        <f>'2023'!AF3</f>
        <v>64.3</v>
      </c>
      <c r="AQ3" s="47">
        <f>'2023'!AG3</f>
        <v>8</v>
      </c>
      <c r="AR3" s="48">
        <f>'2023'!AH3</f>
        <v>9</v>
      </c>
      <c r="AS3" s="48">
        <f>'2023'!AI3</f>
        <v>9</v>
      </c>
      <c r="AT3" s="48">
        <f>IF(AH3&gt;113.25,10,IF(AH3&gt;=107.84,9,IF(AH3&gt;=105.37,8,IF(AH3&gt;=103.25,7,IF(AH3&gt;=100.55,6,IF(AH3&gt;=98.75,5,IF(AH3&gt;=96.08,4,IF(AH3&gt;=94.39,3,IF(AH3&gt;=88.43,2,IF(AH3&gt;=85.16,1,IF(AH3&lt;85.16,0,FALSE)))))))))))</f>
        <v>9</v>
      </c>
      <c r="AU3" s="48">
        <f>'2023'!AK3</f>
        <v>10</v>
      </c>
      <c r="AV3" s="48">
        <f>'2023'!AL3</f>
        <v>5</v>
      </c>
      <c r="AW3" s="48">
        <f>'2023'!AM3</f>
        <v>9</v>
      </c>
      <c r="AX3" s="48">
        <f>'2023'!AN3</f>
        <v>9</v>
      </c>
      <c r="AY3" s="49">
        <f>'2023'!AO3</f>
        <v>10</v>
      </c>
      <c r="AZ3" s="50">
        <f>'2023'!AP3</f>
        <v>1</v>
      </c>
      <c r="BA3" s="51">
        <f>'2023'!AQ3</f>
        <v>0</v>
      </c>
      <c r="BB3" s="52">
        <f>'2023'!AR3</f>
        <v>2143</v>
      </c>
      <c r="BC3" s="52">
        <f>'2023'!AS3</f>
        <v>0</v>
      </c>
      <c r="BD3" s="52">
        <f>'2023'!AT3</f>
        <v>24</v>
      </c>
      <c r="BE3" s="52">
        <f>'2023'!AU3</f>
        <v>0</v>
      </c>
      <c r="BF3" s="52">
        <f>'2023'!AV3</f>
        <v>0</v>
      </c>
      <c r="BG3" s="53">
        <f>'2023'!AW3</f>
        <v>0</v>
      </c>
      <c r="BH3" s="53">
        <f>'2023'!AX3</f>
        <v>0</v>
      </c>
      <c r="BI3" s="53">
        <f>'2023'!AY3</f>
        <v>0</v>
      </c>
      <c r="BJ3" s="53">
        <f>'2023'!AZ3</f>
        <v>0</v>
      </c>
      <c r="BK3" s="52">
        <f>'2023'!BA3</f>
        <v>0</v>
      </c>
      <c r="BL3" s="52">
        <f>'2023'!BB3</f>
        <v>3615</v>
      </c>
      <c r="BM3" s="52">
        <f>'2023'!BC3</f>
        <v>0</v>
      </c>
      <c r="BN3" s="52">
        <f>'2023'!BD3</f>
        <v>0</v>
      </c>
      <c r="BO3" s="54">
        <f>'2023'!BE3</f>
        <v>28</v>
      </c>
      <c r="BP3" s="51">
        <f>'2023'!BF3</f>
        <v>0</v>
      </c>
      <c r="BQ3" s="52">
        <f>'2023'!BG3</f>
        <v>2295</v>
      </c>
      <c r="BR3" s="52">
        <f>'2023'!BH3</f>
        <v>0</v>
      </c>
      <c r="BS3" s="52">
        <f>'2023'!BI3</f>
        <v>26</v>
      </c>
      <c r="BT3" s="52">
        <f>'2023'!BJ3</f>
        <v>0</v>
      </c>
      <c r="BU3" s="52">
        <f>'2023'!BK3</f>
        <v>0</v>
      </c>
      <c r="BV3" s="53">
        <f>'2023'!BL3</f>
        <v>0</v>
      </c>
      <c r="BW3" s="53">
        <f>'2023'!BM3</f>
        <v>0</v>
      </c>
      <c r="BX3" s="53">
        <f>'2023'!BN3</f>
        <v>0</v>
      </c>
      <c r="BY3" s="53">
        <f>'2023'!BO3</f>
        <v>0</v>
      </c>
      <c r="BZ3" s="52">
        <f>'2023'!BP3</f>
        <v>0</v>
      </c>
      <c r="CA3" s="52">
        <f>'2023'!BQ3</f>
        <v>3761</v>
      </c>
      <c r="CB3" s="52">
        <f>'2023'!BR3</f>
        <v>0</v>
      </c>
      <c r="CC3" s="52">
        <f>'2023'!BS3</f>
        <v>0</v>
      </c>
      <c r="CD3" s="54">
        <f>'2023'!BT3</f>
        <v>32</v>
      </c>
      <c r="CE3" s="51">
        <f>'2023'!BU3</f>
        <v>705</v>
      </c>
      <c r="CF3" s="52">
        <f>'2023'!BV3</f>
        <v>1953</v>
      </c>
      <c r="CG3" s="52">
        <f>'2023'!BW3</f>
        <v>4</v>
      </c>
      <c r="CH3" s="52">
        <f>'2023'!BX3</f>
        <v>20</v>
      </c>
      <c r="CI3" s="52">
        <f>'2023'!BY3</f>
        <v>87</v>
      </c>
      <c r="CJ3" s="52">
        <f>'2023'!BZ3</f>
        <v>29</v>
      </c>
      <c r="CK3" s="53">
        <f>'2023'!CA3</f>
        <v>8.1</v>
      </c>
      <c r="CL3" s="53">
        <f>'2023'!CB3</f>
        <v>197.1</v>
      </c>
      <c r="CM3" s="53">
        <f>'2023'!CC3</f>
        <v>6.09</v>
      </c>
      <c r="CN3" s="53">
        <f>'2023'!CD3</f>
        <v>64.3</v>
      </c>
      <c r="CO3" s="52">
        <f>'2023'!CE3</f>
        <v>196</v>
      </c>
      <c r="CP3" s="52">
        <f>'2023'!CF3</f>
        <v>2801</v>
      </c>
      <c r="CQ3" s="52">
        <f>'2023'!CG3</f>
        <v>15</v>
      </c>
      <c r="CR3" s="52">
        <f>'2023'!CH3</f>
        <v>0</v>
      </c>
      <c r="CS3" s="54">
        <f>'2023'!CI3</f>
        <v>32</v>
      </c>
      <c r="CT3" s="51">
        <f>'2023'!CJ3</f>
        <v>1127</v>
      </c>
      <c r="CU3" s="52">
        <f>'2023'!CK3</f>
        <v>2392</v>
      </c>
      <c r="CV3" s="52">
        <f>'2023'!CL3</f>
        <v>11</v>
      </c>
      <c r="CW3" s="52">
        <f>'2023'!CM3</f>
        <v>25</v>
      </c>
      <c r="CX3" s="52">
        <f>'2023'!CN3</f>
        <v>195</v>
      </c>
      <c r="CY3" s="52">
        <f>'2023'!CO3</f>
        <v>79</v>
      </c>
      <c r="CZ3" s="53">
        <f>'2023'!CP3</f>
        <v>5.8</v>
      </c>
      <c r="DA3" s="53">
        <f>'2023'!CQ3</f>
        <v>155.19999999999999</v>
      </c>
      <c r="DB3" s="53">
        <f>'2023'!CR3</f>
        <v>3.94</v>
      </c>
      <c r="DC3" s="53">
        <f>'2023'!CS3</f>
        <v>36.700000000000003</v>
      </c>
      <c r="DD3" s="52">
        <f>'2023'!CT3</f>
        <v>293</v>
      </c>
      <c r="DE3" s="52">
        <f>'2023'!CU3</f>
        <v>2705</v>
      </c>
      <c r="DF3" s="52">
        <f>'2023'!CV3</f>
        <v>26</v>
      </c>
      <c r="DG3" s="52">
        <f>'2023'!CW3</f>
        <v>0</v>
      </c>
      <c r="DH3" s="54">
        <f>'2023'!CX3</f>
        <v>29</v>
      </c>
      <c r="DI3" s="51">
        <f>'2023'!CY3</f>
        <v>1575</v>
      </c>
      <c r="DJ3" s="52">
        <f>'2023'!CZ3</f>
        <v>2446</v>
      </c>
      <c r="DK3" s="52">
        <f>'2023'!DA3</f>
        <v>18</v>
      </c>
      <c r="DL3" s="52">
        <f>'2023'!DB3</f>
        <v>29</v>
      </c>
      <c r="DM3" s="52">
        <f>'2023'!DC3</f>
        <v>257</v>
      </c>
      <c r="DN3" s="52">
        <f>'2023'!DD3</f>
        <v>104</v>
      </c>
      <c r="DO3" s="53">
        <f>'2023'!DE3</f>
        <v>6.1</v>
      </c>
      <c r="DP3" s="53">
        <f>'2023'!DF3</f>
        <v>169.1</v>
      </c>
      <c r="DQ3" s="53">
        <f>'2023'!DG3</f>
        <v>4.17</v>
      </c>
      <c r="DR3" s="53">
        <f>'2023'!DH3</f>
        <v>38.6</v>
      </c>
      <c r="DS3" s="52">
        <f>'2023'!DI3</f>
        <v>314</v>
      </c>
      <c r="DT3" s="52">
        <f>'2023'!DJ3</f>
        <v>3138</v>
      </c>
      <c r="DU3" s="52">
        <f>'2023'!DK3</f>
        <v>19</v>
      </c>
      <c r="DV3" s="52">
        <f>'2023'!DL3</f>
        <v>0</v>
      </c>
      <c r="DW3" s="54">
        <f>'2023'!DM3</f>
        <v>22</v>
      </c>
    </row>
    <row r="4" spans="1:127" x14ac:dyDescent="0.2">
      <c r="A4" s="33">
        <f t="shared" si="0"/>
        <v>2</v>
      </c>
      <c r="B4" s="11">
        <f>'2015'!A3</f>
        <v>1</v>
      </c>
      <c r="C4" s="11">
        <v>2015</v>
      </c>
      <c r="D4" s="34" t="str">
        <f>'2015'!B3</f>
        <v>Todd Gurley</v>
      </c>
      <c r="E4" s="224" t="str" cm="1">
        <f t="array" ref="E4">_xlfn.IFS(F4&gt;=13,"Cornerstone",AND(F4&gt;=12,F4&lt;13),"Elite",AND(F4&gt;=11,F4&lt;12),"Elite Upside",AND(F4&gt;=9,F4&lt;11),"Upside",AND(F4&gt;=7,F4&lt;9),"Upside Lite",AND(F4&gt;=6,F4&lt;7),"Outlier",AND(F4&gt;=5,F4&lt;6),"Outlier Lite",F4&lt;5,"Purgatory")</f>
        <v>Cornerstone</v>
      </c>
      <c r="F4" s="14">
        <f>'2015'!C3</f>
        <v>14.394444444444446</v>
      </c>
      <c r="G4" s="14">
        <f>(_xlfn.PERCENTRANK.EXC($F$3:$F$328,F4)*100)</f>
        <v>99.3</v>
      </c>
      <c r="H4" s="35">
        <f t="shared" si="1"/>
        <v>2.7052689901674145</v>
      </c>
      <c r="I4" s="36" t="str">
        <f>'2015'!D3</f>
        <v>Georgia</v>
      </c>
      <c r="J4" s="37">
        <f>'2015'!E3</f>
        <v>1</v>
      </c>
      <c r="K4" s="38">
        <f>'2015'!F3</f>
        <v>34549</v>
      </c>
      <c r="L4" s="39">
        <f>'2015'!G3</f>
        <v>31.172602739726027</v>
      </c>
      <c r="M4" s="39" t="str">
        <f>'2015'!H3</f>
        <v>JR</v>
      </c>
      <c r="N4" s="39">
        <f>'2015'!I3</f>
        <v>20.745205479452054</v>
      </c>
      <c r="O4" s="39" t="str">
        <f t="shared" si="2"/>
        <v>BELL COW</v>
      </c>
      <c r="P4" s="39" t="str">
        <f>IF(OR(AND($AA4&lt;0.25,$AM4&gt;=0.133,AE4&gt;4%),(AND($O4="JITTERBUG",$AM4&gt;0.11)),(AND($O4="JITTERBUG",$AE4&gt;9.5%))),"+RECEIVER",IF(AND($AJ4&gt;=0.25,$AO4&gt;=3.81),"3DOWN",IF($AO4&gt;=3.81,"HORSE",IF(OR(AJ4&gt;0.28,AK4&gt;7,AP4&gt;47),"SLASHER",IF(AM4&gt;0.19,"+RECEIVER","PLODDER")))))</f>
        <v>3DOWN</v>
      </c>
      <c r="Q4" s="37">
        <f>'2015'!J3</f>
        <v>73</v>
      </c>
      <c r="R4" s="37">
        <f>'2015'!K3</f>
        <v>222</v>
      </c>
      <c r="S4" s="39">
        <f t="shared" ref="S4:S67" si="5">R4*0.453592/(Q4*0.0254)^2</f>
        <v>29.289044729337352</v>
      </c>
      <c r="T4" s="39">
        <f>'2015'!L3</f>
        <v>4.5199999999999996</v>
      </c>
      <c r="U4" s="55">
        <f>'2015'!M3</f>
        <v>1</v>
      </c>
      <c r="V4" s="41">
        <f>'2015'!N3</f>
        <v>0</v>
      </c>
      <c r="W4" s="42">
        <f>'2015'!O3</f>
        <v>0</v>
      </c>
      <c r="X4" s="42">
        <f>'2015'!P3</f>
        <v>0.22941805407056667</v>
      </c>
      <c r="Y4" s="42">
        <f>'2015'!Q3</f>
        <v>0.29539351373683126</v>
      </c>
      <c r="Z4" s="42">
        <f>'2015'!R3</f>
        <v>0.3520819707870067</v>
      </c>
      <c r="AA4" s="42">
        <f>'2015'!S3</f>
        <v>0.3520819707870067</v>
      </c>
      <c r="AB4" s="42">
        <f>'2015'!T3</f>
        <v>0.3520819707870067</v>
      </c>
      <c r="AC4" s="42">
        <f>'2015'!U3</f>
        <v>0.14035646085295989</v>
      </c>
      <c r="AD4" s="42">
        <f>'2015'!V3</f>
        <v>4.8357512089378017E-2</v>
      </c>
      <c r="AE4" s="42">
        <f>'2015'!W3</f>
        <v>9.4356986471168955E-2</v>
      </c>
      <c r="AF4" s="43">
        <f>'2015'!X3</f>
        <v>9.4356986471168955E-2</v>
      </c>
      <c r="AG4" s="44">
        <f>'2015'!Y3</f>
        <v>18.093150684931508</v>
      </c>
      <c r="AH4" s="45">
        <f>'2015'!Z3</f>
        <v>106.37246683189191</v>
      </c>
      <c r="AI4" s="45">
        <f>'2015'!AA3</f>
        <v>29.286170013135671</v>
      </c>
      <c r="AJ4" s="45">
        <f>'2015'!AB3</f>
        <v>0.30081300813008133</v>
      </c>
      <c r="AK4" s="45">
        <f>'2015'!AC3</f>
        <v>7.4065040650406502</v>
      </c>
      <c r="AL4" s="45">
        <f t="shared" si="3"/>
        <v>9.476923076923077</v>
      </c>
      <c r="AM4" s="45">
        <f t="shared" si="4"/>
        <v>8.8888888888888892E-2</v>
      </c>
      <c r="AN4" s="45">
        <f>'2015'!AD3</f>
        <v>116.6</v>
      </c>
      <c r="AO4" s="45">
        <f>'2015'!AE3</f>
        <v>3.93</v>
      </c>
      <c r="AP4" s="46">
        <f>'2015'!AF3</f>
        <v>48.4</v>
      </c>
      <c r="AQ4" s="47">
        <f>'2015'!AG3</f>
        <v>9</v>
      </c>
      <c r="AR4" s="48">
        <f>'2015'!AH3</f>
        <v>9</v>
      </c>
      <c r="AS4" s="48">
        <f>'2015'!AI3</f>
        <v>10</v>
      </c>
      <c r="AT4" s="48">
        <f>'2015'!AJ3</f>
        <v>8</v>
      </c>
      <c r="AU4" s="48">
        <f>'2015'!AK3</f>
        <v>8</v>
      </c>
      <c r="AV4" s="48">
        <f>'2015'!AL3</f>
        <v>8</v>
      </c>
      <c r="AW4" s="48">
        <f>'2015'!AM3</f>
        <v>7</v>
      </c>
      <c r="AX4" s="48">
        <f>'2015'!AN3</f>
        <v>6</v>
      </c>
      <c r="AY4" s="49">
        <f>'2015'!AO3</f>
        <v>10</v>
      </c>
      <c r="AZ4" s="50">
        <f>'2015'!AP3</f>
        <v>0.5</v>
      </c>
      <c r="BA4" s="56">
        <f>'2015'!AQ3</f>
        <v>0</v>
      </c>
      <c r="BB4" s="57">
        <f>'2015'!AR3</f>
        <v>1</v>
      </c>
      <c r="BC4" s="57">
        <f>'2015'!AS3</f>
        <v>0</v>
      </c>
      <c r="BD4" s="57">
        <f>'2015'!AT3</f>
        <v>0</v>
      </c>
      <c r="BE4" s="57">
        <f>'2015'!AU3</f>
        <v>0</v>
      </c>
      <c r="BF4" s="57">
        <f>'2015'!AV3</f>
        <v>0</v>
      </c>
      <c r="BG4" s="58">
        <f>'2015'!AW3</f>
        <v>0</v>
      </c>
      <c r="BH4" s="58">
        <f>'2015'!AX3</f>
        <v>0</v>
      </c>
      <c r="BI4" s="58">
        <f>'2015'!AY3</f>
        <v>0</v>
      </c>
      <c r="BJ4" s="58">
        <f>'2015'!AZ3</f>
        <v>0</v>
      </c>
      <c r="BK4" s="57">
        <f>'2015'!BA3</f>
        <v>0</v>
      </c>
      <c r="BL4" s="57">
        <f>'2015'!BB3</f>
        <v>1</v>
      </c>
      <c r="BM4" s="57">
        <f>'2015'!BC3</f>
        <v>0</v>
      </c>
      <c r="BN4" s="57">
        <f>'2015'!BD3</f>
        <v>0</v>
      </c>
      <c r="BO4" s="59">
        <f>'2015'!BE3</f>
        <v>0</v>
      </c>
      <c r="BP4" s="56">
        <f>'2015'!BF3</f>
        <v>0</v>
      </c>
      <c r="BQ4" s="57">
        <f>'2015'!BG3</f>
        <v>1</v>
      </c>
      <c r="BR4" s="57">
        <f>'2015'!BH3</f>
        <v>0</v>
      </c>
      <c r="BS4" s="57">
        <f>'2015'!BI3</f>
        <v>0</v>
      </c>
      <c r="BT4" s="57">
        <f>'2015'!BJ3</f>
        <v>0</v>
      </c>
      <c r="BU4" s="57">
        <f>'2015'!BK3</f>
        <v>0</v>
      </c>
      <c r="BV4" s="58">
        <f>'2015'!BL3</f>
        <v>0</v>
      </c>
      <c r="BW4" s="58">
        <f>'2015'!BM3</f>
        <v>0</v>
      </c>
      <c r="BX4" s="58">
        <f>'2015'!BN3</f>
        <v>0</v>
      </c>
      <c r="BY4" s="58">
        <f>'2015'!BO3</f>
        <v>0</v>
      </c>
      <c r="BZ4" s="57">
        <f>'2015'!BP3</f>
        <v>0</v>
      </c>
      <c r="CA4" s="57">
        <f>'2015'!BQ3</f>
        <v>1</v>
      </c>
      <c r="CB4" s="57">
        <f>'2015'!BR3</f>
        <v>0</v>
      </c>
      <c r="CC4" s="57">
        <f>'2015'!BS3</f>
        <v>0</v>
      </c>
      <c r="CD4" s="59">
        <f>'2015'!BT3</f>
        <v>0</v>
      </c>
      <c r="CE4" s="56">
        <f>'2015'!BU3</f>
        <v>1385</v>
      </c>
      <c r="CF4" s="57">
        <f>'2015'!BV3</f>
        <v>2556</v>
      </c>
      <c r="CG4" s="57">
        <f>'2015'!BW3</f>
        <v>17</v>
      </c>
      <c r="CH4" s="57">
        <f>'2015'!BX3</f>
        <v>0</v>
      </c>
      <c r="CI4" s="57">
        <f>'2015'!BY3</f>
        <v>222</v>
      </c>
      <c r="CJ4" s="57">
        <f>'2015'!BZ3</f>
        <v>0</v>
      </c>
      <c r="CK4" s="58">
        <f>'2015'!CA3</f>
        <v>6.2387387387387383</v>
      </c>
      <c r="CL4" s="58">
        <f>'2015'!CB3</f>
        <v>0</v>
      </c>
      <c r="CM4" s="58">
        <f>'2015'!CC3</f>
        <v>0</v>
      </c>
      <c r="CN4" s="58">
        <f>'2015'!CD3</f>
        <v>0</v>
      </c>
      <c r="CO4" s="57">
        <f>'2015'!CE3</f>
        <v>117</v>
      </c>
      <c r="CP4" s="57">
        <f>'2015'!CF3</f>
        <v>3991</v>
      </c>
      <c r="CQ4" s="57">
        <f>'2015'!CG3</f>
        <v>16</v>
      </c>
      <c r="CR4" s="57">
        <f>'2015'!CH3</f>
        <v>0</v>
      </c>
      <c r="CS4" s="59">
        <f>'2015'!CI3</f>
        <v>0</v>
      </c>
      <c r="CT4" s="56">
        <f>'2015'!CJ3</f>
        <v>989</v>
      </c>
      <c r="CU4" s="57">
        <f>'2015'!CK3</f>
        <v>1699</v>
      </c>
      <c r="CV4" s="57">
        <f>'2015'!CL3</f>
        <v>10</v>
      </c>
      <c r="CW4" s="57">
        <f>'2015'!CM3</f>
        <v>0</v>
      </c>
      <c r="CX4" s="57">
        <f>'2015'!CN3</f>
        <v>165</v>
      </c>
      <c r="CY4" s="57">
        <f>'2015'!CO3</f>
        <v>0</v>
      </c>
      <c r="CZ4" s="58">
        <f>'2015'!CP3</f>
        <v>5.9939393939393941</v>
      </c>
      <c r="DA4" s="58">
        <f>'2015'!CQ3</f>
        <v>0</v>
      </c>
      <c r="DB4" s="58">
        <f>'2015'!CR3</f>
        <v>0</v>
      </c>
      <c r="DC4" s="58">
        <f>'2015'!CS3</f>
        <v>0</v>
      </c>
      <c r="DD4" s="57">
        <f>'2015'!CT3</f>
        <v>441</v>
      </c>
      <c r="DE4" s="57">
        <f>'2015'!CU3</f>
        <v>3142</v>
      </c>
      <c r="DF4" s="57">
        <f>'2015'!CV3</f>
        <v>37</v>
      </c>
      <c r="DG4" s="57">
        <f>'2015'!CW3</f>
        <v>6</v>
      </c>
      <c r="DH4" s="59">
        <f>'2015'!CX3</f>
        <v>0</v>
      </c>
      <c r="DI4" s="56">
        <f>'2015'!CY3</f>
        <v>911</v>
      </c>
      <c r="DJ4" s="57">
        <f>'2015'!CZ3</f>
        <v>1552.8000000000002</v>
      </c>
      <c r="DK4" s="57">
        <f>'2015'!DA3</f>
        <v>9</v>
      </c>
      <c r="DL4" s="57">
        <f>'2015'!DB3</f>
        <v>17.399999999999999</v>
      </c>
      <c r="DM4" s="57">
        <f>'2015'!DC3</f>
        <v>123</v>
      </c>
      <c r="DN4" s="57">
        <f>'2015'!DD3</f>
        <v>37</v>
      </c>
      <c r="DO4" s="58">
        <f>'2015'!DE3</f>
        <v>7.4065040650406502</v>
      </c>
      <c r="DP4" s="58">
        <f>'2015'!DF3</f>
        <v>116.6</v>
      </c>
      <c r="DQ4" s="58">
        <f>'2015'!DG3</f>
        <v>3.93</v>
      </c>
      <c r="DR4" s="58">
        <f>'2015'!DH3</f>
        <v>48.4</v>
      </c>
      <c r="DS4" s="57">
        <f>'2015'!DI3</f>
        <v>58</v>
      </c>
      <c r="DT4" s="57">
        <f>'2015'!DJ3</f>
        <v>1199.4000000000001</v>
      </c>
      <c r="DU4" s="57">
        <f>'2015'!DK3</f>
        <v>12</v>
      </c>
      <c r="DV4" s="57">
        <f>'2015'!DL3</f>
        <v>0</v>
      </c>
      <c r="DW4" s="59">
        <f>'2015'!DM3</f>
        <v>10.8</v>
      </c>
    </row>
    <row r="5" spans="1:127" x14ac:dyDescent="0.2">
      <c r="A5" s="33">
        <f t="shared" si="0"/>
        <v>3</v>
      </c>
      <c r="B5" s="11">
        <f>'2026 - WIP'!A3</f>
        <v>1</v>
      </c>
      <c r="C5" s="11">
        <v>2026</v>
      </c>
      <c r="D5" s="34" t="str">
        <f>'2026 - WIP'!B3</f>
        <v>Jeremiyah Love</v>
      </c>
      <c r="E5" s="224" t="str" cm="1">
        <f t="array" ref="E5">_xlfn.IFS(F5&gt;=13,"Cornerstone",AND(F5&gt;=12,F5&lt;13),"Elite",AND(F5&gt;=11,F5&lt;12),"Elite Upside",AND(F5&gt;=9,F5&lt;11),"Upside",AND(F5&gt;=7,F5&lt;9),"Upside Lite",AND(F5&gt;=6,F5&lt;7),"Outlier",AND(F5&gt;=5,F5&lt;6),"Outlier Lite",F5&lt;5,"Purgatory")</f>
        <v>Cornerstone</v>
      </c>
      <c r="F5" s="14">
        <f>'2026 - WIP'!C3</f>
        <v>14.394444444444444</v>
      </c>
      <c r="G5" s="14">
        <f>(_xlfn.PERCENTRANK.EXC($F$3:$F$328,F5)*100)</f>
        <v>99</v>
      </c>
      <c r="H5" s="35">
        <f t="shared" si="1"/>
        <v>2.7052689901674136</v>
      </c>
      <c r="I5" s="36" t="str">
        <f>'2026 - WIP'!D3</f>
        <v>Notre Dame</v>
      </c>
      <c r="J5" s="37">
        <f>'2026 - WIP'!E3</f>
        <v>2</v>
      </c>
      <c r="K5" s="38">
        <f>'2026 - WIP'!F3</f>
        <v>38503</v>
      </c>
      <c r="L5" s="39">
        <f>'2026 - WIP'!G3</f>
        <v>20.339726027397262</v>
      </c>
      <c r="M5" s="39" t="str">
        <f>'2026 - WIP'!H3</f>
        <v>JR</v>
      </c>
      <c r="N5" s="39">
        <f>'2026 - WIP'!I3</f>
        <v>20.920547945205481</v>
      </c>
      <c r="O5" s="39" t="str">
        <f t="shared" si="2"/>
        <v>DYNAMIC</v>
      </c>
      <c r="P5" s="39" t="str">
        <f>IF(OR(AND($AA5&lt;0.25,$AO5&gt;=0.133,AE5&gt;4%),(AND($O5="JITTERBUG",$AO5&gt;0.11)),(AND($O5="JITTERBUG",$AE5&gt;9.5%))),"+RECEIVER",IF(AND($AJ5&gt;=0.25,$AQ5&gt;=3.81),"3DOWN",IF($AQ5&gt;=3.81,"HORSE",IF(OR(AJ5&gt;0.28,AK5&gt;7,AR5&gt;47),"SLASHER",IF(AO5&gt;0.19,"+RECEIVER","PLODDER")))))</f>
        <v>3DOWN</v>
      </c>
      <c r="Q5" s="37">
        <f>'2026 - WIP'!J3</f>
        <v>72</v>
      </c>
      <c r="R5" s="37">
        <f>'2026 - WIP'!K3</f>
        <v>206</v>
      </c>
      <c r="S5" s="39">
        <f t="shared" si="5"/>
        <v>27.938313129712682</v>
      </c>
      <c r="T5" s="39">
        <f>'2026 - WIP'!L3</f>
        <v>4.4000000000000004</v>
      </c>
      <c r="U5" s="55">
        <f>'2026 - WIP'!M3</f>
        <v>1</v>
      </c>
      <c r="V5" s="41">
        <f>'2026 - WIP'!N3</f>
        <v>0</v>
      </c>
      <c r="W5" s="42">
        <f>'2026 - WIP'!O3</f>
        <v>0</v>
      </c>
      <c r="X5" s="42">
        <f>'2026 - WIP'!P3</f>
        <v>8.2226889260669914E-2</v>
      </c>
      <c r="Y5" s="42">
        <f>'2026 - WIP'!Q3</f>
        <v>0.21193609022556392</v>
      </c>
      <c r="Z5" s="42">
        <f>'2026 - WIP'!R3</f>
        <v>0.27781926811053026</v>
      </c>
      <c r="AA5" s="42">
        <f>'2026 - WIP'!S3</f>
        <v>0.27781926811053026</v>
      </c>
      <c r="AB5" s="42">
        <f>'2026 - WIP'!T3</f>
        <v>0.27781926811053026</v>
      </c>
      <c r="AC5" s="42">
        <f>'2026 - WIP'!U3</f>
        <v>7.2248864209994948E-2</v>
      </c>
      <c r="AD5" s="42">
        <f>'2026 - WIP'!V3</f>
        <v>9.9371069182389943E-2</v>
      </c>
      <c r="AE5" s="42">
        <f>'2026 - WIP'!W3</f>
        <v>9.9371069182389943E-2</v>
      </c>
      <c r="AF5" s="43">
        <f>'2026 - WIP'!X3</f>
        <v>9.9371069182389943E-2</v>
      </c>
      <c r="AG5" s="44">
        <f>'2026 - WIP'!Y3</f>
        <v>19.268493150684932</v>
      </c>
      <c r="AH5" s="45">
        <f>'2026 - WIP'!Z3</f>
        <v>109.92247797281604</v>
      </c>
      <c r="AI5" s="45">
        <f>'2026 - WIP'!AA3</f>
        <v>27.935570987654323</v>
      </c>
      <c r="AJ5" s="45">
        <f>'2026 - WIP'!AB3</f>
        <v>0.38271604938271603</v>
      </c>
      <c r="AK5" s="45">
        <f>'2026 - WIP'!AC3</f>
        <v>6.9382716049382713</v>
      </c>
      <c r="AL5" s="45">
        <f t="shared" si="3"/>
        <v>9.1162790697674421</v>
      </c>
      <c r="AM5" s="45">
        <f t="shared" si="4"/>
        <v>0.13114754098360656</v>
      </c>
      <c r="AN5" s="45">
        <f>'2026 - WIP'!AD3</f>
        <v>180.2</v>
      </c>
      <c r="AO5" s="45">
        <f>'2026 - WIP'!AE3</f>
        <v>4.3899999999999997</v>
      </c>
      <c r="AP5" s="46">
        <f>'2026 - WIP'!AF3</f>
        <v>52.5</v>
      </c>
      <c r="AQ5" s="47">
        <f>'2026 - WIP'!AG3</f>
        <v>7</v>
      </c>
      <c r="AR5" s="48">
        <f>'2026 - WIP'!AH3</f>
        <v>9</v>
      </c>
      <c r="AS5" s="48">
        <f>'2026 - WIP'!AI3</f>
        <v>7</v>
      </c>
      <c r="AT5" s="48">
        <f>'2026 - WIP'!AJ3</f>
        <v>9</v>
      </c>
      <c r="AU5" s="48">
        <f>'2026 - WIP'!AK3</f>
        <v>10</v>
      </c>
      <c r="AV5" s="48">
        <f>'2026 - WIP'!AL3</f>
        <v>7</v>
      </c>
      <c r="AW5" s="48">
        <f>'2026 - WIP'!AM3</f>
        <v>8</v>
      </c>
      <c r="AX5" s="48">
        <f>'2026 - WIP'!AN3</f>
        <v>6</v>
      </c>
      <c r="AY5" s="49">
        <f>'2026 - WIP'!AO3</f>
        <v>10</v>
      </c>
      <c r="AZ5" s="50">
        <f>'2026 - WIP'!AP3</f>
        <v>1</v>
      </c>
      <c r="BA5" s="56">
        <f>'2026 - WIP'!AQ3</f>
        <v>0</v>
      </c>
      <c r="BB5" s="57">
        <f>'2026 - WIP'!AR3</f>
        <v>1</v>
      </c>
      <c r="BC5" s="57">
        <f>'2026 - WIP'!AS3</f>
        <v>0</v>
      </c>
      <c r="BD5" s="57">
        <f>'2026 - WIP'!AT3</f>
        <v>0</v>
      </c>
      <c r="BE5" s="57">
        <f>'2026 - WIP'!AU3</f>
        <v>0</v>
      </c>
      <c r="BF5" s="57">
        <f>'2026 - WIP'!AV3</f>
        <v>0</v>
      </c>
      <c r="BG5" s="58">
        <f>'2026 - WIP'!AW3</f>
        <v>0</v>
      </c>
      <c r="BH5" s="58">
        <f>'2026 - WIP'!AX3</f>
        <v>0</v>
      </c>
      <c r="BI5" s="58">
        <f>'2026 - WIP'!AY3</f>
        <v>0</v>
      </c>
      <c r="BJ5" s="58">
        <f>'2026 - WIP'!AZ3</f>
        <v>0</v>
      </c>
      <c r="BK5" s="57">
        <f>'2026 - WIP'!BA3</f>
        <v>0</v>
      </c>
      <c r="BL5" s="57">
        <f>'2026 - WIP'!BB3</f>
        <v>1</v>
      </c>
      <c r="BM5" s="57">
        <f>'2026 - WIP'!BC3</f>
        <v>0</v>
      </c>
      <c r="BN5" s="57">
        <f>'2026 - WIP'!BD3</f>
        <v>0</v>
      </c>
      <c r="BO5" s="59">
        <f>'2026 - WIP'!BE3</f>
        <v>0</v>
      </c>
      <c r="BP5" s="56">
        <f>'2026 - WIP'!BF3</f>
        <v>0</v>
      </c>
      <c r="BQ5" s="57">
        <f>'2026 - WIP'!BG3</f>
        <v>1</v>
      </c>
      <c r="BR5" s="57">
        <f>'2026 - WIP'!BH3</f>
        <v>0</v>
      </c>
      <c r="BS5" s="57">
        <f>'2026 - WIP'!BI3</f>
        <v>0</v>
      </c>
      <c r="BT5" s="57">
        <f>'2026 - WIP'!BJ3</f>
        <v>0</v>
      </c>
      <c r="BU5" s="57">
        <f>'2026 - WIP'!BK3</f>
        <v>0</v>
      </c>
      <c r="BV5" s="58">
        <f>'2026 - WIP'!BL3</f>
        <v>0</v>
      </c>
      <c r="BW5" s="58">
        <f>'2026 - WIP'!BM3</f>
        <v>0</v>
      </c>
      <c r="BX5" s="58">
        <f>'2026 - WIP'!BN3</f>
        <v>0</v>
      </c>
      <c r="BY5" s="58">
        <f>'2026 - WIP'!BO3</f>
        <v>0</v>
      </c>
      <c r="BZ5" s="57">
        <f>'2026 - WIP'!BP3</f>
        <v>0</v>
      </c>
      <c r="CA5" s="57">
        <f>'2026 - WIP'!BQ3</f>
        <v>1</v>
      </c>
      <c r="CB5" s="57">
        <f>'2026 - WIP'!BR3</f>
        <v>0</v>
      </c>
      <c r="CC5" s="57">
        <f>'2026 - WIP'!BS3</f>
        <v>0</v>
      </c>
      <c r="CD5" s="59">
        <f>'2026 - WIP'!BT3</f>
        <v>0</v>
      </c>
      <c r="CE5" s="56">
        <f>'2026 - WIP'!BU3</f>
        <v>378</v>
      </c>
      <c r="CF5" s="57">
        <f>'2026 - WIP'!BV3</f>
        <v>2414.1</v>
      </c>
      <c r="CG5" s="57">
        <f>'2026 - WIP'!BW3</f>
        <v>1</v>
      </c>
      <c r="CH5" s="57">
        <f>'2026 - WIP'!BX3</f>
        <v>28.6</v>
      </c>
      <c r="CI5" s="57">
        <f>'2026 - WIP'!BY3</f>
        <v>72</v>
      </c>
      <c r="CJ5" s="57">
        <f>'2026 - WIP'!BZ3</f>
        <v>16</v>
      </c>
      <c r="CK5" s="58">
        <f>'2026 - WIP'!CA3</f>
        <v>5.25</v>
      </c>
      <c r="CL5" s="58">
        <f>'2026 - WIP'!CB3</f>
        <v>117.3</v>
      </c>
      <c r="CM5" s="58">
        <f>'2026 - WIP'!CC3</f>
        <v>3.86</v>
      </c>
      <c r="CN5" s="58">
        <f>'2026 - WIP'!CD3</f>
        <v>36.5</v>
      </c>
      <c r="CO5" s="57">
        <f>'2026 - WIP'!CE3</f>
        <v>84</v>
      </c>
      <c r="CP5" s="57">
        <f>'2026 - WIP'!CF3</f>
        <v>3204.5</v>
      </c>
      <c r="CQ5" s="57">
        <f>'2026 - WIP'!CG3</f>
        <v>7</v>
      </c>
      <c r="CR5" s="57">
        <f>'2026 - WIP'!CH3</f>
        <v>1</v>
      </c>
      <c r="CS5" s="59">
        <f>'2026 - WIP'!CI3</f>
        <v>31.2</v>
      </c>
      <c r="CT5" s="56">
        <f>'2026 - WIP'!CJ3</f>
        <v>1124</v>
      </c>
      <c r="CU5" s="57">
        <f>'2026 - WIP'!CK3</f>
        <v>3214.4</v>
      </c>
      <c r="CV5" s="57">
        <f>'2026 - WIP'!CL3</f>
        <v>17</v>
      </c>
      <c r="CW5" s="57">
        <f>'2026 - WIP'!CM3</f>
        <v>44.8</v>
      </c>
      <c r="CX5" s="57">
        <f>'2026 - WIP'!CN3</f>
        <v>162</v>
      </c>
      <c r="CY5" s="57">
        <f>'2026 - WIP'!CO3</f>
        <v>62</v>
      </c>
      <c r="CZ5" s="58">
        <f>'2026 - WIP'!CP3</f>
        <v>6.9382716049382713</v>
      </c>
      <c r="DA5" s="58">
        <f>'2026 - WIP'!CQ3</f>
        <v>180.2</v>
      </c>
      <c r="DB5" s="58">
        <f>'2026 - WIP'!CR3</f>
        <v>4.3899999999999997</v>
      </c>
      <c r="DC5" s="58">
        <f>'2026 - WIP'!CS3</f>
        <v>52.5</v>
      </c>
      <c r="DD5" s="57">
        <f>'2026 - WIP'!CT3</f>
        <v>229</v>
      </c>
      <c r="DE5" s="57">
        <f>'2026 - WIP'!CU3</f>
        <v>3169.6</v>
      </c>
      <c r="DF5" s="57">
        <f>'2026 - WIP'!CV3</f>
        <v>28</v>
      </c>
      <c r="DG5" s="57">
        <f>'2026 - WIP'!CW3</f>
        <v>2</v>
      </c>
      <c r="DH5" s="59">
        <f>'2026 - WIP'!CX3</f>
        <v>24</v>
      </c>
      <c r="DI5" s="56">
        <f>'2026 - WIP'!CY3</f>
        <v>293</v>
      </c>
      <c r="DJ5" s="57">
        <f>'2026 - WIP'!CZ3</f>
        <v>544</v>
      </c>
      <c r="DK5" s="57">
        <f>'2026 - WIP'!DA3</f>
        <v>0</v>
      </c>
      <c r="DL5" s="57">
        <f>'2026 - WIP'!DB3</f>
        <v>0</v>
      </c>
      <c r="DM5" s="57">
        <f>'2026 - WIP'!DC3</f>
        <v>53</v>
      </c>
      <c r="DN5" s="57">
        <f>'2026 - WIP'!DD3</f>
        <v>12</v>
      </c>
      <c r="DO5" s="58">
        <f>'2026 - WIP'!DE3</f>
        <v>5.5283018867924527</v>
      </c>
      <c r="DP5" s="58">
        <f>'2026 - WIP'!DF3</f>
        <v>92.3</v>
      </c>
      <c r="DQ5" s="58">
        <f>'2026 - WIP'!DG3</f>
        <v>3.75</v>
      </c>
      <c r="DR5" s="58">
        <f>'2026 - WIP'!DH3</f>
        <v>27</v>
      </c>
      <c r="DS5" s="57">
        <f>'2026 - WIP'!DI3</f>
        <v>79</v>
      </c>
      <c r="DT5" s="57">
        <f>'2026 - WIP'!DJ3</f>
        <v>795</v>
      </c>
      <c r="DU5" s="57">
        <f>'2026 - WIP'!DK3</f>
        <v>8</v>
      </c>
      <c r="DV5" s="57">
        <f>'2026 - WIP'!DL3</f>
        <v>0</v>
      </c>
      <c r="DW5" s="59">
        <f>'2026 - WIP'!DM3</f>
        <v>0</v>
      </c>
    </row>
    <row r="6" spans="1:127" x14ac:dyDescent="0.2">
      <c r="A6" s="33">
        <f t="shared" si="0"/>
        <v>4</v>
      </c>
      <c r="B6" s="11">
        <f>'2025'!A3</f>
        <v>1</v>
      </c>
      <c r="C6" s="11">
        <v>2025</v>
      </c>
      <c r="D6" s="34" t="str">
        <f>'2025'!B3</f>
        <v>Ashton Jeanty</v>
      </c>
      <c r="E6" s="224" t="str" cm="1">
        <f t="array" ref="E6">_xlfn.IFS(F6&gt;=13,"Cornerstone",AND(F6&gt;=12,F6&lt;13),"Elite",AND(F6&gt;=11,F6&lt;12),"Elite Upside",AND(F6&gt;=9,F6&lt;11),"Upside",AND(F6&gt;=7,F6&lt;9),"Upside Lite",AND(F6&gt;=6,F6&lt;7),"Outlier",AND(F6&gt;=5,F6&lt;6),"Outlier Lite",F6&lt;5,"Purgatory")</f>
        <v>Cornerstone</v>
      </c>
      <c r="F6" s="14">
        <f>'2025'!C3</f>
        <v>14.388888888888889</v>
      </c>
      <c r="G6" s="14">
        <f>(_xlfn.PERCENTRANK.EXC($F$3:$F$301,F6)*100)</f>
        <v>98.6</v>
      </c>
      <c r="H6" s="35">
        <f t="shared" si="1"/>
        <v>2.7029177398105273</v>
      </c>
      <c r="I6" s="36" t="str">
        <f>'2025'!D3</f>
        <v>Boise State</v>
      </c>
      <c r="J6" s="37">
        <f>'2025'!E3</f>
        <v>7</v>
      </c>
      <c r="K6" s="38">
        <f>'2025'!F3</f>
        <v>37957</v>
      </c>
      <c r="L6" s="39">
        <f>'2025'!G3</f>
        <v>21.835616438356166</v>
      </c>
      <c r="M6" s="39" t="str">
        <f>'2025'!H3</f>
        <v>JR</v>
      </c>
      <c r="N6" s="39">
        <f>'2025'!I3</f>
        <v>21.416438356164385</v>
      </c>
      <c r="O6" s="39" t="str">
        <f t="shared" si="2"/>
        <v>DYNAMIC</v>
      </c>
      <c r="P6" s="39" t="str">
        <f t="shared" ref="P6:P24" si="6">IF(OR(AND($AA6&lt;0.25,$AM6&gt;=0.133,AE6&gt;4%),(AND($O6="JITTERBUG",$AM6&gt;0.11)),(AND($O6="JITTERBUG",$AE6&gt;9.5%))),"+RECEIVER",IF(AND($AJ6&gt;=0.25,$AO6&gt;=3.81),"3DOWN",IF($AO6&gt;=3.81,"HORSE",IF(OR(AJ6&gt;0.28,AK6&gt;7,AP6&gt;47),"SLASHER",IF(AM6&gt;0.19,"+RECEIVER","PLODDER")))))</f>
        <v>3DOWN</v>
      </c>
      <c r="Q6" s="37">
        <f>'2025'!J3</f>
        <v>68</v>
      </c>
      <c r="R6" s="37">
        <f>'2025'!K3</f>
        <v>211</v>
      </c>
      <c r="S6" s="39">
        <f t="shared" si="5"/>
        <v>32.08208483891017</v>
      </c>
      <c r="T6" s="37">
        <f>'2025'!L3</f>
        <v>4.42</v>
      </c>
      <c r="U6" s="40">
        <f>'2025'!M3</f>
        <v>1</v>
      </c>
      <c r="V6" s="41">
        <f>'2025'!N3</f>
        <v>0</v>
      </c>
      <c r="W6" s="42">
        <f>'2025'!O3</f>
        <v>0</v>
      </c>
      <c r="X6" s="42">
        <f>'2025'!P3</f>
        <v>0.18120087094512308</v>
      </c>
      <c r="Y6" s="42">
        <f>'2025'!Q3</f>
        <v>0.367186305975852</v>
      </c>
      <c r="Z6" s="42">
        <f>'2025'!R3</f>
        <v>0.41895330655792995</v>
      </c>
      <c r="AA6" s="42">
        <f>'2025'!S3</f>
        <v>0.41895330655792995</v>
      </c>
      <c r="AB6" s="42">
        <f>'2025'!T3</f>
        <v>0.31421497991844749</v>
      </c>
      <c r="AC6" s="42">
        <f>'2025'!U3</f>
        <v>0.21765326103328811</v>
      </c>
      <c r="AD6" s="42">
        <f>'2025'!V3</f>
        <v>4.3693009118541029E-2</v>
      </c>
      <c r="AE6" s="42">
        <f>'2025'!W3</f>
        <v>0.13067313507591458</v>
      </c>
      <c r="AF6" s="43">
        <f>'2025'!X3</f>
        <v>9.8004851306935925E-2</v>
      </c>
      <c r="AG6" s="44">
        <f>'2025'!Y3</f>
        <v>18.772602739726029</v>
      </c>
      <c r="AH6" s="45">
        <f>'2025'!Z3</f>
        <v>110.56645198850988</v>
      </c>
      <c r="AI6" s="45">
        <f>'2025'!AA3</f>
        <v>32.078935986159166</v>
      </c>
      <c r="AJ6" s="45">
        <f>'2025'!AB3</f>
        <v>0.40266666666666667</v>
      </c>
      <c r="AK6" s="45">
        <f>'2025'!AC3</f>
        <v>6.92</v>
      </c>
      <c r="AL6" s="45">
        <f t="shared" si="3"/>
        <v>10.695121951219512</v>
      </c>
      <c r="AM6" s="45">
        <f t="shared" si="4"/>
        <v>5.7788944723618091E-2</v>
      </c>
      <c r="AN6" s="45">
        <f>'2025'!AD3</f>
        <v>215.1</v>
      </c>
      <c r="AO6" s="45">
        <f>'2025'!AE3</f>
        <v>5.25</v>
      </c>
      <c r="AP6" s="46">
        <f>'2025'!AF3</f>
        <v>52.6</v>
      </c>
      <c r="AQ6" s="47">
        <f>'2025'!AG3</f>
        <v>8</v>
      </c>
      <c r="AR6" s="48">
        <f>'2025'!AH3</f>
        <v>9</v>
      </c>
      <c r="AS6" s="48">
        <f>'2025'!AI3</f>
        <v>9</v>
      </c>
      <c r="AT6" s="48">
        <f>'2025'!AJ3</f>
        <v>9</v>
      </c>
      <c r="AU6" s="48">
        <f>'2025'!AK3</f>
        <v>10</v>
      </c>
      <c r="AV6" s="48">
        <f>'2025'!AL3</f>
        <v>7</v>
      </c>
      <c r="AW6" s="48">
        <f>'2025'!AM3</f>
        <v>9</v>
      </c>
      <c r="AX6" s="48">
        <f>'2025'!AN3</f>
        <v>9</v>
      </c>
      <c r="AY6" s="49">
        <f>'2025'!AO3</f>
        <v>10</v>
      </c>
      <c r="AZ6" s="50">
        <f>'2025'!AP3</f>
        <v>0</v>
      </c>
      <c r="BA6" s="56">
        <f>'2025'!AQ3</f>
        <v>0</v>
      </c>
      <c r="BB6" s="57">
        <f>'2025'!AR3</f>
        <v>1</v>
      </c>
      <c r="BC6" s="57">
        <f>'2025'!AS3</f>
        <v>0</v>
      </c>
      <c r="BD6" s="57">
        <f>'2025'!AT3</f>
        <v>0</v>
      </c>
      <c r="BE6" s="57">
        <f>'2025'!AU3</f>
        <v>0</v>
      </c>
      <c r="BF6" s="57">
        <f>'2025'!AV3</f>
        <v>0</v>
      </c>
      <c r="BG6" s="58">
        <f>'2025'!AW3</f>
        <v>0</v>
      </c>
      <c r="BH6" s="58">
        <f>'2025'!AX3</f>
        <v>0</v>
      </c>
      <c r="BI6" s="58">
        <f>'2025'!AY3</f>
        <v>0</v>
      </c>
      <c r="BJ6" s="58">
        <f>'2025'!AZ3</f>
        <v>0</v>
      </c>
      <c r="BK6" s="57">
        <f>'2025'!BA3</f>
        <v>0</v>
      </c>
      <c r="BL6" s="57">
        <f>'2025'!BB3</f>
        <v>0</v>
      </c>
      <c r="BM6" s="57">
        <f>'2025'!BC3</f>
        <v>0</v>
      </c>
      <c r="BN6" s="57">
        <f>'2025'!BD3</f>
        <v>0</v>
      </c>
      <c r="BO6" s="59">
        <f>'2025'!BE3</f>
        <v>0</v>
      </c>
      <c r="BP6" s="56">
        <f>'2025'!BF3</f>
        <v>0</v>
      </c>
      <c r="BQ6" s="57">
        <f>'2025'!BG3</f>
        <v>1</v>
      </c>
      <c r="BR6" s="57">
        <f>'2025'!BH3</f>
        <v>0</v>
      </c>
      <c r="BS6" s="57">
        <f>'2025'!BI3</f>
        <v>0</v>
      </c>
      <c r="BT6" s="57">
        <f>'2025'!BJ3</f>
        <v>0</v>
      </c>
      <c r="BU6" s="57">
        <f>'2025'!BK3</f>
        <v>0</v>
      </c>
      <c r="BV6" s="58">
        <f>'2025'!BL3</f>
        <v>0</v>
      </c>
      <c r="BW6" s="58">
        <f>'2025'!BM3</f>
        <v>0</v>
      </c>
      <c r="BX6" s="58">
        <f>'2025'!BN3</f>
        <v>0</v>
      </c>
      <c r="BY6" s="58">
        <f>'2025'!BO3</f>
        <v>0</v>
      </c>
      <c r="BZ6" s="57">
        <f>'2025'!BP3</f>
        <v>0</v>
      </c>
      <c r="CA6" s="57">
        <f>'2025'!BQ3</f>
        <v>0</v>
      </c>
      <c r="CB6" s="57">
        <f>'2025'!BR3</f>
        <v>0</v>
      </c>
      <c r="CC6" s="57">
        <f>'2025'!BS3</f>
        <v>0</v>
      </c>
      <c r="CD6" s="59">
        <f>'2025'!BT3</f>
        <v>0</v>
      </c>
      <c r="CE6" s="56">
        <f>'2025'!BU3</f>
        <v>821</v>
      </c>
      <c r="CF6" s="57">
        <f>'2025'!BV3</f>
        <v>2751</v>
      </c>
      <c r="CG6" s="57">
        <f>'2025'!BW3</f>
        <v>7</v>
      </c>
      <c r="CH6" s="57">
        <f>'2025'!BX3</f>
        <v>26.599999999999998</v>
      </c>
      <c r="CI6" s="57">
        <f>'2025'!BY3</f>
        <v>156</v>
      </c>
      <c r="CJ6" s="57">
        <f>'2025'!BZ3</f>
        <v>49</v>
      </c>
      <c r="CK6" s="58">
        <f>'2025'!CA3</f>
        <v>5.2628205128205128</v>
      </c>
      <c r="CL6" s="58">
        <f>'2025'!CB3</f>
        <v>122.7</v>
      </c>
      <c r="CM6" s="58">
        <f>'2025'!CC3</f>
        <v>3.88</v>
      </c>
      <c r="CN6" s="58">
        <f>'2025'!CD3</f>
        <v>38.200000000000003</v>
      </c>
      <c r="CO6" s="57">
        <f>'2025'!CE3</f>
        <v>161</v>
      </c>
      <c r="CP6" s="57">
        <f>'2025'!CF3</f>
        <v>2668.4</v>
      </c>
      <c r="CQ6" s="57">
        <f>'2025'!CG3</f>
        <v>15</v>
      </c>
      <c r="CR6" s="57">
        <f>'2025'!CH3</f>
        <v>0</v>
      </c>
      <c r="CS6" s="59">
        <f>'2025'!CI3</f>
        <v>19.599999999999998</v>
      </c>
      <c r="CT6" s="56">
        <f>'2025'!CJ3</f>
        <v>1344</v>
      </c>
      <c r="CU6" s="57">
        <f>'2025'!CK3</f>
        <v>2578.8000000000002</v>
      </c>
      <c r="CV6" s="57">
        <f>'2025'!CL3</f>
        <v>14</v>
      </c>
      <c r="CW6" s="57">
        <f>'2025'!CM3</f>
        <v>28.799999999999997</v>
      </c>
      <c r="CX6" s="57">
        <f>'2025'!CN3</f>
        <v>217</v>
      </c>
      <c r="CY6" s="57">
        <f>'2025'!CO3</f>
        <v>82</v>
      </c>
      <c r="CZ6" s="58">
        <f>'2025'!CP3</f>
        <v>6.193548387096774</v>
      </c>
      <c r="DA6" s="58">
        <f>'2025'!CQ3</f>
        <v>183.6</v>
      </c>
      <c r="DB6" s="58">
        <f>'2025'!CR3</f>
        <v>4.5199999999999996</v>
      </c>
      <c r="DC6" s="58">
        <f>'2025'!CS3</f>
        <v>40.6</v>
      </c>
      <c r="DD6" s="57">
        <f>'2025'!CT3</f>
        <v>578</v>
      </c>
      <c r="DE6" s="57">
        <f>'2025'!CU3</f>
        <v>2655.6000000000004</v>
      </c>
      <c r="DF6" s="57">
        <f>'2025'!CV3</f>
        <v>44</v>
      </c>
      <c r="DG6" s="57">
        <f>'2025'!CW3</f>
        <v>5</v>
      </c>
      <c r="DH6" s="59">
        <f>'2025'!CX3</f>
        <v>16.799999999999997</v>
      </c>
      <c r="DI6" s="56">
        <f>'2025'!CY3</f>
        <v>2595</v>
      </c>
      <c r="DJ6" s="57">
        <f>'2025'!CZ3</f>
        <v>3365</v>
      </c>
      <c r="DK6" s="57">
        <f>'2025'!DA3</f>
        <v>29</v>
      </c>
      <c r="DL6" s="57">
        <f>'2025'!DB3</f>
        <v>38.400000000000006</v>
      </c>
      <c r="DM6" s="57">
        <f>'2025'!DC3</f>
        <v>375</v>
      </c>
      <c r="DN6" s="57">
        <f>'2025'!DD3</f>
        <v>151</v>
      </c>
      <c r="DO6" s="58">
        <f>'2025'!DE3</f>
        <v>6.92</v>
      </c>
      <c r="DP6" s="58">
        <f>'2025'!DF3</f>
        <v>215.1</v>
      </c>
      <c r="DQ6" s="58">
        <f>'2025'!DG3</f>
        <v>5.25</v>
      </c>
      <c r="DR6" s="58">
        <f>'2025'!DH3</f>
        <v>52.6</v>
      </c>
      <c r="DS6" s="57">
        <f>'2025'!DI3</f>
        <v>138</v>
      </c>
      <c r="DT6" s="57">
        <f>'2025'!DJ3</f>
        <v>3158.4</v>
      </c>
      <c r="DU6" s="57">
        <f>'2025'!DK3</f>
        <v>23</v>
      </c>
      <c r="DV6" s="57">
        <f>'2025'!DL3</f>
        <v>1</v>
      </c>
      <c r="DW6" s="59">
        <f>'2025'!DM3</f>
        <v>20.399999999999999</v>
      </c>
    </row>
    <row r="7" spans="1:127" x14ac:dyDescent="0.2">
      <c r="A7" s="33">
        <f t="shared" si="0"/>
        <v>5</v>
      </c>
      <c r="B7" s="11">
        <f>'2018'!A3</f>
        <v>1</v>
      </c>
      <c r="C7" s="11">
        <v>2018</v>
      </c>
      <c r="D7" s="34" t="str">
        <f>'2018'!B3</f>
        <v>Saquon Barkley</v>
      </c>
      <c r="E7" s="224" t="str" cm="1">
        <f t="array" ref="E7">_xlfn.IFS(F7&gt;=13,"Cornerstone",AND(F7&gt;=12,F7&lt;13),"Elite",AND(F7&gt;=11,F7&lt;12),"Elite Upside",AND(F7&gt;=9,F7&lt;11),"Upside",AND(F7&gt;=7,F7&lt;9),"Upside Lite",AND(F7&gt;=6,F7&lt;7),"Outlier",AND(F7&gt;=5,F7&lt;6),"Outlier Lite",F7&lt;5,"Purgatory")</f>
        <v>Cornerstone</v>
      </c>
      <c r="F7" s="14">
        <f>'2018'!C3</f>
        <v>14.383333333333333</v>
      </c>
      <c r="G7" s="14">
        <f t="shared" ref="G7:G70" si="7">(_xlfn.PERCENTRANK.EXC($F$3:$F$328,F7)*100)</f>
        <v>98.4</v>
      </c>
      <c r="H7" s="35">
        <f t="shared" si="1"/>
        <v>2.7005664894536401</v>
      </c>
      <c r="I7" s="36" t="str">
        <f>'2018'!D3</f>
        <v>Penn State</v>
      </c>
      <c r="J7" s="37">
        <f>'2018'!E3</f>
        <v>2</v>
      </c>
      <c r="K7" s="38">
        <f>'2018'!F3</f>
        <v>35470</v>
      </c>
      <c r="L7" s="39">
        <f>'2018'!G3</f>
        <v>28.649315068493152</v>
      </c>
      <c r="M7" s="39" t="str">
        <f>'2018'!H3</f>
        <v>JR</v>
      </c>
      <c r="N7" s="39">
        <f>'2018'!I3</f>
        <v>21.221917808219178</v>
      </c>
      <c r="O7" s="39" t="str">
        <f t="shared" si="2"/>
        <v>FREAK</v>
      </c>
      <c r="P7" s="39" t="str">
        <f t="shared" si="6"/>
        <v>3DOWN</v>
      </c>
      <c r="Q7" s="37">
        <f>'2018'!J3</f>
        <v>72</v>
      </c>
      <c r="R7" s="37">
        <f>'2018'!K3</f>
        <v>233</v>
      </c>
      <c r="S7" s="39">
        <f t="shared" si="5"/>
        <v>31.600130870014826</v>
      </c>
      <c r="T7" s="37">
        <f>'2018'!L3</f>
        <v>4.41</v>
      </c>
      <c r="U7" s="40">
        <f>'2018'!M3</f>
        <v>1</v>
      </c>
      <c r="V7" s="41">
        <f>'2018'!N3</f>
        <v>0</v>
      </c>
      <c r="W7" s="42">
        <f>'2018'!O3</f>
        <v>0</v>
      </c>
      <c r="X7" s="42">
        <f>'2018'!P3</f>
        <v>0.27449249779346868</v>
      </c>
      <c r="Y7" s="42">
        <f>'2018'!Q3</f>
        <v>0.37440664556962028</v>
      </c>
      <c r="Z7" s="42">
        <f>'2018'!R3</f>
        <v>0.3170120320855615</v>
      </c>
      <c r="AA7" s="42">
        <f>'2018'!S3</f>
        <v>0.34570933882759092</v>
      </c>
      <c r="AB7" s="42">
        <f>'2018'!T3</f>
        <v>0.34570933882759092</v>
      </c>
      <c r="AC7" s="42">
        <f>'2018'!U3</f>
        <v>0.15169811320754717</v>
      </c>
      <c r="AD7" s="42">
        <f>'2018'!V3</f>
        <v>0.16569459172852599</v>
      </c>
      <c r="AE7" s="42">
        <f>'2018'!W3</f>
        <v>0.16569459172852599</v>
      </c>
      <c r="AF7" s="43">
        <f>'2018'!X3</f>
        <v>0.16569459172852599</v>
      </c>
      <c r="AG7" s="44">
        <f>'2018'!Y3</f>
        <v>18.567123287671233</v>
      </c>
      <c r="AH7" s="45">
        <f>'2018'!Z3</f>
        <v>123.20591511928447</v>
      </c>
      <c r="AI7" s="45">
        <f>'2018'!AA3</f>
        <v>31.597029320987652</v>
      </c>
      <c r="AJ7" s="45">
        <f>'2018'!AB3</f>
        <v>0.32967032967032966</v>
      </c>
      <c r="AK7" s="45">
        <f>'2018'!AC3</f>
        <v>5.9</v>
      </c>
      <c r="AL7" s="45">
        <f t="shared" si="3"/>
        <v>11.656862745098039</v>
      </c>
      <c r="AM7" s="45">
        <f t="shared" si="4"/>
        <v>0.19852941176470587</v>
      </c>
      <c r="AN7" s="45">
        <f>'2018'!AD3</f>
        <v>126.7</v>
      </c>
      <c r="AO7" s="45">
        <f>'2018'!AE3</f>
        <v>3.82</v>
      </c>
      <c r="AP7" s="46">
        <f>'2018'!AF3</f>
        <v>56.6</v>
      </c>
      <c r="AQ7" s="47">
        <f>'2018'!AG3</f>
        <v>9</v>
      </c>
      <c r="AR7" s="48">
        <f>'2018'!AH3</f>
        <v>10</v>
      </c>
      <c r="AS7" s="48">
        <f>'2018'!AI3</f>
        <v>9</v>
      </c>
      <c r="AT7" s="48">
        <f>IF(AH7&gt;113.25,10,IF(AH7&gt;=107.84,9,IF(AH7&gt;=105.37,8,IF(AH7&gt;=103.25,7,IF(AH7&gt;=100.55,6,IF(AH7&gt;=98.75,5,IF(AH7&gt;=96.08,4,IF(AH7&gt;=94.39,3,IF(AH7&gt;=88.43,2,IF(AH7&gt;=85.16,1,IF(AH7&lt;85.16,0,FALSE)))))))))))</f>
        <v>10</v>
      </c>
      <c r="AU7" s="48">
        <f>'2018'!AK3</f>
        <v>9</v>
      </c>
      <c r="AV7" s="48">
        <f>'2018'!AL3</f>
        <v>4</v>
      </c>
      <c r="AW7" s="48">
        <f>'2018'!AM3</f>
        <v>6</v>
      </c>
      <c r="AX7" s="48">
        <f>'2018'!AN3</f>
        <v>3</v>
      </c>
      <c r="AY7" s="49">
        <f>IF(U7=1,10,IF(U7=2,7,IF(U7=3,6,IF(U7=4,4,IF(U7=5,3,IF(U7=6,2,IF(U7=7,1,IF(U7=0,0,"-"))))))))</f>
        <v>10</v>
      </c>
      <c r="AZ7" s="50">
        <f>'2018'!AP3</f>
        <v>1</v>
      </c>
      <c r="BA7" s="56">
        <f>'2018'!AQ3</f>
        <v>0</v>
      </c>
      <c r="BB7" s="57">
        <f>'2018'!AR3</f>
        <v>2088</v>
      </c>
      <c r="BC7" s="57">
        <f>'2018'!AS3</f>
        <v>0</v>
      </c>
      <c r="BD7" s="57">
        <f>'2018'!AT3</f>
        <v>0</v>
      </c>
      <c r="BE7" s="57">
        <f>'2018'!AU3</f>
        <v>0</v>
      </c>
      <c r="BF7" s="57">
        <f>'2018'!AV3</f>
        <v>0</v>
      </c>
      <c r="BG7" s="58">
        <f>'2018'!AW3</f>
        <v>0</v>
      </c>
      <c r="BH7" s="58">
        <f>'2018'!AX3</f>
        <v>0</v>
      </c>
      <c r="BI7" s="58">
        <f>'2018'!AY3</f>
        <v>0</v>
      </c>
      <c r="BJ7" s="58">
        <f>'2018'!AZ3</f>
        <v>0</v>
      </c>
      <c r="BK7" s="57">
        <f>'2018'!BA3</f>
        <v>0</v>
      </c>
      <c r="BL7" s="57">
        <f>'2018'!BB3</f>
        <v>3110</v>
      </c>
      <c r="BM7" s="57">
        <f>'2018'!BC3</f>
        <v>0</v>
      </c>
      <c r="BN7" s="57">
        <f>'2018'!BD3</f>
        <v>0</v>
      </c>
      <c r="BO7" s="59">
        <f>'2018'!BE3</f>
        <v>0</v>
      </c>
      <c r="BP7" s="56">
        <f>'2018'!BF3</f>
        <v>0</v>
      </c>
      <c r="BQ7" s="57">
        <f>'2018'!BG3</f>
        <v>1325</v>
      </c>
      <c r="BR7" s="57">
        <f>'2018'!BH3</f>
        <v>0</v>
      </c>
      <c r="BS7" s="57">
        <f>'2018'!BI3</f>
        <v>0</v>
      </c>
      <c r="BT7" s="57">
        <f>'2018'!BJ3</f>
        <v>0</v>
      </c>
      <c r="BU7" s="57">
        <f>'2018'!BK3</f>
        <v>0</v>
      </c>
      <c r="BV7" s="58">
        <f>'2018'!BL3</f>
        <v>0</v>
      </c>
      <c r="BW7" s="58">
        <f>'2018'!BM3</f>
        <v>0</v>
      </c>
      <c r="BX7" s="58">
        <f>'2018'!BN3</f>
        <v>0</v>
      </c>
      <c r="BY7" s="58">
        <f>'2018'!BO3</f>
        <v>0</v>
      </c>
      <c r="BZ7" s="57">
        <f>'2018'!BP3</f>
        <v>0</v>
      </c>
      <c r="CA7" s="57">
        <f>'2018'!BQ3</f>
        <v>3034</v>
      </c>
      <c r="CB7" s="57">
        <f>'2018'!BR3</f>
        <v>0</v>
      </c>
      <c r="CC7" s="57">
        <f>'2018'!BS3</f>
        <v>0</v>
      </c>
      <c r="CD7" s="59">
        <f>'2018'!BT3</f>
        <v>0</v>
      </c>
      <c r="CE7" s="56">
        <f>'2018'!BU3</f>
        <v>1082</v>
      </c>
      <c r="CF7" s="57">
        <f>'2018'!BV3</f>
        <v>1744</v>
      </c>
      <c r="CG7" s="57">
        <f>'2018'!BW3</f>
        <v>7</v>
      </c>
      <c r="CH7" s="57">
        <f>'2018'!BX3</f>
        <v>0</v>
      </c>
      <c r="CI7" s="57">
        <f>'2018'!BY3</f>
        <v>182</v>
      </c>
      <c r="CJ7" s="57">
        <f>'2018'!BZ3</f>
        <v>60</v>
      </c>
      <c r="CK7" s="58">
        <f>'2018'!CA3</f>
        <v>5.9</v>
      </c>
      <c r="CL7" s="58">
        <f>'2018'!CB3</f>
        <v>126.7</v>
      </c>
      <c r="CM7" s="58">
        <f>'2018'!CC3</f>
        <v>3.82</v>
      </c>
      <c r="CN7" s="58">
        <f>'2018'!CD3</f>
        <v>53.2</v>
      </c>
      <c r="CO7" s="57">
        <f>'2018'!CE3</f>
        <v>162</v>
      </c>
      <c r="CP7" s="57">
        <f>'2018'!CF3</f>
        <v>2788</v>
      </c>
      <c r="CQ7" s="57">
        <f>'2018'!CG3</f>
        <v>20</v>
      </c>
      <c r="CR7" s="57">
        <f>'2018'!CH3</f>
        <v>0</v>
      </c>
      <c r="CS7" s="59">
        <f>'2018'!CI3</f>
        <v>0</v>
      </c>
      <c r="CT7" s="56">
        <f>'2018'!CJ3</f>
        <v>1491</v>
      </c>
      <c r="CU7" s="57">
        <f>'2018'!CK3</f>
        <v>2406</v>
      </c>
      <c r="CV7" s="57">
        <f>'2018'!CL3</f>
        <v>18</v>
      </c>
      <c r="CW7" s="57">
        <f>'2018'!CM3</f>
        <v>0</v>
      </c>
      <c r="CX7" s="57">
        <f>'2018'!CN3</f>
        <v>272</v>
      </c>
      <c r="CY7" s="57">
        <f>'2018'!CO3</f>
        <v>72</v>
      </c>
      <c r="CZ7" s="58">
        <f>'2018'!CP3</f>
        <v>5.5</v>
      </c>
      <c r="DA7" s="58">
        <f>'2018'!CQ3</f>
        <v>87.5</v>
      </c>
      <c r="DB7" s="58">
        <f>'2018'!CR3</f>
        <v>3.28</v>
      </c>
      <c r="DC7" s="58">
        <f>'2018'!CS3</f>
        <v>54.5</v>
      </c>
      <c r="DD7" s="57">
        <f>'2018'!CT3</f>
        <v>402</v>
      </c>
      <c r="DE7" s="57">
        <f>'2018'!CU3</f>
        <v>2650</v>
      </c>
      <c r="DF7" s="57">
        <f>'2018'!CV3</f>
        <v>28</v>
      </c>
      <c r="DG7" s="57">
        <f>'2018'!CW3</f>
        <v>0</v>
      </c>
      <c r="DH7" s="59">
        <f>'2018'!CX3</f>
        <v>0</v>
      </c>
      <c r="DI7" s="56">
        <f>'2018'!CY3</f>
        <v>1272</v>
      </c>
      <c r="DJ7" s="57">
        <f>'2018'!CZ3</f>
        <v>2212</v>
      </c>
      <c r="DK7" s="57">
        <f>'2018'!DA3</f>
        <v>18</v>
      </c>
      <c r="DL7" s="57">
        <f>'2018'!DB3</f>
        <v>0</v>
      </c>
      <c r="DM7" s="57">
        <f>'2018'!DC3</f>
        <v>218</v>
      </c>
      <c r="DN7" s="57">
        <f>'2018'!DD3</f>
        <v>39</v>
      </c>
      <c r="DO7" s="58">
        <f>'2018'!DE3</f>
        <v>5.8</v>
      </c>
      <c r="DP7" s="58">
        <f>'2018'!DF3</f>
        <v>69</v>
      </c>
      <c r="DQ7" s="58">
        <f>'2018'!DG3</f>
        <v>3.54</v>
      </c>
      <c r="DR7" s="58">
        <f>'2018'!DH3</f>
        <v>56.6</v>
      </c>
      <c r="DS7" s="57">
        <f>'2018'!DI3</f>
        <v>625</v>
      </c>
      <c r="DT7" s="57">
        <f>'2018'!DJ3</f>
        <v>3772</v>
      </c>
      <c r="DU7" s="57">
        <f>'2018'!DK3</f>
        <v>54</v>
      </c>
      <c r="DV7" s="57">
        <f>'2018'!DL3</f>
        <v>0</v>
      </c>
      <c r="DW7" s="59">
        <f>'2018'!DM3</f>
        <v>0</v>
      </c>
    </row>
    <row r="8" spans="1:127" x14ac:dyDescent="0.2">
      <c r="A8" s="33">
        <f t="shared" si="0"/>
        <v>6</v>
      </c>
      <c r="B8" s="11">
        <f>'2023'!A4</f>
        <v>2</v>
      </c>
      <c r="C8" s="11">
        <v>2023</v>
      </c>
      <c r="D8" s="34" t="str">
        <f>'2023'!B4</f>
        <v>Jahmyr Gibbs</v>
      </c>
      <c r="E8" s="224" t="str" cm="1">
        <f t="array" ref="E8">_xlfn.IFS(F8&gt;=13,"Cornerstone",AND(F8&gt;=12,F8&lt;13),"Elite",AND(F8&gt;=11,F8&lt;12),"Elite Upside",AND(F8&gt;=9,F8&lt;11),"Upside",AND(F8&gt;=7,F8&lt;9),"Upside Lite",AND(F8&gt;=6,F8&lt;7),"Outlier",AND(F8&gt;=5,F8&lt;6),"Outlier Lite",F8&lt;5,"Purgatory")</f>
        <v>Cornerstone</v>
      </c>
      <c r="F8" s="14">
        <f>'2023'!C4</f>
        <v>13.977777777777778</v>
      </c>
      <c r="G8" s="14">
        <f t="shared" si="7"/>
        <v>98.1</v>
      </c>
      <c r="H8" s="35">
        <f t="shared" si="1"/>
        <v>2.5289252134008975</v>
      </c>
      <c r="I8" s="36" t="str">
        <f>'2023'!D4</f>
        <v>Alabama</v>
      </c>
      <c r="J8" s="37">
        <f>'2023'!E4</f>
        <v>1</v>
      </c>
      <c r="K8" s="38">
        <f>'2023'!F4</f>
        <v>37335</v>
      </c>
      <c r="L8" s="39">
        <f>'2023'!G4</f>
        <v>23.539726027397261</v>
      </c>
      <c r="M8" s="39" t="str">
        <f>'2023'!H4</f>
        <v>JR</v>
      </c>
      <c r="N8" s="39">
        <f>'2023'!I4</f>
        <v>21.117808219178084</v>
      </c>
      <c r="O8" s="39" t="str">
        <f t="shared" si="2"/>
        <v>JITTERBUG</v>
      </c>
      <c r="P8" s="39" t="str">
        <f t="shared" si="6"/>
        <v>+RECEIVER</v>
      </c>
      <c r="Q8" s="37">
        <f>'2023'!J4</f>
        <v>69</v>
      </c>
      <c r="R8" s="37">
        <f>'2023'!K4</f>
        <v>199</v>
      </c>
      <c r="S8" s="39">
        <f t="shared" si="5"/>
        <v>29.386837265587996</v>
      </c>
      <c r="T8" s="37">
        <f>'2023'!L4</f>
        <v>4.3600000000000003</v>
      </c>
      <c r="U8" s="40">
        <f>'2023'!M4</f>
        <v>1</v>
      </c>
      <c r="V8" s="41">
        <f>'2023'!N4</f>
        <v>0</v>
      </c>
      <c r="W8" s="42">
        <f>'2023'!O4</f>
        <v>0</v>
      </c>
      <c r="X8" s="42">
        <f>'2023'!P4</f>
        <v>0.19697358296999232</v>
      </c>
      <c r="Y8" s="42">
        <f>'2023'!Q4</f>
        <v>0.27586206896551724</v>
      </c>
      <c r="Z8" s="42">
        <f>'2023'!R4</f>
        <v>0.22089648500483716</v>
      </c>
      <c r="AA8" s="42">
        <f>'2023'!S4</f>
        <v>0.2483792769851772</v>
      </c>
      <c r="AB8" s="42">
        <f>'2023'!T4</f>
        <v>0.2483792769851772</v>
      </c>
      <c r="AC8" s="42">
        <f>'2023'!U4</f>
        <v>0.19747899159663865</v>
      </c>
      <c r="AD8" s="42">
        <f>'2023'!V4</f>
        <v>0.12131147540983607</v>
      </c>
      <c r="AE8" s="42">
        <f>'2023'!W4</f>
        <v>0.15939523350323737</v>
      </c>
      <c r="AF8" s="43">
        <f>'2023'!X4</f>
        <v>0.15939523350323737</v>
      </c>
      <c r="AG8" s="44">
        <f>'2023'!Y4</f>
        <v>18.463013698630139</v>
      </c>
      <c r="AH8" s="45">
        <f>'2023'!Z4</f>
        <v>110.13798203279227</v>
      </c>
      <c r="AI8" s="45">
        <f>'2023'!AA4</f>
        <v>29.383952951060703</v>
      </c>
      <c r="AJ8" s="45">
        <f>'2023'!AB4</f>
        <v>0.39325842696629215</v>
      </c>
      <c r="AK8" s="45">
        <f>'2023'!AC4</f>
        <v>6.1</v>
      </c>
      <c r="AL8" s="45">
        <f t="shared" si="3"/>
        <v>11.796116504854369</v>
      </c>
      <c r="AM8" s="45">
        <f t="shared" si="4"/>
        <v>0.22564102564102564</v>
      </c>
      <c r="AN8" s="45">
        <f>'2023'!AD4</f>
        <v>167.5</v>
      </c>
      <c r="AO8" s="45">
        <f>'2023'!AE4</f>
        <v>4.17</v>
      </c>
      <c r="AP8" s="46">
        <f>'2023'!AF4</f>
        <v>52.7</v>
      </c>
      <c r="AQ8" s="47">
        <f>'2023'!AG4</f>
        <v>6</v>
      </c>
      <c r="AR8" s="48">
        <f>'2023'!AH4</f>
        <v>10</v>
      </c>
      <c r="AS8" s="48">
        <f>'2023'!AI4</f>
        <v>9</v>
      </c>
      <c r="AT8" s="48">
        <f>IF(AH8&gt;113.25,10,IF(AH8&gt;=107.84,9,IF(AH8&gt;=105.37,8,IF(AH8&gt;=103.25,7,IF(AH8&gt;=100.55,6,IF(AH8&gt;=98.75,5,IF(AH8&gt;=96.08,4,IF(AH8&gt;=94.39,3,IF(AH8&gt;=88.43,2,IF(AH8&gt;=85.16,1,IF(AH8&lt;85.16,0,FALSE)))))))))))</f>
        <v>9</v>
      </c>
      <c r="AU8" s="48">
        <f>'2023'!AK4</f>
        <v>10</v>
      </c>
      <c r="AV8" s="48">
        <f>'2023'!AL4</f>
        <v>5</v>
      </c>
      <c r="AW8" s="48">
        <f>'2023'!AM4</f>
        <v>8</v>
      </c>
      <c r="AX8" s="48">
        <f>'2023'!AN4</f>
        <v>6</v>
      </c>
      <c r="AY8" s="49">
        <f>'2023'!AO4</f>
        <v>10</v>
      </c>
      <c r="AZ8" s="50">
        <f>'2023'!AP4</f>
        <v>0.5</v>
      </c>
      <c r="BA8" s="56">
        <f>'2023'!AQ4</f>
        <v>0</v>
      </c>
      <c r="BB8" s="57">
        <f>'2023'!AR4</f>
        <v>4225</v>
      </c>
      <c r="BC8" s="57">
        <f>'2023'!AS4</f>
        <v>0</v>
      </c>
      <c r="BD8" s="57">
        <f>'2023'!AT4</f>
        <v>46</v>
      </c>
      <c r="BE8" s="57">
        <f>'2023'!AU4</f>
        <v>0</v>
      </c>
      <c r="BF8" s="57">
        <f>'2023'!AV4</f>
        <v>0</v>
      </c>
      <c r="BG8" s="58">
        <f>'2023'!AW4</f>
        <v>0</v>
      </c>
      <c r="BH8" s="58">
        <f>'2023'!AX4</f>
        <v>0</v>
      </c>
      <c r="BI8" s="58">
        <f>'2023'!AY4</f>
        <v>0</v>
      </c>
      <c r="BJ8" s="58">
        <f>'2023'!AZ4</f>
        <v>0</v>
      </c>
      <c r="BK8" s="57">
        <f>'2023'!BA4</f>
        <v>0</v>
      </c>
      <c r="BL8" s="57">
        <f>'2023'!BB4</f>
        <v>1089</v>
      </c>
      <c r="BM8" s="57">
        <f>'2023'!BC4</f>
        <v>0</v>
      </c>
      <c r="BN8" s="57">
        <f>'2023'!BD4</f>
        <v>0</v>
      </c>
      <c r="BO8" s="59">
        <f>'2023'!BE4</f>
        <v>7</v>
      </c>
      <c r="BP8" s="56">
        <f>'2023'!BF4</f>
        <v>0</v>
      </c>
      <c r="BQ8" s="57">
        <f>'2023'!BG4</f>
        <v>1829</v>
      </c>
      <c r="BR8" s="57">
        <f>'2023'!BH4</f>
        <v>0</v>
      </c>
      <c r="BS8" s="57">
        <f>'2023'!BI4</f>
        <v>12</v>
      </c>
      <c r="BT8" s="57">
        <f>'2023'!BJ4</f>
        <v>0</v>
      </c>
      <c r="BU8" s="57">
        <f>'2023'!BK4</f>
        <v>0</v>
      </c>
      <c r="BV8" s="58">
        <f>'2023'!BL4</f>
        <v>0</v>
      </c>
      <c r="BW8" s="58">
        <f>'2023'!BM4</f>
        <v>0</v>
      </c>
      <c r="BX8" s="58">
        <f>'2023'!BN4</f>
        <v>0</v>
      </c>
      <c r="BY8" s="58">
        <f>'2023'!BO4</f>
        <v>0</v>
      </c>
      <c r="BZ8" s="57">
        <f>'2023'!BP4</f>
        <v>0</v>
      </c>
      <c r="CA8" s="57">
        <f>'2023'!BQ4</f>
        <v>1607</v>
      </c>
      <c r="CB8" s="57">
        <f>'2023'!BR4</f>
        <v>0</v>
      </c>
      <c r="CC8" s="57">
        <f>'2023'!BS4</f>
        <v>0</v>
      </c>
      <c r="CD8" s="59">
        <f>'2023'!BT4</f>
        <v>14</v>
      </c>
      <c r="CE8" s="56">
        <f>'2023'!BU4</f>
        <v>467</v>
      </c>
      <c r="CF8" s="57">
        <f>'2023'!BV4</f>
        <v>1908</v>
      </c>
      <c r="CG8" s="57">
        <f>'2023'!BW4</f>
        <v>4</v>
      </c>
      <c r="CH8" s="57">
        <f>'2023'!BX4</f>
        <v>18</v>
      </c>
      <c r="CI8" s="57">
        <f>'2023'!BY4</f>
        <v>89</v>
      </c>
      <c r="CJ8" s="57">
        <f>'2023'!BZ4</f>
        <v>35</v>
      </c>
      <c r="CK8" s="58">
        <f>'2023'!CA4</f>
        <v>5.2</v>
      </c>
      <c r="CL8" s="58">
        <f>'2023'!CB4</f>
        <v>167.5</v>
      </c>
      <c r="CM8" s="58">
        <f>'2023'!CC4</f>
        <v>4.17</v>
      </c>
      <c r="CN8" s="58">
        <f>'2023'!CD4</f>
        <v>42.6</v>
      </c>
      <c r="CO8" s="57">
        <f>'2023'!CE4</f>
        <v>301</v>
      </c>
      <c r="CP8" s="57">
        <f>'2023'!CF4</f>
        <v>1991</v>
      </c>
      <c r="CQ8" s="57">
        <f>'2023'!CG4</f>
        <v>23</v>
      </c>
      <c r="CR8" s="57">
        <f>'2023'!CH4</f>
        <v>0</v>
      </c>
      <c r="CS8" s="59">
        <f>'2023'!CI4</f>
        <v>14</v>
      </c>
      <c r="CT8" s="56">
        <f>'2023'!CJ4</f>
        <v>746</v>
      </c>
      <c r="CU8" s="57">
        <f>'2023'!CK4</f>
        <v>2028</v>
      </c>
      <c r="CV8" s="57">
        <f>'2023'!CL4</f>
        <v>4</v>
      </c>
      <c r="CW8" s="57">
        <f>'2023'!CM4</f>
        <v>15</v>
      </c>
      <c r="CX8" s="57">
        <f>'2023'!CN4</f>
        <v>143</v>
      </c>
      <c r="CY8" s="57">
        <f>'2023'!CO4</f>
        <v>34</v>
      </c>
      <c r="CZ8" s="58">
        <f>'2023'!CP4</f>
        <v>5.2</v>
      </c>
      <c r="DA8" s="58">
        <f>'2023'!CQ4</f>
        <v>80.8</v>
      </c>
      <c r="DB8" s="58">
        <f>'2023'!CR4</f>
        <v>3.29</v>
      </c>
      <c r="DC8" s="58">
        <f>'2023'!CS4</f>
        <v>44.1</v>
      </c>
      <c r="DD8" s="57">
        <f>'2023'!CT4</f>
        <v>470</v>
      </c>
      <c r="DE8" s="57">
        <f>'2023'!CU4</f>
        <v>2380</v>
      </c>
      <c r="DF8" s="57">
        <f>'2023'!CV4</f>
        <v>36</v>
      </c>
      <c r="DG8" s="57">
        <f>'2023'!CW4</f>
        <v>0</v>
      </c>
      <c r="DH8" s="59">
        <f>'2023'!CX4</f>
        <v>18</v>
      </c>
      <c r="DI8" s="56">
        <f>'2023'!CY4</f>
        <v>926</v>
      </c>
      <c r="DJ8" s="57">
        <f>'2023'!CZ4</f>
        <v>2542</v>
      </c>
      <c r="DK8" s="57">
        <f>'2023'!DA4</f>
        <v>7</v>
      </c>
      <c r="DL8" s="57">
        <f>'2023'!DB4</f>
        <v>26</v>
      </c>
      <c r="DM8" s="57">
        <f>'2023'!DC4</f>
        <v>151</v>
      </c>
      <c r="DN8" s="57">
        <f>'2023'!DD4</f>
        <v>38</v>
      </c>
      <c r="DO8" s="58">
        <f>'2023'!DE4</f>
        <v>6.1</v>
      </c>
      <c r="DP8" s="58">
        <f>'2023'!DF4</f>
        <v>99.1</v>
      </c>
      <c r="DQ8" s="58">
        <f>'2023'!DG4</f>
        <v>3.39</v>
      </c>
      <c r="DR8" s="58">
        <f>'2023'!DH4</f>
        <v>52.7</v>
      </c>
      <c r="DS8" s="57">
        <f>'2023'!DI4</f>
        <v>444</v>
      </c>
      <c r="DT8" s="57">
        <f>'2023'!DJ4</f>
        <v>3660</v>
      </c>
      <c r="DU8" s="57">
        <f>'2023'!DK4</f>
        <v>44</v>
      </c>
      <c r="DV8" s="57">
        <f>'2023'!DL4</f>
        <v>0</v>
      </c>
      <c r="DW8" s="59">
        <f>'2023'!DM4</f>
        <v>37</v>
      </c>
    </row>
    <row r="9" spans="1:127" x14ac:dyDescent="0.2">
      <c r="A9" s="33">
        <f t="shared" si="0"/>
        <v>7</v>
      </c>
      <c r="B9" s="11">
        <f>'2016'!A3</f>
        <v>1</v>
      </c>
      <c r="C9" s="11">
        <v>2016</v>
      </c>
      <c r="D9" s="34" t="str">
        <f>'2016'!B3</f>
        <v>Ezekiel Elliott</v>
      </c>
      <c r="E9" s="224" t="str" cm="1">
        <f t="array" ref="E9">_xlfn.IFS(F9&gt;=13,"Cornerstone",AND(F9&gt;=12,F9&lt;13),"Elite",AND(F9&gt;=11,F9&lt;12),"Elite Upside",AND(F9&gt;=9,F9&lt;11),"Upside",AND(F9&gt;=7,F9&lt;9),"Upside Lite",AND(F9&gt;=6,F9&lt;7),"Outlier",AND(F9&gt;=5,F9&lt;6),"Outlier Lite",F9&lt;5,"Purgatory")</f>
        <v>Cornerstone</v>
      </c>
      <c r="F9" s="14">
        <f>'2016'!C3</f>
        <v>13.611111111111111</v>
      </c>
      <c r="G9" s="14">
        <f t="shared" si="7"/>
        <v>97.8</v>
      </c>
      <c r="H9" s="35">
        <f t="shared" si="1"/>
        <v>2.3737426898463627</v>
      </c>
      <c r="I9" s="36" t="str">
        <f>'2016'!D3</f>
        <v>Ohio State</v>
      </c>
      <c r="J9" s="37">
        <f>'2016'!E3</f>
        <v>2</v>
      </c>
      <c r="K9" s="38">
        <f>'2016'!F3</f>
        <v>34902</v>
      </c>
      <c r="L9" s="39">
        <f>'2016'!G3</f>
        <v>30.205479452054796</v>
      </c>
      <c r="M9" s="39" t="str">
        <f>'2016'!H3</f>
        <v>JR</v>
      </c>
      <c r="N9" s="39">
        <f>'2016'!I3</f>
        <v>20.780821917808218</v>
      </c>
      <c r="O9" s="39" t="str">
        <f t="shared" si="2"/>
        <v>FREAK</v>
      </c>
      <c r="P9" s="39" t="str">
        <f t="shared" si="6"/>
        <v>PLODDER</v>
      </c>
      <c r="Q9" s="37">
        <f>'2016'!J3</f>
        <v>72</v>
      </c>
      <c r="R9" s="37">
        <f>'2016'!K3</f>
        <v>225</v>
      </c>
      <c r="S9" s="39">
        <f t="shared" si="5"/>
        <v>30.515147835851227</v>
      </c>
      <c r="T9" s="37">
        <f>'2016'!L3</f>
        <v>4.47</v>
      </c>
      <c r="U9" s="55">
        <f>'2016'!M3</f>
        <v>1</v>
      </c>
      <c r="V9" s="41">
        <f>'2016'!N3</f>
        <v>0</v>
      </c>
      <c r="W9" s="42">
        <f>'2016'!O3</f>
        <v>0</v>
      </c>
      <c r="X9" s="42">
        <f>'2016'!P3</f>
        <v>7.9535623587196153E-2</v>
      </c>
      <c r="Y9" s="42">
        <f>'2016'!Q3</f>
        <v>0.27234818868908001</v>
      </c>
      <c r="Z9" s="42">
        <f>'2016'!R3</f>
        <v>0.35865539666507185</v>
      </c>
      <c r="AA9" s="42">
        <f>'2016'!S3</f>
        <v>0.35865539666507185</v>
      </c>
      <c r="AB9" s="42">
        <f>'2016'!T3</f>
        <v>0.35865539666507185</v>
      </c>
      <c r="AC9" s="42">
        <f>'2016'!U3</f>
        <v>5.5847834884662079E-2</v>
      </c>
      <c r="AD9" s="42">
        <f>'2016'!V3</f>
        <v>7.9449152542372878E-2</v>
      </c>
      <c r="AE9" s="42">
        <f>'2016'!W3</f>
        <v>7.9449152542372878E-2</v>
      </c>
      <c r="AF9" s="43">
        <f>'2016'!X3</f>
        <v>7.9449152542372878E-2</v>
      </c>
      <c r="AG9" s="44">
        <f>'2016'!Y3</f>
        <v>19.126027397260273</v>
      </c>
      <c r="AH9" s="45">
        <f>'2016'!Z3</f>
        <v>112.71518320084868</v>
      </c>
      <c r="AI9" s="45">
        <f>'2016'!AA3</f>
        <v>30.512152777777775</v>
      </c>
      <c r="AJ9" s="45">
        <f>'2016'!AB3</f>
        <v>0.18213058419243985</v>
      </c>
      <c r="AK9" s="45">
        <f>'2016'!AC3</f>
        <v>6.8472727272727276</v>
      </c>
      <c r="AL9" s="45">
        <f t="shared" si="3"/>
        <v>7.7272727272727275</v>
      </c>
      <c r="AM9" s="45">
        <f t="shared" si="4"/>
        <v>8.2018927444794956E-2</v>
      </c>
      <c r="AN9" s="45">
        <f>'2016'!AD3</f>
        <v>61.5</v>
      </c>
      <c r="AO9" s="45">
        <f>'2016'!AE3</f>
        <v>3.6</v>
      </c>
      <c r="AP9" s="46">
        <f>'2016'!AF3</f>
        <v>42.9</v>
      </c>
      <c r="AQ9" s="47">
        <f>'2016'!AG3</f>
        <v>10</v>
      </c>
      <c r="AR9" s="48">
        <f>'2016'!AH3</f>
        <v>8</v>
      </c>
      <c r="AS9" s="48">
        <f>'2016'!AI3</f>
        <v>7</v>
      </c>
      <c r="AT9" s="48">
        <f>'2016'!AJ3</f>
        <v>9</v>
      </c>
      <c r="AU9" s="48">
        <f>'2016'!AK3</f>
        <v>5</v>
      </c>
      <c r="AV9" s="48">
        <f>'2016'!AL3</f>
        <v>7</v>
      </c>
      <c r="AW9" s="48">
        <f>'2016'!AM3</f>
        <v>4</v>
      </c>
      <c r="AX9" s="48">
        <f>'2016'!AN3</f>
        <v>5</v>
      </c>
      <c r="AY9" s="49">
        <f>'2016'!AO3</f>
        <v>10</v>
      </c>
      <c r="AZ9" s="50">
        <f>'2016'!AP3</f>
        <v>1</v>
      </c>
      <c r="BA9" s="56">
        <f>'2016'!AQ3</f>
        <v>0</v>
      </c>
      <c r="BB9" s="57">
        <f>'2016'!AR3</f>
        <v>1</v>
      </c>
      <c r="BC9" s="57">
        <f>'2016'!AS3</f>
        <v>0</v>
      </c>
      <c r="BD9" s="57">
        <f>'2016'!AT3</f>
        <v>0</v>
      </c>
      <c r="BE9" s="57">
        <f>'2016'!AU3</f>
        <v>0</v>
      </c>
      <c r="BF9" s="57">
        <f>'2016'!AV3</f>
        <v>0</v>
      </c>
      <c r="BG9" s="58">
        <f>'2016'!AW3</f>
        <v>0</v>
      </c>
      <c r="BH9" s="58">
        <f>'2016'!AX3</f>
        <v>0</v>
      </c>
      <c r="BI9" s="58">
        <f>'2016'!AY3</f>
        <v>0</v>
      </c>
      <c r="BJ9" s="58">
        <f>'2016'!AZ3</f>
        <v>0</v>
      </c>
      <c r="BK9" s="57">
        <f>'2016'!BA3</f>
        <v>0</v>
      </c>
      <c r="BL9" s="57">
        <f>'2016'!BB3</f>
        <v>1</v>
      </c>
      <c r="BM9" s="57">
        <f>'2016'!BC3</f>
        <v>0</v>
      </c>
      <c r="BN9" s="57">
        <f>'2016'!BD3</f>
        <v>0</v>
      </c>
      <c r="BO9" s="59">
        <f>'2016'!BE3</f>
        <v>0</v>
      </c>
      <c r="BP9" s="56">
        <f>'2016'!BF3</f>
        <v>0</v>
      </c>
      <c r="BQ9" s="57">
        <f>'2016'!BG3</f>
        <v>1</v>
      </c>
      <c r="BR9" s="57">
        <f>'2016'!BH3</f>
        <v>0</v>
      </c>
      <c r="BS9" s="57">
        <f>'2016'!BI3</f>
        <v>0</v>
      </c>
      <c r="BT9" s="57">
        <f>'2016'!BJ3</f>
        <v>0</v>
      </c>
      <c r="BU9" s="57">
        <f>'2016'!BK3</f>
        <v>0</v>
      </c>
      <c r="BV9" s="58">
        <f>'2016'!BL3</f>
        <v>0</v>
      </c>
      <c r="BW9" s="58">
        <f>'2016'!BM3</f>
        <v>0</v>
      </c>
      <c r="BX9" s="58">
        <f>'2016'!BN3</f>
        <v>0</v>
      </c>
      <c r="BY9" s="58">
        <f>'2016'!BO3</f>
        <v>0</v>
      </c>
      <c r="BZ9" s="57">
        <f>'2016'!BP3</f>
        <v>0</v>
      </c>
      <c r="CA9" s="57">
        <f>'2016'!BQ3</f>
        <v>1</v>
      </c>
      <c r="CB9" s="57">
        <f>'2016'!BR3</f>
        <v>0</v>
      </c>
      <c r="CC9" s="57">
        <f>'2016'!BS3</f>
        <v>0</v>
      </c>
      <c r="CD9" s="59">
        <f>'2016'!BT3</f>
        <v>0</v>
      </c>
      <c r="CE9" s="56">
        <f>'2016'!BU3</f>
        <v>262</v>
      </c>
      <c r="CF9" s="57">
        <f>'2016'!BV3</f>
        <v>2160.2000000000003</v>
      </c>
      <c r="CG9" s="57">
        <f>'2016'!BW3</f>
        <v>2</v>
      </c>
      <c r="CH9" s="57">
        <f>'2016'!BX3</f>
        <v>22.400000000000002</v>
      </c>
      <c r="CI9" s="57">
        <f>'2016'!BY3</f>
        <v>0</v>
      </c>
      <c r="CJ9" s="57">
        <f>'2016'!BZ3</f>
        <v>0</v>
      </c>
      <c r="CK9" s="58">
        <f>'2016'!CA3</f>
        <v>0</v>
      </c>
      <c r="CL9" s="58">
        <f>'2016'!CB3</f>
        <v>0</v>
      </c>
      <c r="CM9" s="58">
        <f>'2016'!CC3</f>
        <v>0</v>
      </c>
      <c r="CN9" s="58">
        <f>'2016'!CD3</f>
        <v>0</v>
      </c>
      <c r="CO9" s="57">
        <f>'2016'!CE3</f>
        <v>23</v>
      </c>
      <c r="CP9" s="57">
        <f>'2016'!CF3</f>
        <v>1423.1000000000001</v>
      </c>
      <c r="CQ9" s="57">
        <f>'2016'!CG3</f>
        <v>3</v>
      </c>
      <c r="CR9" s="57">
        <f>'2016'!CH3</f>
        <v>1</v>
      </c>
      <c r="CS9" s="59">
        <f>'2016'!CI3</f>
        <v>19</v>
      </c>
      <c r="CT9" s="56">
        <f>'2016'!CJ3</f>
        <v>1883</v>
      </c>
      <c r="CU9" s="57">
        <f>'2016'!CK3</f>
        <v>3967.5</v>
      </c>
      <c r="CV9" s="57">
        <f>'2016'!CL3</f>
        <v>18</v>
      </c>
      <c r="CW9" s="57">
        <f>'2016'!CM3</f>
        <v>40.5</v>
      </c>
      <c r="CX9" s="57">
        <f>'2016'!CN3</f>
        <v>275</v>
      </c>
      <c r="CY9" s="57">
        <f>'2016'!CO3</f>
        <v>41</v>
      </c>
      <c r="CZ9" s="58">
        <f>'2016'!CP3</f>
        <v>6.8472727272727276</v>
      </c>
      <c r="DA9" s="58">
        <f>'2016'!CQ3</f>
        <v>58.5</v>
      </c>
      <c r="DB9" s="58">
        <f>'2016'!CR3</f>
        <v>3.6</v>
      </c>
      <c r="DC9" s="58">
        <f>'2016'!CS3</f>
        <v>42.9</v>
      </c>
      <c r="DD9" s="57">
        <f>'2016'!CT3</f>
        <v>207</v>
      </c>
      <c r="DE9" s="57">
        <f>'2016'!CU3</f>
        <v>3706.5</v>
      </c>
      <c r="DF9" s="57">
        <f>'2016'!CV3</f>
        <v>26</v>
      </c>
      <c r="DG9" s="57">
        <f>'2016'!CW3</f>
        <v>0</v>
      </c>
      <c r="DH9" s="59">
        <f>'2016'!CX3</f>
        <v>42</v>
      </c>
      <c r="DI9" s="56">
        <f>'2016'!CY3</f>
        <v>1829</v>
      </c>
      <c r="DJ9" s="57">
        <f>'2016'!CZ3</f>
        <v>3188.9</v>
      </c>
      <c r="DK9" s="57">
        <f>'2016'!DA3</f>
        <v>23</v>
      </c>
      <c r="DL9" s="57">
        <f>'2016'!DB3</f>
        <v>39</v>
      </c>
      <c r="DM9" s="57">
        <f>'2016'!DC3</f>
        <v>291</v>
      </c>
      <c r="DN9" s="57">
        <f>'2016'!DD3</f>
        <v>53</v>
      </c>
      <c r="DO9" s="58">
        <f>'2016'!DE3</f>
        <v>6.2852233676975944</v>
      </c>
      <c r="DP9" s="58">
        <f>'2016'!DF3</f>
        <v>61.5</v>
      </c>
      <c r="DQ9" s="58">
        <f>'2016'!DG3</f>
        <v>3.54</v>
      </c>
      <c r="DR9" s="58">
        <f>'2016'!DH3</f>
        <v>41</v>
      </c>
      <c r="DS9" s="57">
        <f>'2016'!DI3</f>
        <v>195</v>
      </c>
      <c r="DT9" s="57">
        <f>'2016'!DJ3</f>
        <v>2454.4</v>
      </c>
      <c r="DU9" s="57">
        <f>'2016'!DK3</f>
        <v>26</v>
      </c>
      <c r="DV9" s="57">
        <f>'2016'!DL3</f>
        <v>0</v>
      </c>
      <c r="DW9" s="59">
        <f>'2016'!DM3</f>
        <v>19.5</v>
      </c>
    </row>
    <row r="10" spans="1:127" x14ac:dyDescent="0.2">
      <c r="A10" s="33">
        <f t="shared" si="0"/>
        <v>8</v>
      </c>
      <c r="B10" s="11">
        <f>'2017'!A3</f>
        <v>1</v>
      </c>
      <c r="C10" s="11">
        <v>2017</v>
      </c>
      <c r="D10" s="34" t="str">
        <f>'2017'!B3</f>
        <v>Christian McCaffrey</v>
      </c>
      <c r="E10" s="224" t="str" cm="1">
        <f t="array" ref="E10">_xlfn.IFS(F10&gt;=13,"Cornerstone",AND(F10&gt;=12,F10&lt;13),"Elite",AND(F10&gt;=11,F10&lt;12),"Elite Upside",AND(F10&gt;=9,F10&lt;11),"Upside",AND(F10&gt;=7,F10&lt;9),"Upside Lite",AND(F10&gt;=6,F10&lt;7),"Outlier",AND(F10&gt;=5,F10&lt;6),"Outlier Lite",F10&lt;5,"Purgatory")</f>
        <v>Cornerstone</v>
      </c>
      <c r="F10" s="14">
        <f>'2017'!C3</f>
        <v>13.144444444444444</v>
      </c>
      <c r="G10" s="14">
        <f t="shared" si="7"/>
        <v>97.5</v>
      </c>
      <c r="H10" s="35">
        <f t="shared" si="1"/>
        <v>2.1762376598678643</v>
      </c>
      <c r="I10" s="36" t="str">
        <f>'2017'!D3</f>
        <v>Stanford</v>
      </c>
      <c r="J10" s="37">
        <f>'2017'!E3</f>
        <v>5</v>
      </c>
      <c r="K10" s="38">
        <f>'2017'!F3</f>
        <v>35223</v>
      </c>
      <c r="L10" s="39">
        <f>'2017'!G3</f>
        <v>29.326027397260273</v>
      </c>
      <c r="M10" s="39" t="str">
        <f>'2017'!H3</f>
        <v>JR</v>
      </c>
      <c r="N10" s="39">
        <f>'2017'!I3</f>
        <v>20.901369863013699</v>
      </c>
      <c r="O10" s="39" t="str">
        <f t="shared" si="2"/>
        <v>DYNAMIC</v>
      </c>
      <c r="P10" s="39" t="str">
        <f t="shared" si="6"/>
        <v>SLASHER</v>
      </c>
      <c r="Q10" s="37">
        <f>'2017'!J3</f>
        <v>71</v>
      </c>
      <c r="R10" s="37">
        <f>'2017'!K3</f>
        <v>202</v>
      </c>
      <c r="S10" s="39">
        <f t="shared" si="5"/>
        <v>28.172969498091351</v>
      </c>
      <c r="T10" s="37">
        <f>'2017'!L3</f>
        <v>4.49</v>
      </c>
      <c r="U10" s="55">
        <f>'2017'!M3</f>
        <v>1</v>
      </c>
      <c r="V10" s="41">
        <f>'2017'!N3</f>
        <v>0</v>
      </c>
      <c r="W10" s="42">
        <f>'2017'!O3</f>
        <v>0</v>
      </c>
      <c r="X10" s="42">
        <f>'2017'!P3</f>
        <v>0.10906571654790181</v>
      </c>
      <c r="Y10" s="42">
        <f>'2017'!Q3</f>
        <v>0.43644415286206328</v>
      </c>
      <c r="Z10" s="42">
        <f>'2017'!R3</f>
        <v>0.39949748743718594</v>
      </c>
      <c r="AA10" s="42">
        <f>'2017'!S3</f>
        <v>0.41797082014962461</v>
      </c>
      <c r="AB10" s="42">
        <f>'2017'!T3</f>
        <v>0.35527519712718092</v>
      </c>
      <c r="AC10" s="42">
        <f>'2017'!U3</f>
        <v>0.218212478920742</v>
      </c>
      <c r="AD10" s="42">
        <f>'2017'!V3</f>
        <v>0.15466926070038911</v>
      </c>
      <c r="AE10" s="42">
        <f>'2017'!W3</f>
        <v>0.18644086981056557</v>
      </c>
      <c r="AF10" s="43">
        <f>'2017'!X3</f>
        <v>0.15847473933898074</v>
      </c>
      <c r="AG10" s="44">
        <f>'2017'!Y3</f>
        <v>19.243835616438357</v>
      </c>
      <c r="AH10" s="45">
        <f>'2017'!Z3</f>
        <v>99.402201065413365</v>
      </c>
      <c r="AI10" s="45">
        <f>'2017'!AA3</f>
        <v>28.170204324538783</v>
      </c>
      <c r="AJ10" s="45">
        <f>'2017'!AB3</f>
        <v>0.21068249258160238</v>
      </c>
      <c r="AK10" s="45">
        <f>'2017'!AC3</f>
        <v>7.1</v>
      </c>
      <c r="AL10" s="45">
        <f t="shared" si="3"/>
        <v>12.16</v>
      </c>
      <c r="AM10" s="45">
        <f t="shared" si="4"/>
        <v>0.1310344827586207</v>
      </c>
      <c r="AN10" s="45">
        <f>'2017'!AD3</f>
        <v>73.8</v>
      </c>
      <c r="AO10" s="45">
        <f>'2017'!AE3</f>
        <v>3.29</v>
      </c>
      <c r="AP10" s="46">
        <f>'2017'!AF3</f>
        <v>37.9</v>
      </c>
      <c r="AQ10" s="47">
        <f>'2017'!AG3</f>
        <v>10</v>
      </c>
      <c r="AR10" s="48">
        <f>'2017'!AH3</f>
        <v>10</v>
      </c>
      <c r="AS10" s="48">
        <f>'2017'!AI3</f>
        <v>7</v>
      </c>
      <c r="AT10" s="48">
        <f>IF(AH10&gt;113.25,10,IF(AH10&gt;=107.84,9,IF(AH10&gt;=105.37,8,IF(AH10&gt;=103.25,7,IF(AH10&gt;=100.55,6,IF(AH10&gt;=98.75,5,IF(AH10&gt;=96.08,4,IF(AH10&gt;=94.39,3,IF(AH10&gt;=88.43,2,IF(AH10&gt;=85.16,1,IF(AH10&lt;85.16,0,FALSE)))))))))))</f>
        <v>5</v>
      </c>
      <c r="AU10" s="48">
        <f>'2017'!AK3</f>
        <v>4</v>
      </c>
      <c r="AV10" s="48">
        <f>'2017'!AL3</f>
        <v>8</v>
      </c>
      <c r="AW10" s="48">
        <f>'2017'!AM3</f>
        <v>4</v>
      </c>
      <c r="AX10" s="48">
        <f>'2017'!AN3</f>
        <v>3</v>
      </c>
      <c r="AY10" s="49">
        <f>IF(U10=1,10,IF(U10=2,7,IF(U10=3,6,IF(U10=4,4,IF(U10=5,3,IF(U10=6,2,IF(U10=7,1,IF(U10=0,0,"-"))))))))</f>
        <v>10</v>
      </c>
      <c r="AZ10" s="50">
        <f>'2017'!AP3</f>
        <v>1</v>
      </c>
      <c r="BA10" s="56">
        <f>'2017'!AQ3</f>
        <v>0</v>
      </c>
      <c r="BB10" s="57">
        <f>'2017'!AR3</f>
        <v>2440</v>
      </c>
      <c r="BC10" s="57">
        <f>'2017'!AS3</f>
        <v>0</v>
      </c>
      <c r="BD10" s="57">
        <f>'2017'!AT3</f>
        <v>0</v>
      </c>
      <c r="BE10" s="57">
        <f>'2017'!AU3</f>
        <v>0</v>
      </c>
      <c r="BF10" s="57">
        <f>'2017'!AV3</f>
        <v>0</v>
      </c>
      <c r="BG10" s="58">
        <f>'2017'!AW3</f>
        <v>0</v>
      </c>
      <c r="BH10" s="58">
        <f>'2017'!AX3</f>
        <v>0</v>
      </c>
      <c r="BI10" s="58">
        <f>'2017'!AY3</f>
        <v>0</v>
      </c>
      <c r="BJ10" s="58">
        <f>'2017'!AZ3</f>
        <v>0</v>
      </c>
      <c r="BK10" s="57">
        <f>'2017'!BA3</f>
        <v>0</v>
      </c>
      <c r="BL10" s="57">
        <f>'2017'!BB3</f>
        <v>2802</v>
      </c>
      <c r="BM10" s="57">
        <f>'2017'!BC3</f>
        <v>0</v>
      </c>
      <c r="BN10" s="57">
        <f>'2017'!BD3</f>
        <v>0</v>
      </c>
      <c r="BO10" s="59">
        <f>'2017'!BE3</f>
        <v>0</v>
      </c>
      <c r="BP10" s="56">
        <f>'2017'!BF3</f>
        <v>0</v>
      </c>
      <c r="BQ10" s="57">
        <f>'2017'!BG3</f>
        <v>2904</v>
      </c>
      <c r="BR10" s="57">
        <f>'2017'!BH3</f>
        <v>0</v>
      </c>
      <c r="BS10" s="57">
        <f>'2017'!BI3</f>
        <v>0</v>
      </c>
      <c r="BT10" s="57">
        <f>'2017'!BJ3</f>
        <v>0</v>
      </c>
      <c r="BU10" s="57">
        <f>'2017'!BK3</f>
        <v>0</v>
      </c>
      <c r="BV10" s="58">
        <f>'2017'!BL3</f>
        <v>0</v>
      </c>
      <c r="BW10" s="58">
        <f>'2017'!BM3</f>
        <v>0</v>
      </c>
      <c r="BX10" s="58">
        <f>'2017'!BN3</f>
        <v>0</v>
      </c>
      <c r="BY10" s="58">
        <f>'2017'!BO3</f>
        <v>0</v>
      </c>
      <c r="BZ10" s="57">
        <f>'2017'!BP3</f>
        <v>0</v>
      </c>
      <c r="CA10" s="57">
        <f>'2017'!BQ3</f>
        <v>2771</v>
      </c>
      <c r="CB10" s="57">
        <f>'2017'!BR3</f>
        <v>0</v>
      </c>
      <c r="CC10" s="57">
        <f>'2017'!BS3</f>
        <v>0</v>
      </c>
      <c r="CD10" s="59">
        <f>'2017'!BT3</f>
        <v>0</v>
      </c>
      <c r="CE10" s="56">
        <f>'2017'!BU3</f>
        <v>300</v>
      </c>
      <c r="CF10" s="57">
        <f>'2017'!BV3</f>
        <v>2064</v>
      </c>
      <c r="CG10" s="57">
        <f>'2017'!BW3</f>
        <v>0</v>
      </c>
      <c r="CH10" s="57">
        <f>'2017'!BX3</f>
        <v>0</v>
      </c>
      <c r="CI10" s="57">
        <f>'2017'!BY3</f>
        <v>42</v>
      </c>
      <c r="CJ10" s="57">
        <f>'2017'!BZ3</f>
        <v>5</v>
      </c>
      <c r="CK10" s="58">
        <f>'2017'!CA3</f>
        <v>7.1</v>
      </c>
      <c r="CL10" s="58">
        <f>'2017'!CB3</f>
        <v>52.3</v>
      </c>
      <c r="CM10" s="58">
        <f>'2017'!CC3</f>
        <v>2.57</v>
      </c>
      <c r="CN10" s="58">
        <f>'2017'!CD3</f>
        <v>56.3</v>
      </c>
      <c r="CO10" s="57">
        <f>'2017'!CE3</f>
        <v>251</v>
      </c>
      <c r="CP10" s="57">
        <f>'2017'!CF3</f>
        <v>2988</v>
      </c>
      <c r="CQ10" s="57">
        <f>'2017'!CG3</f>
        <v>17</v>
      </c>
      <c r="CR10" s="57">
        <f>'2017'!CH3</f>
        <v>0</v>
      </c>
      <c r="CS10" s="59">
        <f>'2017'!CI3</f>
        <v>0</v>
      </c>
      <c r="CT10" s="56">
        <f>'2017'!CJ3</f>
        <v>2014</v>
      </c>
      <c r="CU10" s="57">
        <f>'2017'!CK3</f>
        <v>3132</v>
      </c>
      <c r="CV10" s="57">
        <f>'2017'!CL3</f>
        <v>8</v>
      </c>
      <c r="CW10" s="57">
        <f>'2017'!CM3</f>
        <v>0</v>
      </c>
      <c r="CX10" s="57">
        <f>'2017'!CN3</f>
        <v>337</v>
      </c>
      <c r="CY10" s="57">
        <f>'2017'!CO3</f>
        <v>71</v>
      </c>
      <c r="CZ10" s="58">
        <f>'2017'!CP3</f>
        <v>6</v>
      </c>
      <c r="DA10" s="58">
        <f>'2017'!CQ3</f>
        <v>58.4</v>
      </c>
      <c r="DB10" s="58">
        <f>'2017'!CR3</f>
        <v>2.62</v>
      </c>
      <c r="DC10" s="58">
        <f>'2017'!CS3</f>
        <v>33.700000000000003</v>
      </c>
      <c r="DD10" s="57">
        <f>'2017'!CT3</f>
        <v>647</v>
      </c>
      <c r="DE10" s="57">
        <f>'2017'!CU3</f>
        <v>2965</v>
      </c>
      <c r="DF10" s="57">
        <f>'2017'!CV3</f>
        <v>45</v>
      </c>
      <c r="DG10" s="57">
        <f>'2017'!CW3</f>
        <v>0</v>
      </c>
      <c r="DH10" s="59">
        <f>'2017'!CX3</f>
        <v>0</v>
      </c>
      <c r="DI10" s="56">
        <f>'2017'!CY3</f>
        <v>1590</v>
      </c>
      <c r="DJ10" s="57">
        <f>'2017'!CZ3</f>
        <v>2720</v>
      </c>
      <c r="DK10" s="57">
        <f>'2017'!DA3</f>
        <v>13</v>
      </c>
      <c r="DL10" s="57">
        <f>'2017'!DB3</f>
        <v>0</v>
      </c>
      <c r="DM10" s="57">
        <f>'2017'!DC3</f>
        <v>252</v>
      </c>
      <c r="DN10" s="57">
        <f>'2017'!DD3</f>
        <v>44</v>
      </c>
      <c r="DO10" s="58">
        <f>'2017'!DE3</f>
        <v>6.3</v>
      </c>
      <c r="DP10" s="58">
        <f>'2017'!DF3</f>
        <v>73.8</v>
      </c>
      <c r="DQ10" s="58">
        <f>'2017'!DG3</f>
        <v>3.29</v>
      </c>
      <c r="DR10" s="58">
        <f>'2017'!DH3</f>
        <v>37.9</v>
      </c>
      <c r="DS10" s="57">
        <f>'2017'!DI3</f>
        <v>318</v>
      </c>
      <c r="DT10" s="57">
        <f>'2017'!DJ3</f>
        <v>2056</v>
      </c>
      <c r="DU10" s="57">
        <f>'2017'!DK3</f>
        <v>38</v>
      </c>
      <c r="DV10" s="57">
        <f>'2017'!DL3</f>
        <v>0</v>
      </c>
      <c r="DW10" s="59">
        <f>'2017'!DM3</f>
        <v>0</v>
      </c>
    </row>
    <row r="11" spans="1:127" x14ac:dyDescent="0.2">
      <c r="A11" s="33">
        <f t="shared" si="0"/>
        <v>9</v>
      </c>
      <c r="B11" s="11">
        <f>'2017'!A4</f>
        <v>2</v>
      </c>
      <c r="C11" s="11">
        <v>2017</v>
      </c>
      <c r="D11" s="34" t="str">
        <f>'2017'!B4</f>
        <v>Leonard Fournette</v>
      </c>
      <c r="E11" s="224" t="str" cm="1">
        <f t="array" ref="E11">_xlfn.IFS(F11&gt;=13,"Cornerstone",AND(F11&gt;=12,F11&lt;13),"Elite",AND(F11&gt;=11,F11&lt;12),"Elite Upside",AND(F11&gt;=9,F11&lt;11),"Upside",AND(F11&gt;=7,F11&lt;9),"Upside Lite",AND(F11&gt;=6,F11&lt;7),"Outlier",AND(F11&gt;=5,F11&lt;6),"Outlier Lite",F11&lt;5,"Purgatory")</f>
        <v>Elite</v>
      </c>
      <c r="F11" s="14">
        <f>'2017'!C4</f>
        <v>12.961111111111112</v>
      </c>
      <c r="G11" s="14">
        <f t="shared" si="7"/>
        <v>97.2</v>
      </c>
      <c r="H11" s="35">
        <f t="shared" si="1"/>
        <v>2.0986463980905974</v>
      </c>
      <c r="I11" s="36" t="str">
        <f>'2017'!D4</f>
        <v>LSU</v>
      </c>
      <c r="J11" s="37">
        <f>'2017'!E4</f>
        <v>1</v>
      </c>
      <c r="K11" s="38">
        <f>'2017'!F4</f>
        <v>34717</v>
      </c>
      <c r="L11" s="39">
        <f>'2017'!G4</f>
        <v>30.712328767123289</v>
      </c>
      <c r="M11" s="39" t="str">
        <f>'2017'!H4</f>
        <v>JR</v>
      </c>
      <c r="N11" s="39">
        <f>'2017'!I4</f>
        <v>22.287671232876711</v>
      </c>
      <c r="O11" s="39" t="str">
        <f t="shared" si="2"/>
        <v>BRUISER</v>
      </c>
      <c r="P11" s="39" t="str">
        <f t="shared" si="6"/>
        <v>SLASHER</v>
      </c>
      <c r="Q11" s="37">
        <f>'2017'!J4</f>
        <v>73</v>
      </c>
      <c r="R11" s="37">
        <f>'2017'!K4</f>
        <v>240</v>
      </c>
      <c r="S11" s="39">
        <f t="shared" si="5"/>
        <v>31.663832139824162</v>
      </c>
      <c r="T11" s="37">
        <f>'2017'!L4</f>
        <v>4.51</v>
      </c>
      <c r="U11" s="55">
        <f>'2017'!M4</f>
        <v>1</v>
      </c>
      <c r="V11" s="41">
        <f>'2017'!N4</f>
        <v>0</v>
      </c>
      <c r="W11" s="42">
        <f>'2017'!O4</f>
        <v>0</v>
      </c>
      <c r="X11" s="42">
        <f>'2017'!P4</f>
        <v>0.23049434187016082</v>
      </c>
      <c r="Y11" s="42">
        <f>'2017'!Q4</f>
        <v>0.42233657327996948</v>
      </c>
      <c r="Z11" s="42">
        <f>'2017'!R4</f>
        <v>0.19519401221193619</v>
      </c>
      <c r="AA11" s="42">
        <f>'2017'!S4</f>
        <v>0.30876529274595282</v>
      </c>
      <c r="AB11" s="42">
        <f>'2017'!T4</f>
        <v>0.30876529274595282</v>
      </c>
      <c r="AC11" s="42">
        <f>'2017'!U4</f>
        <v>0.11639722863741339</v>
      </c>
      <c r="AD11" s="42">
        <f>'2017'!V4</f>
        <v>6.4007014467338891E-2</v>
      </c>
      <c r="AE11" s="42">
        <f>'2017'!W4</f>
        <v>9.0202121552376141E-2</v>
      </c>
      <c r="AF11" s="43">
        <f>'2017'!X4</f>
        <v>9.0202121552376141E-2</v>
      </c>
      <c r="AG11" s="44">
        <f>'2017'!Y4</f>
        <v>19.632876712328766</v>
      </c>
      <c r="AH11" s="45">
        <f>'2017'!Z4</f>
        <v>116.0205900552927</v>
      </c>
      <c r="AI11" s="45">
        <f>'2017'!AA4</f>
        <v>31.66072433852505</v>
      </c>
      <c r="AJ11" s="45">
        <f>'2017'!AB4</f>
        <v>0.28428093645484948</v>
      </c>
      <c r="AK11" s="45">
        <f>'2017'!AC4</f>
        <v>6.6</v>
      </c>
      <c r="AL11" s="45">
        <f t="shared" si="3"/>
        <v>12.3</v>
      </c>
      <c r="AM11" s="45">
        <f t="shared" si="4"/>
        <v>0.10416666666666667</v>
      </c>
      <c r="AN11" s="45">
        <f>'2017'!AD4</f>
        <v>108.9</v>
      </c>
      <c r="AO11" s="45">
        <f>'2017'!AE4</f>
        <v>3.65</v>
      </c>
      <c r="AP11" s="46">
        <f>'2017'!AF4</f>
        <v>46.6</v>
      </c>
      <c r="AQ11" s="47">
        <f>'2017'!AG4</f>
        <v>8</v>
      </c>
      <c r="AR11" s="48">
        <f>'2017'!AH4</f>
        <v>8</v>
      </c>
      <c r="AS11" s="48">
        <f>'2017'!AI4</f>
        <v>6</v>
      </c>
      <c r="AT11" s="48">
        <f>IF(AH11&gt;113.25,10,IF(AH11&gt;=107.84,9,IF(AH11&gt;=105.37,8,IF(AH11&gt;=103.25,7,IF(AH11&gt;=100.55,6,IF(AH11&gt;=98.75,5,IF(AH11&gt;=96.08,4,IF(AH11&gt;=94.39,3,IF(AH11&gt;=88.43,2,IF(AH11&gt;=85.16,1,IF(AH11&lt;85.16,0,FALSE)))))))))))</f>
        <v>10</v>
      </c>
      <c r="AU11" s="48">
        <f>'2017'!AK4</f>
        <v>8</v>
      </c>
      <c r="AV11" s="48">
        <f>'2017'!AL4</f>
        <v>6</v>
      </c>
      <c r="AW11" s="48">
        <f>'2017'!AM4</f>
        <v>7</v>
      </c>
      <c r="AX11" s="48">
        <f>'2017'!AN4</f>
        <v>4</v>
      </c>
      <c r="AY11" s="49">
        <f>IF(U11=1,10,IF(U11=2,7,IF(U11=3,6,IF(U11=4,4,IF(U11=5,3,IF(U11=6,2,IF(U11=7,1,IF(U11=0,0,"-"))))))))</f>
        <v>10</v>
      </c>
      <c r="AZ11" s="50">
        <f>'2017'!AP4</f>
        <v>0.25</v>
      </c>
      <c r="BA11" s="56">
        <f>'2017'!AQ4</f>
        <v>0</v>
      </c>
      <c r="BB11" s="57">
        <f>'2017'!AR4</f>
        <v>2258</v>
      </c>
      <c r="BC11" s="57">
        <f>'2017'!AS4</f>
        <v>0</v>
      </c>
      <c r="BD11" s="57">
        <f>'2017'!AT4</f>
        <v>0</v>
      </c>
      <c r="BE11" s="57">
        <f>'2017'!AU4</f>
        <v>0</v>
      </c>
      <c r="BF11" s="57">
        <f>'2017'!AV4</f>
        <v>0</v>
      </c>
      <c r="BG11" s="58">
        <f>'2017'!AW4</f>
        <v>0</v>
      </c>
      <c r="BH11" s="58">
        <f>'2017'!AX4</f>
        <v>0</v>
      </c>
      <c r="BI11" s="58">
        <f>'2017'!AY4</f>
        <v>0</v>
      </c>
      <c r="BJ11" s="58">
        <f>'2017'!AZ4</f>
        <v>0</v>
      </c>
      <c r="BK11" s="57">
        <f>'2017'!BA4</f>
        <v>0</v>
      </c>
      <c r="BL11" s="57">
        <f>'2017'!BB4</f>
        <v>2607</v>
      </c>
      <c r="BM11" s="57">
        <f>'2017'!BC4</f>
        <v>0</v>
      </c>
      <c r="BN11" s="57">
        <f>'2017'!BD4</f>
        <v>0</v>
      </c>
      <c r="BO11" s="59">
        <f>'2017'!BE4</f>
        <v>0</v>
      </c>
      <c r="BP11" s="56">
        <f>'2017'!BF4</f>
        <v>0</v>
      </c>
      <c r="BQ11" s="57">
        <f>'2017'!BG4</f>
        <v>2630</v>
      </c>
      <c r="BR11" s="57">
        <f>'2017'!BH4</f>
        <v>0</v>
      </c>
      <c r="BS11" s="57">
        <f>'2017'!BI4</f>
        <v>0</v>
      </c>
      <c r="BT11" s="57">
        <f>'2017'!BJ4</f>
        <v>0</v>
      </c>
      <c r="BU11" s="57">
        <f>'2017'!BK4</f>
        <v>0</v>
      </c>
      <c r="BV11" s="58">
        <f>'2017'!BL4</f>
        <v>0</v>
      </c>
      <c r="BW11" s="58">
        <f>'2017'!BM4</f>
        <v>0</v>
      </c>
      <c r="BX11" s="58">
        <f>'2017'!BN4</f>
        <v>0</v>
      </c>
      <c r="BY11" s="58">
        <f>'2017'!BO4</f>
        <v>0</v>
      </c>
      <c r="BZ11" s="57">
        <f>'2017'!BP4</f>
        <v>0</v>
      </c>
      <c r="CA11" s="57">
        <f>'2017'!BQ4</f>
        <v>3263</v>
      </c>
      <c r="CB11" s="57">
        <f>'2017'!BR4</f>
        <v>0</v>
      </c>
      <c r="CC11" s="57">
        <f>'2017'!BS4</f>
        <v>0</v>
      </c>
      <c r="CD11" s="59">
        <f>'2017'!BT4</f>
        <v>0</v>
      </c>
      <c r="CE11" s="56">
        <f>'2017'!BU4</f>
        <v>1067</v>
      </c>
      <c r="CF11" s="57">
        <f>'2017'!BV4</f>
        <v>2919</v>
      </c>
      <c r="CG11" s="57">
        <f>'2017'!BW4</f>
        <v>10</v>
      </c>
      <c r="CH11" s="57">
        <f>'2017'!BX4</f>
        <v>0</v>
      </c>
      <c r="CI11" s="57">
        <f>'2017'!BY4</f>
        <v>188</v>
      </c>
      <c r="CJ11" s="57">
        <f>'2017'!BZ4</f>
        <v>31</v>
      </c>
      <c r="CK11" s="58">
        <f>'2017'!CA4</f>
        <v>5.7</v>
      </c>
      <c r="CL11" s="58">
        <f>'2017'!CB4</f>
        <v>37.5</v>
      </c>
      <c r="CM11" s="58">
        <f>'2017'!CC4</f>
        <v>2.2000000000000002</v>
      </c>
      <c r="CN11" s="58">
        <f>'2017'!CD4</f>
        <v>40.200000000000003</v>
      </c>
      <c r="CO11" s="57">
        <f>'2017'!CE4</f>
        <v>94</v>
      </c>
      <c r="CP11" s="57">
        <f>'2017'!CF4</f>
        <v>2118</v>
      </c>
      <c r="CQ11" s="57">
        <f>'2017'!CG4</f>
        <v>6</v>
      </c>
      <c r="CR11" s="57">
        <f>'2017'!CH4</f>
        <v>0</v>
      </c>
      <c r="CS11" s="59">
        <f>'2017'!CI4</f>
        <v>0</v>
      </c>
      <c r="CT11" s="56">
        <f>'2017'!CJ4</f>
        <v>1964</v>
      </c>
      <c r="CU11" s="57">
        <f>'2017'!CK4</f>
        <v>3082</v>
      </c>
      <c r="CV11" s="57">
        <f>'2017'!CL4</f>
        <v>22</v>
      </c>
      <c r="CW11" s="57">
        <f>'2017'!CM4</f>
        <v>0</v>
      </c>
      <c r="CX11" s="57">
        <f>'2017'!CN4</f>
        <v>299</v>
      </c>
      <c r="CY11" s="57">
        <f>'2017'!CO4</f>
        <v>85</v>
      </c>
      <c r="CZ11" s="58">
        <f>'2017'!CP4</f>
        <v>6.5</v>
      </c>
      <c r="DA11" s="58">
        <f>'2017'!CQ4</f>
        <v>108.9</v>
      </c>
      <c r="DB11" s="58">
        <f>'2017'!CR4</f>
        <v>3.65</v>
      </c>
      <c r="DC11" s="58">
        <f>'2017'!CS4</f>
        <v>42.5</v>
      </c>
      <c r="DD11" s="57">
        <f>'2017'!CT4</f>
        <v>252</v>
      </c>
      <c r="DE11" s="57">
        <f>'2017'!CU4</f>
        <v>2165</v>
      </c>
      <c r="DF11" s="57">
        <f>'2017'!CV4</f>
        <v>19</v>
      </c>
      <c r="DG11" s="57">
        <f>'2017'!CW4</f>
        <v>0</v>
      </c>
      <c r="DH11" s="59">
        <f>'2017'!CX4</f>
        <v>0</v>
      </c>
      <c r="DI11" s="56">
        <f>'2017'!CY4</f>
        <v>845</v>
      </c>
      <c r="DJ11" s="57">
        <f>'2017'!CZ4</f>
        <v>2796</v>
      </c>
      <c r="DK11" s="57">
        <f>'2017'!DA4</f>
        <v>8</v>
      </c>
      <c r="DL11" s="57">
        <f>'2017'!DB4</f>
        <v>0</v>
      </c>
      <c r="DM11" s="57">
        <f>'2017'!DC4</f>
        <v>129</v>
      </c>
      <c r="DN11" s="57">
        <f>'2017'!DD4</f>
        <v>21</v>
      </c>
      <c r="DO11" s="58">
        <f>'2017'!DE4</f>
        <v>6.6</v>
      </c>
      <c r="DP11" s="58">
        <f>'2017'!DF4</f>
        <v>49.5</v>
      </c>
      <c r="DQ11" s="58">
        <f>'2017'!DG4</f>
        <v>2.85</v>
      </c>
      <c r="DR11" s="58">
        <f>'2017'!DH4</f>
        <v>46.6</v>
      </c>
      <c r="DS11" s="57">
        <f>'2017'!DI4</f>
        <v>146</v>
      </c>
      <c r="DT11" s="57">
        <f>'2017'!DJ4</f>
        <v>2281</v>
      </c>
      <c r="DU11" s="57">
        <f>'2017'!DK4</f>
        <v>15</v>
      </c>
      <c r="DV11" s="57">
        <f>'2017'!DL4</f>
        <v>0</v>
      </c>
      <c r="DW11" s="59">
        <f>'2017'!DM4</f>
        <v>0</v>
      </c>
    </row>
    <row r="12" spans="1:127" x14ac:dyDescent="0.2">
      <c r="A12" s="33">
        <f t="shared" si="0"/>
        <v>10</v>
      </c>
      <c r="B12" s="11">
        <f>'2020'!A3</f>
        <v>1</v>
      </c>
      <c r="C12" s="11">
        <v>2020</v>
      </c>
      <c r="D12" s="34" t="str">
        <f>'2020'!B3</f>
        <v>Jonathan Taylor</v>
      </c>
      <c r="E12" s="224" t="str" cm="1">
        <f t="array" ref="E12">_xlfn.IFS(F12&gt;=13,"Cornerstone",AND(F12&gt;=12,F12&lt;13),"Elite",AND(F12&gt;=11,F12&lt;12),"Elite Upside",AND(F12&gt;=9,F12&lt;11),"Upside",AND(F12&gt;=7,F12&lt;9),"Upside Lite",AND(F12&gt;=6,F12&lt;7),"Outlier",AND(F12&gt;=5,F12&lt;6),"Outlier Lite",F12&lt;5,"Purgatory")</f>
        <v>Elite</v>
      </c>
      <c r="F12" s="14">
        <f>'2020'!C3</f>
        <v>12.81111111111111</v>
      </c>
      <c r="G12" s="14">
        <f t="shared" si="7"/>
        <v>96.899999999999991</v>
      </c>
      <c r="H12" s="35">
        <f t="shared" si="1"/>
        <v>2.0351626384546506</v>
      </c>
      <c r="I12" s="36" t="str">
        <f>'2020'!D3</f>
        <v>Wisconsin</v>
      </c>
      <c r="J12" s="37">
        <f>'2020'!E3</f>
        <v>2</v>
      </c>
      <c r="K12" s="38">
        <f>'2020'!F3</f>
        <v>36179</v>
      </c>
      <c r="L12" s="39">
        <f>'2020'!G3</f>
        <v>26.706849315068492</v>
      </c>
      <c r="M12" s="39" t="str">
        <f>'2020'!H3</f>
        <v>JR</v>
      </c>
      <c r="N12" s="39">
        <f>'2020'!I3</f>
        <v>21.273972602739725</v>
      </c>
      <c r="O12" s="39" t="str">
        <f t="shared" si="2"/>
        <v>FREAK</v>
      </c>
      <c r="P12" s="39" t="str">
        <f t="shared" si="6"/>
        <v>3DOWN</v>
      </c>
      <c r="Q12" s="37">
        <f>'2020'!J3</f>
        <v>70</v>
      </c>
      <c r="R12" s="37">
        <f>'2020'!K3</f>
        <v>226</v>
      </c>
      <c r="S12" s="39">
        <f t="shared" si="5"/>
        <v>32.427264364732807</v>
      </c>
      <c r="T12" s="37">
        <f>'2020'!L3</f>
        <v>4.3899999999999997</v>
      </c>
      <c r="U12" s="40">
        <f>'2020'!M3</f>
        <v>2</v>
      </c>
      <c r="V12" s="41">
        <f>'2020'!N3</f>
        <v>0</v>
      </c>
      <c r="W12" s="42">
        <f>'2020'!O3</f>
        <v>0</v>
      </c>
      <c r="X12" s="42">
        <f>'2020'!P3</f>
        <v>0.35576592082616176</v>
      </c>
      <c r="Y12" s="42">
        <f>'2020'!Q3</f>
        <v>0.40060670949321914</v>
      </c>
      <c r="Z12" s="42">
        <f>'2020'!R3</f>
        <v>0.37015663643858204</v>
      </c>
      <c r="AA12" s="42">
        <f>'2020'!S3</f>
        <v>0.38538167296590059</v>
      </c>
      <c r="AB12" s="42">
        <f>'2020'!T3</f>
        <v>0.38538167296590059</v>
      </c>
      <c r="AC12" s="42">
        <f>'2020'!U3</f>
        <v>2.9268292682926831E-2</v>
      </c>
      <c r="AD12" s="42">
        <f>'2020'!V3</f>
        <v>8.6723768736616705E-2</v>
      </c>
      <c r="AE12" s="42">
        <f>'2020'!W3</f>
        <v>8.6723768736616705E-2</v>
      </c>
      <c r="AF12" s="43">
        <f>'2020'!X3</f>
        <v>8.6723768736616705E-2</v>
      </c>
      <c r="AG12" s="44">
        <f>'2020'!Y3</f>
        <v>18.63013698630137</v>
      </c>
      <c r="AH12" s="45">
        <f>'2020'!Z3</f>
        <v>121.69713490886191</v>
      </c>
      <c r="AI12" s="45">
        <f>'2020'!AA3</f>
        <v>32.424081632653056</v>
      </c>
      <c r="AJ12" s="45">
        <f>'2020'!AB3</f>
        <v>0.27187499999999998</v>
      </c>
      <c r="AK12" s="45">
        <f>'2020'!AC3</f>
        <v>7.1</v>
      </c>
      <c r="AL12" s="45">
        <f t="shared" si="3"/>
        <v>11.055555555555555</v>
      </c>
      <c r="AM12" s="45">
        <f t="shared" si="4"/>
        <v>7.5144508670520235E-2</v>
      </c>
      <c r="AN12" s="45">
        <f>'2020'!AD3</f>
        <v>104.4</v>
      </c>
      <c r="AO12" s="45">
        <f>'2020'!AE3</f>
        <v>4.53</v>
      </c>
      <c r="AP12" s="46">
        <f>'2020'!AF3</f>
        <v>43.4</v>
      </c>
      <c r="AQ12" s="47">
        <f>'2020'!AG3</f>
        <v>10</v>
      </c>
      <c r="AR12" s="48">
        <f>'2020'!AH3</f>
        <v>8</v>
      </c>
      <c r="AS12" s="48">
        <f>'2020'!AI3</f>
        <v>9</v>
      </c>
      <c r="AT12" s="48">
        <f>IF(AH12&gt;113.25,10,IF(AH12&gt;=107.84,9,IF(AH12&gt;=105.37,8,IF(AH12&gt;=103.25,7,IF(AH12&gt;=100.55,6,IF(AH12&gt;=98.75,5,IF(AH12&gt;=96.08,4,IF(AH12&gt;=94.39,3,IF(AH12&gt;=88.43,2,IF(AH12&gt;=85.16,1,IF(AH12&lt;85.16,0,FALSE)))))))))))</f>
        <v>10</v>
      </c>
      <c r="AU12" s="48">
        <f>'2020'!AK3</f>
        <v>7</v>
      </c>
      <c r="AV12" s="48">
        <f>'2020'!AL3</f>
        <v>8</v>
      </c>
      <c r="AW12" s="48">
        <f>'2020'!AM3</f>
        <v>4</v>
      </c>
      <c r="AX12" s="48">
        <f>'2020'!AN3</f>
        <v>7</v>
      </c>
      <c r="AY12" s="49">
        <f>IF(U12=1,10,IF(U12=2,7,IF(U12=3,6,IF(U12=4,4,IF(U12=5,3,IF(U12=6,2,IF(U12=7,1,IF(U12=0,0,"-"))))))))</f>
        <v>7</v>
      </c>
      <c r="AZ12" s="50">
        <f>'2020'!AP3</f>
        <v>0.5</v>
      </c>
      <c r="BA12" s="56">
        <f>'2020'!AQ3</f>
        <v>0</v>
      </c>
      <c r="BB12" s="57">
        <f>'2020'!AR3</f>
        <v>1954</v>
      </c>
      <c r="BC12" s="57">
        <f>'2020'!AS3</f>
        <v>0</v>
      </c>
      <c r="BD12" s="57">
        <f>'2020'!AT3</f>
        <v>27</v>
      </c>
      <c r="BE12" s="57">
        <f>'2020'!AU3</f>
        <v>0</v>
      </c>
      <c r="BF12" s="57">
        <f>'2020'!AV3</f>
        <v>0</v>
      </c>
      <c r="BG12" s="58">
        <f>'2020'!AW3</f>
        <v>0</v>
      </c>
      <c r="BH12" s="58">
        <f>'2020'!AX3</f>
        <v>0</v>
      </c>
      <c r="BI12" s="58">
        <f>'2020'!AY3</f>
        <v>0</v>
      </c>
      <c r="BJ12" s="58">
        <f>'2020'!AZ3</f>
        <v>0</v>
      </c>
      <c r="BK12" s="57">
        <f>'2020'!BA3</f>
        <v>0</v>
      </c>
      <c r="BL12" s="57">
        <f>'2020'!BB3</f>
        <v>2968</v>
      </c>
      <c r="BM12" s="57">
        <f>'2020'!BC3</f>
        <v>0</v>
      </c>
      <c r="BN12" s="57">
        <f>'2020'!BD3</f>
        <v>0</v>
      </c>
      <c r="BO12" s="59">
        <f>'2020'!BE3</f>
        <v>14</v>
      </c>
      <c r="BP12" s="56">
        <f>'2020'!BF3</f>
        <v>0</v>
      </c>
      <c r="BQ12" s="57">
        <f>'2020'!BG3</f>
        <v>2843</v>
      </c>
      <c r="BR12" s="57">
        <f>'2020'!BH3</f>
        <v>0</v>
      </c>
      <c r="BS12" s="57">
        <f>'2020'!BI3</f>
        <v>31</v>
      </c>
      <c r="BT12" s="57">
        <f>'2020'!BJ3</f>
        <v>0</v>
      </c>
      <c r="BU12" s="57">
        <f>'2020'!BK3</f>
        <v>0</v>
      </c>
      <c r="BV12" s="58">
        <f>'2020'!BL3</f>
        <v>0</v>
      </c>
      <c r="BW12" s="58">
        <f>'2020'!BM3</f>
        <v>0</v>
      </c>
      <c r="BX12" s="58">
        <f>'2020'!BN3</f>
        <v>0</v>
      </c>
      <c r="BY12" s="58">
        <f>'2020'!BO3</f>
        <v>0</v>
      </c>
      <c r="BZ12" s="57">
        <f>'2020'!BP3</f>
        <v>0</v>
      </c>
      <c r="CA12" s="57">
        <f>'2020'!BQ3</f>
        <v>2507</v>
      </c>
      <c r="CB12" s="57">
        <f>'2020'!BR3</f>
        <v>0</v>
      </c>
      <c r="CC12" s="57">
        <f>'2020'!BS3</f>
        <v>0</v>
      </c>
      <c r="CD12" s="59">
        <f>'2020'!BT3</f>
        <v>14</v>
      </c>
      <c r="CE12" s="56">
        <f>'2020'!BU3</f>
        <v>1972</v>
      </c>
      <c r="CF12" s="57">
        <f>'2020'!BV3</f>
        <v>3121</v>
      </c>
      <c r="CG12" s="57">
        <f>'2020'!BW3</f>
        <v>13</v>
      </c>
      <c r="CH12" s="57">
        <f>'2020'!BX3</f>
        <v>28</v>
      </c>
      <c r="CI12" s="57">
        <f>'2020'!BY3</f>
        <v>299</v>
      </c>
      <c r="CJ12" s="57">
        <f>'2020'!BZ3</f>
        <v>66</v>
      </c>
      <c r="CK12" s="58">
        <f>'2020'!CA3</f>
        <v>6.6</v>
      </c>
      <c r="CL12" s="58">
        <f>'2020'!CB3</f>
        <v>101.9</v>
      </c>
      <c r="CM12" s="58">
        <f>'2020'!CC3</f>
        <v>4.53</v>
      </c>
      <c r="CN12" s="58">
        <f>'2020'!CD3</f>
        <v>43.2</v>
      </c>
      <c r="CO12" s="57">
        <f>'2020'!CE3</f>
        <v>95</v>
      </c>
      <c r="CP12" s="57">
        <f>'2020'!CF3</f>
        <v>2689</v>
      </c>
      <c r="CQ12" s="57">
        <f>'2020'!CG3</f>
        <v>8</v>
      </c>
      <c r="CR12" s="57">
        <f>'2020'!CH3</f>
        <v>0</v>
      </c>
      <c r="CS12" s="59">
        <f>'2020'!CI3</f>
        <v>25</v>
      </c>
      <c r="CT12" s="56">
        <f>'2020'!CJ3</f>
        <v>2185</v>
      </c>
      <c r="CU12" s="57">
        <f>'2020'!CK3</f>
        <v>3554</v>
      </c>
      <c r="CV12" s="57">
        <f>'2020'!CL3</f>
        <v>16</v>
      </c>
      <c r="CW12" s="57">
        <f>'2020'!CM3</f>
        <v>32</v>
      </c>
      <c r="CX12" s="57">
        <f>'2020'!CN3</f>
        <v>306</v>
      </c>
      <c r="CY12" s="57">
        <f>'2020'!CO3</f>
        <v>67</v>
      </c>
      <c r="CZ12" s="58">
        <f>'2020'!CP3</f>
        <v>7.1</v>
      </c>
      <c r="DA12" s="58">
        <f>'2020'!CQ3</f>
        <v>94</v>
      </c>
      <c r="DB12" s="58">
        <f>'2020'!CR3</f>
        <v>4.28</v>
      </c>
      <c r="DC12" s="58">
        <f>'2020'!CS3</f>
        <v>43.4</v>
      </c>
      <c r="DD12" s="57">
        <f>'2020'!CT3</f>
        <v>60</v>
      </c>
      <c r="DE12" s="57">
        <f>'2020'!CU3</f>
        <v>2050</v>
      </c>
      <c r="DF12" s="57">
        <f>'2020'!CV3</f>
        <v>2</v>
      </c>
      <c r="DG12" s="57">
        <f>'2020'!CW3</f>
        <v>0</v>
      </c>
      <c r="DH12" s="59">
        <f>'2020'!CX3</f>
        <v>19</v>
      </c>
      <c r="DI12" s="56">
        <f>'2020'!CY3</f>
        <v>2002</v>
      </c>
      <c r="DJ12" s="57">
        <f>'2020'!CZ3</f>
        <v>3263</v>
      </c>
      <c r="DK12" s="57">
        <f>'2020'!DA3</f>
        <v>21</v>
      </c>
      <c r="DL12" s="57">
        <f>'2020'!DB3</f>
        <v>38</v>
      </c>
      <c r="DM12" s="57">
        <f>'2020'!DC3</f>
        <v>320</v>
      </c>
      <c r="DN12" s="57">
        <f>'2020'!DD3</f>
        <v>87</v>
      </c>
      <c r="DO12" s="58">
        <f>'2020'!DE3</f>
        <v>6.3</v>
      </c>
      <c r="DP12" s="58">
        <f>'2020'!DF3</f>
        <v>104.4</v>
      </c>
      <c r="DQ12" s="58">
        <f>'2020'!DG3</f>
        <v>3.93</v>
      </c>
      <c r="DR12" s="58">
        <f>'2020'!DH3</f>
        <v>39.299999999999997</v>
      </c>
      <c r="DS12" s="57">
        <f>'2020'!DI3</f>
        <v>243</v>
      </c>
      <c r="DT12" s="57">
        <f>'2020'!DJ3</f>
        <v>2802</v>
      </c>
      <c r="DU12" s="57">
        <f>'2020'!DK3</f>
        <v>26</v>
      </c>
      <c r="DV12" s="57">
        <f>'2020'!DL3</f>
        <v>0</v>
      </c>
      <c r="DW12" s="59">
        <f>'2020'!DM3</f>
        <v>18</v>
      </c>
    </row>
    <row r="13" spans="1:127" x14ac:dyDescent="0.2">
      <c r="A13" s="33">
        <f t="shared" si="0"/>
        <v>11</v>
      </c>
      <c r="B13" s="11">
        <f>'2025'!A4</f>
        <v>2</v>
      </c>
      <c r="C13" s="11">
        <v>2025</v>
      </c>
      <c r="D13" s="34" t="str">
        <f>'2025'!B4</f>
        <v>Omarion Hampton</v>
      </c>
      <c r="E13" s="224" t="str" cm="1">
        <f t="array" ref="E13">_xlfn.IFS(F13&gt;=13,"Cornerstone",AND(F13&gt;=12,F13&lt;13),"Elite",AND(F13&gt;=11,F13&lt;12),"Elite Upside",AND(F13&gt;=9,F13&lt;11),"Upside",AND(F13&gt;=7,F13&lt;9),"Upside Lite",AND(F13&gt;=6,F13&lt;7),"Outlier",AND(F13&gt;=5,F13&lt;6),"Outlier Lite",F13&lt;5,"Purgatory")</f>
        <v>Elite</v>
      </c>
      <c r="F13" s="14">
        <f>'2025'!C4</f>
        <v>12.794444444444444</v>
      </c>
      <c r="G13" s="14">
        <f t="shared" si="7"/>
        <v>96.6</v>
      </c>
      <c r="H13" s="35">
        <f t="shared" si="1"/>
        <v>2.0281088873839903</v>
      </c>
      <c r="I13" s="36" t="str">
        <f>'2025'!D4</f>
        <v>North Carolina</v>
      </c>
      <c r="J13" s="37">
        <f>'2025'!E4</f>
        <v>4</v>
      </c>
      <c r="K13" s="38">
        <f>'2025'!F4</f>
        <v>37696</v>
      </c>
      <c r="L13" s="39">
        <f>'2025'!G4</f>
        <v>22.550684931506851</v>
      </c>
      <c r="M13" s="39" t="str">
        <f>'2025'!H4</f>
        <v>JR</v>
      </c>
      <c r="N13" s="39">
        <f>'2025'!I4</f>
        <v>22.13150684931507</v>
      </c>
      <c r="O13" s="39" t="str">
        <f t="shared" si="2"/>
        <v>FREAK</v>
      </c>
      <c r="P13" s="39" t="str">
        <f t="shared" si="6"/>
        <v>3DOWN</v>
      </c>
      <c r="Q13" s="37">
        <f>'2025'!J4</f>
        <v>72</v>
      </c>
      <c r="R13" s="37">
        <f>'2025'!K4</f>
        <v>221</v>
      </c>
      <c r="S13" s="39">
        <f t="shared" si="5"/>
        <v>29.972656318769427</v>
      </c>
      <c r="T13" s="37">
        <f>'2025'!L4</f>
        <v>4.4800000000000004</v>
      </c>
      <c r="U13" s="40">
        <f>'2025'!M4</f>
        <v>1</v>
      </c>
      <c r="V13" s="41">
        <f>'2025'!N4</f>
        <v>0</v>
      </c>
      <c r="W13" s="42">
        <f>'2025'!O4</f>
        <v>0</v>
      </c>
      <c r="X13" s="42">
        <f>'2025'!P4</f>
        <v>7.2967222924007716E-2</v>
      </c>
      <c r="Y13" s="42">
        <f>'2025'!Q4</f>
        <v>0.26961436690726331</v>
      </c>
      <c r="Z13" s="42">
        <f>'2025'!R4</f>
        <v>0.41656421604786487</v>
      </c>
      <c r="AA13" s="42">
        <f>'2025'!S4</f>
        <v>0.41656421604786487</v>
      </c>
      <c r="AB13" s="42">
        <f>'2025'!T4</f>
        <v>0.37490779444307837</v>
      </c>
      <c r="AC13" s="42">
        <f>'2025'!U4</f>
        <v>5.7075277663512961E-2</v>
      </c>
      <c r="AD13" s="42">
        <f>'2025'!V4</f>
        <v>0.13851752822341057</v>
      </c>
      <c r="AE13" s="42">
        <f>'2025'!W4</f>
        <v>0.13851752822341057</v>
      </c>
      <c r="AF13" s="43">
        <f>'2025'!X4</f>
        <v>0.12466577540106952</v>
      </c>
      <c r="AG13" s="44">
        <f>'2025'!Y4</f>
        <v>20.484931506849314</v>
      </c>
      <c r="AH13" s="45">
        <f>'2025'!Z4</f>
        <v>109.72616822458413</v>
      </c>
      <c r="AI13" s="45">
        <f>'2025'!AA4</f>
        <v>29.969714506172842</v>
      </c>
      <c r="AJ13" s="45">
        <f>'2025'!AB4</f>
        <v>0.26377952755905509</v>
      </c>
      <c r="AK13" s="45">
        <f>'2025'!AC4</f>
        <v>5.907473309608541</v>
      </c>
      <c r="AL13" s="45">
        <f t="shared" si="3"/>
        <v>8.7638888888888893</v>
      </c>
      <c r="AM13" s="45">
        <f t="shared" si="4"/>
        <v>0.11912225705329153</v>
      </c>
      <c r="AN13" s="45">
        <f>'2025'!AD4</f>
        <v>126.8</v>
      </c>
      <c r="AO13" s="45">
        <f>'2025'!AE4</f>
        <v>4.3499999999999996</v>
      </c>
      <c r="AP13" s="46">
        <f>'2025'!AF4</f>
        <v>43.9</v>
      </c>
      <c r="AQ13" s="47">
        <f>'2025'!AG4</f>
        <v>10</v>
      </c>
      <c r="AR13" s="48">
        <f>'2025'!AH4</f>
        <v>9</v>
      </c>
      <c r="AS13" s="48">
        <f>'2025'!AI4</f>
        <v>4</v>
      </c>
      <c r="AT13" s="48">
        <f>'2025'!AJ4</f>
        <v>9</v>
      </c>
      <c r="AU13" s="48">
        <f>'2025'!AK4</f>
        <v>7</v>
      </c>
      <c r="AV13" s="48">
        <f>'2025'!AL4</f>
        <v>4</v>
      </c>
      <c r="AW13" s="48">
        <f>'2025'!AM4</f>
        <v>6</v>
      </c>
      <c r="AX13" s="48">
        <f>'2025'!AN4</f>
        <v>6</v>
      </c>
      <c r="AY13" s="49">
        <f>'2025'!AO4</f>
        <v>10</v>
      </c>
      <c r="AZ13" s="50">
        <f>'2025'!AP4</f>
        <v>0.25</v>
      </c>
      <c r="BA13" s="56">
        <f>'2025'!AQ4</f>
        <v>0</v>
      </c>
      <c r="BB13" s="57">
        <f>'2025'!AR4</f>
        <v>1</v>
      </c>
      <c r="BC13" s="57">
        <f>'2025'!AS4</f>
        <v>0</v>
      </c>
      <c r="BD13" s="57">
        <f>'2025'!AT4</f>
        <v>0</v>
      </c>
      <c r="BE13" s="57">
        <f>'2025'!AU4</f>
        <v>0</v>
      </c>
      <c r="BF13" s="57">
        <f>'2025'!AV4</f>
        <v>0</v>
      </c>
      <c r="BG13" s="58">
        <f>'2025'!AW4</f>
        <v>0</v>
      </c>
      <c r="BH13" s="58">
        <f>'2025'!AX4</f>
        <v>0</v>
      </c>
      <c r="BI13" s="58">
        <f>'2025'!AY4</f>
        <v>0</v>
      </c>
      <c r="BJ13" s="58">
        <f>'2025'!AZ4</f>
        <v>0</v>
      </c>
      <c r="BK13" s="57">
        <f>'2025'!BA4</f>
        <v>0</v>
      </c>
      <c r="BL13" s="57">
        <f>'2025'!BB4</f>
        <v>0</v>
      </c>
      <c r="BM13" s="57">
        <f>'2025'!BC4</f>
        <v>0</v>
      </c>
      <c r="BN13" s="57">
        <f>'2025'!BD4</f>
        <v>0</v>
      </c>
      <c r="BO13" s="59">
        <f>'2025'!BE4</f>
        <v>0</v>
      </c>
      <c r="BP13" s="56">
        <f>'2025'!BF4</f>
        <v>0</v>
      </c>
      <c r="BQ13" s="57">
        <f>'2025'!BG4</f>
        <v>1</v>
      </c>
      <c r="BR13" s="57">
        <f>'2025'!BH4</f>
        <v>0</v>
      </c>
      <c r="BS13" s="57">
        <f>'2025'!BI4</f>
        <v>0</v>
      </c>
      <c r="BT13" s="57">
        <f>'2025'!BJ4</f>
        <v>0</v>
      </c>
      <c r="BU13" s="57">
        <f>'2025'!BK4</f>
        <v>0</v>
      </c>
      <c r="BV13" s="58">
        <f>'2025'!BL4</f>
        <v>0</v>
      </c>
      <c r="BW13" s="58">
        <f>'2025'!BM4</f>
        <v>0</v>
      </c>
      <c r="BX13" s="58">
        <f>'2025'!BN4</f>
        <v>0</v>
      </c>
      <c r="BY13" s="58">
        <f>'2025'!BO4</f>
        <v>0</v>
      </c>
      <c r="BZ13" s="57">
        <f>'2025'!BP4</f>
        <v>0</v>
      </c>
      <c r="CA13" s="57">
        <f>'2025'!BQ4</f>
        <v>0</v>
      </c>
      <c r="CB13" s="57">
        <f>'2025'!BR4</f>
        <v>0</v>
      </c>
      <c r="CC13" s="57">
        <f>'2025'!BS4</f>
        <v>0</v>
      </c>
      <c r="CD13" s="59">
        <f>'2025'!BT4</f>
        <v>0</v>
      </c>
      <c r="CE13" s="56">
        <f>'2025'!BU4</f>
        <v>403</v>
      </c>
      <c r="CF13" s="57">
        <f>'2025'!BV4</f>
        <v>1995.5</v>
      </c>
      <c r="CG13" s="57">
        <f>'2025'!BW4</f>
        <v>7</v>
      </c>
      <c r="CH13" s="57">
        <f>'2025'!BX4</f>
        <v>22.099999999999998</v>
      </c>
      <c r="CI13" s="57">
        <f>'2025'!BY4</f>
        <v>89</v>
      </c>
      <c r="CJ13" s="57">
        <f>'2025'!BZ4</f>
        <v>15</v>
      </c>
      <c r="CK13" s="58">
        <f>'2025'!CA4</f>
        <v>4.5280898876404496</v>
      </c>
      <c r="CL13" s="58">
        <f>'2025'!CB4</f>
        <v>42.9</v>
      </c>
      <c r="CM13" s="58">
        <f>'2025'!CC4</f>
        <v>2.37</v>
      </c>
      <c r="CN13" s="58">
        <f>'2025'!CD4</f>
        <v>39</v>
      </c>
      <c r="CO13" s="57">
        <f>'2025'!CE4</f>
        <v>36</v>
      </c>
      <c r="CP13" s="57">
        <f>'2025'!CF4</f>
        <v>4020.9</v>
      </c>
      <c r="CQ13" s="57">
        <f>'2025'!CG4</f>
        <v>5</v>
      </c>
      <c r="CR13" s="57">
        <f>'2025'!CH4</f>
        <v>0</v>
      </c>
      <c r="CS13" s="59">
        <f>'2025'!CI4</f>
        <v>35.1</v>
      </c>
      <c r="CT13" s="56">
        <f>'2025'!CJ4</f>
        <v>1500</v>
      </c>
      <c r="CU13" s="57">
        <f>'2025'!CK4</f>
        <v>2497.2999999999997</v>
      </c>
      <c r="CV13" s="57">
        <f>'2025'!CL4</f>
        <v>15</v>
      </c>
      <c r="CW13" s="57">
        <f>'2025'!CM4</f>
        <v>28.6</v>
      </c>
      <c r="CX13" s="57">
        <f>'2025'!CN4</f>
        <v>254</v>
      </c>
      <c r="CY13" s="57">
        <f>'2025'!CO4</f>
        <v>67</v>
      </c>
      <c r="CZ13" s="58">
        <f>'2025'!CP4</f>
        <v>5.9055118110236222</v>
      </c>
      <c r="DA13" s="58">
        <f>'2025'!CQ4</f>
        <v>116.3</v>
      </c>
      <c r="DB13" s="58">
        <f>'2025'!CR4</f>
        <v>4.22</v>
      </c>
      <c r="DC13" s="58">
        <f>'2025'!CS4</f>
        <v>36.4</v>
      </c>
      <c r="DD13" s="57">
        <f>'2025'!CT4</f>
        <v>222</v>
      </c>
      <c r="DE13" s="57">
        <f>'2025'!CU4</f>
        <v>3889.6</v>
      </c>
      <c r="DF13" s="57">
        <f>'2025'!CV4</f>
        <v>29</v>
      </c>
      <c r="DG13" s="57">
        <f>'2025'!CW4</f>
        <v>1</v>
      </c>
      <c r="DH13" s="59">
        <f>'2025'!CX4</f>
        <v>26</v>
      </c>
      <c r="DI13" s="56">
        <f>'2025'!CY4</f>
        <v>1660</v>
      </c>
      <c r="DJ13" s="57">
        <f>'2025'!CZ4</f>
        <v>2187.6000000000004</v>
      </c>
      <c r="DK13" s="57">
        <f>'2025'!DA4</f>
        <v>15</v>
      </c>
      <c r="DL13" s="57">
        <f>'2025'!DB4</f>
        <v>26.52</v>
      </c>
      <c r="DM13" s="57">
        <f>'2025'!DC4</f>
        <v>281</v>
      </c>
      <c r="DN13" s="57">
        <f>'2025'!DD4</f>
        <v>72</v>
      </c>
      <c r="DO13" s="58">
        <f>'2025'!DE4</f>
        <v>5.907473309608541</v>
      </c>
      <c r="DP13" s="58">
        <f>'2025'!DF4</f>
        <v>126.8</v>
      </c>
      <c r="DQ13" s="58">
        <f>'2025'!DG4</f>
        <v>4.3499999999999996</v>
      </c>
      <c r="DR13" s="58">
        <f>'2025'!DH4</f>
        <v>43.9</v>
      </c>
      <c r="DS13" s="57">
        <f>'2025'!DI4</f>
        <v>373</v>
      </c>
      <c r="DT13" s="57">
        <f>'2025'!DJ4</f>
        <v>2692.8</v>
      </c>
      <c r="DU13" s="57">
        <f>'2025'!DK4</f>
        <v>38</v>
      </c>
      <c r="DV13" s="57">
        <f>'2025'!DL4</f>
        <v>2</v>
      </c>
      <c r="DW13" s="59">
        <f>'2025'!DM4</f>
        <v>16.799999999999997</v>
      </c>
    </row>
    <row r="14" spans="1:127" x14ac:dyDescent="0.2">
      <c r="A14" s="33">
        <f t="shared" si="0"/>
        <v>12</v>
      </c>
      <c r="B14" s="11">
        <f>'2021'!A3</f>
        <v>1</v>
      </c>
      <c r="C14" s="11">
        <v>2021</v>
      </c>
      <c r="D14" s="34" t="str">
        <f>'2021'!B3</f>
        <v>Travis Etienne</v>
      </c>
      <c r="E14" s="224" t="str" cm="1">
        <f t="array" ref="E14">_xlfn.IFS(F14&gt;=13,"Cornerstone",AND(F14&gt;=12,F14&lt;13),"Elite",AND(F14&gt;=11,F14&lt;12),"Elite Upside",AND(F14&gt;=9,F14&lt;11),"Upside",AND(F14&gt;=7,F14&lt;9),"Upside Lite",AND(F14&gt;=6,F14&lt;7),"Outlier",AND(F14&gt;=5,F14&lt;6),"Outlier Lite",F14&lt;5,"Purgatory")</f>
        <v>Elite</v>
      </c>
      <c r="F14" s="14">
        <f>'2021'!C3</f>
        <v>12.722222222222221</v>
      </c>
      <c r="G14" s="14">
        <f t="shared" si="7"/>
        <v>96.3</v>
      </c>
      <c r="H14" s="35">
        <f t="shared" si="1"/>
        <v>1.9975426327444605</v>
      </c>
      <c r="I14" s="36" t="str">
        <f>'2021'!D3</f>
        <v>Clemson</v>
      </c>
      <c r="J14" s="37">
        <f>'2021'!E3</f>
        <v>4</v>
      </c>
      <c r="K14" s="38">
        <f>'2021'!F3</f>
        <v>36186</v>
      </c>
      <c r="L14" s="39">
        <f>'2021'!G3</f>
        <v>26.687671232876713</v>
      </c>
      <c r="M14" s="39" t="str">
        <f>'2021'!H3</f>
        <v>SR</v>
      </c>
      <c r="N14" s="39">
        <f>'2021'!I3</f>
        <v>22.271232876712329</v>
      </c>
      <c r="O14" s="39" t="str">
        <f t="shared" si="2"/>
        <v>FREAK</v>
      </c>
      <c r="P14" s="39" t="str">
        <f t="shared" si="6"/>
        <v>3DOWN</v>
      </c>
      <c r="Q14" s="37">
        <f>'2021'!J3</f>
        <v>70</v>
      </c>
      <c r="R14" s="37">
        <f>'2021'!K3</f>
        <v>215</v>
      </c>
      <c r="S14" s="39">
        <f t="shared" si="5"/>
        <v>30.848946187688291</v>
      </c>
      <c r="T14" s="37">
        <f>'2021'!L3</f>
        <v>4.45</v>
      </c>
      <c r="U14" s="40">
        <f>'2021'!M3</f>
        <v>1</v>
      </c>
      <c r="V14" s="41">
        <f>'2021'!N3</f>
        <v>0</v>
      </c>
      <c r="W14" s="42">
        <f>'2021'!O3</f>
        <v>0.13651479880279349</v>
      </c>
      <c r="X14" s="42">
        <f>'2021'!P3</f>
        <v>0.21914516944865958</v>
      </c>
      <c r="Y14" s="42">
        <f>'2021'!Q3</f>
        <v>0.25810112217879211</v>
      </c>
      <c r="Z14" s="42">
        <f>'2021'!R3</f>
        <v>0.25066357000663569</v>
      </c>
      <c r="AA14" s="42">
        <f>'2021'!S3</f>
        <v>0.25438234609271393</v>
      </c>
      <c r="AB14" s="42">
        <f>'2021'!T3</f>
        <v>0.22894411148344254</v>
      </c>
      <c r="AC14" s="42">
        <f>'2021'!U3</f>
        <v>0.10011560693641619</v>
      </c>
      <c r="AD14" s="42">
        <f>'2021'!V3</f>
        <v>0.14060258249641319</v>
      </c>
      <c r="AE14" s="42">
        <f>'2021'!W3</f>
        <v>0.14060258249641319</v>
      </c>
      <c r="AF14" s="43">
        <f>'2021'!X3</f>
        <v>0.12654232424677186</v>
      </c>
      <c r="AG14" s="44">
        <f>'2021'!Y3</f>
        <v>19.610958904109587</v>
      </c>
      <c r="AH14" s="45">
        <f>'2021'!Z3</f>
        <v>109.65499303730637</v>
      </c>
      <c r="AI14" s="45">
        <f>'2021'!AA3</f>
        <v>30.845918367346936</v>
      </c>
      <c r="AJ14" s="45">
        <f>'2021'!AB3</f>
        <v>0.43961352657004832</v>
      </c>
      <c r="AK14" s="45">
        <f>'2021'!AC3</f>
        <v>7.8</v>
      </c>
      <c r="AL14" s="45">
        <f t="shared" si="3"/>
        <v>12.297872340425531</v>
      </c>
      <c r="AM14" s="45">
        <f t="shared" si="4"/>
        <v>0.22429906542056074</v>
      </c>
      <c r="AN14" s="45">
        <f>'2021'!AD3</f>
        <v>213.9</v>
      </c>
      <c r="AO14" s="45">
        <f>'2021'!AE3</f>
        <v>5.07</v>
      </c>
      <c r="AP14" s="46">
        <f>'2021'!AF3</f>
        <v>59.3</v>
      </c>
      <c r="AQ14" s="47">
        <f>'2021'!AG3</f>
        <v>4</v>
      </c>
      <c r="AR14" s="48">
        <f>'2021'!AH3</f>
        <v>9</v>
      </c>
      <c r="AS14" s="48">
        <f>'2021'!AI3</f>
        <v>6</v>
      </c>
      <c r="AT14" s="48">
        <f>IF(AH14&gt;113.25,10,IF(AH14&gt;=107.84,9,IF(AH14&gt;=105.37,8,IF(AH14&gt;=103.25,7,IF(AH14&gt;=100.55,6,IF(AH14&gt;=98.75,5,IF(AH14&gt;=96.08,4,IF(AH14&gt;=94.39,3,IF(AH14&gt;=88.43,2,IF(AH14&gt;=85.16,1,IF(AH14&lt;85.16,0,FALSE)))))))))))</f>
        <v>9</v>
      </c>
      <c r="AU14" s="48">
        <f>'2021'!AK3</f>
        <v>10</v>
      </c>
      <c r="AV14" s="48">
        <f>'2021'!AL3</f>
        <v>9</v>
      </c>
      <c r="AW14" s="48">
        <f>'2021'!AM3</f>
        <v>9</v>
      </c>
      <c r="AX14" s="48">
        <f>'2021'!AN3</f>
        <v>8</v>
      </c>
      <c r="AY14" s="49">
        <f>IF(U14=1,10,IF(U14=2,7,IF(U14=3,6,IF(U14=4,4,IF(U14=5,3,IF(U14=6,2,IF(U14=7,1,IF(U14=0,0,"-"))))))))</f>
        <v>10</v>
      </c>
      <c r="AZ14" s="50">
        <f>'2021'!AP3</f>
        <v>0</v>
      </c>
      <c r="BA14" s="56">
        <f>'2021'!AQ3</f>
        <v>0</v>
      </c>
      <c r="BB14" s="57">
        <f>'2021'!AR3</f>
        <v>2546</v>
      </c>
      <c r="BC14" s="57">
        <f>'2021'!AS3</f>
        <v>0</v>
      </c>
      <c r="BD14" s="57">
        <f>'2021'!AT3</f>
        <v>30</v>
      </c>
      <c r="BE14" s="57">
        <f>'2021'!AU3</f>
        <v>0</v>
      </c>
      <c r="BF14" s="57">
        <f>'2021'!AV3</f>
        <v>0</v>
      </c>
      <c r="BG14" s="58">
        <f>'2021'!AW3</f>
        <v>0</v>
      </c>
      <c r="BH14" s="58">
        <f>'2021'!AX3</f>
        <v>0</v>
      </c>
      <c r="BI14" s="58">
        <f>'2021'!AY3</f>
        <v>0</v>
      </c>
      <c r="BJ14" s="58">
        <f>'2021'!AZ3</f>
        <v>0</v>
      </c>
      <c r="BK14" s="57">
        <f>'2021'!BA3</f>
        <v>0</v>
      </c>
      <c r="BL14" s="57">
        <f>'2021'!BB3</f>
        <v>5009</v>
      </c>
      <c r="BM14" s="57">
        <f>'2021'!BC3</f>
        <v>0</v>
      </c>
      <c r="BN14" s="57">
        <f>'2021'!BD3</f>
        <v>0</v>
      </c>
      <c r="BO14" s="59">
        <f>'2021'!BE3</f>
        <v>45</v>
      </c>
      <c r="BP14" s="56">
        <f>'2021'!BF3</f>
        <v>764</v>
      </c>
      <c r="BQ14" s="57">
        <f>'2021'!BG3</f>
        <v>2717</v>
      </c>
      <c r="BR14" s="57">
        <f>'2021'!BH3</f>
        <v>13</v>
      </c>
      <c r="BS14" s="57">
        <f>'2021'!BI3</f>
        <v>40</v>
      </c>
      <c r="BT14" s="57">
        <f>'2021'!BJ3</f>
        <v>107</v>
      </c>
      <c r="BU14" s="57">
        <f>'2021'!BK3</f>
        <v>30</v>
      </c>
      <c r="BV14" s="58">
        <f>'2021'!BL3</f>
        <v>7.1</v>
      </c>
      <c r="BW14" s="58">
        <f>'2021'!BM3</f>
        <v>129.19999999999999</v>
      </c>
      <c r="BX14" s="58">
        <f>'2021'!BN3</f>
        <v>4.82</v>
      </c>
      <c r="BY14" s="58">
        <f>'2021'!BO3</f>
        <v>50</v>
      </c>
      <c r="BZ14" s="57">
        <f>'2021'!BP3</f>
        <v>57</v>
      </c>
      <c r="CA14" s="57">
        <f>'2021'!BQ3</f>
        <v>3297</v>
      </c>
      <c r="CB14" s="57">
        <f>'2021'!BR3</f>
        <v>5</v>
      </c>
      <c r="CC14" s="57">
        <f>'2021'!BS3</f>
        <v>0</v>
      </c>
      <c r="CD14" s="59">
        <f>'2021'!BT3</f>
        <v>17</v>
      </c>
      <c r="CE14" s="56">
        <f>'2021'!BU3</f>
        <v>1655</v>
      </c>
      <c r="CF14" s="57">
        <f>'2021'!BV3</f>
        <v>3723</v>
      </c>
      <c r="CG14" s="57">
        <f>'2021'!BW3</f>
        <v>24</v>
      </c>
      <c r="CH14" s="57">
        <f>'2021'!BX3</f>
        <v>49</v>
      </c>
      <c r="CI14" s="57">
        <f>'2021'!BY3</f>
        <v>204</v>
      </c>
      <c r="CJ14" s="57">
        <f>'2021'!BZ3</f>
        <v>52</v>
      </c>
      <c r="CK14" s="58">
        <f>'2021'!CA3</f>
        <v>8.1</v>
      </c>
      <c r="CL14" s="58">
        <f>'2021'!CB3</f>
        <v>112.3</v>
      </c>
      <c r="CM14" s="58">
        <f>'2021'!CC3</f>
        <v>4.33</v>
      </c>
      <c r="CN14" s="58">
        <f>'2021'!CD3</f>
        <v>59.3</v>
      </c>
      <c r="CO14" s="57">
        <f>'2021'!CE3</f>
        <v>78</v>
      </c>
      <c r="CP14" s="57">
        <f>'2021'!CF3</f>
        <v>4185</v>
      </c>
      <c r="CQ14" s="57">
        <f>'2021'!CG3</f>
        <v>4</v>
      </c>
      <c r="CR14" s="57">
        <f>'2021'!CH3</f>
        <v>0</v>
      </c>
      <c r="CS14" s="59">
        <f>'2021'!CI3</f>
        <v>37</v>
      </c>
      <c r="CT14" s="56">
        <f>'2021'!CJ3</f>
        <v>1614</v>
      </c>
      <c r="CU14" s="57">
        <f>'2021'!CK3</f>
        <v>3606</v>
      </c>
      <c r="CV14" s="57">
        <f>'2021'!CL3</f>
        <v>19</v>
      </c>
      <c r="CW14" s="57">
        <f>'2021'!CM3</f>
        <v>45</v>
      </c>
      <c r="CX14" s="57">
        <f>'2021'!CN3</f>
        <v>207</v>
      </c>
      <c r="CY14" s="57">
        <f>'2021'!CO3</f>
        <v>91</v>
      </c>
      <c r="CZ14" s="58">
        <f>'2021'!CP3</f>
        <v>7.8</v>
      </c>
      <c r="DA14" s="58">
        <f>'2021'!CQ3</f>
        <v>213.9</v>
      </c>
      <c r="DB14" s="58">
        <f>'2021'!CR3</f>
        <v>5.07</v>
      </c>
      <c r="DC14" s="58">
        <f>'2021'!CS3</f>
        <v>51.2</v>
      </c>
      <c r="DD14" s="57">
        <f>'2021'!CT3</f>
        <v>433</v>
      </c>
      <c r="DE14" s="57">
        <f>'2021'!CU3</f>
        <v>4325</v>
      </c>
      <c r="DF14" s="57">
        <f>'2021'!CV3</f>
        <v>37</v>
      </c>
      <c r="DG14" s="57">
        <f>'2021'!CW3</f>
        <v>0</v>
      </c>
      <c r="DH14" s="59">
        <f>'2021'!CX3</f>
        <v>40</v>
      </c>
      <c r="DI14" s="56">
        <f>'2021'!CY3</f>
        <v>923</v>
      </c>
      <c r="DJ14" s="57">
        <f>'2021'!CZ3</f>
        <v>1846</v>
      </c>
      <c r="DK14" s="57">
        <f>'2021'!DA3</f>
        <v>14</v>
      </c>
      <c r="DL14" s="57">
        <f>'2021'!DB3</f>
        <v>33</v>
      </c>
      <c r="DM14" s="57">
        <f>'2021'!DC3</f>
        <v>166</v>
      </c>
      <c r="DN14" s="57">
        <f>'2021'!DD3</f>
        <v>44</v>
      </c>
      <c r="DO14" s="58">
        <f>'2021'!DE3</f>
        <v>5.6</v>
      </c>
      <c r="DP14" s="58">
        <f>'2021'!DF3</f>
        <v>102.4</v>
      </c>
      <c r="DQ14" s="58">
        <f>'2021'!DG3</f>
        <v>3.84</v>
      </c>
      <c r="DR14" s="58">
        <f>'2021'!DH3</f>
        <v>40.200000000000003</v>
      </c>
      <c r="DS14" s="57">
        <f>'2021'!DI3</f>
        <v>588</v>
      </c>
      <c r="DT14" s="57">
        <f>'2021'!DJ3</f>
        <v>4182</v>
      </c>
      <c r="DU14" s="57">
        <f>'2021'!DK3</f>
        <v>48</v>
      </c>
      <c r="DV14" s="57">
        <f>'2021'!DL3</f>
        <v>0</v>
      </c>
      <c r="DW14" s="59">
        <f>'2021'!DM3</f>
        <v>31</v>
      </c>
    </row>
    <row r="15" spans="1:127" x14ac:dyDescent="0.2">
      <c r="A15" s="33">
        <f t="shared" si="0"/>
        <v>13</v>
      </c>
      <c r="B15" s="11">
        <f>'2017'!A5</f>
        <v>3</v>
      </c>
      <c r="C15" s="11">
        <v>2017</v>
      </c>
      <c r="D15" s="34" t="str">
        <f>'2017'!B5</f>
        <v>Dalvin Cook</v>
      </c>
      <c r="E15" s="224" t="str" cm="1">
        <f t="array" ref="E15">_xlfn.IFS(F15&gt;=13,"Cornerstone",AND(F15&gt;=12,F15&lt;13),"Elite",AND(F15&gt;=11,F15&lt;12),"Elite Upside",AND(F15&gt;=9,F15&lt;11),"Upside",AND(F15&gt;=7,F15&lt;9),"Upside Lite",AND(F15&gt;=6,F15&lt;7),"Outlier",AND(F15&gt;=5,F15&lt;6),"Outlier Lite",F15&lt;5,"Purgatory")</f>
        <v>Elite</v>
      </c>
      <c r="F15" s="14">
        <f>'2017'!C5</f>
        <v>12.438888888888888</v>
      </c>
      <c r="G15" s="14">
        <f t="shared" si="7"/>
        <v>96</v>
      </c>
      <c r="H15" s="35">
        <f t="shared" si="1"/>
        <v>1.8776288645432295</v>
      </c>
      <c r="I15" s="36" t="str">
        <f>'2017'!D5</f>
        <v>Florida State</v>
      </c>
      <c r="J15" s="37">
        <f>'2017'!E5</f>
        <v>4</v>
      </c>
      <c r="K15" s="38">
        <f>'2017'!F5</f>
        <v>34921</v>
      </c>
      <c r="L15" s="39">
        <f>'2017'!G5</f>
        <v>30.153424657534245</v>
      </c>
      <c r="M15" s="39" t="str">
        <f>'2017'!H5</f>
        <v>JR</v>
      </c>
      <c r="N15" s="39">
        <f>'2017'!I5</f>
        <v>21.728767123287671</v>
      </c>
      <c r="O15" s="39" t="str">
        <f t="shared" si="2"/>
        <v>DYNAMIC</v>
      </c>
      <c r="P15" s="39" t="str">
        <f t="shared" si="6"/>
        <v>3DOWN</v>
      </c>
      <c r="Q15" s="37">
        <f>'2017'!J5</f>
        <v>70</v>
      </c>
      <c r="R15" s="37">
        <f>'2017'!K5</f>
        <v>210</v>
      </c>
      <c r="S15" s="39">
        <f t="shared" si="5"/>
        <v>30.131528834486236</v>
      </c>
      <c r="T15" s="37">
        <f>'2017'!L5</f>
        <v>4.49</v>
      </c>
      <c r="U15" s="55">
        <f>'2017'!M5</f>
        <v>2</v>
      </c>
      <c r="V15" s="41">
        <f>'2017'!N5</f>
        <v>0</v>
      </c>
      <c r="W15" s="42">
        <f>'2017'!O5</f>
        <v>0</v>
      </c>
      <c r="X15" s="42">
        <f>'2017'!P5</f>
        <v>0.19404434374494256</v>
      </c>
      <c r="Y15" s="42">
        <f>'2017'!Q5</f>
        <v>0.35195936139332368</v>
      </c>
      <c r="Z15" s="42">
        <f>'2017'!R5</f>
        <v>0.36961900049480456</v>
      </c>
      <c r="AA15" s="42">
        <f>'2017'!S5</f>
        <v>0.36961900049480456</v>
      </c>
      <c r="AB15" s="42">
        <f>'2017'!T5</f>
        <v>0.33265710044532409</v>
      </c>
      <c r="AC15" s="42">
        <f>'2017'!U5</f>
        <v>7.3383458646616537E-2</v>
      </c>
      <c r="AD15" s="42">
        <f>'2017'!V5</f>
        <v>0.13923681910865132</v>
      </c>
      <c r="AE15" s="42">
        <f>'2017'!W5</f>
        <v>0.13923681910865132</v>
      </c>
      <c r="AF15" s="43">
        <f>'2017'!X5</f>
        <v>0.1253131371977862</v>
      </c>
      <c r="AG15" s="44">
        <f>'2017'!Y5</f>
        <v>19.073972602739726</v>
      </c>
      <c r="AH15" s="45">
        <f>'2017'!Z5</f>
        <v>103.33892189968716</v>
      </c>
      <c r="AI15" s="45">
        <f>'2017'!AA5</f>
        <v>30.12857142857143</v>
      </c>
      <c r="AJ15" s="45">
        <f>'2017'!AB5</f>
        <v>0.31597222222222221</v>
      </c>
      <c r="AK15" s="45">
        <f>'2017'!AC5</f>
        <v>7.4</v>
      </c>
      <c r="AL15" s="45">
        <f t="shared" si="3"/>
        <v>11.582278481012658</v>
      </c>
      <c r="AM15" s="45">
        <f t="shared" si="4"/>
        <v>0.10280373831775701</v>
      </c>
      <c r="AN15" s="45">
        <f>'2017'!AD5</f>
        <v>128.1</v>
      </c>
      <c r="AO15" s="45">
        <f>'2017'!AE5</f>
        <v>4.1900000000000004</v>
      </c>
      <c r="AP15" s="46">
        <f>'2017'!AF5</f>
        <v>62.9</v>
      </c>
      <c r="AQ15" s="47">
        <f>'2017'!AG5</f>
        <v>9</v>
      </c>
      <c r="AR15" s="48">
        <f>'2017'!AH5</f>
        <v>9</v>
      </c>
      <c r="AS15" s="48">
        <f>'2017'!AI5</f>
        <v>8</v>
      </c>
      <c r="AT15" s="48">
        <f>IF(AH15&gt;113.25,10,IF(AH15&gt;=107.84,9,IF(AH15&gt;=105.37,8,IF(AH15&gt;=103.25,7,IF(AH15&gt;=100.55,6,IF(AH15&gt;=98.75,5,IF(AH15&gt;=96.08,4,IF(AH15&gt;=94.39,3,IF(AH15&gt;=88.43,2,IF(AH15&gt;=85.16,1,IF(AH15&lt;85.16,0,FALSE)))))))))))</f>
        <v>7</v>
      </c>
      <c r="AU15" s="48">
        <f>'2017'!AK5</f>
        <v>8</v>
      </c>
      <c r="AV15" s="48">
        <f>'2017'!AL5</f>
        <v>8</v>
      </c>
      <c r="AW15" s="48">
        <f>'2017'!AM5</f>
        <v>8</v>
      </c>
      <c r="AX15" s="48">
        <f>'2017'!AN5</f>
        <v>8</v>
      </c>
      <c r="AY15" s="49">
        <f>IF(U15=1,10,IF(U15=2,7,IF(U15=3,6,IF(U15=4,4,IF(U15=5,3,IF(U15=6,2,IF(U15=7,1,IF(U15=0,0,"-"))))))))</f>
        <v>7</v>
      </c>
      <c r="AZ15" s="50">
        <f>'2017'!AP5</f>
        <v>0</v>
      </c>
      <c r="BA15" s="56">
        <f>'2017'!AQ5</f>
        <v>0</v>
      </c>
      <c r="BB15" s="57">
        <f>'2017'!AR5</f>
        <v>2882</v>
      </c>
      <c r="BC15" s="57">
        <f>'2017'!AS5</f>
        <v>0</v>
      </c>
      <c r="BD15" s="57">
        <f>'2017'!AT5</f>
        <v>0</v>
      </c>
      <c r="BE15" s="57">
        <f>'2017'!AU5</f>
        <v>0</v>
      </c>
      <c r="BF15" s="57">
        <f>'2017'!AV5</f>
        <v>0</v>
      </c>
      <c r="BG15" s="58">
        <f>'2017'!AW5</f>
        <v>0</v>
      </c>
      <c r="BH15" s="58">
        <f>'2017'!AX5</f>
        <v>0</v>
      </c>
      <c r="BI15" s="58">
        <f>'2017'!AY5</f>
        <v>0</v>
      </c>
      <c r="BJ15" s="58">
        <f>'2017'!AZ5</f>
        <v>0</v>
      </c>
      <c r="BK15" s="57">
        <f>'2017'!BA5</f>
        <v>0</v>
      </c>
      <c r="BL15" s="57">
        <f>'2017'!BB5</f>
        <v>3709</v>
      </c>
      <c r="BM15" s="57">
        <f>'2017'!BC5</f>
        <v>0</v>
      </c>
      <c r="BN15" s="57">
        <f>'2017'!BD5</f>
        <v>0</v>
      </c>
      <c r="BO15" s="59">
        <f>'2017'!BE5</f>
        <v>0</v>
      </c>
      <c r="BP15" s="56">
        <f>'2017'!BF5</f>
        <v>0</v>
      </c>
      <c r="BQ15" s="57">
        <f>'2017'!BG5</f>
        <v>2844</v>
      </c>
      <c r="BR15" s="57">
        <f>'2017'!BH5</f>
        <v>0</v>
      </c>
      <c r="BS15" s="57">
        <f>'2017'!BI5</f>
        <v>0</v>
      </c>
      <c r="BT15" s="57">
        <f>'2017'!BJ5</f>
        <v>0</v>
      </c>
      <c r="BU15" s="57">
        <f>'2017'!BK5</f>
        <v>0</v>
      </c>
      <c r="BV15" s="58">
        <f>'2017'!BL5</f>
        <v>0</v>
      </c>
      <c r="BW15" s="58">
        <f>'2017'!BM5</f>
        <v>0</v>
      </c>
      <c r="BX15" s="58">
        <f>'2017'!BN5</f>
        <v>0</v>
      </c>
      <c r="BY15" s="58">
        <f>'2017'!BO5</f>
        <v>0</v>
      </c>
      <c r="BZ15" s="57">
        <f>'2017'!BP5</f>
        <v>0</v>
      </c>
      <c r="CA15" s="57">
        <f>'2017'!BQ5</f>
        <v>4423</v>
      </c>
      <c r="CB15" s="57">
        <f>'2017'!BR5</f>
        <v>0</v>
      </c>
      <c r="CC15" s="57">
        <f>'2017'!BS5</f>
        <v>0</v>
      </c>
      <c r="CD15" s="59">
        <f>'2017'!BT5</f>
        <v>0</v>
      </c>
      <c r="CE15" s="56">
        <f>'2017'!BU5</f>
        <v>1006</v>
      </c>
      <c r="CF15" s="57">
        <f>'2017'!BV5</f>
        <v>1933</v>
      </c>
      <c r="CG15" s="57">
        <f>'2017'!BW5</f>
        <v>8</v>
      </c>
      <c r="CH15" s="57">
        <f>'2017'!BX5</f>
        <v>0</v>
      </c>
      <c r="CI15" s="57">
        <f>'2017'!BY5</f>
        <v>170</v>
      </c>
      <c r="CJ15" s="57">
        <f>'2017'!BZ5</f>
        <v>38</v>
      </c>
      <c r="CK15" s="58">
        <f>'2017'!CA5</f>
        <v>5.9</v>
      </c>
      <c r="CL15" s="58">
        <f>'2017'!CB5</f>
        <v>74.5</v>
      </c>
      <c r="CM15" s="58">
        <f>'2017'!CC5</f>
        <v>3.41</v>
      </c>
      <c r="CN15" s="58">
        <f>'2017'!CD5</f>
        <v>50.9</v>
      </c>
      <c r="CO15" s="57">
        <f>'2017'!CE5</f>
        <v>193</v>
      </c>
      <c r="CP15" s="57">
        <f>'2017'!CF5</f>
        <v>4246</v>
      </c>
      <c r="CQ15" s="57">
        <f>'2017'!CG5</f>
        <v>22</v>
      </c>
      <c r="CR15" s="57">
        <f>'2017'!CH5</f>
        <v>0</v>
      </c>
      <c r="CS15" s="59">
        <f>'2017'!CI5</f>
        <v>0</v>
      </c>
      <c r="CT15" s="56">
        <f>'2017'!CJ5</f>
        <v>1696</v>
      </c>
      <c r="CU15" s="57">
        <f>'2017'!CK5</f>
        <v>2187</v>
      </c>
      <c r="CV15" s="57">
        <f>'2017'!CL5</f>
        <v>19</v>
      </c>
      <c r="CW15" s="57">
        <f>'2017'!CM5</f>
        <v>0</v>
      </c>
      <c r="CX15" s="57">
        <f>'2017'!CN5</f>
        <v>229</v>
      </c>
      <c r="CY15" s="57">
        <f>'2017'!CO5</f>
        <v>56</v>
      </c>
      <c r="CZ15" s="58">
        <f>'2017'!CP5</f>
        <v>7.4</v>
      </c>
      <c r="DA15" s="58">
        <f>'2017'!CQ5</f>
        <v>107.4</v>
      </c>
      <c r="DB15" s="58">
        <f>'2017'!CR5</f>
        <v>4</v>
      </c>
      <c r="DC15" s="58">
        <f>'2017'!CS5</f>
        <v>62.9</v>
      </c>
      <c r="DD15" s="57">
        <f>'2017'!CT5</f>
        <v>244</v>
      </c>
      <c r="DE15" s="57">
        <f>'2017'!CU5</f>
        <v>3325</v>
      </c>
      <c r="DF15" s="57">
        <f>'2017'!CV5</f>
        <v>24</v>
      </c>
      <c r="DG15" s="57">
        <f>'2017'!CW5</f>
        <v>0</v>
      </c>
      <c r="DH15" s="59">
        <f>'2017'!CX5</f>
        <v>0</v>
      </c>
      <c r="DI15" s="56">
        <f>'2017'!CY5</f>
        <v>1763</v>
      </c>
      <c r="DJ15" s="57">
        <f>'2017'!CZ5</f>
        <v>2630</v>
      </c>
      <c r="DK15" s="57">
        <f>'2017'!DA5</f>
        <v>19</v>
      </c>
      <c r="DL15" s="57">
        <f>'2017'!DB5</f>
        <v>0</v>
      </c>
      <c r="DM15" s="57">
        <f>'2017'!DC5</f>
        <v>288</v>
      </c>
      <c r="DN15" s="57">
        <f>'2017'!DD5</f>
        <v>91</v>
      </c>
      <c r="DO15" s="58">
        <f>'2017'!DE5</f>
        <v>6.1</v>
      </c>
      <c r="DP15" s="58">
        <f>'2017'!DF5</f>
        <v>128.1</v>
      </c>
      <c r="DQ15" s="58">
        <f>'2017'!DG5</f>
        <v>4.1900000000000004</v>
      </c>
      <c r="DR15" s="58">
        <f>'2017'!DH5</f>
        <v>45.2</v>
      </c>
      <c r="DS15" s="57">
        <f>'2017'!DI5</f>
        <v>478</v>
      </c>
      <c r="DT15" s="57">
        <f>'2017'!DJ5</f>
        <v>3433</v>
      </c>
      <c r="DU15" s="57">
        <f>'2017'!DK5</f>
        <v>33</v>
      </c>
      <c r="DV15" s="57">
        <f>'2017'!DL5</f>
        <v>0</v>
      </c>
      <c r="DW15" s="59">
        <f>'2017'!DM5</f>
        <v>0</v>
      </c>
    </row>
    <row r="16" spans="1:127" x14ac:dyDescent="0.2">
      <c r="A16" s="33">
        <f t="shared" si="0"/>
        <v>14</v>
      </c>
      <c r="B16" s="11">
        <f>'2022'!A3</f>
        <v>1</v>
      </c>
      <c r="C16" s="11">
        <v>2022</v>
      </c>
      <c r="D16" s="34" t="str">
        <f>'2022'!B3</f>
        <v>Breece Hall</v>
      </c>
      <c r="E16" s="224" t="str" cm="1">
        <f t="array" ref="E16">_xlfn.IFS(F16&gt;=13,"Cornerstone",AND(F16&gt;=12,F16&lt;13),"Elite",AND(F16&gt;=11,F16&lt;12),"Elite Upside",AND(F16&gt;=9,F16&lt;11),"Upside",AND(F16&gt;=7,F16&lt;9),"Upside Lite",AND(F16&gt;=6,F16&lt;7),"Outlier",AND(F16&gt;=5,F16&lt;6),"Outlier Lite",F16&lt;5,"Purgatory")</f>
        <v>Elite</v>
      </c>
      <c r="F16" s="14">
        <f>'2022'!C3</f>
        <v>12.31111111111111</v>
      </c>
      <c r="G16" s="14">
        <f t="shared" si="7"/>
        <v>95.7</v>
      </c>
      <c r="H16" s="35">
        <f t="shared" si="1"/>
        <v>1.8235501063348309</v>
      </c>
      <c r="I16" s="36" t="str">
        <f>'2022'!D3</f>
        <v>Iowa State</v>
      </c>
      <c r="J16" s="37">
        <f>'2022'!E3</f>
        <v>3</v>
      </c>
      <c r="K16" s="38">
        <f>'2022'!F3</f>
        <v>37042</v>
      </c>
      <c r="L16" s="39">
        <f>'2022'!G3</f>
        <v>24.342465753424658</v>
      </c>
      <c r="M16" s="39" t="str">
        <f>'2022'!H3</f>
        <v>JR</v>
      </c>
      <c r="N16" s="39">
        <f>'2022'!I3</f>
        <v>20.923287671232877</v>
      </c>
      <c r="O16" s="39" t="str">
        <f t="shared" si="2"/>
        <v>FREAK</v>
      </c>
      <c r="P16" s="39" t="str">
        <f t="shared" si="6"/>
        <v>SLASHER</v>
      </c>
      <c r="Q16" s="37">
        <f>'2022'!J3</f>
        <v>71</v>
      </c>
      <c r="R16" s="37">
        <f>'2022'!K3</f>
        <v>217</v>
      </c>
      <c r="S16" s="39">
        <f t="shared" si="5"/>
        <v>30.26502168854368</v>
      </c>
      <c r="T16" s="37">
        <f>'2022'!L3</f>
        <v>4.3899999999999997</v>
      </c>
      <c r="U16" s="40">
        <f>'2022'!M3</f>
        <v>2</v>
      </c>
      <c r="V16" s="41">
        <f>'2022'!N3</f>
        <v>0</v>
      </c>
      <c r="W16" s="42">
        <f>'2022'!O3</f>
        <v>0</v>
      </c>
      <c r="X16" s="42">
        <f>'2022'!P3</f>
        <v>0.19909972299168974</v>
      </c>
      <c r="Y16" s="42">
        <f>'2022'!Q3</f>
        <v>0.33288770053475936</v>
      </c>
      <c r="Z16" s="42">
        <f>'2022'!R3</f>
        <v>0.32071027360028992</v>
      </c>
      <c r="AA16" s="42">
        <f>'2022'!S3</f>
        <v>0.32679898706752464</v>
      </c>
      <c r="AB16" s="42">
        <f>'2022'!T3</f>
        <v>0.29411908836077216</v>
      </c>
      <c r="AC16" s="42">
        <f>'2022'!U3</f>
        <v>6.25E-2</v>
      </c>
      <c r="AD16" s="42">
        <f>'2022'!V3</f>
        <v>9.0379008746355682E-2</v>
      </c>
      <c r="AE16" s="42">
        <f>'2022'!W3</f>
        <v>9.0379008746355682E-2</v>
      </c>
      <c r="AF16" s="43">
        <f>'2022'!X3</f>
        <v>8.1341107871720122E-2</v>
      </c>
      <c r="AG16" s="44">
        <f>'2022'!Y3</f>
        <v>18.263013698630136</v>
      </c>
      <c r="AH16" s="45">
        <f>'2022'!Z3</f>
        <v>116.85078882842051</v>
      </c>
      <c r="AI16" s="45">
        <f>'2022'!AA3</f>
        <v>30.262051180321365</v>
      </c>
      <c r="AJ16" s="45">
        <f>'2022'!AB3</f>
        <v>0.30434782608695654</v>
      </c>
      <c r="AK16" s="45">
        <f>'2022'!AC3</f>
        <v>5.8</v>
      </c>
      <c r="AL16" s="45">
        <f t="shared" si="3"/>
        <v>9.0609756097560972</v>
      </c>
      <c r="AM16" s="45">
        <f t="shared" si="4"/>
        <v>0.12847222222222221</v>
      </c>
      <c r="AN16" s="45">
        <f>'2022'!AD3</f>
        <v>103.8</v>
      </c>
      <c r="AO16" s="45">
        <f>'2022'!AE3</f>
        <v>3.58</v>
      </c>
      <c r="AP16" s="46">
        <f>'2022'!AF3</f>
        <v>53.3</v>
      </c>
      <c r="AQ16" s="47">
        <f>'2022'!AG3</f>
        <v>8</v>
      </c>
      <c r="AR16" s="48">
        <f>'2022'!AH3</f>
        <v>8</v>
      </c>
      <c r="AS16" s="48">
        <f>'2022'!AI3</f>
        <v>10</v>
      </c>
      <c r="AT16" s="48">
        <f>IF(AH16&gt;113.25,10,IF(AH16&gt;=107.84,9,IF(AH16&gt;=105.37,8,IF(AH16&gt;=103.25,7,IF(AH16&gt;=100.55,6,IF(AH16&gt;=98.75,5,IF(AH16&gt;=96.08,4,IF(AH16&gt;=94.39,3,IF(AH16&gt;=88.43,2,IF(AH16&gt;=85.16,1,IF(AH16&lt;85.16,0,FALSE)))))))))))</f>
        <v>10</v>
      </c>
      <c r="AU16" s="48">
        <f>'2022'!AK3</f>
        <v>8</v>
      </c>
      <c r="AV16" s="48">
        <f>'2022'!AL3</f>
        <v>4</v>
      </c>
      <c r="AW16" s="48">
        <f>'2022'!AM3</f>
        <v>4</v>
      </c>
      <c r="AX16" s="48">
        <f>'2022'!AN3</f>
        <v>3</v>
      </c>
      <c r="AY16" s="49">
        <f>IF(U16=1,10,IF(U16=2,7,IF(U16=3,6,IF(U16=4,4,IF(U16=5,3,IF(U16=6,2,IF(U16=7,1,IF(U16=0,0,"-"))))))))</f>
        <v>7</v>
      </c>
      <c r="AZ16" s="50">
        <f>'2022'!AP3</f>
        <v>1</v>
      </c>
      <c r="BA16" s="56">
        <f>'2022'!AQ3</f>
        <v>0</v>
      </c>
      <c r="BB16" s="57">
        <f>'2022'!AR3</f>
        <v>1470</v>
      </c>
      <c r="BC16" s="57">
        <f>'2022'!AS3</f>
        <v>0</v>
      </c>
      <c r="BD16" s="57">
        <f>'2022'!AT3</f>
        <v>16</v>
      </c>
      <c r="BE16" s="57">
        <f>'2022'!AU3</f>
        <v>0</v>
      </c>
      <c r="BF16" s="57">
        <f>'2022'!AV3</f>
        <v>0</v>
      </c>
      <c r="BG16" s="58">
        <f>'2022'!AW3</f>
        <v>0</v>
      </c>
      <c r="BH16" s="58">
        <f>'2022'!AX3</f>
        <v>0</v>
      </c>
      <c r="BI16" s="58">
        <f>'2022'!AY3</f>
        <v>0</v>
      </c>
      <c r="BJ16" s="58">
        <f>'2022'!AZ3</f>
        <v>0</v>
      </c>
      <c r="BK16" s="57">
        <f>'2022'!BA3</f>
        <v>0</v>
      </c>
      <c r="BL16" s="57">
        <f>'2022'!BB3</f>
        <v>3548</v>
      </c>
      <c r="BM16" s="57">
        <f>'2022'!BC3</f>
        <v>0</v>
      </c>
      <c r="BN16" s="57">
        <f>'2022'!BD3</f>
        <v>0</v>
      </c>
      <c r="BO16" s="59">
        <f>'2022'!BE3</f>
        <v>27</v>
      </c>
      <c r="BP16" s="56">
        <f>'2022'!BF3</f>
        <v>0</v>
      </c>
      <c r="BQ16" s="57">
        <f>'2022'!BG3</f>
        <v>1691</v>
      </c>
      <c r="BR16" s="57">
        <f>'2022'!BH3</f>
        <v>0</v>
      </c>
      <c r="BS16" s="57">
        <f>'2022'!BI3</f>
        <v>20</v>
      </c>
      <c r="BT16" s="57">
        <f>'2022'!BJ3</f>
        <v>0</v>
      </c>
      <c r="BU16" s="57">
        <f>'2022'!BK3</f>
        <v>0</v>
      </c>
      <c r="BV16" s="58">
        <f>'2022'!BL3</f>
        <v>0</v>
      </c>
      <c r="BW16" s="58">
        <f>'2022'!BM3</f>
        <v>0</v>
      </c>
      <c r="BX16" s="58">
        <f>'2022'!BN3</f>
        <v>0</v>
      </c>
      <c r="BY16" s="58">
        <f>'2022'!BO3</f>
        <v>0</v>
      </c>
      <c r="BZ16" s="57">
        <f>'2022'!BP3</f>
        <v>0</v>
      </c>
      <c r="CA16" s="57">
        <f>'2022'!BQ3</f>
        <v>3132</v>
      </c>
      <c r="CB16" s="57">
        <f>'2022'!BR3</f>
        <v>0</v>
      </c>
      <c r="CC16" s="57">
        <f>'2022'!BS3</f>
        <v>0</v>
      </c>
      <c r="CD16" s="59">
        <f>'2022'!BT3</f>
        <v>20</v>
      </c>
      <c r="CE16" s="56">
        <f>'2022'!BU3</f>
        <v>898</v>
      </c>
      <c r="CF16" s="57">
        <f>'2022'!BV3</f>
        <v>1729</v>
      </c>
      <c r="CG16" s="57">
        <f>'2022'!BW3</f>
        <v>9</v>
      </c>
      <c r="CH16" s="57">
        <f>'2022'!BX3</f>
        <v>22</v>
      </c>
      <c r="CI16" s="57">
        <f>'2022'!BY3</f>
        <v>184</v>
      </c>
      <c r="CJ16" s="57">
        <f>'2022'!BZ3</f>
        <v>56</v>
      </c>
      <c r="CK16" s="58">
        <f>'2022'!CA3</f>
        <v>4.9000000000000004</v>
      </c>
      <c r="CL16" s="58">
        <f>'2022'!CB3</f>
        <v>103.8</v>
      </c>
      <c r="CM16" s="58">
        <f>'2022'!CC3</f>
        <v>3.58</v>
      </c>
      <c r="CN16" s="58">
        <f>'2022'!CD3</f>
        <v>34.9</v>
      </c>
      <c r="CO16" s="57">
        <f>'2022'!CE3</f>
        <v>252</v>
      </c>
      <c r="CP16" s="57">
        <f>'2022'!CF3</f>
        <v>4047</v>
      </c>
      <c r="CQ16" s="57">
        <f>'2022'!CG3</f>
        <v>23</v>
      </c>
      <c r="CR16" s="57">
        <f>'2022'!CH3</f>
        <v>0</v>
      </c>
      <c r="CS16" s="59">
        <f>'2022'!CI3</f>
        <v>29</v>
      </c>
      <c r="CT16" s="56">
        <f>'2022'!CJ3</f>
        <v>1562</v>
      </c>
      <c r="CU16" s="57">
        <f>'2022'!CK3</f>
        <v>2340</v>
      </c>
      <c r="CV16" s="57">
        <f>'2022'!CL3</f>
        <v>21</v>
      </c>
      <c r="CW16" s="57">
        <f>'2022'!CM3</f>
        <v>31</v>
      </c>
      <c r="CX16" s="57">
        <f>'2022'!CN3</f>
        <v>280</v>
      </c>
      <c r="CY16" s="57">
        <f>'2022'!CO3</f>
        <v>63</v>
      </c>
      <c r="CZ16" s="58">
        <f>'2022'!CP3</f>
        <v>5.6</v>
      </c>
      <c r="DA16" s="58">
        <f>'2022'!CQ3</f>
        <v>81.8</v>
      </c>
      <c r="DB16" s="58">
        <f>'2022'!CR3</f>
        <v>3.34</v>
      </c>
      <c r="DC16" s="58">
        <f>'2022'!CS3</f>
        <v>46.4</v>
      </c>
      <c r="DD16" s="57">
        <f>'2022'!CT3</f>
        <v>181</v>
      </c>
      <c r="DE16" s="57">
        <f>'2022'!CU3</f>
        <v>2896</v>
      </c>
      <c r="DF16" s="57">
        <f>'2022'!CV3</f>
        <v>22</v>
      </c>
      <c r="DG16" s="57">
        <f>'2022'!CW3</f>
        <v>0</v>
      </c>
      <c r="DH16" s="59">
        <f>'2022'!CX3</f>
        <v>20</v>
      </c>
      <c r="DI16" s="56">
        <f>'2022'!CY3</f>
        <v>1460</v>
      </c>
      <c r="DJ16" s="57">
        <f>'2022'!CZ3</f>
        <v>2089</v>
      </c>
      <c r="DK16" s="57">
        <f>'2022'!DA3</f>
        <v>20</v>
      </c>
      <c r="DL16" s="57">
        <f>'2022'!DB3</f>
        <v>25</v>
      </c>
      <c r="DM16" s="57">
        <f>'2022'!DC3</f>
        <v>251</v>
      </c>
      <c r="DN16" s="57">
        <f>'2022'!DD3</f>
        <v>76</v>
      </c>
      <c r="DO16" s="58">
        <f>'2022'!DE3</f>
        <v>5.8</v>
      </c>
      <c r="DP16" s="58">
        <f>'2022'!DF3</f>
        <v>88.8</v>
      </c>
      <c r="DQ16" s="58">
        <f>'2022'!DG3</f>
        <v>2.83</v>
      </c>
      <c r="DR16" s="58">
        <f>'2022'!DH3</f>
        <v>53.3</v>
      </c>
      <c r="DS16" s="57">
        <f>'2022'!DI3</f>
        <v>310</v>
      </c>
      <c r="DT16" s="57">
        <f>'2022'!DJ3</f>
        <v>3430</v>
      </c>
      <c r="DU16" s="57">
        <f>'2022'!DK3</f>
        <v>37</v>
      </c>
      <c r="DV16" s="57">
        <f>'2022'!DL3</f>
        <v>0</v>
      </c>
      <c r="DW16" s="59">
        <f>'2022'!DM3</f>
        <v>22</v>
      </c>
    </row>
    <row r="17" spans="1:127" x14ac:dyDescent="0.2">
      <c r="A17" s="33">
        <f t="shared" si="0"/>
        <v>15</v>
      </c>
      <c r="B17" s="11">
        <f>'2015'!A4</f>
        <v>2</v>
      </c>
      <c r="C17" s="11">
        <v>2015</v>
      </c>
      <c r="D17" s="34" t="str">
        <f>'2015'!B4</f>
        <v>Melvin Gordon</v>
      </c>
      <c r="E17" s="224" t="str" cm="1">
        <f t="array" ref="E17">_xlfn.IFS(F17&gt;=13,"Cornerstone",AND(F17&gt;=12,F17&lt;13),"Elite",AND(F17&gt;=11,F17&lt;12),"Elite Upside",AND(F17&gt;=9,F17&lt;11),"Upside",AND(F17&gt;=7,F17&lt;9),"Upside Lite",AND(F17&gt;=6,F17&lt;7),"Outlier",AND(F17&gt;=5,F17&lt;6),"Outlier Lite",F17&lt;5,"Purgatory")</f>
        <v>Elite</v>
      </c>
      <c r="F17" s="14">
        <f>'2015'!C4</f>
        <v>12.122222222222222</v>
      </c>
      <c r="G17" s="14">
        <f t="shared" si="7"/>
        <v>95.399999999999991</v>
      </c>
      <c r="H17" s="35">
        <f t="shared" si="1"/>
        <v>1.743607594200677</v>
      </c>
      <c r="I17" s="36" t="str">
        <f>'2015'!D4</f>
        <v>Wisconsin</v>
      </c>
      <c r="J17" s="37">
        <f>'2015'!E4</f>
        <v>2</v>
      </c>
      <c r="K17" s="38">
        <f>'2015'!F4</f>
        <v>34072</v>
      </c>
      <c r="L17" s="39">
        <f>'2015'!G4</f>
        <v>32.479452054794521</v>
      </c>
      <c r="M17" s="39" t="str">
        <f>'2015'!H4</f>
        <v>SR</v>
      </c>
      <c r="N17" s="39">
        <f>'2015'!I4</f>
        <v>22.052054794520547</v>
      </c>
      <c r="O17" s="39" t="str">
        <f t="shared" si="2"/>
        <v>BELL COW</v>
      </c>
      <c r="P17" s="39" t="str">
        <f t="shared" si="6"/>
        <v>SLASHER</v>
      </c>
      <c r="Q17" s="37">
        <f>'2015'!J4</f>
        <v>73</v>
      </c>
      <c r="R17" s="37">
        <f>'2015'!K4</f>
        <v>215</v>
      </c>
      <c r="S17" s="39">
        <f t="shared" si="5"/>
        <v>28.365516291925815</v>
      </c>
      <c r="T17" s="39">
        <f>'2015'!L4</f>
        <v>4.5199999999999996</v>
      </c>
      <c r="U17" s="55">
        <f>'2015'!M4</f>
        <v>1</v>
      </c>
      <c r="V17" s="41">
        <f>'2015'!N4</f>
        <v>0</v>
      </c>
      <c r="W17" s="42">
        <f>'2015'!O4</f>
        <v>5.2138752926154504E-2</v>
      </c>
      <c r="X17" s="42">
        <f>'2015'!P4</f>
        <v>0.12459135488557936</v>
      </c>
      <c r="Y17" s="42">
        <f>'2015'!Q4</f>
        <v>0.25899856023036316</v>
      </c>
      <c r="Z17" s="42">
        <f>'2015'!R4</f>
        <v>0.41839346660165766</v>
      </c>
      <c r="AA17" s="42">
        <f>'2015'!S4</f>
        <v>0.41839346660165766</v>
      </c>
      <c r="AB17" s="42">
        <f>'2015'!T4</f>
        <v>0.41839346660165766</v>
      </c>
      <c r="AC17" s="42">
        <f>'2015'!U4</f>
        <v>2.7107617240444567E-3</v>
      </c>
      <c r="AD17" s="42">
        <f>'2015'!V4</f>
        <v>7.3494091651455484E-2</v>
      </c>
      <c r="AE17" s="42">
        <f>'2015'!W4</f>
        <v>7.3494091651455484E-2</v>
      </c>
      <c r="AF17" s="43">
        <f>'2015'!X4</f>
        <v>7.3494091651455484E-2</v>
      </c>
      <c r="AG17" s="44">
        <f>'2015'!Y4</f>
        <v>20.399999999999999</v>
      </c>
      <c r="AH17" s="45">
        <f>'2015'!Z4</f>
        <v>103.01838003989533</v>
      </c>
      <c r="AI17" s="45">
        <f>'2015'!AA4</f>
        <v>28.362732219928692</v>
      </c>
      <c r="AJ17" s="45">
        <f>'2015'!AB4</f>
        <v>0.22157434402332363</v>
      </c>
      <c r="AK17" s="45">
        <f>'2015'!AC4</f>
        <v>7.8106796116504853</v>
      </c>
      <c r="AL17" s="45">
        <f t="shared" si="3"/>
        <v>10.363636363636363</v>
      </c>
      <c r="AM17" s="45">
        <f t="shared" si="4"/>
        <v>5.2486187845303865E-2</v>
      </c>
      <c r="AN17" s="45">
        <f>'2015'!AD4</f>
        <v>77.2</v>
      </c>
      <c r="AO17" s="45">
        <f>'2015'!AE4</f>
        <v>3.58</v>
      </c>
      <c r="AP17" s="46">
        <f>'2015'!AF4</f>
        <v>56.7</v>
      </c>
      <c r="AQ17" s="47">
        <f>'2015'!AG4</f>
        <v>10</v>
      </c>
      <c r="AR17" s="48">
        <f>'2015'!AH4</f>
        <v>7</v>
      </c>
      <c r="AS17" s="48">
        <f>'2015'!AI4</f>
        <v>4</v>
      </c>
      <c r="AT17" s="48">
        <f>'2015'!AJ4</f>
        <v>6</v>
      </c>
      <c r="AU17" s="48">
        <f>'2015'!AK4</f>
        <v>5</v>
      </c>
      <c r="AV17" s="48">
        <f>'2015'!AL4</f>
        <v>9</v>
      </c>
      <c r="AW17" s="48">
        <f>'2015'!AM4</f>
        <v>4</v>
      </c>
      <c r="AX17" s="48">
        <f>'2015'!AN4</f>
        <v>4</v>
      </c>
      <c r="AY17" s="49">
        <f>'2015'!AO4</f>
        <v>10</v>
      </c>
      <c r="AZ17" s="50">
        <f>'2015'!AP4</f>
        <v>1</v>
      </c>
      <c r="BA17" s="56">
        <f>'2015'!AQ4</f>
        <v>0</v>
      </c>
      <c r="BB17" s="57">
        <f>'2015'!AR4</f>
        <v>1</v>
      </c>
      <c r="BC17" s="57">
        <f>'2015'!AS4</f>
        <v>0</v>
      </c>
      <c r="BD17" s="57">
        <f>'2015'!AT4</f>
        <v>0</v>
      </c>
      <c r="BE17" s="57">
        <f>'2015'!AU4</f>
        <v>0</v>
      </c>
      <c r="BF17" s="57">
        <f>'2015'!AV4</f>
        <v>0</v>
      </c>
      <c r="BG17" s="58">
        <f>'2015'!AW4</f>
        <v>0</v>
      </c>
      <c r="BH17" s="58">
        <f>'2015'!AX4</f>
        <v>0</v>
      </c>
      <c r="BI17" s="58">
        <f>'2015'!AY4</f>
        <v>0</v>
      </c>
      <c r="BJ17" s="58">
        <f>'2015'!AZ4</f>
        <v>0</v>
      </c>
      <c r="BK17" s="57">
        <f>'2015'!BA4</f>
        <v>0</v>
      </c>
      <c r="BL17" s="57">
        <f>'2015'!BB4</f>
        <v>1</v>
      </c>
      <c r="BM17" s="57">
        <f>'2015'!BC4</f>
        <v>0</v>
      </c>
      <c r="BN17" s="57">
        <f>'2015'!BD4</f>
        <v>0</v>
      </c>
      <c r="BO17" s="59">
        <f>'2015'!BE4</f>
        <v>0</v>
      </c>
      <c r="BP17" s="56">
        <f>'2015'!BF4</f>
        <v>98</v>
      </c>
      <c r="BQ17" s="57">
        <f>'2015'!BG4</f>
        <v>942.4</v>
      </c>
      <c r="BR17" s="57">
        <f>'2015'!BH4</f>
        <v>1</v>
      </c>
      <c r="BS17" s="57">
        <f>'2015'!BI4</f>
        <v>0</v>
      </c>
      <c r="BT17" s="57">
        <f>'2015'!BJ4</f>
        <v>98</v>
      </c>
      <c r="BU17" s="57">
        <f>'2015'!BK4</f>
        <v>0</v>
      </c>
      <c r="BV17" s="58">
        <f>'2015'!BL4</f>
        <v>0</v>
      </c>
      <c r="BW17" s="58">
        <f>'2015'!BM4</f>
        <v>0</v>
      </c>
      <c r="BX17" s="58">
        <f>'2015'!BN4</f>
        <v>0</v>
      </c>
      <c r="BY17" s="58">
        <f>'2015'!BO4</f>
        <v>0</v>
      </c>
      <c r="BZ17" s="57">
        <f>'2015'!BP4</f>
        <v>0</v>
      </c>
      <c r="CA17" s="57">
        <f>'2015'!BQ4</f>
        <v>937.2</v>
      </c>
      <c r="CB17" s="57">
        <f>'2015'!BR4</f>
        <v>0</v>
      </c>
      <c r="CC17" s="57">
        <f>'2015'!BS4</f>
        <v>0</v>
      </c>
      <c r="CD17" s="59">
        <f>'2015'!BT4</f>
        <v>0</v>
      </c>
      <c r="CE17" s="56">
        <f>'2015'!BU4</f>
        <v>621</v>
      </c>
      <c r="CF17" s="57">
        <f>'2015'!BV4</f>
        <v>2197</v>
      </c>
      <c r="CG17" s="57">
        <f>'2015'!BW4</f>
        <v>3</v>
      </c>
      <c r="CH17" s="57">
        <f>'2015'!BX4</f>
        <v>0</v>
      </c>
      <c r="CI17" s="57">
        <f>'2015'!BY4</f>
        <v>62</v>
      </c>
      <c r="CJ17" s="57">
        <f>'2015'!BZ4</f>
        <v>0</v>
      </c>
      <c r="CK17" s="58">
        <f>'2015'!CA4</f>
        <v>10.016129032258064</v>
      </c>
      <c r="CL17" s="58">
        <f>'2015'!CB4</f>
        <v>0</v>
      </c>
      <c r="CM17" s="58">
        <f>'2015'!CC4</f>
        <v>0</v>
      </c>
      <c r="CN17" s="58">
        <f>'2015'!CD4</f>
        <v>0</v>
      </c>
      <c r="CO17" s="57">
        <f>'2015'!CE4</f>
        <v>65</v>
      </c>
      <c r="CP17" s="57">
        <f>'2015'!CF4</f>
        <v>3309</v>
      </c>
      <c r="CQ17" s="57">
        <f>'2015'!CG4</f>
        <v>2</v>
      </c>
      <c r="CR17" s="57">
        <f>'2015'!CH4</f>
        <v>1</v>
      </c>
      <c r="CS17" s="59">
        <f>'2015'!CI4</f>
        <v>0</v>
      </c>
      <c r="CT17" s="56">
        <f>'2015'!CJ4</f>
        <v>1609</v>
      </c>
      <c r="CU17" s="57">
        <f>'2015'!CK4</f>
        <v>2562</v>
      </c>
      <c r="CV17" s="57">
        <f>'2015'!CL4</f>
        <v>12</v>
      </c>
      <c r="CW17" s="57">
        <f>'2015'!CM4</f>
        <v>0</v>
      </c>
      <c r="CX17" s="57">
        <f>'2015'!CN4</f>
        <v>206</v>
      </c>
      <c r="CY17" s="57">
        <f>'2015'!CO4</f>
        <v>0</v>
      </c>
      <c r="CZ17" s="58">
        <f>'2015'!CP4</f>
        <v>7.8106796116504853</v>
      </c>
      <c r="DA17" s="58">
        <f>'2015'!CQ4</f>
        <v>0</v>
      </c>
      <c r="DB17" s="58">
        <f>'2015'!CR4</f>
        <v>0</v>
      </c>
      <c r="DC17" s="58">
        <f>'2015'!CS4</f>
        <v>0</v>
      </c>
      <c r="DD17" s="57">
        <f>'2015'!CT4</f>
        <v>10</v>
      </c>
      <c r="DE17" s="57">
        <f>'2015'!CU4</f>
        <v>3689</v>
      </c>
      <c r="DF17" s="57">
        <f>'2015'!CV4</f>
        <v>1</v>
      </c>
      <c r="DG17" s="57">
        <f>'2015'!CW4</f>
        <v>0</v>
      </c>
      <c r="DH17" s="59">
        <f>'2015'!CX4</f>
        <v>0</v>
      </c>
      <c r="DI17" s="56">
        <f>'2015'!CY4</f>
        <v>2593</v>
      </c>
      <c r="DJ17" s="57">
        <f>'2015'!CZ4</f>
        <v>4481.4000000000005</v>
      </c>
      <c r="DK17" s="57">
        <f>'2015'!DA4</f>
        <v>29</v>
      </c>
      <c r="DL17" s="57">
        <f>'2015'!DB4</f>
        <v>46.199999999999996</v>
      </c>
      <c r="DM17" s="57">
        <f>'2015'!DC4</f>
        <v>343</v>
      </c>
      <c r="DN17" s="57">
        <f>'2015'!DD4</f>
        <v>76</v>
      </c>
      <c r="DO17" s="58">
        <f>'2015'!DE4</f>
        <v>7.5597667638483967</v>
      </c>
      <c r="DP17" s="58">
        <f>'2015'!DF4</f>
        <v>77.2</v>
      </c>
      <c r="DQ17" s="58">
        <f>'2015'!DG4</f>
        <v>3.58</v>
      </c>
      <c r="DR17" s="58">
        <f>'2015'!DH4</f>
        <v>56.7</v>
      </c>
      <c r="DS17" s="57">
        <f>'2015'!DI4</f>
        <v>153</v>
      </c>
      <c r="DT17" s="57">
        <f>'2015'!DJ4</f>
        <v>2081.7999999999997</v>
      </c>
      <c r="DU17" s="57">
        <f>'2015'!DK4</f>
        <v>19</v>
      </c>
      <c r="DV17" s="57">
        <f>'2015'!DL4</f>
        <v>3</v>
      </c>
      <c r="DW17" s="59">
        <f>'2015'!DM4</f>
        <v>15.400000000000002</v>
      </c>
    </row>
    <row r="18" spans="1:127" x14ac:dyDescent="0.2">
      <c r="A18" s="33">
        <f t="shared" si="0"/>
        <v>16</v>
      </c>
      <c r="B18" s="11">
        <f>'2017'!A6</f>
        <v>4</v>
      </c>
      <c r="C18" s="11">
        <v>2017</v>
      </c>
      <c r="D18" s="34" t="str">
        <f>'2017'!B6</f>
        <v>Joe Mixon</v>
      </c>
      <c r="E18" s="224" t="str" cm="1">
        <f t="array" ref="E18">_xlfn.IFS(F18&gt;=13,"Cornerstone",AND(F18&gt;=12,F18&lt;13),"Elite",AND(F18&gt;=11,F18&lt;12),"Elite Upside",AND(F18&gt;=9,F18&lt;11),"Upside",AND(F18&gt;=7,F18&lt;9),"Upside Lite",AND(F18&gt;=6,F18&lt;7),"Outlier",AND(F18&gt;=5,F18&lt;6),"Outlier Lite",F18&lt;5,"Purgatory")</f>
        <v>Elite Upside</v>
      </c>
      <c r="F18" s="14">
        <f>'2017'!C6</f>
        <v>11.911111111111111</v>
      </c>
      <c r="G18" s="14">
        <f t="shared" si="7"/>
        <v>95.1</v>
      </c>
      <c r="H18" s="35">
        <f t="shared" si="1"/>
        <v>1.6542600806389756</v>
      </c>
      <c r="I18" s="36" t="str">
        <f>'2017'!D6</f>
        <v>Oklahoma</v>
      </c>
      <c r="J18" s="37">
        <f>'2017'!E6</f>
        <v>3</v>
      </c>
      <c r="K18" s="38">
        <f>'2017'!F6</f>
        <v>35270</v>
      </c>
      <c r="L18" s="39">
        <f>'2017'!G6</f>
        <v>29.197260273972603</v>
      </c>
      <c r="M18" s="39" t="str">
        <f>'2017'!H6</f>
        <v>RS SO</v>
      </c>
      <c r="N18" s="39">
        <f>'2017'!I6</f>
        <v>20.772602739726029</v>
      </c>
      <c r="O18" s="39" t="str">
        <f t="shared" si="2"/>
        <v>FREAK</v>
      </c>
      <c r="P18" s="39" t="str">
        <f t="shared" si="6"/>
        <v>3DOWN</v>
      </c>
      <c r="Q18" s="37">
        <f>'2017'!J6</f>
        <v>71</v>
      </c>
      <c r="R18" s="37">
        <f>'2017'!K6</f>
        <v>226</v>
      </c>
      <c r="S18" s="39">
        <f t="shared" si="5"/>
        <v>31.520253002815075</v>
      </c>
      <c r="T18" s="37">
        <f>'2017'!L6</f>
        <v>4.43</v>
      </c>
      <c r="U18" s="55">
        <f>'2017'!M6</f>
        <v>2</v>
      </c>
      <c r="V18" s="41">
        <f>'2017'!N6</f>
        <v>0</v>
      </c>
      <c r="W18" s="42">
        <f>'2017'!O6</f>
        <v>0</v>
      </c>
      <c r="X18" s="42">
        <f>'2017'!P6</f>
        <v>0</v>
      </c>
      <c r="Y18" s="42">
        <f>'2017'!Q6</f>
        <v>0.16161323081386914</v>
      </c>
      <c r="Z18" s="42">
        <f>'2017'!R6</f>
        <v>0.25305047143649473</v>
      </c>
      <c r="AA18" s="42">
        <f>'2017'!S6</f>
        <v>0.25305047143649473</v>
      </c>
      <c r="AB18" s="42">
        <f>'2017'!T6</f>
        <v>0.22774542429284525</v>
      </c>
      <c r="AC18" s="42">
        <f>'2017'!U6</f>
        <v>8.9365951073389918E-2</v>
      </c>
      <c r="AD18" s="42">
        <f>'2017'!V6</f>
        <v>0.13014029995162071</v>
      </c>
      <c r="AE18" s="42">
        <f>'2017'!W6</f>
        <v>0.13014029995162071</v>
      </c>
      <c r="AF18" s="43">
        <f>'2017'!X6</f>
        <v>0.11712626995645864</v>
      </c>
      <c r="AG18" s="44">
        <f>'2017'!Y6</f>
        <v>19.115068493150684</v>
      </c>
      <c r="AH18" s="45">
        <f>'2017'!Z6</f>
        <v>117.36092664974906</v>
      </c>
      <c r="AI18" s="45">
        <f>'2017'!AA6</f>
        <v>31.517159293790915</v>
      </c>
      <c r="AJ18" s="45">
        <f>'2017'!AB6</f>
        <v>0.27192982456140352</v>
      </c>
      <c r="AK18" s="45">
        <f>'2017'!AC6</f>
        <v>6.9</v>
      </c>
      <c r="AL18" s="45">
        <f t="shared" si="3"/>
        <v>13.784615384615385</v>
      </c>
      <c r="AM18" s="45">
        <f t="shared" si="4"/>
        <v>0.16517857142857142</v>
      </c>
      <c r="AN18" s="45">
        <f>'2017'!AD6</f>
        <v>97.7</v>
      </c>
      <c r="AO18" s="45">
        <f>'2017'!AE6</f>
        <v>3.82</v>
      </c>
      <c r="AP18" s="46">
        <f>'2017'!AF6</f>
        <v>56.2</v>
      </c>
      <c r="AQ18" s="47">
        <f>'2017'!AG6</f>
        <v>4</v>
      </c>
      <c r="AR18" s="48">
        <f>'2017'!AH6</f>
        <v>9</v>
      </c>
      <c r="AS18" s="48">
        <f>'2017'!AI6</f>
        <v>7</v>
      </c>
      <c r="AT18" s="48">
        <f>IF(AH18&gt;113.25,10,IF(AH18&gt;=107.84,9,IF(AH18&gt;=105.37,8,IF(AH18&gt;=103.25,7,IF(AH18&gt;=100.55,6,IF(AH18&gt;=98.75,5,IF(AH18&gt;=96.08,4,IF(AH18&gt;=94.39,3,IF(AH18&gt;=88.43,2,IF(AH18&gt;=85.16,1,IF(AH18&lt;85.16,0,FALSE)))))))))))</f>
        <v>10</v>
      </c>
      <c r="AU18" s="48">
        <f>'2017'!AK6</f>
        <v>7</v>
      </c>
      <c r="AV18" s="48">
        <f>'2017'!AL6</f>
        <v>7</v>
      </c>
      <c r="AW18" s="48">
        <f>'2017'!AM6</f>
        <v>6</v>
      </c>
      <c r="AX18" s="48">
        <f>'2017'!AN6</f>
        <v>5</v>
      </c>
      <c r="AY18" s="49">
        <f>IF(U18=1,10,IF(U18=2,7,IF(U18=3,6,IF(U18=4,4,IF(U18=5,3,IF(U18=6,2,IF(U18=7,1,IF(U18=0,0,"-"))))))))</f>
        <v>7</v>
      </c>
      <c r="AZ18" s="50">
        <f>'2017'!AP6</f>
        <v>1</v>
      </c>
      <c r="BA18" s="56">
        <f>'2017'!AQ6</f>
        <v>0</v>
      </c>
      <c r="BB18" s="57">
        <f>'2017'!AR6</f>
        <v>2098</v>
      </c>
      <c r="BC18" s="57">
        <f>'2017'!AS6</f>
        <v>0</v>
      </c>
      <c r="BD18" s="57">
        <f>'2017'!AT6</f>
        <v>0</v>
      </c>
      <c r="BE18" s="57">
        <f>'2017'!AU6</f>
        <v>0</v>
      </c>
      <c r="BF18" s="57">
        <f>'2017'!AV6</f>
        <v>0</v>
      </c>
      <c r="BG18" s="58">
        <f>'2017'!AW6</f>
        <v>0</v>
      </c>
      <c r="BH18" s="58">
        <f>'2017'!AX6</f>
        <v>0</v>
      </c>
      <c r="BI18" s="58">
        <f>'2017'!AY6</f>
        <v>0</v>
      </c>
      <c r="BJ18" s="58">
        <f>'2017'!AZ6</f>
        <v>0</v>
      </c>
      <c r="BK18" s="57">
        <f>'2017'!BA6</f>
        <v>0</v>
      </c>
      <c r="BL18" s="57">
        <f>'2017'!BB6</f>
        <v>4374</v>
      </c>
      <c r="BM18" s="57">
        <f>'2017'!BC6</f>
        <v>0</v>
      </c>
      <c r="BN18" s="57">
        <f>'2017'!BD6</f>
        <v>0</v>
      </c>
      <c r="BO18" s="59">
        <f>'2017'!BE6</f>
        <v>0</v>
      </c>
      <c r="BP18" s="56">
        <f>'2017'!BF6</f>
        <v>0</v>
      </c>
      <c r="BQ18" s="57">
        <f>'2017'!BG6</f>
        <v>2911</v>
      </c>
      <c r="BR18" s="57">
        <f>'2017'!BH6</f>
        <v>0</v>
      </c>
      <c r="BS18" s="57">
        <f>'2017'!BI6</f>
        <v>0</v>
      </c>
      <c r="BT18" s="57">
        <f>'2017'!BJ6</f>
        <v>0</v>
      </c>
      <c r="BU18" s="57">
        <f>'2017'!BK6</f>
        <v>0</v>
      </c>
      <c r="BV18" s="58">
        <f>'2017'!BL6</f>
        <v>0</v>
      </c>
      <c r="BW18" s="58">
        <f>'2017'!BM6</f>
        <v>0</v>
      </c>
      <c r="BX18" s="58">
        <f>'2017'!BN6</f>
        <v>0</v>
      </c>
      <c r="BY18" s="58">
        <f>'2017'!BO6</f>
        <v>0</v>
      </c>
      <c r="BZ18" s="57">
        <f>'2017'!BP6</f>
        <v>0</v>
      </c>
      <c r="CA18" s="57">
        <f>'2017'!BQ6</f>
        <v>2588</v>
      </c>
      <c r="CB18" s="57">
        <f>'2017'!BR6</f>
        <v>0</v>
      </c>
      <c r="CC18" s="57">
        <f>'2017'!BS6</f>
        <v>0</v>
      </c>
      <c r="CD18" s="59">
        <f>'2017'!BT6</f>
        <v>0</v>
      </c>
      <c r="CE18" s="56">
        <f>'2017'!BU6</f>
        <v>0</v>
      </c>
      <c r="CF18" s="57">
        <f>'2017'!BV6</f>
        <v>3395</v>
      </c>
      <c r="CG18" s="57">
        <f>'2017'!BW6</f>
        <v>0</v>
      </c>
      <c r="CH18" s="57">
        <f>'2017'!BX6</f>
        <v>0</v>
      </c>
      <c r="CI18" s="57">
        <f>'2017'!BY6</f>
        <v>0</v>
      </c>
      <c r="CJ18" s="57">
        <f>'2017'!BZ6</f>
        <v>0</v>
      </c>
      <c r="CK18" s="58">
        <f>'2017'!CA6</f>
        <v>0</v>
      </c>
      <c r="CL18" s="58">
        <f>'2017'!CB6</f>
        <v>0</v>
      </c>
      <c r="CM18" s="58">
        <f>'2017'!CC6</f>
        <v>0</v>
      </c>
      <c r="CN18" s="58">
        <f>'2017'!CD6</f>
        <v>0</v>
      </c>
      <c r="CO18" s="57">
        <f>'2017'!CE6</f>
        <v>0</v>
      </c>
      <c r="CP18" s="57">
        <f>'2017'!CF6</f>
        <v>2646</v>
      </c>
      <c r="CQ18" s="57">
        <f>'2017'!CG6</f>
        <v>0</v>
      </c>
      <c r="CR18" s="57">
        <f>'2017'!CH6</f>
        <v>0</v>
      </c>
      <c r="CS18" s="59">
        <f>'2017'!CI6</f>
        <v>0</v>
      </c>
      <c r="CT18" s="56">
        <f>'2017'!CJ6</f>
        <v>756</v>
      </c>
      <c r="CU18" s="57">
        <f>'2017'!CK6</f>
        <v>2887</v>
      </c>
      <c r="CV18" s="57">
        <f>'2017'!CL6</f>
        <v>7</v>
      </c>
      <c r="CW18" s="57">
        <f>'2017'!CM6</f>
        <v>0</v>
      </c>
      <c r="CX18" s="57">
        <f>'2017'!CN6</f>
        <v>114</v>
      </c>
      <c r="CY18" s="57">
        <f>'2017'!CO6</f>
        <v>31</v>
      </c>
      <c r="CZ18" s="58">
        <f>'2017'!CP6</f>
        <v>6.6</v>
      </c>
      <c r="DA18" s="58">
        <f>'2017'!CQ6</f>
        <v>97.7</v>
      </c>
      <c r="DB18" s="58">
        <f>'2017'!CR6</f>
        <v>3.65</v>
      </c>
      <c r="DC18" s="58">
        <f>'2017'!CS6</f>
        <v>47.2</v>
      </c>
      <c r="DD18" s="57">
        <f>'2017'!CT6</f>
        <v>358</v>
      </c>
      <c r="DE18" s="57">
        <f>'2017'!CU6</f>
        <v>4006</v>
      </c>
      <c r="DF18" s="57">
        <f>'2017'!CV6</f>
        <v>28</v>
      </c>
      <c r="DG18" s="57">
        <f>'2017'!CW6</f>
        <v>0</v>
      </c>
      <c r="DH18" s="59">
        <f>'2017'!CX6</f>
        <v>0</v>
      </c>
      <c r="DI18" s="56">
        <f>'2017'!CY6</f>
        <v>1287</v>
      </c>
      <c r="DJ18" s="57">
        <f>'2017'!CZ6</f>
        <v>3078</v>
      </c>
      <c r="DK18" s="57">
        <f>'2017'!DA6</f>
        <v>10</v>
      </c>
      <c r="DL18" s="57">
        <f>'2017'!DB6</f>
        <v>0</v>
      </c>
      <c r="DM18" s="57">
        <f>'2017'!DC6</f>
        <v>187</v>
      </c>
      <c r="DN18" s="57">
        <f>'2017'!DD6</f>
        <v>48</v>
      </c>
      <c r="DO18" s="58">
        <f>'2017'!DE6</f>
        <v>6.9</v>
      </c>
      <c r="DP18" s="58">
        <f>'2017'!DF6</f>
        <v>97.2</v>
      </c>
      <c r="DQ18" s="58">
        <f>'2017'!DG6</f>
        <v>3.82</v>
      </c>
      <c r="DR18" s="58">
        <f>'2017'!DH6</f>
        <v>56.2</v>
      </c>
      <c r="DS18" s="57">
        <f>'2017'!DI6</f>
        <v>538</v>
      </c>
      <c r="DT18" s="57">
        <f>'2017'!DJ6</f>
        <v>4134</v>
      </c>
      <c r="DU18" s="57">
        <f>'2017'!DK6</f>
        <v>37</v>
      </c>
      <c r="DV18" s="57">
        <f>'2017'!DL6</f>
        <v>0</v>
      </c>
      <c r="DW18" s="59">
        <f>'2017'!DM6</f>
        <v>0</v>
      </c>
    </row>
    <row r="19" spans="1:127" x14ac:dyDescent="0.2">
      <c r="A19" s="33">
        <f t="shared" si="0"/>
        <v>17</v>
      </c>
      <c r="B19" s="11">
        <f>'2020'!A4</f>
        <v>2</v>
      </c>
      <c r="C19" s="11">
        <v>2020</v>
      </c>
      <c r="D19" s="34" t="str">
        <f>'2020'!B4</f>
        <v>J.K. Dobbins</v>
      </c>
      <c r="E19" s="224" t="str" cm="1">
        <f t="array" ref="E19">_xlfn.IFS(F19&gt;=13,"Cornerstone",AND(F19&gt;=12,F19&lt;13),"Elite",AND(F19&gt;=11,F19&lt;12),"Elite Upside",AND(F19&gt;=9,F19&lt;11),"Upside",AND(F19&gt;=7,F19&lt;9),"Upside Lite",AND(F19&gt;=6,F19&lt;7),"Outlier",AND(F19&gt;=5,F19&lt;6),"Outlier Lite",F19&lt;5,"Purgatory")</f>
        <v>Elite Upside</v>
      </c>
      <c r="F19" s="14">
        <f>'2020'!C4</f>
        <v>11.894444444444444</v>
      </c>
      <c r="G19" s="14">
        <f t="shared" si="7"/>
        <v>94.8</v>
      </c>
      <c r="H19" s="35">
        <f t="shared" si="1"/>
        <v>1.6472063295683146</v>
      </c>
      <c r="I19" s="36" t="str">
        <f>'2020'!D4</f>
        <v>Ohio State</v>
      </c>
      <c r="J19" s="37">
        <f>'2020'!E4</f>
        <v>2</v>
      </c>
      <c r="K19" s="38">
        <f>'2020'!F4</f>
        <v>36146</v>
      </c>
      <c r="L19" s="39">
        <f>'2020'!G4</f>
        <v>26.797260273972604</v>
      </c>
      <c r="M19" s="39" t="str">
        <f>'2020'!H4</f>
        <v>JR</v>
      </c>
      <c r="N19" s="39">
        <f>'2020'!I4</f>
        <v>21.364383561643837</v>
      </c>
      <c r="O19" s="39" t="str">
        <f t="shared" si="2"/>
        <v>DYNAMIC</v>
      </c>
      <c r="P19" s="39" t="str">
        <f t="shared" si="6"/>
        <v>HORSE</v>
      </c>
      <c r="Q19" s="37">
        <f>'2020'!J4</f>
        <v>69</v>
      </c>
      <c r="R19" s="37">
        <f>'2020'!K4</f>
        <v>209</v>
      </c>
      <c r="S19" s="39">
        <f t="shared" si="5"/>
        <v>30.863562756321059</v>
      </c>
      <c r="T19" s="37">
        <f>'2020'!L4</f>
        <v>4.3899999999999997</v>
      </c>
      <c r="U19" s="40">
        <f>'2020'!M4</f>
        <v>2</v>
      </c>
      <c r="V19" s="41">
        <f>'2020'!N4</f>
        <v>0</v>
      </c>
      <c r="W19" s="42">
        <f>'2020'!O4</f>
        <v>0</v>
      </c>
      <c r="X19" s="42">
        <f>'2020'!P4</f>
        <v>0.21668548842461885</v>
      </c>
      <c r="Y19" s="42">
        <f>'2020'!Q4</f>
        <v>0.17551347025873568</v>
      </c>
      <c r="Z19" s="42">
        <f>'2020'!R4</f>
        <v>0.30327537403962801</v>
      </c>
      <c r="AA19" s="42">
        <f>'2020'!S4</f>
        <v>0.30327537403962801</v>
      </c>
      <c r="AB19" s="42">
        <f>'2020'!T4</f>
        <v>0.30327537403962801</v>
      </c>
      <c r="AC19" s="42">
        <f>'2020'!U4</f>
        <v>5.1568627450980391E-2</v>
      </c>
      <c r="AD19" s="42">
        <f>'2020'!V4</f>
        <v>6.704668838219327E-2</v>
      </c>
      <c r="AE19" s="42">
        <f>'2020'!W4</f>
        <v>6.704668838219327E-2</v>
      </c>
      <c r="AF19" s="43">
        <f>'2020'!X4</f>
        <v>6.704668838219327E-2</v>
      </c>
      <c r="AG19" s="44">
        <f>'2020'!Y4</f>
        <v>18.720547945205478</v>
      </c>
      <c r="AH19" s="45">
        <f>'2020'!Z4</f>
        <v>112.54292564580592</v>
      </c>
      <c r="AI19" s="45">
        <f>'2020'!AA4</f>
        <v>30.860533501365261</v>
      </c>
      <c r="AJ19" s="45">
        <f>'2020'!AB4</f>
        <v>0.2425249169435216</v>
      </c>
      <c r="AK19" s="45">
        <f>'2020'!AC4</f>
        <v>6.7</v>
      </c>
      <c r="AL19" s="45">
        <f t="shared" si="3"/>
        <v>13.163265306122449</v>
      </c>
      <c r="AM19" s="45">
        <f t="shared" si="4"/>
        <v>7.098765432098765E-2</v>
      </c>
      <c r="AN19" s="45">
        <f>'2020'!AD4</f>
        <v>92.9</v>
      </c>
      <c r="AO19" s="45">
        <f>'2020'!AE4</f>
        <v>4.25</v>
      </c>
      <c r="AP19" s="46">
        <f>'2020'!AF4</f>
        <v>47.5</v>
      </c>
      <c r="AQ19" s="47">
        <f>'2020'!AG4</f>
        <v>8</v>
      </c>
      <c r="AR19" s="48">
        <f>'2020'!AH4</f>
        <v>7</v>
      </c>
      <c r="AS19" s="48">
        <f>'2020'!AI4</f>
        <v>9</v>
      </c>
      <c r="AT19" s="48">
        <f>IF(AH19&gt;113.25,10,IF(AH19&gt;=107.84,9,IF(AH19&gt;=105.37,8,IF(AH19&gt;=103.25,7,IF(AH19&gt;=100.55,6,IF(AH19&gt;=98.75,5,IF(AH19&gt;=96.08,4,IF(AH19&gt;=94.39,3,IF(AH19&gt;=88.43,2,IF(AH19&gt;=85.16,1,IF(AH19&lt;85.16,0,FALSE)))))))))))</f>
        <v>9</v>
      </c>
      <c r="AU19" s="48">
        <f>'2020'!AK4</f>
        <v>6</v>
      </c>
      <c r="AV19" s="48">
        <f>'2020'!AL4</f>
        <v>7</v>
      </c>
      <c r="AW19" s="48">
        <f>'2020'!AM4</f>
        <v>3</v>
      </c>
      <c r="AX19" s="48">
        <f>'2020'!AN4</f>
        <v>6</v>
      </c>
      <c r="AY19" s="49">
        <f>IF(U19=1,10,IF(U19=2,7,IF(U19=3,6,IF(U19=4,4,IF(U19=5,3,IF(U19=6,2,IF(U19=7,1,IF(U19=0,0,"-"))))))))</f>
        <v>7</v>
      </c>
      <c r="AZ19" s="50">
        <f>'2020'!AP4</f>
        <v>0.75</v>
      </c>
      <c r="BA19" s="56">
        <f>'2020'!AQ4</f>
        <v>0</v>
      </c>
      <c r="BB19" s="57">
        <f>'2020'!AR4</f>
        <v>3188</v>
      </c>
      <c r="BC19" s="57">
        <f>'2020'!AS4</f>
        <v>0</v>
      </c>
      <c r="BD19" s="57">
        <f>'2020'!AT4</f>
        <v>39</v>
      </c>
      <c r="BE19" s="57">
        <f>'2020'!AU4</f>
        <v>0</v>
      </c>
      <c r="BF19" s="57">
        <f>'2020'!AV4</f>
        <v>0</v>
      </c>
      <c r="BG19" s="58">
        <f>'2020'!AW4</f>
        <v>0</v>
      </c>
      <c r="BH19" s="58">
        <f>'2020'!AX4</f>
        <v>0</v>
      </c>
      <c r="BI19" s="58">
        <f>'2020'!AY4</f>
        <v>0</v>
      </c>
      <c r="BJ19" s="58">
        <f>'2020'!AZ4</f>
        <v>0</v>
      </c>
      <c r="BK19" s="57">
        <f>'2020'!BA4</f>
        <v>0</v>
      </c>
      <c r="BL19" s="57">
        <f>'2020'!BB4</f>
        <v>2455</v>
      </c>
      <c r="BM19" s="57">
        <f>'2020'!BC4</f>
        <v>0</v>
      </c>
      <c r="BN19" s="57">
        <f>'2020'!BD4</f>
        <v>0</v>
      </c>
      <c r="BO19" s="59">
        <f>'2020'!BE4</f>
        <v>19</v>
      </c>
      <c r="BP19" s="56">
        <f>'2020'!BF4</f>
        <v>0</v>
      </c>
      <c r="BQ19" s="57">
        <f>'2020'!BG4</f>
        <v>3188</v>
      </c>
      <c r="BR19" s="57">
        <f>'2020'!BH4</f>
        <v>0</v>
      </c>
      <c r="BS19" s="57">
        <f>'2020'!BI4</f>
        <v>33</v>
      </c>
      <c r="BT19" s="57">
        <f>'2020'!BJ4</f>
        <v>0</v>
      </c>
      <c r="BU19" s="57">
        <f>'2020'!BK4</f>
        <v>0</v>
      </c>
      <c r="BV19" s="58">
        <f>'2020'!BL4</f>
        <v>0</v>
      </c>
      <c r="BW19" s="58">
        <f>'2020'!BM4</f>
        <v>0</v>
      </c>
      <c r="BX19" s="58">
        <f>'2020'!BN4</f>
        <v>0</v>
      </c>
      <c r="BY19" s="58">
        <f>'2020'!BO4</f>
        <v>0</v>
      </c>
      <c r="BZ19" s="57">
        <f>'2020'!BP4</f>
        <v>0</v>
      </c>
      <c r="CA19" s="57">
        <f>'2020'!BQ4</f>
        <v>2781</v>
      </c>
      <c r="CB19" s="57">
        <f>'2020'!BR4</f>
        <v>0</v>
      </c>
      <c r="CC19" s="57">
        <f>'2020'!BS4</f>
        <v>0</v>
      </c>
      <c r="CD19" s="59">
        <f>'2020'!BT4</f>
        <v>26</v>
      </c>
      <c r="CE19" s="56">
        <f>'2020'!BU4</f>
        <v>1400</v>
      </c>
      <c r="CF19" s="57">
        <f>'2020'!BV4</f>
        <v>3405</v>
      </c>
      <c r="CG19" s="57">
        <f>'2020'!BW4</f>
        <v>7</v>
      </c>
      <c r="CH19" s="57">
        <f>'2020'!BX4</f>
        <v>34</v>
      </c>
      <c r="CI19" s="57">
        <f>'2020'!BY4</f>
        <v>194</v>
      </c>
      <c r="CJ19" s="57">
        <f>'2020'!BZ4</f>
        <v>31</v>
      </c>
      <c r="CK19" s="58">
        <f>'2020'!CA4</f>
        <v>7.2</v>
      </c>
      <c r="CL19" s="58">
        <f>'2020'!CB4</f>
        <v>62.9</v>
      </c>
      <c r="CM19" s="58">
        <f>'2020'!CC4</f>
        <v>4.25</v>
      </c>
      <c r="CN19" s="58">
        <f>'2020'!CD4</f>
        <v>46.4</v>
      </c>
      <c r="CO19" s="57">
        <f>'2020'!CE4</f>
        <v>135</v>
      </c>
      <c r="CP19" s="57">
        <f>'2020'!CF4</f>
        <v>3679</v>
      </c>
      <c r="CQ19" s="57">
        <f>'2020'!CG4</f>
        <v>22</v>
      </c>
      <c r="CR19" s="57">
        <f>'2020'!CH4</f>
        <v>0</v>
      </c>
      <c r="CS19" s="59">
        <f>'2020'!CI4</f>
        <v>39</v>
      </c>
      <c r="CT19" s="56">
        <f>'2020'!CJ4</f>
        <v>1053</v>
      </c>
      <c r="CU19" s="57">
        <f>'2020'!CK4</f>
        <v>2398</v>
      </c>
      <c r="CV19" s="57">
        <f>'2020'!CL4</f>
        <v>10</v>
      </c>
      <c r="CW19" s="57">
        <f>'2020'!CM4</f>
        <v>23</v>
      </c>
      <c r="CX19" s="57">
        <f>'2020'!CN4</f>
        <v>231</v>
      </c>
      <c r="CY19" s="57">
        <f>'2020'!CO4</f>
        <v>38</v>
      </c>
      <c r="CZ19" s="58">
        <f>'2020'!CP4</f>
        <v>4.5999999999999996</v>
      </c>
      <c r="DA19" s="58">
        <f>'2020'!CQ4</f>
        <v>43.9</v>
      </c>
      <c r="DB19" s="58">
        <f>'2020'!CR4</f>
        <v>2.68</v>
      </c>
      <c r="DC19" s="58">
        <f>'2020'!CS4</f>
        <v>15.4</v>
      </c>
      <c r="DD19" s="57">
        <f>'2020'!CT4</f>
        <v>263</v>
      </c>
      <c r="DE19" s="57">
        <f>'2020'!CU4</f>
        <v>5100</v>
      </c>
      <c r="DF19" s="57">
        <f>'2020'!CV4</f>
        <v>4</v>
      </c>
      <c r="DG19" s="57">
        <f>'2020'!CW4</f>
        <v>0</v>
      </c>
      <c r="DH19" s="59">
        <f>'2020'!CX4</f>
        <v>51</v>
      </c>
      <c r="DI19" s="56">
        <f>'2020'!CY4</f>
        <v>2003</v>
      </c>
      <c r="DJ19" s="57">
        <f>'2020'!CZ4</f>
        <v>3735</v>
      </c>
      <c r="DK19" s="57">
        <f>'2020'!DA4</f>
        <v>21</v>
      </c>
      <c r="DL19" s="57">
        <f>'2020'!DB4</f>
        <v>39</v>
      </c>
      <c r="DM19" s="57">
        <f>'2020'!DC4</f>
        <v>301</v>
      </c>
      <c r="DN19" s="57">
        <f>'2020'!DD4</f>
        <v>73</v>
      </c>
      <c r="DO19" s="58">
        <f>'2020'!DE4</f>
        <v>6.7</v>
      </c>
      <c r="DP19" s="58">
        <f>'2020'!DF4</f>
        <v>92.9</v>
      </c>
      <c r="DQ19" s="58">
        <f>'2020'!DG4</f>
        <v>4.01</v>
      </c>
      <c r="DR19" s="58">
        <f>'2020'!DH4</f>
        <v>47.5</v>
      </c>
      <c r="DS19" s="57">
        <f>'2020'!DI4</f>
        <v>247</v>
      </c>
      <c r="DT19" s="57">
        <f>'2020'!DJ4</f>
        <v>3684</v>
      </c>
      <c r="DU19" s="57">
        <f>'2020'!DK4</f>
        <v>23</v>
      </c>
      <c r="DV19" s="57">
        <f>'2020'!DL4</f>
        <v>0</v>
      </c>
      <c r="DW19" s="59">
        <f>'2020'!DM4</f>
        <v>48</v>
      </c>
    </row>
    <row r="20" spans="1:127" x14ac:dyDescent="0.2">
      <c r="A20" s="33">
        <f t="shared" si="0"/>
        <v>18</v>
      </c>
      <c r="B20" s="11">
        <f>'2021'!A4</f>
        <v>2</v>
      </c>
      <c r="C20" s="11">
        <v>2021</v>
      </c>
      <c r="D20" s="34" t="str">
        <f>'2021'!B4</f>
        <v>Javonte Williams</v>
      </c>
      <c r="E20" s="224" t="str" cm="1">
        <f t="array" ref="E20">_xlfn.IFS(F20&gt;=13,"Cornerstone",AND(F20&gt;=12,F20&lt;13),"Elite",AND(F20&gt;=11,F20&lt;12),"Elite Upside",AND(F20&gt;=9,F20&lt;11),"Upside",AND(F20&gt;=7,F20&lt;9),"Upside Lite",AND(F20&gt;=6,F20&lt;7),"Outlier",AND(F20&gt;=5,F20&lt;6),"Outlier Lite",F20&lt;5,"Purgatory")</f>
        <v>Elite Upside</v>
      </c>
      <c r="F20" s="14">
        <f>'2021'!C4</f>
        <v>11.777777777777779</v>
      </c>
      <c r="G20" s="14">
        <f t="shared" si="7"/>
        <v>94.399999999999991</v>
      </c>
      <c r="H20" s="35">
        <f t="shared" si="1"/>
        <v>1.5978300720736904</v>
      </c>
      <c r="I20" s="36" t="str">
        <f>'2021'!D4</f>
        <v>North Carolina</v>
      </c>
      <c r="J20" s="37">
        <f>'2021'!E4</f>
        <v>4</v>
      </c>
      <c r="K20" s="38">
        <f>'2021'!F4</f>
        <v>36641</v>
      </c>
      <c r="L20" s="39">
        <f>'2021'!G4</f>
        <v>25.44109589041096</v>
      </c>
      <c r="M20" s="39" t="str">
        <f>'2021'!H4</f>
        <v>JR</v>
      </c>
      <c r="N20" s="39">
        <f>'2021'!I4</f>
        <v>21.024657534246575</v>
      </c>
      <c r="O20" s="39" t="str">
        <f t="shared" si="2"/>
        <v>BELL CALF</v>
      </c>
      <c r="P20" s="39" t="str">
        <f t="shared" si="6"/>
        <v>3DOWN</v>
      </c>
      <c r="Q20" s="37">
        <f>'2021'!J4</f>
        <v>70</v>
      </c>
      <c r="R20" s="37">
        <f>'2021'!K4</f>
        <v>212</v>
      </c>
      <c r="S20" s="39">
        <f t="shared" si="5"/>
        <v>30.418495775767056</v>
      </c>
      <c r="T20" s="37">
        <f>'2021'!L4</f>
        <v>4.57</v>
      </c>
      <c r="U20" s="40">
        <f>'2021'!M4</f>
        <v>2</v>
      </c>
      <c r="V20" s="41">
        <f>'2021'!N4</f>
        <v>0</v>
      </c>
      <c r="W20" s="42">
        <f>'2021'!O4</f>
        <v>0</v>
      </c>
      <c r="X20" s="42">
        <f>'2021'!P4</f>
        <v>5.7988895743368289E-2</v>
      </c>
      <c r="Y20" s="42">
        <f>'2021'!Q4</f>
        <v>0.18062317429406036</v>
      </c>
      <c r="Z20" s="42">
        <f>'2021'!R4</f>
        <v>0.22398014580425005</v>
      </c>
      <c r="AA20" s="42">
        <f>'2021'!S4</f>
        <v>0.22398014580425005</v>
      </c>
      <c r="AB20" s="42">
        <f>'2021'!T4</f>
        <v>0.20158213122382504</v>
      </c>
      <c r="AC20" s="42">
        <f>'2021'!U4</f>
        <v>4.7362755651237889E-2</v>
      </c>
      <c r="AD20" s="42">
        <f>'2021'!V4</f>
        <v>7.6306331213713025E-2</v>
      </c>
      <c r="AE20" s="42">
        <f>'2021'!W4</f>
        <v>7.6306331213713025E-2</v>
      </c>
      <c r="AF20" s="43">
        <f>'2021'!X4</f>
        <v>6.8675698092341725E-2</v>
      </c>
      <c r="AG20" s="44">
        <f>'2021'!Y4</f>
        <v>19.361643835616437</v>
      </c>
      <c r="AH20" s="45">
        <f>'2021'!Z4</f>
        <v>97.20778701646374</v>
      </c>
      <c r="AI20" s="45">
        <f>'2021'!AA4</f>
        <v>30.415510204081631</v>
      </c>
      <c r="AJ20" s="45">
        <f>'2021'!AB4</f>
        <v>0.48407643312101911</v>
      </c>
      <c r="AK20" s="45">
        <f>'2021'!AC4</f>
        <v>7.4</v>
      </c>
      <c r="AL20" s="45">
        <f t="shared" si="3"/>
        <v>11.086956521739131</v>
      </c>
      <c r="AM20" s="45">
        <f t="shared" si="4"/>
        <v>0.13259668508287292</v>
      </c>
      <c r="AN20" s="45">
        <f>'2021'!AD4</f>
        <v>215.4</v>
      </c>
      <c r="AO20" s="45">
        <f>'2021'!AE4</f>
        <v>4.59</v>
      </c>
      <c r="AP20" s="46">
        <f>'2021'!AF4</f>
        <v>56.5</v>
      </c>
      <c r="AQ20" s="47">
        <f>'2021'!AG4</f>
        <v>4</v>
      </c>
      <c r="AR20" s="48">
        <f>'2021'!AH4</f>
        <v>7</v>
      </c>
      <c r="AS20" s="48">
        <f>'2021'!AI4</f>
        <v>7</v>
      </c>
      <c r="AT20" s="48">
        <f>IF(AH20&gt;113.25,10,IF(AH20&gt;=107.84,9,IF(AH20&gt;=105.37,8,IF(AH20&gt;=103.25,7,IF(AH20&gt;=100.55,6,IF(AH20&gt;=98.75,5,IF(AH20&gt;=96.08,4,IF(AH20&gt;=94.39,3,IF(AH20&gt;=88.43,2,IF(AH20&gt;=85.16,1,IF(AH20&lt;85.16,0,FALSE)))))))))))</f>
        <v>4</v>
      </c>
      <c r="AU20" s="48">
        <f>'2021'!AK4</f>
        <v>10</v>
      </c>
      <c r="AV20" s="48">
        <f>'2021'!AL4</f>
        <v>8</v>
      </c>
      <c r="AW20" s="48">
        <f>'2021'!AM4</f>
        <v>9</v>
      </c>
      <c r="AX20" s="48">
        <f>'2021'!AN4</f>
        <v>7</v>
      </c>
      <c r="AY20" s="49">
        <f>IF(U20=1,10,IF(U20=2,7,IF(U20=3,6,IF(U20=4,4,IF(U20=5,3,IF(U20=6,2,IF(U20=7,1,IF(U20=0,0,"-"))))))))</f>
        <v>7</v>
      </c>
      <c r="AZ20" s="50">
        <f>'2021'!AP4</f>
        <v>1</v>
      </c>
      <c r="BA20" s="56">
        <f>'2021'!AQ4</f>
        <v>0</v>
      </c>
      <c r="BB20" s="57">
        <f>'2021'!AR4</f>
        <v>1896</v>
      </c>
      <c r="BC20" s="57">
        <f>'2021'!AS4</f>
        <v>0</v>
      </c>
      <c r="BD20" s="57">
        <f>'2021'!AT4</f>
        <v>21</v>
      </c>
      <c r="BE20" s="57">
        <f>'2021'!AU4</f>
        <v>0</v>
      </c>
      <c r="BF20" s="57">
        <f>'2021'!AV4</f>
        <v>0</v>
      </c>
      <c r="BG20" s="58">
        <f>'2021'!AW4</f>
        <v>0</v>
      </c>
      <c r="BH20" s="58">
        <f>'2021'!AX4</f>
        <v>0</v>
      </c>
      <c r="BI20" s="58">
        <f>'2021'!AY4</f>
        <v>0</v>
      </c>
      <c r="BJ20" s="58">
        <f>'2021'!AZ4</f>
        <v>0</v>
      </c>
      <c r="BK20" s="57">
        <f>'2021'!BA4</f>
        <v>0</v>
      </c>
      <c r="BL20" s="57">
        <f>'2021'!BB4</f>
        <v>3811</v>
      </c>
      <c r="BM20" s="57">
        <f>'2021'!BC4</f>
        <v>0</v>
      </c>
      <c r="BN20" s="57">
        <f>'2021'!BD4</f>
        <v>0</v>
      </c>
      <c r="BO20" s="59">
        <f>'2021'!BE4</f>
        <v>30</v>
      </c>
      <c r="BP20" s="56">
        <f>'2021'!BF4</f>
        <v>0</v>
      </c>
      <c r="BQ20" s="57">
        <f>'2021'!BG4</f>
        <v>1730</v>
      </c>
      <c r="BR20" s="57">
        <f>'2021'!BH4</f>
        <v>0</v>
      </c>
      <c r="BS20" s="57">
        <f>'2021'!BI4</f>
        <v>17</v>
      </c>
      <c r="BT20" s="57">
        <f>'2021'!BJ4</f>
        <v>0</v>
      </c>
      <c r="BU20" s="57">
        <f>'2021'!BK4</f>
        <v>0</v>
      </c>
      <c r="BV20" s="58">
        <f>'2021'!BL4</f>
        <v>0</v>
      </c>
      <c r="BW20" s="58">
        <f>'2021'!BM4</f>
        <v>0</v>
      </c>
      <c r="BX20" s="58">
        <f>'2021'!BN4</f>
        <v>0</v>
      </c>
      <c r="BY20" s="58">
        <f>'2021'!BO4</f>
        <v>0</v>
      </c>
      <c r="BZ20" s="57">
        <f>'2021'!BP4</f>
        <v>0</v>
      </c>
      <c r="CA20" s="57">
        <f>'2021'!BQ4</f>
        <v>2705</v>
      </c>
      <c r="CB20" s="57">
        <f>'2021'!BR4</f>
        <v>0</v>
      </c>
      <c r="CC20" s="57">
        <f>'2021'!BS4</f>
        <v>0</v>
      </c>
      <c r="CD20" s="59">
        <f>'2021'!BT4</f>
        <v>21</v>
      </c>
      <c r="CE20" s="56">
        <f>'2021'!BU4</f>
        <v>224</v>
      </c>
      <c r="CF20" s="57">
        <f>'2021'!BV4</f>
        <v>2123</v>
      </c>
      <c r="CG20" s="57">
        <f>'2021'!BW4</f>
        <v>5</v>
      </c>
      <c r="CH20" s="57">
        <f>'2021'!BX4</f>
        <v>19</v>
      </c>
      <c r="CI20" s="57">
        <f>'2021'!BY4</f>
        <v>43</v>
      </c>
      <c r="CJ20" s="57">
        <f>'2021'!BZ4</f>
        <v>10</v>
      </c>
      <c r="CK20" s="58">
        <f>'2021'!CA4</f>
        <v>5.2</v>
      </c>
      <c r="CL20" s="58">
        <f>'2021'!CB4</f>
        <v>98.5</v>
      </c>
      <c r="CM20" s="58">
        <f>'2021'!CC4</f>
        <v>3.35</v>
      </c>
      <c r="CN20" s="58">
        <f>'2021'!CD4</f>
        <v>17</v>
      </c>
      <c r="CO20" s="57">
        <f>'2021'!CE4</f>
        <v>58</v>
      </c>
      <c r="CP20" s="57">
        <f>'2021'!CF4</f>
        <v>2740</v>
      </c>
      <c r="CQ20" s="57">
        <f>'2021'!CG4</f>
        <v>5</v>
      </c>
      <c r="CR20" s="57">
        <f>'2021'!CH4</f>
        <v>0</v>
      </c>
      <c r="CS20" s="59">
        <f>'2021'!CI4</f>
        <v>14</v>
      </c>
      <c r="CT20" s="56">
        <f>'2021'!CJ4</f>
        <v>937</v>
      </c>
      <c r="CU20" s="57">
        <f>'2021'!CK4</f>
        <v>2446</v>
      </c>
      <c r="CV20" s="57">
        <f>'2021'!CL4</f>
        <v>5</v>
      </c>
      <c r="CW20" s="57">
        <f>'2021'!CM4</f>
        <v>13</v>
      </c>
      <c r="CX20" s="57">
        <f>'2021'!CN4</f>
        <v>165</v>
      </c>
      <c r="CY20" s="57">
        <f>'2021'!CO4</f>
        <v>56</v>
      </c>
      <c r="CZ20" s="58">
        <f>'2021'!CP4</f>
        <v>5.7</v>
      </c>
      <c r="DA20" s="58">
        <f>'2021'!CQ4</f>
        <v>140.6</v>
      </c>
      <c r="DB20" s="58">
        <f>'2021'!CR4</f>
        <v>4.1900000000000004</v>
      </c>
      <c r="DC20" s="58">
        <f>'2021'!CS4</f>
        <v>33.9</v>
      </c>
      <c r="DD20" s="57">
        <f>'2021'!CT4</f>
        <v>176</v>
      </c>
      <c r="DE20" s="57">
        <f>'2021'!CU4</f>
        <v>3716</v>
      </c>
      <c r="DF20" s="57">
        <f>'2021'!CV4</f>
        <v>17</v>
      </c>
      <c r="DG20" s="57">
        <f>'2021'!CW4</f>
        <v>0</v>
      </c>
      <c r="DH20" s="59">
        <f>'2021'!CX4</f>
        <v>39</v>
      </c>
      <c r="DI20" s="56">
        <f>'2021'!CY4</f>
        <v>1168</v>
      </c>
      <c r="DJ20" s="57">
        <f>'2021'!CZ4</f>
        <v>2830</v>
      </c>
      <c r="DK20" s="57">
        <f>'2021'!DA4</f>
        <v>19</v>
      </c>
      <c r="DL20" s="57">
        <f>'2021'!DB4</f>
        <v>35</v>
      </c>
      <c r="DM20" s="57">
        <f>'2021'!DC4</f>
        <v>157</v>
      </c>
      <c r="DN20" s="57">
        <f>'2021'!DD4</f>
        <v>76</v>
      </c>
      <c r="DO20" s="58">
        <f>'2021'!DE4</f>
        <v>7.4</v>
      </c>
      <c r="DP20" s="58">
        <f>'2021'!DF4</f>
        <v>215.4</v>
      </c>
      <c r="DQ20" s="58">
        <f>'2021'!DG4</f>
        <v>4.59</v>
      </c>
      <c r="DR20" s="58">
        <f>'2021'!DH4</f>
        <v>56.5</v>
      </c>
      <c r="DS20" s="57">
        <f>'2021'!DI4</f>
        <v>276</v>
      </c>
      <c r="DT20" s="57">
        <f>'2021'!DJ4</f>
        <v>3617</v>
      </c>
      <c r="DU20" s="57">
        <f>'2021'!DK4</f>
        <v>24</v>
      </c>
      <c r="DV20" s="57">
        <f>'2021'!DL4</f>
        <v>0</v>
      </c>
      <c r="DW20" s="59">
        <f>'2021'!DM4</f>
        <v>31</v>
      </c>
    </row>
    <row r="21" spans="1:127" x14ac:dyDescent="0.2">
      <c r="A21" s="33">
        <f t="shared" si="0"/>
        <v>19</v>
      </c>
      <c r="B21" s="11">
        <f>'2024'!A3</f>
        <v>1</v>
      </c>
      <c r="C21" s="11">
        <v>2024</v>
      </c>
      <c r="D21" s="34" t="str">
        <f>'2024'!B3</f>
        <v>Jonathon Brooks</v>
      </c>
      <c r="E21" s="224" t="str" cm="1">
        <f t="array" ref="E21">_xlfn.IFS(F21&gt;=13,"Cornerstone",AND(F21&gt;=12,F21&lt;13),"Elite",AND(F21&gt;=11,F21&lt;12),"Elite Upside",AND(F21&gt;=9,F21&lt;11),"Upside",AND(F21&gt;=7,F21&lt;9),"Upside Lite",AND(F21&gt;=6,F21&lt;7),"Outlier",AND(F21&gt;=5,F21&lt;6),"Outlier Lite",F21&lt;5,"Purgatory")</f>
        <v>Elite Upside</v>
      </c>
      <c r="F21" s="14">
        <f>'2024'!C3</f>
        <v>11.633333333333333</v>
      </c>
      <c r="G21" s="14">
        <f t="shared" si="7"/>
        <v>94.1</v>
      </c>
      <c r="H21" s="35">
        <f t="shared" si="1"/>
        <v>1.5366975627946309</v>
      </c>
      <c r="I21" s="36" t="str">
        <f>'2024'!D3</f>
        <v>Texas</v>
      </c>
      <c r="J21" s="37">
        <f>'2024'!E3</f>
        <v>3</v>
      </c>
      <c r="K21" s="38">
        <f>'2024'!F3</f>
        <v>37823</v>
      </c>
      <c r="L21" s="39">
        <f>'2024'!G3</f>
        <v>22.202739726027396</v>
      </c>
      <c r="M21" s="39" t="str">
        <f>'2024'!H3</f>
        <v>JR</v>
      </c>
      <c r="N21" s="39">
        <f>'2024'!I3</f>
        <v>20.783561643835615</v>
      </c>
      <c r="O21" s="39" t="str">
        <f t="shared" si="2"/>
        <v>BELL COW</v>
      </c>
      <c r="P21" s="39" t="str">
        <f t="shared" si="6"/>
        <v>3DOWN</v>
      </c>
      <c r="Q21" s="37">
        <f>'2024'!J3</f>
        <v>72</v>
      </c>
      <c r="R21" s="37">
        <f>'2024'!K3</f>
        <v>216</v>
      </c>
      <c r="S21" s="39">
        <f t="shared" si="5"/>
        <v>29.294541922417178</v>
      </c>
      <c r="T21" s="37">
        <f>'2024'!L3</f>
        <v>4.55</v>
      </c>
      <c r="U21" s="40">
        <f>'2024'!M3</f>
        <v>2</v>
      </c>
      <c r="V21" s="41">
        <f>'2024'!N3</f>
        <v>0</v>
      </c>
      <c r="W21" s="42">
        <f>'2024'!O3</f>
        <v>0</v>
      </c>
      <c r="X21" s="42">
        <f>'2024'!P3</f>
        <v>9.1219397363465154E-2</v>
      </c>
      <c r="Y21" s="42">
        <f>'2024'!Q3</f>
        <v>7.7813248204309668E-2</v>
      </c>
      <c r="Z21" s="42">
        <f>'2024'!R3</f>
        <v>0.27053783912422658</v>
      </c>
      <c r="AA21" s="42">
        <f>'2024'!S3</f>
        <v>0.27053783912422658</v>
      </c>
      <c r="AB21" s="42">
        <f>'2024'!T3</f>
        <v>0.24348405521180391</v>
      </c>
      <c r="AC21" s="42">
        <f>'2024'!U3</f>
        <v>2.1896082376612617E-2</v>
      </c>
      <c r="AD21" s="42">
        <f>'2024'!V3</f>
        <v>8.9934278796264255E-2</v>
      </c>
      <c r="AE21" s="42">
        <f>'2024'!W3</f>
        <v>8.9934278796264255E-2</v>
      </c>
      <c r="AF21" s="43">
        <f>'2024'!X3</f>
        <v>8.094085091663783E-2</v>
      </c>
      <c r="AG21" s="44">
        <f>'2024'!Y3</f>
        <v>20.136986301369863</v>
      </c>
      <c r="AH21" s="45">
        <f>'2024'!Z3</f>
        <v>100.79480759748448</v>
      </c>
      <c r="AI21" s="45">
        <f>'2024'!AA3</f>
        <v>29.291666666666664</v>
      </c>
      <c r="AJ21" s="45">
        <f>'2024'!AB3</f>
        <v>0.33689839572192515</v>
      </c>
      <c r="AK21" s="45">
        <f>'2024'!AC3</f>
        <v>6.5666666666666664</v>
      </c>
      <c r="AL21" s="45">
        <f t="shared" si="3"/>
        <v>11.964285714285714</v>
      </c>
      <c r="AM21" s="45">
        <f t="shared" si="4"/>
        <v>0.11792452830188679</v>
      </c>
      <c r="AN21" s="45">
        <f>'2024'!AD3</f>
        <v>140.30000000000001</v>
      </c>
      <c r="AO21" s="45">
        <f>'2024'!AE3</f>
        <v>5.07</v>
      </c>
      <c r="AP21" s="46">
        <f>'2024'!AF3</f>
        <v>54.3</v>
      </c>
      <c r="AQ21" s="47">
        <f>'2024'!AG3</f>
        <v>6</v>
      </c>
      <c r="AR21" s="48">
        <f>'2024'!AH3</f>
        <v>8</v>
      </c>
      <c r="AS21" s="48">
        <f>'2024'!AI3</f>
        <v>4</v>
      </c>
      <c r="AT21" s="48">
        <f>'2024'!AJ3</f>
        <v>6</v>
      </c>
      <c r="AU21" s="48">
        <f>'2024'!AK3</f>
        <v>9</v>
      </c>
      <c r="AV21" s="48">
        <f>'2024'!AL3</f>
        <v>6</v>
      </c>
      <c r="AW21" s="48">
        <f>'2024'!AM3</f>
        <v>7</v>
      </c>
      <c r="AX21" s="48">
        <f>'2024'!AN3</f>
        <v>8</v>
      </c>
      <c r="AY21" s="49">
        <f>'2024'!AO3</f>
        <v>7</v>
      </c>
      <c r="AZ21" s="50">
        <f>'2024'!AP3</f>
        <v>1</v>
      </c>
      <c r="BA21" s="56">
        <f>'2024'!AQ3</f>
        <v>0</v>
      </c>
      <c r="BB21" s="57">
        <f>'2024'!AR3</f>
        <v>1</v>
      </c>
      <c r="BC21" s="57">
        <f>'2024'!AS3</f>
        <v>0</v>
      </c>
      <c r="BD21" s="57">
        <f>'2024'!AT3</f>
        <v>0</v>
      </c>
      <c r="BE21" s="57">
        <f>'2024'!AU3</f>
        <v>0</v>
      </c>
      <c r="BF21" s="57">
        <f>'2024'!AV3</f>
        <v>0</v>
      </c>
      <c r="BG21" s="58">
        <f>'2024'!AW3</f>
        <v>0</v>
      </c>
      <c r="BH21" s="58">
        <f>'2024'!AX3</f>
        <v>0</v>
      </c>
      <c r="BI21" s="58">
        <f>'2024'!AY3</f>
        <v>0</v>
      </c>
      <c r="BJ21" s="58">
        <f>'2024'!AZ3</f>
        <v>0</v>
      </c>
      <c r="BK21" s="57">
        <f>'2024'!BA3</f>
        <v>0</v>
      </c>
      <c r="BL21" s="57">
        <f>'2024'!BB3</f>
        <v>1</v>
      </c>
      <c r="BM21" s="57">
        <f>'2024'!BC3</f>
        <v>0</v>
      </c>
      <c r="BN21" s="57">
        <f>'2024'!BD3</f>
        <v>0</v>
      </c>
      <c r="BO21" s="59">
        <f>'2024'!BE3</f>
        <v>0</v>
      </c>
      <c r="BP21" s="56">
        <f>'2024'!BF3</f>
        <v>0</v>
      </c>
      <c r="BQ21" s="57">
        <f>'2024'!BG3</f>
        <v>1</v>
      </c>
      <c r="BR21" s="57">
        <f>'2024'!BH3</f>
        <v>0</v>
      </c>
      <c r="BS21" s="57">
        <f>'2024'!BI3</f>
        <v>0</v>
      </c>
      <c r="BT21" s="57">
        <f>'2024'!BJ3</f>
        <v>0</v>
      </c>
      <c r="BU21" s="57">
        <f>'2024'!BK3</f>
        <v>0</v>
      </c>
      <c r="BV21" s="58">
        <f>'2024'!BL3</f>
        <v>0</v>
      </c>
      <c r="BW21" s="58">
        <f>'2024'!BM3</f>
        <v>0</v>
      </c>
      <c r="BX21" s="58">
        <f>'2024'!BN3</f>
        <v>0</v>
      </c>
      <c r="BY21" s="58">
        <f>'2024'!BO3</f>
        <v>0</v>
      </c>
      <c r="BZ21" s="57">
        <f>'2024'!BP3</f>
        <v>0</v>
      </c>
      <c r="CA21" s="57">
        <f>'2024'!BQ3</f>
        <v>1</v>
      </c>
      <c r="CB21" s="57">
        <f>'2024'!BR3</f>
        <v>0</v>
      </c>
      <c r="CC21" s="57">
        <f>'2024'!BS3</f>
        <v>0</v>
      </c>
      <c r="CD21" s="59">
        <f>'2024'!BT3</f>
        <v>0</v>
      </c>
      <c r="CE21" s="56">
        <f>'2024'!BU3</f>
        <v>143</v>
      </c>
      <c r="CF21" s="57">
        <f>'2024'!BV3</f>
        <v>797.6</v>
      </c>
      <c r="CG21" s="57">
        <f>'2024'!BW3</f>
        <v>1</v>
      </c>
      <c r="CH21" s="57">
        <f>'2024'!BX3</f>
        <v>8.4</v>
      </c>
      <c r="CI21" s="57">
        <f>'2024'!BY3</f>
        <v>21</v>
      </c>
      <c r="CJ21" s="57">
        <f>'2024'!BZ3</f>
        <v>11</v>
      </c>
      <c r="CK21" s="58">
        <f>'2024'!CA3</f>
        <v>6.8095238095238093</v>
      </c>
      <c r="CL21" s="58">
        <f>'2024'!CB3</f>
        <v>281.39999999999998</v>
      </c>
      <c r="CM21" s="58">
        <f>'2024'!CC3</f>
        <v>4.76</v>
      </c>
      <c r="CN21" s="58">
        <f>'2024'!CD3</f>
        <v>39.9</v>
      </c>
      <c r="CO21" s="57">
        <f>'2024'!CE3</f>
        <v>12</v>
      </c>
      <c r="CP21" s="57">
        <f>'2024'!CF3</f>
        <v>901.6</v>
      </c>
      <c r="CQ21" s="57">
        <f>'2024'!CG3</f>
        <v>1</v>
      </c>
      <c r="CR21" s="57">
        <f>'2024'!CH3</f>
        <v>0</v>
      </c>
      <c r="CS21" s="59">
        <f>'2024'!CI3</f>
        <v>9.6</v>
      </c>
      <c r="CT21" s="56">
        <f>'2024'!CJ3</f>
        <v>197</v>
      </c>
      <c r="CU21" s="57">
        <f>'2024'!CK3</f>
        <v>1317.3999999999999</v>
      </c>
      <c r="CV21" s="57">
        <f>'2024'!CL3</f>
        <v>5</v>
      </c>
      <c r="CW21" s="57">
        <f>'2024'!CM3</f>
        <v>15.400000000000002</v>
      </c>
      <c r="CX21" s="57">
        <f>'2024'!CN3</f>
        <v>30</v>
      </c>
      <c r="CY21" s="57">
        <f>'2024'!CO3</f>
        <v>8</v>
      </c>
      <c r="CZ21" s="58">
        <f>'2024'!CP3</f>
        <v>6.5666666666666664</v>
      </c>
      <c r="DA21" s="58">
        <f>'2024'!CQ3</f>
        <v>126.7</v>
      </c>
      <c r="DB21" s="58">
        <f>'2024'!CR3</f>
        <v>5.07</v>
      </c>
      <c r="DC21" s="58">
        <f>'2024'!CS3</f>
        <v>54.3</v>
      </c>
      <c r="DD21" s="57">
        <f>'2024'!CT3</f>
        <v>37</v>
      </c>
      <c r="DE21" s="57">
        <f>'2024'!CU3</f>
        <v>1689.8</v>
      </c>
      <c r="DF21" s="57">
        <f>'2024'!CV3</f>
        <v>2</v>
      </c>
      <c r="DG21" s="57">
        <f>'2024'!CW3</f>
        <v>1</v>
      </c>
      <c r="DH21" s="59">
        <f>'2024'!CX3</f>
        <v>11.9</v>
      </c>
      <c r="DI21" s="56">
        <f>'2024'!CY3</f>
        <v>1135</v>
      </c>
      <c r="DJ21" s="57">
        <f>'2024'!CZ3</f>
        <v>2072.4</v>
      </c>
      <c r="DK21" s="57">
        <f>'2024'!DA3</f>
        <v>10</v>
      </c>
      <c r="DL21" s="57">
        <f>'2024'!DB3</f>
        <v>23.1</v>
      </c>
      <c r="DM21" s="57">
        <f>'2024'!DC3</f>
        <v>187</v>
      </c>
      <c r="DN21" s="57">
        <f>'2024'!DD3</f>
        <v>63</v>
      </c>
      <c r="DO21" s="58">
        <f>'2024'!DE3</f>
        <v>6.1</v>
      </c>
      <c r="DP21" s="58">
        <f>'2024'!DF3</f>
        <v>140.30000000000001</v>
      </c>
      <c r="DQ21" s="58">
        <f>'2024'!DG3</f>
        <v>3.91</v>
      </c>
      <c r="DR21" s="58">
        <f>'2024'!DH3</f>
        <v>43.3</v>
      </c>
      <c r="DS21" s="57">
        <f>'2024'!DI3</f>
        <v>286</v>
      </c>
      <c r="DT21" s="57">
        <f>'2024'!DJ3</f>
        <v>3180.1000000000004</v>
      </c>
      <c r="DU21" s="57">
        <f>'2024'!DK3</f>
        <v>25</v>
      </c>
      <c r="DV21" s="57">
        <f>'2024'!DL3</f>
        <v>1</v>
      </c>
      <c r="DW21" s="59">
        <f>'2024'!DM3</f>
        <v>19.8</v>
      </c>
    </row>
    <row r="22" spans="1:127" x14ac:dyDescent="0.2">
      <c r="A22" s="33">
        <f t="shared" si="0"/>
        <v>20</v>
      </c>
      <c r="B22" s="11">
        <f>'2016'!A4</f>
        <v>2</v>
      </c>
      <c r="C22" s="11">
        <v>2016</v>
      </c>
      <c r="D22" s="34" t="str">
        <f>'2016'!B4</f>
        <v>Derrick Henry</v>
      </c>
      <c r="E22" s="224" t="str" cm="1">
        <f t="array" ref="E22">_xlfn.IFS(F22&gt;=13,"Cornerstone",AND(F22&gt;=12,F22&lt;13),"Elite",AND(F22&gt;=11,F22&lt;12),"Elite Upside",AND(F22&gt;=9,F22&lt;11),"Upside",AND(F22&gt;=7,F22&lt;9),"Upside Lite",AND(F22&gt;=6,F22&lt;7),"Outlier",AND(F22&gt;=5,F22&lt;6),"Outlier Lite",F22&lt;5,"Purgatory")</f>
        <v>Elite Upside</v>
      </c>
      <c r="F22" s="14">
        <f>'2016'!C4</f>
        <v>11.5</v>
      </c>
      <c r="G22" s="14">
        <f t="shared" si="7"/>
        <v>93.8</v>
      </c>
      <c r="H22" s="35">
        <f t="shared" si="1"/>
        <v>1.480267554229346</v>
      </c>
      <c r="I22" s="36" t="str">
        <f>'2016'!D4</f>
        <v>Alabama</v>
      </c>
      <c r="J22" s="37">
        <f>'2016'!E4</f>
        <v>1</v>
      </c>
      <c r="K22" s="38">
        <f>'2016'!F4</f>
        <v>34338</v>
      </c>
      <c r="L22" s="39">
        <f>'2016'!G4</f>
        <v>31.75068493150685</v>
      </c>
      <c r="M22" s="39" t="str">
        <f>'2016'!H4</f>
        <v>JR</v>
      </c>
      <c r="N22" s="39">
        <f>'2016'!I4</f>
        <v>22.326027397260273</v>
      </c>
      <c r="O22" s="39" t="str">
        <f t="shared" si="2"/>
        <v>BRUISER</v>
      </c>
      <c r="P22" s="39" t="str">
        <f t="shared" si="6"/>
        <v>PLODDER</v>
      </c>
      <c r="Q22" s="37">
        <f>'2016'!J4</f>
        <v>75</v>
      </c>
      <c r="R22" s="37">
        <f>'2016'!K4</f>
        <v>247</v>
      </c>
      <c r="S22" s="39">
        <f t="shared" si="5"/>
        <v>30.872541247304717</v>
      </c>
      <c r="T22" s="37">
        <f>'2016'!L4</f>
        <v>4.54</v>
      </c>
      <c r="U22" s="55">
        <f>'2016'!M4</f>
        <v>2</v>
      </c>
      <c r="V22" s="41">
        <f>'2016'!N4</f>
        <v>0</v>
      </c>
      <c r="W22" s="42">
        <f>'2016'!O4</f>
        <v>0</v>
      </c>
      <c r="X22" s="42">
        <f>'2016'!P4</f>
        <v>9.7555604492402553E-2</v>
      </c>
      <c r="Y22" s="42">
        <f>'2016'!Q4</f>
        <v>0.16556096122659592</v>
      </c>
      <c r="Z22" s="42">
        <f>'2016'!R4</f>
        <v>0.3619047619047619</v>
      </c>
      <c r="AA22" s="42">
        <f>'2016'!S4</f>
        <v>0.3619047619047619</v>
      </c>
      <c r="AB22" s="42">
        <f>'2016'!T4</f>
        <v>0.3619047619047619</v>
      </c>
      <c r="AC22" s="42">
        <f>'2016'!U4</f>
        <v>3.4184958618207993E-2</v>
      </c>
      <c r="AD22" s="42">
        <f>'2016'!V4</f>
        <v>2.7300748568912372E-2</v>
      </c>
      <c r="AE22" s="42">
        <f>'2016'!W4</f>
        <v>3.0742853593560181E-2</v>
      </c>
      <c r="AF22" s="43">
        <f>'2016'!X4</f>
        <v>3.0742853593560181E-2</v>
      </c>
      <c r="AG22" s="44">
        <f>'2016'!Y4</f>
        <v>20.671232876712327</v>
      </c>
      <c r="AH22" s="45">
        <f>'2016'!Z4</f>
        <v>116.27960223846479</v>
      </c>
      <c r="AI22" s="45">
        <f>'2016'!AA4</f>
        <v>30.869511111111109</v>
      </c>
      <c r="AJ22" s="45">
        <f>'2016'!AB4</f>
        <v>0.19191919191919191</v>
      </c>
      <c r="AK22" s="45">
        <f>'2016'!AC4</f>
        <v>5.7558139534883717</v>
      </c>
      <c r="AL22" s="45">
        <f t="shared" si="3"/>
        <v>14.35</v>
      </c>
      <c r="AM22" s="45">
        <f t="shared" si="4"/>
        <v>2.4630541871921183E-2</v>
      </c>
      <c r="AN22" s="45">
        <f>'2016'!AD4</f>
        <v>71.599999999999994</v>
      </c>
      <c r="AO22" s="45">
        <f>'2016'!AE4</f>
        <v>3.38</v>
      </c>
      <c r="AP22" s="46">
        <f>'2016'!AF4</f>
        <v>36.6</v>
      </c>
      <c r="AQ22" s="47">
        <f>'2016'!AG4</f>
        <v>10</v>
      </c>
      <c r="AR22" s="48">
        <f>'2016'!AH4</f>
        <v>3</v>
      </c>
      <c r="AS22" s="48">
        <f>'2016'!AI4</f>
        <v>3</v>
      </c>
      <c r="AT22" s="48">
        <f>'2016'!AJ4</f>
        <v>10</v>
      </c>
      <c r="AU22" s="48">
        <f>'2016'!AK4</f>
        <v>5</v>
      </c>
      <c r="AV22" s="48">
        <f>'2016'!AL4</f>
        <v>3</v>
      </c>
      <c r="AW22" s="48">
        <f>'2016'!AM4</f>
        <v>5</v>
      </c>
      <c r="AX22" s="48">
        <f>'2016'!AN4</f>
        <v>4</v>
      </c>
      <c r="AY22" s="49">
        <f>'2016'!AO4</f>
        <v>7</v>
      </c>
      <c r="AZ22" s="50">
        <f>'2016'!AP4</f>
        <v>2</v>
      </c>
      <c r="BA22" s="56">
        <f>'2016'!AQ4</f>
        <v>0</v>
      </c>
      <c r="BB22" s="57">
        <f>'2016'!AR4</f>
        <v>1</v>
      </c>
      <c r="BC22" s="57">
        <f>'2016'!AS4</f>
        <v>0</v>
      </c>
      <c r="BD22" s="57">
        <f>'2016'!AT4</f>
        <v>0</v>
      </c>
      <c r="BE22" s="57">
        <f>'2016'!AU4</f>
        <v>0</v>
      </c>
      <c r="BF22" s="57">
        <f>'2016'!AV4</f>
        <v>0</v>
      </c>
      <c r="BG22" s="58">
        <f>'2016'!AW4</f>
        <v>0</v>
      </c>
      <c r="BH22" s="58">
        <f>'2016'!AX4</f>
        <v>0</v>
      </c>
      <c r="BI22" s="58">
        <f>'2016'!AY4</f>
        <v>0</v>
      </c>
      <c r="BJ22" s="58">
        <f>'2016'!AZ4</f>
        <v>0</v>
      </c>
      <c r="BK22" s="57">
        <f>'2016'!BA4</f>
        <v>0</v>
      </c>
      <c r="BL22" s="57">
        <f>'2016'!BB4</f>
        <v>1</v>
      </c>
      <c r="BM22" s="57">
        <f>'2016'!BC4</f>
        <v>0</v>
      </c>
      <c r="BN22" s="57">
        <f>'2016'!BD4</f>
        <v>0</v>
      </c>
      <c r="BO22" s="59">
        <f>'2016'!BE4</f>
        <v>0</v>
      </c>
      <c r="BP22" s="56">
        <f>'2016'!BF4</f>
        <v>0</v>
      </c>
      <c r="BQ22" s="57">
        <f>'2016'!BG4</f>
        <v>1</v>
      </c>
      <c r="BR22" s="57">
        <f>'2016'!BH4</f>
        <v>0</v>
      </c>
      <c r="BS22" s="57">
        <f>'2016'!BI4</f>
        <v>0</v>
      </c>
      <c r="BT22" s="57">
        <f>'2016'!BJ4</f>
        <v>0</v>
      </c>
      <c r="BU22" s="57">
        <f>'2016'!BK4</f>
        <v>0</v>
      </c>
      <c r="BV22" s="58">
        <f>'2016'!BL4</f>
        <v>0</v>
      </c>
      <c r="BW22" s="58">
        <f>'2016'!BM4</f>
        <v>0</v>
      </c>
      <c r="BX22" s="58">
        <f>'2016'!BN4</f>
        <v>0</v>
      </c>
      <c r="BY22" s="58">
        <f>'2016'!BO4</f>
        <v>0</v>
      </c>
      <c r="BZ22" s="57">
        <f>'2016'!BP4</f>
        <v>0</v>
      </c>
      <c r="CA22" s="57">
        <f>'2016'!BQ4</f>
        <v>1</v>
      </c>
      <c r="CB22" s="57">
        <f>'2016'!BR4</f>
        <v>0</v>
      </c>
      <c r="CC22" s="57">
        <f>'2016'!BS4</f>
        <v>0</v>
      </c>
      <c r="CD22" s="59">
        <f>'2016'!BT4</f>
        <v>0</v>
      </c>
      <c r="CE22" s="56">
        <f>'2016'!BU4</f>
        <v>382</v>
      </c>
      <c r="CF22" s="57">
        <f>'2016'!BV4</f>
        <v>2056</v>
      </c>
      <c r="CG22" s="57">
        <f>'2016'!BW4</f>
        <v>3</v>
      </c>
      <c r="CH22" s="57">
        <f>'2016'!BX4</f>
        <v>22</v>
      </c>
      <c r="CI22" s="57">
        <f>'2016'!BY4</f>
        <v>0</v>
      </c>
      <c r="CJ22" s="57">
        <f>'2016'!BZ4</f>
        <v>0</v>
      </c>
      <c r="CK22" s="58">
        <f>'2016'!CA4</f>
        <v>0</v>
      </c>
      <c r="CL22" s="58">
        <f>'2016'!CB4</f>
        <v>0</v>
      </c>
      <c r="CM22" s="58">
        <f>'2016'!CC4</f>
        <v>0</v>
      </c>
      <c r="CN22" s="58">
        <f>'2016'!CD4</f>
        <v>0</v>
      </c>
      <c r="CO22" s="57">
        <f>'2016'!CE4</f>
        <v>61</v>
      </c>
      <c r="CP22" s="57">
        <f>'2016'!CF4</f>
        <v>2485</v>
      </c>
      <c r="CQ22" s="57">
        <f>'2016'!CG4</f>
        <v>5</v>
      </c>
      <c r="CR22" s="57">
        <f>'2016'!CH4</f>
        <v>1</v>
      </c>
      <c r="CS22" s="59">
        <f>'2016'!CI4</f>
        <v>23</v>
      </c>
      <c r="CT22" s="56">
        <f>'2016'!CJ4</f>
        <v>990</v>
      </c>
      <c r="CU22" s="57">
        <f>'2016'!CK4</f>
        <v>2892.4</v>
      </c>
      <c r="CV22" s="57">
        <f>'2016'!CL4</f>
        <v>11</v>
      </c>
      <c r="CW22" s="57">
        <f>'2016'!CM4</f>
        <v>35</v>
      </c>
      <c r="CX22" s="57">
        <f>'2016'!CN4</f>
        <v>172</v>
      </c>
      <c r="CY22" s="57">
        <f>'2016'!CO4</f>
        <v>31</v>
      </c>
      <c r="CZ22" s="58">
        <f>'2016'!CP4</f>
        <v>5.7558139534883717</v>
      </c>
      <c r="DA22" s="58">
        <f>'2016'!CQ4</f>
        <v>61.6</v>
      </c>
      <c r="DB22" s="58">
        <f>'2016'!CR4</f>
        <v>3.03</v>
      </c>
      <c r="DC22" s="58">
        <f>'2016'!CS4</f>
        <v>32.5</v>
      </c>
      <c r="DD22" s="57">
        <f>'2016'!CT4</f>
        <v>133</v>
      </c>
      <c r="DE22" s="57">
        <f>'2016'!CU4</f>
        <v>3890.5999999999995</v>
      </c>
      <c r="DF22" s="57">
        <f>'2016'!CV4</f>
        <v>5</v>
      </c>
      <c r="DG22" s="57">
        <f>'2016'!CW4</f>
        <v>2</v>
      </c>
      <c r="DH22" s="59">
        <f>'2016'!CX4</f>
        <v>32.199999999999996</v>
      </c>
      <c r="DI22" s="56">
        <f>'2016'!CY4</f>
        <v>2225</v>
      </c>
      <c r="DJ22" s="57">
        <f>'2016'!CZ4</f>
        <v>2998.5</v>
      </c>
      <c r="DK22" s="57">
        <f>'2016'!DA4</f>
        <v>28</v>
      </c>
      <c r="DL22" s="57">
        <f>'2016'!DB4</f>
        <v>33</v>
      </c>
      <c r="DM22" s="57">
        <f>'2016'!DC4</f>
        <v>396</v>
      </c>
      <c r="DN22" s="57">
        <f>'2016'!DD4</f>
        <v>76</v>
      </c>
      <c r="DO22" s="58">
        <f>'2016'!DE4</f>
        <v>5.6186868686868685</v>
      </c>
      <c r="DP22" s="58">
        <f>'2016'!DF4</f>
        <v>71.599999999999994</v>
      </c>
      <c r="DQ22" s="58">
        <f>'2016'!DG4</f>
        <v>3.38</v>
      </c>
      <c r="DR22" s="58">
        <f>'2016'!DH4</f>
        <v>36.6</v>
      </c>
      <c r="DS22" s="57">
        <f>'2016'!DI4</f>
        <v>93</v>
      </c>
      <c r="DT22" s="57">
        <f>'2016'!DJ4</f>
        <v>3406.5</v>
      </c>
      <c r="DU22" s="57">
        <f>'2016'!DK4</f>
        <v>10</v>
      </c>
      <c r="DV22" s="57">
        <f>'2016'!DL4</f>
        <v>0</v>
      </c>
      <c r="DW22" s="59">
        <f>'2016'!DM4</f>
        <v>22.5</v>
      </c>
    </row>
    <row r="23" spans="1:127" x14ac:dyDescent="0.2">
      <c r="A23" s="33">
        <f t="shared" si="0"/>
        <v>21</v>
      </c>
      <c r="B23" s="11">
        <f>'2025'!A5</f>
        <v>3</v>
      </c>
      <c r="C23" s="11">
        <v>2025</v>
      </c>
      <c r="D23" s="34" t="str">
        <f>'2025'!B5</f>
        <v>TreVeyon Henderson</v>
      </c>
      <c r="E23" s="224" t="str" cm="1">
        <f t="array" ref="E23">_xlfn.IFS(F23&gt;=13,"Cornerstone",AND(F23&gt;=12,F23&lt;13),"Elite",AND(F23&gt;=11,F23&lt;12),"Elite Upside",AND(F23&gt;=9,F23&lt;11),"Upside",AND(F23&gt;=7,F23&lt;9),"Upside Lite",AND(F23&gt;=6,F23&lt;7),"Outlier",AND(F23&gt;=5,F23&lt;6),"Outlier Lite",F23&lt;5,"Purgatory")</f>
        <v>Elite Upside</v>
      </c>
      <c r="F23" s="14">
        <f>'2025'!C5</f>
        <v>11.483333333333333</v>
      </c>
      <c r="G23" s="14">
        <f t="shared" si="7"/>
        <v>93.5</v>
      </c>
      <c r="H23" s="35">
        <f t="shared" si="1"/>
        <v>1.4732138031586848</v>
      </c>
      <c r="I23" s="36" t="str">
        <f>'2025'!D5</f>
        <v>Ohio State</v>
      </c>
      <c r="J23" s="37">
        <f>'2025'!E5</f>
        <v>2</v>
      </c>
      <c r="K23" s="38">
        <f>'2025'!F5</f>
        <v>37551</v>
      </c>
      <c r="L23" s="39">
        <f>'2025'!G5</f>
        <v>22.947945205479453</v>
      </c>
      <c r="M23" s="39" t="str">
        <f>'2025'!H5</f>
        <v>SR</v>
      </c>
      <c r="N23" s="39">
        <f>'2025'!I5</f>
        <v>22.528767123287672</v>
      </c>
      <c r="O23" s="39" t="str">
        <f t="shared" si="2"/>
        <v>DYNAMIC</v>
      </c>
      <c r="P23" s="39" t="str">
        <f t="shared" si="6"/>
        <v>+RECEIVER</v>
      </c>
      <c r="Q23" s="37">
        <f>'2025'!J5</f>
        <v>70</v>
      </c>
      <c r="R23" s="37">
        <f>'2025'!K5</f>
        <v>202</v>
      </c>
      <c r="S23" s="39">
        <f t="shared" si="5"/>
        <v>28.983661069362956</v>
      </c>
      <c r="T23" s="37">
        <f>'2025'!L5</f>
        <v>4.43</v>
      </c>
      <c r="U23" s="40">
        <f>'2025'!M5</f>
        <v>2</v>
      </c>
      <c r="V23" s="41">
        <f>'2025'!N5</f>
        <v>0</v>
      </c>
      <c r="W23" s="42">
        <f>'2025'!O5</f>
        <v>0.21363717286807904</v>
      </c>
      <c r="X23" s="42">
        <f>'2025'!P5</f>
        <v>0.15386183003872017</v>
      </c>
      <c r="Y23" s="42">
        <f>'2025'!Q5</f>
        <v>0.30139720558882238</v>
      </c>
      <c r="Z23" s="42">
        <f>'2025'!R5</f>
        <v>0.18791848617176127</v>
      </c>
      <c r="AA23" s="42">
        <f>'2025'!S5</f>
        <v>0.24465784588029182</v>
      </c>
      <c r="AB23" s="42">
        <f>'2025'!T5</f>
        <v>0.24465784588029182</v>
      </c>
      <c r="AC23" s="42">
        <f>'2025'!U5</f>
        <v>0.10004708097928439</v>
      </c>
      <c r="AD23" s="42">
        <f>'2025'!V5</f>
        <v>6.6777566539923949E-2</v>
      </c>
      <c r="AE23" s="42">
        <f>'2025'!W5</f>
        <v>8.3412323759604168E-2</v>
      </c>
      <c r="AF23" s="43">
        <f>'2025'!X5</f>
        <v>8.3412323759604168E-2</v>
      </c>
      <c r="AG23" s="44">
        <f>'2025'!Y5</f>
        <v>18.87123287671233</v>
      </c>
      <c r="AH23" s="45">
        <f>'2025'!Z5</f>
        <v>104.89781939490845</v>
      </c>
      <c r="AI23" s="45">
        <f>'2025'!AA5</f>
        <v>28.980816326530615</v>
      </c>
      <c r="AJ23" s="45">
        <f>'2025'!AB5</f>
        <v>0.25517241379310346</v>
      </c>
      <c r="AK23" s="45">
        <f>'2025'!AC5</f>
        <v>6.9655172413793105</v>
      </c>
      <c r="AL23" s="45">
        <f t="shared" si="3"/>
        <v>11.463768115942029</v>
      </c>
      <c r="AM23" s="45">
        <f t="shared" si="4"/>
        <v>0.15204678362573099</v>
      </c>
      <c r="AN23" s="45">
        <f>'2025'!AD5</f>
        <v>108.9</v>
      </c>
      <c r="AO23" s="45">
        <f>'2025'!AE5</f>
        <v>4.43</v>
      </c>
      <c r="AP23" s="46">
        <f>'2025'!AF5</f>
        <v>53.9</v>
      </c>
      <c r="AQ23" s="47">
        <f>'2025'!AG5</f>
        <v>6</v>
      </c>
      <c r="AR23" s="48">
        <f>'2025'!AH5</f>
        <v>8</v>
      </c>
      <c r="AS23" s="48">
        <f>'2025'!AI5</f>
        <v>8</v>
      </c>
      <c r="AT23" s="48">
        <f>'2025'!AJ5</f>
        <v>7</v>
      </c>
      <c r="AU23" s="48">
        <f>'2025'!AK5</f>
        <v>6</v>
      </c>
      <c r="AV23" s="48">
        <f>'2025'!AL5</f>
        <v>7</v>
      </c>
      <c r="AW23" s="48">
        <f>'2025'!AM5</f>
        <v>5</v>
      </c>
      <c r="AX23" s="48">
        <f>'2025'!AN5</f>
        <v>6</v>
      </c>
      <c r="AY23" s="49">
        <f>'2025'!AO5</f>
        <v>7</v>
      </c>
      <c r="AZ23" s="50">
        <f>'2025'!AP5</f>
        <v>1</v>
      </c>
      <c r="BA23" s="56">
        <f>'2025'!AQ5</f>
        <v>0</v>
      </c>
      <c r="BB23" s="57">
        <f>'2025'!AR5</f>
        <v>1</v>
      </c>
      <c r="BC23" s="57">
        <f>'2025'!AS5</f>
        <v>0</v>
      </c>
      <c r="BD23" s="57">
        <f>'2025'!AT5</f>
        <v>0</v>
      </c>
      <c r="BE23" s="57">
        <f>'2025'!AU5</f>
        <v>0</v>
      </c>
      <c r="BF23" s="57">
        <f>'2025'!AV5</f>
        <v>0</v>
      </c>
      <c r="BG23" s="58">
        <f>'2025'!AW5</f>
        <v>0</v>
      </c>
      <c r="BH23" s="58">
        <f>'2025'!AX5</f>
        <v>0</v>
      </c>
      <c r="BI23" s="58">
        <f>'2025'!AY5</f>
        <v>0</v>
      </c>
      <c r="BJ23" s="58">
        <f>'2025'!AZ5</f>
        <v>0</v>
      </c>
      <c r="BK23" s="57">
        <f>'2025'!BA5</f>
        <v>0</v>
      </c>
      <c r="BL23" s="57">
        <f>'2025'!BB5</f>
        <v>1</v>
      </c>
      <c r="BM23" s="57">
        <f>'2025'!BC5</f>
        <v>0</v>
      </c>
      <c r="BN23" s="57">
        <f>'2025'!BD5</f>
        <v>0</v>
      </c>
      <c r="BO23" s="59">
        <f>'2025'!BE5</f>
        <v>0</v>
      </c>
      <c r="BP23" s="56">
        <f>'2025'!BF5</f>
        <v>1248</v>
      </c>
      <c r="BQ23" s="57">
        <f>'2025'!BG5</f>
        <v>2350.4</v>
      </c>
      <c r="BR23" s="57">
        <f>'2025'!BH5</f>
        <v>15</v>
      </c>
      <c r="BS23" s="57">
        <f>'2025'!BI5</f>
        <v>23.400000000000002</v>
      </c>
      <c r="BT23" s="57">
        <f>'2025'!BJ5</f>
        <v>183</v>
      </c>
      <c r="BU23" s="57">
        <f>'2025'!BK5</f>
        <v>50</v>
      </c>
      <c r="BV23" s="58">
        <f>'2025'!BL5</f>
        <v>6.8196721311475406</v>
      </c>
      <c r="BW23" s="58">
        <f>'2025'!BM5</f>
        <v>116.9</v>
      </c>
      <c r="BX23" s="58">
        <f>'2025'!BN5</f>
        <v>4.3099999999999996</v>
      </c>
      <c r="BY23" s="58">
        <f>'2025'!BO5</f>
        <v>47.5</v>
      </c>
      <c r="BZ23" s="57">
        <f>'2025'!BP5</f>
        <v>312</v>
      </c>
      <c r="CA23" s="57">
        <f>'2025'!BQ5</f>
        <v>4951.7</v>
      </c>
      <c r="CB23" s="57">
        <f>'2025'!BR5</f>
        <v>27</v>
      </c>
      <c r="CC23" s="57">
        <f>'2025'!BS5</f>
        <v>4</v>
      </c>
      <c r="CD23" s="59">
        <f>'2025'!BT5</f>
        <v>45.5</v>
      </c>
      <c r="CE23" s="56">
        <f>'2025'!BU5</f>
        <v>576</v>
      </c>
      <c r="CF23" s="57">
        <f>'2025'!BV5</f>
        <v>1539.2</v>
      </c>
      <c r="CG23" s="57">
        <f>'2025'!BW5</f>
        <v>6</v>
      </c>
      <c r="CH23" s="57">
        <f>'2025'!BX5</f>
        <v>18.399999999999999</v>
      </c>
      <c r="CI23" s="57">
        <f>'2025'!BY5</f>
        <v>106</v>
      </c>
      <c r="CJ23" s="57">
        <f>'2025'!BZ5</f>
        <v>14</v>
      </c>
      <c r="CK23" s="58">
        <f>'2025'!CA5</f>
        <v>5.4339622641509431</v>
      </c>
      <c r="CL23" s="58">
        <f>'2025'!CB5</f>
        <v>37</v>
      </c>
      <c r="CM23" s="58">
        <f>'2025'!CC5</f>
        <v>2.72</v>
      </c>
      <c r="CN23" s="58">
        <f>'2025'!CD5</f>
        <v>28.3</v>
      </c>
      <c r="CO23" s="57">
        <f>'2025'!CE5</f>
        <v>28</v>
      </c>
      <c r="CP23" s="57">
        <f>'2025'!CF5</f>
        <v>2386.4</v>
      </c>
      <c r="CQ23" s="57">
        <f>'2025'!CG5</f>
        <v>4</v>
      </c>
      <c r="CR23" s="57">
        <f>'2025'!CH5</f>
        <v>1</v>
      </c>
      <c r="CS23" s="59">
        <f>'2025'!CI5</f>
        <v>25.6</v>
      </c>
      <c r="CT23" s="56">
        <f>'2025'!CJ5</f>
        <v>585</v>
      </c>
      <c r="CU23" s="57">
        <f>'2025'!CK5</f>
        <v>805.80000000000007</v>
      </c>
      <c r="CV23" s="57">
        <f>'2025'!CL5</f>
        <v>7</v>
      </c>
      <c r="CW23" s="57">
        <f>'2025'!CM5</f>
        <v>10.199999999999999</v>
      </c>
      <c r="CX23" s="57">
        <f>'2025'!CN5</f>
        <v>156</v>
      </c>
      <c r="CY23" s="57">
        <f>'2025'!CO5</f>
        <v>29</v>
      </c>
      <c r="CZ23" s="58">
        <f>'2025'!CP5</f>
        <v>3.75</v>
      </c>
      <c r="DA23" s="58">
        <f>'2025'!CQ5</f>
        <v>82.2</v>
      </c>
      <c r="DB23" s="58">
        <f>'2025'!CR5</f>
        <v>3.68</v>
      </c>
      <c r="DC23" s="58">
        <f>'2025'!CS5</f>
        <v>48.7</v>
      </c>
      <c r="DD23" s="57">
        <f>'2025'!CT5</f>
        <v>170</v>
      </c>
      <c r="DE23" s="57">
        <f>'2025'!CU5</f>
        <v>1699.1999999999998</v>
      </c>
      <c r="DF23" s="57">
        <f>'2025'!CV5</f>
        <v>12</v>
      </c>
      <c r="DG23" s="57">
        <f>'2025'!CW5</f>
        <v>0</v>
      </c>
      <c r="DH23" s="59">
        <f>'2025'!CX5</f>
        <v>12.600000000000001</v>
      </c>
      <c r="DI23" s="56">
        <f>'2025'!CY5</f>
        <v>1010</v>
      </c>
      <c r="DJ23" s="57">
        <f>'2025'!CZ5</f>
        <v>2662</v>
      </c>
      <c r="DK23" s="57">
        <f>'2025'!DA5</f>
        <v>10</v>
      </c>
      <c r="DL23" s="57">
        <f>'2025'!DB5</f>
        <v>24</v>
      </c>
      <c r="DM23" s="57">
        <f>'2025'!DC5</f>
        <v>145</v>
      </c>
      <c r="DN23" s="57">
        <f>'2025'!DD5</f>
        <v>37</v>
      </c>
      <c r="DO23" s="58">
        <f>'2025'!DE5</f>
        <v>6.9655172413793105</v>
      </c>
      <c r="DP23" s="58">
        <f>'2025'!DF5</f>
        <v>108.9</v>
      </c>
      <c r="DQ23" s="58">
        <f>'2025'!DG5</f>
        <v>4.43</v>
      </c>
      <c r="DR23" s="58">
        <f>'2025'!DH5</f>
        <v>53.9</v>
      </c>
      <c r="DS23" s="57">
        <f>'2025'!DI5</f>
        <v>281</v>
      </c>
      <c r="DT23" s="57">
        <f>'2025'!DJ5</f>
        <v>4208</v>
      </c>
      <c r="DU23" s="57">
        <f>'2025'!DK5</f>
        <v>26</v>
      </c>
      <c r="DV23" s="57">
        <f>'2025'!DL5</f>
        <v>1</v>
      </c>
      <c r="DW23" s="59">
        <f>'2025'!DM5</f>
        <v>28.799999999999997</v>
      </c>
    </row>
    <row r="24" spans="1:127" x14ac:dyDescent="0.2">
      <c r="A24" s="33">
        <f t="shared" si="0"/>
        <v>22</v>
      </c>
      <c r="B24" s="11">
        <f>'2025'!A6</f>
        <v>4</v>
      </c>
      <c r="C24" s="11">
        <v>2025</v>
      </c>
      <c r="D24" s="34" t="str">
        <f>'2025'!B6</f>
        <v>Kaleb Johnson</v>
      </c>
      <c r="E24" s="224" t="str" cm="1">
        <f t="array" ref="E24">_xlfn.IFS(F24&gt;=13,"Cornerstone",AND(F24&gt;=12,F24&lt;13),"Elite",AND(F24&gt;=11,F24&lt;12),"Elite Upside",AND(F24&gt;=9,F24&lt;11),"Upside",AND(F24&gt;=7,F24&lt;9),"Upside Lite",AND(F24&gt;=6,F24&lt;7),"Outlier",AND(F24&gt;=5,F24&lt;6),"Outlier Lite",F24&lt;5,"Purgatory")</f>
        <v>Elite Upside</v>
      </c>
      <c r="F24" s="14">
        <f>'2025'!C6</f>
        <v>11.466666666666667</v>
      </c>
      <c r="G24" s="14">
        <f t="shared" si="7"/>
        <v>93.2</v>
      </c>
      <c r="H24" s="35">
        <f t="shared" si="1"/>
        <v>1.4661600520880247</v>
      </c>
      <c r="I24" s="36" t="str">
        <f>'2025'!D6</f>
        <v>Iowa</v>
      </c>
      <c r="J24" s="37">
        <f>'2025'!E6</f>
        <v>2</v>
      </c>
      <c r="K24" s="38">
        <f>'2025'!F6</f>
        <v>37847</v>
      </c>
      <c r="L24" s="39">
        <f>'2025'!G6</f>
        <v>22.136986301369863</v>
      </c>
      <c r="M24" s="39" t="str">
        <f>'2025'!H6</f>
        <v>JR</v>
      </c>
      <c r="N24" s="39">
        <f>'2025'!I6</f>
        <v>21.717808219178082</v>
      </c>
      <c r="O24" s="39" t="str">
        <f t="shared" si="2"/>
        <v>BELL COW</v>
      </c>
      <c r="P24" s="39" t="str">
        <f t="shared" si="6"/>
        <v>3DOWN</v>
      </c>
      <c r="Q24" s="37">
        <f>'2025'!J6</f>
        <v>73</v>
      </c>
      <c r="R24" s="37">
        <f>'2025'!K6</f>
        <v>224</v>
      </c>
      <c r="S24" s="39">
        <f t="shared" si="5"/>
        <v>29.55290999716922</v>
      </c>
      <c r="T24" s="37">
        <f>'2025'!L6</f>
        <v>4.57</v>
      </c>
      <c r="U24" s="40">
        <f>'2025'!M6</f>
        <v>3</v>
      </c>
      <c r="V24" s="41">
        <f>'2025'!N6</f>
        <v>0</v>
      </c>
      <c r="W24" s="42">
        <f>'2025'!O6</f>
        <v>0</v>
      </c>
      <c r="X24" s="42">
        <f>'2025'!P6</f>
        <v>0.24590916042208288</v>
      </c>
      <c r="Y24" s="42">
        <f>'2025'!Q6</f>
        <v>0.20810234541577824</v>
      </c>
      <c r="Z24" s="42">
        <f>'2025'!R6</f>
        <v>0.43719586374695868</v>
      </c>
      <c r="AA24" s="42">
        <f>'2025'!S6</f>
        <v>0.43719586374695868</v>
      </c>
      <c r="AB24" s="42">
        <f>'2025'!T6</f>
        <v>0.43719586374695868</v>
      </c>
      <c r="AC24" s="42">
        <f>'2025'!U6</f>
        <v>2.1079258010118045E-2</v>
      </c>
      <c r="AD24" s="42">
        <f>'2025'!V6</f>
        <v>0.12031408308004055</v>
      </c>
      <c r="AE24" s="42">
        <f>'2025'!W6</f>
        <v>0.12031408308004055</v>
      </c>
      <c r="AF24" s="43">
        <f>'2025'!X6</f>
        <v>0.12031408308004055</v>
      </c>
      <c r="AG24" s="44">
        <f>'2025'!Y6</f>
        <v>19.073972602739726</v>
      </c>
      <c r="AH24" s="45">
        <f>'2025'!Z6</f>
        <v>102.71011458343338</v>
      </c>
      <c r="AI24" s="45">
        <f>'2025'!AA6</f>
        <v>29.550009382623379</v>
      </c>
      <c r="AJ24" s="45">
        <f>'2025'!AB6</f>
        <v>0.33112582781456956</v>
      </c>
      <c r="AK24" s="45">
        <f>'2025'!AC6</f>
        <v>6.395833333333333</v>
      </c>
      <c r="AL24" s="45">
        <f t="shared" si="3"/>
        <v>8.3448275862068968</v>
      </c>
      <c r="AM24" s="45">
        <f t="shared" si="4"/>
        <v>8.3969465648854963E-2</v>
      </c>
      <c r="AN24" s="45">
        <f>'2025'!AD6</f>
        <v>131.5</v>
      </c>
      <c r="AO24" s="45">
        <f>'2025'!AE6</f>
        <v>4.42</v>
      </c>
      <c r="AP24" s="46">
        <f>'2025'!AF6</f>
        <v>56.1</v>
      </c>
      <c r="AQ24" s="47">
        <f>'2025'!AG6</f>
        <v>10</v>
      </c>
      <c r="AR24" s="48">
        <f>'2025'!AH6</f>
        <v>9</v>
      </c>
      <c r="AS24" s="48">
        <f>'2025'!AI6</f>
        <v>8</v>
      </c>
      <c r="AT24" s="48">
        <f>'2025'!AJ6</f>
        <v>6</v>
      </c>
      <c r="AU24" s="48">
        <f>'2025'!AK6</f>
        <v>9</v>
      </c>
      <c r="AV24" s="48">
        <f>'2025'!AL6</f>
        <v>5</v>
      </c>
      <c r="AW24" s="48">
        <f>'2025'!AM6</f>
        <v>7</v>
      </c>
      <c r="AX24" s="48">
        <f>'2025'!AN6</f>
        <v>6</v>
      </c>
      <c r="AY24" s="49">
        <f>'2025'!AO6</f>
        <v>6</v>
      </c>
      <c r="AZ24" s="50">
        <f>'2025'!AP6</f>
        <v>0</v>
      </c>
      <c r="BA24" s="56">
        <f>'2025'!AQ6</f>
        <v>0</v>
      </c>
      <c r="BB24" s="57">
        <f>'2025'!AR6</f>
        <v>1</v>
      </c>
      <c r="BC24" s="57">
        <f>'2025'!AS6</f>
        <v>0</v>
      </c>
      <c r="BD24" s="57">
        <f>'2025'!AT6</f>
        <v>0</v>
      </c>
      <c r="BE24" s="57">
        <f>'2025'!AU6</f>
        <v>0</v>
      </c>
      <c r="BF24" s="57">
        <f>'2025'!AV6</f>
        <v>0</v>
      </c>
      <c r="BG24" s="58">
        <f>'2025'!AW6</f>
        <v>0</v>
      </c>
      <c r="BH24" s="58">
        <f>'2025'!AX6</f>
        <v>0</v>
      </c>
      <c r="BI24" s="58">
        <f>'2025'!AY6</f>
        <v>0</v>
      </c>
      <c r="BJ24" s="58">
        <f>'2025'!AZ6</f>
        <v>0</v>
      </c>
      <c r="BK24" s="57">
        <f>'2025'!BA6</f>
        <v>0</v>
      </c>
      <c r="BL24" s="57">
        <f>'2025'!BB6</f>
        <v>0</v>
      </c>
      <c r="BM24" s="57">
        <f>'2025'!BC6</f>
        <v>0</v>
      </c>
      <c r="BN24" s="57">
        <f>'2025'!BD6</f>
        <v>0</v>
      </c>
      <c r="BO24" s="59">
        <f>'2025'!BE6</f>
        <v>0</v>
      </c>
      <c r="BP24" s="56">
        <f>'2025'!BF6</f>
        <v>0</v>
      </c>
      <c r="BQ24" s="57">
        <f>'2025'!BG6</f>
        <v>1</v>
      </c>
      <c r="BR24" s="57">
        <f>'2025'!BH6</f>
        <v>0</v>
      </c>
      <c r="BS24" s="57">
        <f>'2025'!BI6</f>
        <v>0</v>
      </c>
      <c r="BT24" s="57">
        <f>'2025'!BJ6</f>
        <v>0</v>
      </c>
      <c r="BU24" s="57">
        <f>'2025'!BK6</f>
        <v>0</v>
      </c>
      <c r="BV24" s="58">
        <f>'2025'!BL6</f>
        <v>0</v>
      </c>
      <c r="BW24" s="58">
        <f>'2025'!BM6</f>
        <v>0</v>
      </c>
      <c r="BX24" s="58">
        <f>'2025'!BN6</f>
        <v>0</v>
      </c>
      <c r="BY24" s="58">
        <f>'2025'!BO6</f>
        <v>0</v>
      </c>
      <c r="BZ24" s="57">
        <f>'2025'!BP6</f>
        <v>0</v>
      </c>
      <c r="CA24" s="57">
        <f>'2025'!BQ6</f>
        <v>0</v>
      </c>
      <c r="CB24" s="57">
        <f>'2025'!BR6</f>
        <v>0</v>
      </c>
      <c r="CC24" s="57">
        <f>'2025'!BS6</f>
        <v>0</v>
      </c>
      <c r="CD24" s="59">
        <f>'2025'!BT6</f>
        <v>0</v>
      </c>
      <c r="CE24" s="56">
        <f>'2025'!BU6</f>
        <v>777</v>
      </c>
      <c r="CF24" s="57">
        <f>'2025'!BV6</f>
        <v>1232.3999999999999</v>
      </c>
      <c r="CG24" s="57">
        <f>'2025'!BW6</f>
        <v>6</v>
      </c>
      <c r="CH24" s="57">
        <f>'2025'!BX6</f>
        <v>11.700000000000001</v>
      </c>
      <c r="CI24" s="57">
        <f>'2025'!BY6</f>
        <v>151</v>
      </c>
      <c r="CJ24" s="57">
        <f>'2025'!BZ6</f>
        <v>50</v>
      </c>
      <c r="CK24" s="58">
        <f>'2025'!CA6</f>
        <v>5.1456953642384109</v>
      </c>
      <c r="CL24" s="58">
        <f>'2025'!CB6</f>
        <v>107.7</v>
      </c>
      <c r="CM24" s="58">
        <f>'2025'!CC6</f>
        <v>3.34</v>
      </c>
      <c r="CN24" s="58">
        <f>'2025'!CD6</f>
        <v>44.3</v>
      </c>
      <c r="CO24" s="57">
        <f>'2025'!CE6</f>
        <v>27</v>
      </c>
      <c r="CP24" s="57">
        <f>'2025'!CF6</f>
        <v>2037.1</v>
      </c>
      <c r="CQ24" s="57">
        <f>'2025'!CG6</f>
        <v>4</v>
      </c>
      <c r="CR24" s="57">
        <f>'2025'!CH6</f>
        <v>0</v>
      </c>
      <c r="CS24" s="59">
        <f>'2025'!CI6</f>
        <v>6.5</v>
      </c>
      <c r="CT24" s="56">
        <f>'2025'!CJ6</f>
        <v>463</v>
      </c>
      <c r="CU24" s="57">
        <f>'2025'!CK6</f>
        <v>1159</v>
      </c>
      <c r="CV24" s="57">
        <f>'2025'!CL6</f>
        <v>3</v>
      </c>
      <c r="CW24" s="57">
        <f>'2025'!CM6</f>
        <v>8</v>
      </c>
      <c r="CX24" s="57">
        <f>'2025'!CN6</f>
        <v>117</v>
      </c>
      <c r="CY24" s="57">
        <f>'2025'!CO6</f>
        <v>19</v>
      </c>
      <c r="CZ24" s="58">
        <f>'2025'!CP6</f>
        <v>3.9572649572649574</v>
      </c>
      <c r="DA24" s="58">
        <f>'2025'!CQ6</f>
        <v>41.4</v>
      </c>
      <c r="DB24" s="58">
        <f>'2025'!CR6</f>
        <v>2.62</v>
      </c>
      <c r="DC24" s="58">
        <f>'2025'!CS6</f>
        <v>41.7</v>
      </c>
      <c r="DD24" s="57">
        <f>'2025'!CT6</f>
        <v>25</v>
      </c>
      <c r="DE24" s="57">
        <f>'2025'!CU6</f>
        <v>1186</v>
      </c>
      <c r="DF24" s="57">
        <f>'2025'!CV6</f>
        <v>3</v>
      </c>
      <c r="DG24" s="57">
        <f>'2025'!CW6</f>
        <v>0</v>
      </c>
      <c r="DH24" s="59">
        <f>'2025'!CX6</f>
        <v>6</v>
      </c>
      <c r="DI24" s="56">
        <f>'2025'!CY6</f>
        <v>1535</v>
      </c>
      <c r="DJ24" s="57">
        <f>'2025'!CZ6</f>
        <v>2366.3999999999996</v>
      </c>
      <c r="DK24" s="57">
        <f>'2025'!DA6</f>
        <v>21</v>
      </c>
      <c r="DL24" s="57">
        <f>'2025'!DB6</f>
        <v>28.799999999999997</v>
      </c>
      <c r="DM24" s="57">
        <f>'2025'!DC6</f>
        <v>240</v>
      </c>
      <c r="DN24" s="57">
        <f>'2025'!DD6</f>
        <v>66</v>
      </c>
      <c r="DO24" s="58">
        <f>'2025'!DE6</f>
        <v>6.395833333333333</v>
      </c>
      <c r="DP24" s="58">
        <f>'2025'!DF6</f>
        <v>131.5</v>
      </c>
      <c r="DQ24" s="58">
        <f>'2025'!DG6</f>
        <v>4.42</v>
      </c>
      <c r="DR24" s="58">
        <f>'2025'!DH6</f>
        <v>56.1</v>
      </c>
      <c r="DS24" s="57">
        <f>'2025'!DI6</f>
        <v>190</v>
      </c>
      <c r="DT24" s="57">
        <f>'2025'!DJ6</f>
        <v>1579.1999999999998</v>
      </c>
      <c r="DU24" s="57">
        <f>'2025'!DK6</f>
        <v>22</v>
      </c>
      <c r="DV24" s="57">
        <f>'2025'!DL6</f>
        <v>2</v>
      </c>
      <c r="DW24" s="59">
        <f>'2025'!DM6</f>
        <v>9.6000000000000014</v>
      </c>
    </row>
    <row r="25" spans="1:127" x14ac:dyDescent="0.2">
      <c r="A25" s="33">
        <f t="shared" si="0"/>
        <v>23</v>
      </c>
      <c r="B25" s="11">
        <f>'2026 - WIP'!A4</f>
        <v>2</v>
      </c>
      <c r="C25" s="11">
        <v>2026</v>
      </c>
      <c r="D25" s="34" t="str">
        <f>'2026 - WIP'!B4</f>
        <v>Jonah Coleman</v>
      </c>
      <c r="E25" s="224" t="str" cm="1">
        <f t="array" ref="E25">_xlfn.IFS(F25&gt;=13,"Cornerstone",AND(F25&gt;=12,F25&lt;13),"Elite",AND(F25&gt;=11,F25&lt;12),"Elite Upside",AND(F25&gt;=9,F25&lt;11),"Upside",AND(F25&gt;=7,F25&lt;9),"Upside Lite",AND(F25&gt;=6,F25&lt;7),"Outlier",AND(F25&gt;=5,F25&lt;6),"Outlier Lite",F25&lt;5,"Purgatory")</f>
        <v>Elite Upside</v>
      </c>
      <c r="F25" s="14">
        <f>'2026 - WIP'!C4</f>
        <v>11.338888888888889</v>
      </c>
      <c r="G25" s="14">
        <f t="shared" si="7"/>
        <v>92.9</v>
      </c>
      <c r="H25" s="35">
        <f t="shared" si="1"/>
        <v>1.4120812938796261</v>
      </c>
      <c r="I25" s="36" t="str">
        <f>'2026 - WIP'!D4</f>
        <v>Washington</v>
      </c>
      <c r="J25" s="37">
        <f>'2026 - WIP'!E4</f>
        <v>2</v>
      </c>
      <c r="K25" s="38">
        <f>'2026 - WIP'!F4</f>
        <v>37853</v>
      </c>
      <c r="L25" s="39">
        <f>'2026 - WIP'!G4</f>
        <v>22.12054794520548</v>
      </c>
      <c r="M25" s="39" t="str">
        <f>'2026 - WIP'!H4</f>
        <v>SR</v>
      </c>
      <c r="N25" s="39">
        <f>'2026 - WIP'!I4</f>
        <v>22.701369863013699</v>
      </c>
      <c r="O25" s="39" t="str">
        <f t="shared" si="2"/>
        <v>FREAK</v>
      </c>
      <c r="P25" s="39" t="str">
        <f>IF(OR(AND($AA25&lt;0.25,$AO25&gt;=0.133,AE25&gt;4%),(AND($O25="JITTERBUG",$AO25&gt;0.11)),(AND($O25="JITTERBUG",$AE25&gt;9.5%))),"+RECEIVER",IF(AND($AJ25&gt;=0.25,$AQ25&gt;=3.81),"3DOWN",IF($AQ25&gt;=3.81,"HORSE",IF(OR(AJ25&gt;0.28,AK25&gt;7,AR25&gt;47),"SLASHER",IF(AO25&gt;0.19,"+RECEIVER","PLODDER")))))</f>
        <v>3DOWN</v>
      </c>
      <c r="Q25" s="37">
        <f>'2026 - WIP'!J4</f>
        <v>69</v>
      </c>
      <c r="R25" s="37">
        <f>'2026 - WIP'!K4</f>
        <v>229</v>
      </c>
      <c r="S25" s="39">
        <f t="shared" si="5"/>
        <v>33.817013737787192</v>
      </c>
      <c r="T25" s="39">
        <f>'2026 - WIP'!L4</f>
        <v>4.5</v>
      </c>
      <c r="U25" s="55">
        <f>'2026 - WIP'!M4</f>
        <v>3</v>
      </c>
      <c r="V25" s="41">
        <f>'2026 - WIP'!N4</f>
        <v>0</v>
      </c>
      <c r="W25" s="42">
        <f>'2026 - WIP'!O4</f>
        <v>7.1444035505520684E-2</v>
      </c>
      <c r="X25" s="42">
        <f>'2026 - WIP'!P4</f>
        <v>0.19591346153846154</v>
      </c>
      <c r="Y25" s="42">
        <f>'2026 - WIP'!Q4</f>
        <v>0.24369102263548786</v>
      </c>
      <c r="Z25" s="42">
        <f>'2026 - WIP'!R4</f>
        <v>0.30066545674531153</v>
      </c>
      <c r="AA25" s="42">
        <f>'2026 - WIP'!S4</f>
        <v>0.30066545674531153</v>
      </c>
      <c r="AB25" s="42">
        <f>'2026 - WIP'!T4</f>
        <v>0.30066545674531153</v>
      </c>
      <c r="AC25" s="42">
        <f>'2026 - WIP'!U4</f>
        <v>5.2026689397724937E-2</v>
      </c>
      <c r="AD25" s="42">
        <f>'2026 - WIP'!V4</f>
        <v>0.18115942028985507</v>
      </c>
      <c r="AE25" s="42">
        <f>'2026 - WIP'!W4</f>
        <v>0.18115942028985507</v>
      </c>
      <c r="AF25" s="43">
        <f>'2026 - WIP'!X4</f>
        <v>0.18115942028985507</v>
      </c>
      <c r="AG25" s="44">
        <f>'2026 - WIP'!Y4</f>
        <v>20.054794520547944</v>
      </c>
      <c r="AH25" s="45">
        <f>'2026 - WIP'!Z4</f>
        <v>111.69029111415942</v>
      </c>
      <c r="AI25" s="45">
        <f>'2026 - WIP'!AA4</f>
        <v>33.813694601974376</v>
      </c>
      <c r="AJ25" s="45">
        <f>'2026 - WIP'!AB4</f>
        <v>0.36220472440944884</v>
      </c>
      <c r="AK25" s="45">
        <f>'2026 - WIP'!AC4</f>
        <v>6.8039215686274508</v>
      </c>
      <c r="AL25" s="45">
        <f t="shared" si="3"/>
        <v>9.5303030303030312</v>
      </c>
      <c r="AM25" s="45">
        <f t="shared" si="4"/>
        <v>0.15</v>
      </c>
      <c r="AN25" s="45">
        <f>'2026 - WIP'!AD4</f>
        <v>176.2</v>
      </c>
      <c r="AO25" s="45">
        <f>'2026 - WIP'!AE4</f>
        <v>5.12</v>
      </c>
      <c r="AP25" s="46">
        <f>'2026 - WIP'!AF4</f>
        <v>54.7</v>
      </c>
      <c r="AQ25" s="47">
        <f>'2026 - WIP'!AG4</f>
        <v>8</v>
      </c>
      <c r="AR25" s="48">
        <f>'2026 - WIP'!AH4</f>
        <v>10</v>
      </c>
      <c r="AS25" s="48">
        <f>'2026 - WIP'!AI4</f>
        <v>4</v>
      </c>
      <c r="AT25" s="48">
        <f>'2026 - WIP'!AJ4</f>
        <v>9</v>
      </c>
      <c r="AU25" s="48">
        <f>'2026 - WIP'!AK4</f>
        <v>9</v>
      </c>
      <c r="AV25" s="48">
        <f>'2026 - WIP'!AL4</f>
        <v>7</v>
      </c>
      <c r="AW25" s="48">
        <f>'2026 - WIP'!AM4</f>
        <v>8</v>
      </c>
      <c r="AX25" s="48">
        <f>'2026 - WIP'!AN4</f>
        <v>8</v>
      </c>
      <c r="AY25" s="49">
        <f>'2026 - WIP'!AO4</f>
        <v>6</v>
      </c>
      <c r="AZ25" s="50">
        <f>'2026 - WIP'!AP4</f>
        <v>0</v>
      </c>
      <c r="BA25" s="56">
        <f>'2026 - WIP'!AQ4</f>
        <v>0</v>
      </c>
      <c r="BB25" s="57">
        <f>'2026 - WIP'!AR4</f>
        <v>1</v>
      </c>
      <c r="BC25" s="57">
        <f>'2026 - WIP'!AS4</f>
        <v>0</v>
      </c>
      <c r="BD25" s="57">
        <f>'2026 - WIP'!AT4</f>
        <v>0</v>
      </c>
      <c r="BE25" s="57">
        <f>'2026 - WIP'!AU4</f>
        <v>0</v>
      </c>
      <c r="BF25" s="57">
        <f>'2026 - WIP'!AV4</f>
        <v>0</v>
      </c>
      <c r="BG25" s="58">
        <f>'2026 - WIP'!AW4</f>
        <v>0</v>
      </c>
      <c r="BH25" s="58">
        <f>'2026 - WIP'!AX4</f>
        <v>0</v>
      </c>
      <c r="BI25" s="58">
        <f>'2026 - WIP'!AY4</f>
        <v>0</v>
      </c>
      <c r="BJ25" s="58">
        <f>'2026 - WIP'!AZ4</f>
        <v>0</v>
      </c>
      <c r="BK25" s="57">
        <f>'2026 - WIP'!BA4</f>
        <v>0</v>
      </c>
      <c r="BL25" s="57">
        <f>'2026 - WIP'!BB4</f>
        <v>1</v>
      </c>
      <c r="BM25" s="57">
        <f>'2026 - WIP'!BC4</f>
        <v>0</v>
      </c>
      <c r="BN25" s="57">
        <f>'2026 - WIP'!BD4</f>
        <v>0</v>
      </c>
      <c r="BO25" s="59">
        <f>'2026 - WIP'!BE4</f>
        <v>0</v>
      </c>
      <c r="BP25" s="56">
        <f>'2026 - WIP'!BF4</f>
        <v>372</v>
      </c>
      <c r="BQ25" s="57">
        <f>'2026 - WIP'!BG4</f>
        <v>1722</v>
      </c>
      <c r="BR25" s="57">
        <f>'2026 - WIP'!BH4</f>
        <v>4</v>
      </c>
      <c r="BS25" s="57">
        <f>'2026 - WIP'!BI4</f>
        <v>0</v>
      </c>
      <c r="BT25" s="57">
        <f>'2026 - WIP'!BJ4</f>
        <v>75</v>
      </c>
      <c r="BU25" s="57">
        <f>'2026 - WIP'!BK4</f>
        <v>26</v>
      </c>
      <c r="BV25" s="58">
        <f>'2026 - WIP'!BL4</f>
        <v>0</v>
      </c>
      <c r="BW25" s="58">
        <f>'2026 - WIP'!BM4</f>
        <v>106.2</v>
      </c>
      <c r="BX25" s="58">
        <f>'2026 - WIP'!BN4</f>
        <v>3.04</v>
      </c>
      <c r="BY25" s="58">
        <f>'2026 - WIP'!BO4</f>
        <v>18</v>
      </c>
      <c r="BZ25" s="57">
        <f>'2026 - WIP'!BP4</f>
        <v>24</v>
      </c>
      <c r="CA25" s="57">
        <f>'2026 - WIP'!BQ4</f>
        <v>3820.7999999999997</v>
      </c>
      <c r="CB25" s="57">
        <f>'2026 - WIP'!BR4</f>
        <v>8</v>
      </c>
      <c r="CC25" s="57">
        <f>'2026 - WIP'!BS4</f>
        <v>0</v>
      </c>
      <c r="CD25" s="59">
        <f>'2026 - WIP'!BT4</f>
        <v>0</v>
      </c>
      <c r="CE25" s="56">
        <f>'2026 - WIP'!BU4</f>
        <v>863</v>
      </c>
      <c r="CF25" s="57">
        <f>'2026 - WIP'!BV4</f>
        <v>1816.1</v>
      </c>
      <c r="CG25" s="57">
        <f>'2026 - WIP'!BW4</f>
        <v>5</v>
      </c>
      <c r="CH25" s="57">
        <f>'2026 - WIP'!BX4</f>
        <v>0</v>
      </c>
      <c r="CI25" s="57">
        <f>'2026 - WIP'!BY4</f>
        <v>127</v>
      </c>
      <c r="CJ25" s="57">
        <f>'2026 - WIP'!BZ4</f>
        <v>46</v>
      </c>
      <c r="CK25" s="58">
        <f>'2026 - WIP'!CA4</f>
        <v>6.7952755905511815</v>
      </c>
      <c r="CL25" s="58">
        <f>'2026 - WIP'!CB4</f>
        <v>176.2</v>
      </c>
      <c r="CM25" s="58">
        <f>'2026 - WIP'!CC4</f>
        <v>5.09</v>
      </c>
      <c r="CN25" s="58">
        <f>'2026 - WIP'!CD4</f>
        <v>54.7</v>
      </c>
      <c r="CO25" s="57">
        <f>'2026 - WIP'!CE4</f>
        <v>278</v>
      </c>
      <c r="CP25" s="57">
        <f>'2026 - WIP'!CF4</f>
        <v>4007.9</v>
      </c>
      <c r="CQ25" s="57">
        <f>'2026 - WIP'!CG4</f>
        <v>26</v>
      </c>
      <c r="CR25" s="57">
        <f>'2026 - WIP'!CH4</f>
        <v>1</v>
      </c>
      <c r="CS25" s="59">
        <f>'2026 - WIP'!CI4</f>
        <v>0</v>
      </c>
      <c r="CT25" s="56">
        <f>'2026 - WIP'!CJ4</f>
        <v>1060</v>
      </c>
      <c r="CU25" s="57">
        <f>'2026 - WIP'!CK4</f>
        <v>1674</v>
      </c>
      <c r="CV25" s="57">
        <f>'2026 - WIP'!CL4</f>
        <v>10</v>
      </c>
      <c r="CW25" s="57">
        <f>'2026 - WIP'!CM4</f>
        <v>13.200000000000001</v>
      </c>
      <c r="CX25" s="57">
        <f>'2026 - WIP'!CN4</f>
        <v>192</v>
      </c>
      <c r="CY25" s="57">
        <f>'2026 - WIP'!CO4</f>
        <v>67</v>
      </c>
      <c r="CZ25" s="58">
        <f>'2026 - WIP'!CP4</f>
        <v>5.520833333333333</v>
      </c>
      <c r="DA25" s="58">
        <f>'2026 - WIP'!CQ4</f>
        <v>153.4</v>
      </c>
      <c r="DB25" s="58">
        <f>'2026 - WIP'!CR4</f>
        <v>4.34</v>
      </c>
      <c r="DC25" s="58">
        <f>'2026 - WIP'!CS4</f>
        <v>35.4</v>
      </c>
      <c r="DD25" s="57">
        <f>'2026 - WIP'!CT4</f>
        <v>177</v>
      </c>
      <c r="DE25" s="57">
        <f>'2026 - WIP'!CU4</f>
        <v>3402.1</v>
      </c>
      <c r="DF25" s="57">
        <f>'2026 - WIP'!CV4</f>
        <v>23</v>
      </c>
      <c r="DG25" s="57">
        <f>'2026 - WIP'!CW4</f>
        <v>0</v>
      </c>
      <c r="DH25" s="59">
        <f>'2026 - WIP'!CX4</f>
        <v>18</v>
      </c>
      <c r="DI25" s="56">
        <f>'2026 - WIP'!CY4</f>
        <v>347</v>
      </c>
      <c r="DJ25" s="57">
        <f>'2026 - WIP'!CZ4</f>
        <v>825</v>
      </c>
      <c r="DK25" s="57">
        <f>'2026 - WIP'!DA4</f>
        <v>0</v>
      </c>
      <c r="DL25" s="57">
        <f>'2026 - WIP'!DB4</f>
        <v>0</v>
      </c>
      <c r="DM25" s="57">
        <f>'2026 - WIP'!DC4</f>
        <v>51</v>
      </c>
      <c r="DN25" s="57">
        <f>'2026 - WIP'!DD4</f>
        <v>16</v>
      </c>
      <c r="DO25" s="58">
        <f>'2026 - WIP'!DE4</f>
        <v>6.8039215686274508</v>
      </c>
      <c r="DP25" s="58">
        <f>'2026 - WIP'!DF4</f>
        <v>156.1</v>
      </c>
      <c r="DQ25" s="58">
        <f>'2026 - WIP'!DG4</f>
        <v>5.12</v>
      </c>
      <c r="DR25" s="58">
        <f>'2026 - WIP'!DH4</f>
        <v>36.6</v>
      </c>
      <c r="DS25" s="57">
        <f>'2026 - WIP'!DI4</f>
        <v>150</v>
      </c>
      <c r="DT25" s="57">
        <f>'2026 - WIP'!DJ4</f>
        <v>828</v>
      </c>
      <c r="DU25" s="57">
        <f>'2026 - WIP'!DK4</f>
        <v>9</v>
      </c>
      <c r="DV25" s="57">
        <f>'2026 - WIP'!DL4</f>
        <v>0</v>
      </c>
      <c r="DW25" s="59">
        <f>'2026 - WIP'!DM4</f>
        <v>0</v>
      </c>
    </row>
    <row r="26" spans="1:127" x14ac:dyDescent="0.2">
      <c r="A26" s="33">
        <f t="shared" si="0"/>
        <v>24</v>
      </c>
      <c r="B26" s="11">
        <f>'2023'!A5</f>
        <v>3</v>
      </c>
      <c r="C26" s="11">
        <v>2023</v>
      </c>
      <c r="D26" s="34" t="str">
        <f>'2023'!B5</f>
        <v>De'Von Achane</v>
      </c>
      <c r="E26" s="224" t="str" cm="1">
        <f t="array" ref="E26">_xlfn.IFS(F26&gt;=13,"Cornerstone",AND(F26&gt;=12,F26&lt;13),"Elite",AND(F26&gt;=11,F26&lt;12),"Elite Upside",AND(F26&gt;=9,F26&lt;11),"Upside",AND(F26&gt;=7,F26&lt;9),"Upside Lite",AND(F26&gt;=6,F26&lt;7),"Outlier",AND(F26&gt;=5,F26&lt;6),"Outlier Lite",F26&lt;5,"Purgatory")</f>
        <v>Elite Upside</v>
      </c>
      <c r="F26" s="14">
        <f>'2023'!C5</f>
        <v>11.216666666666667</v>
      </c>
      <c r="G26" s="14">
        <f t="shared" si="7"/>
        <v>92.600000000000009</v>
      </c>
      <c r="H26" s="35">
        <f t="shared" si="1"/>
        <v>1.3603537860281147</v>
      </c>
      <c r="I26" s="36" t="str">
        <f>'2023'!D5</f>
        <v>Texas A&amp;M</v>
      </c>
      <c r="J26" s="37">
        <f>'2023'!E5</f>
        <v>1</v>
      </c>
      <c r="K26" s="38">
        <f>'2023'!F5</f>
        <v>37177</v>
      </c>
      <c r="L26" s="39">
        <f>'2023'!G5</f>
        <v>23.972602739726028</v>
      </c>
      <c r="M26" s="39" t="str">
        <f>'2023'!H5</f>
        <v>JR</v>
      </c>
      <c r="N26" s="39">
        <f>'2023'!I5</f>
        <v>21.550684931506851</v>
      </c>
      <c r="O26" s="39" t="str">
        <f t="shared" si="2"/>
        <v>JITTERBUG</v>
      </c>
      <c r="P26" s="39" t="str">
        <f t="shared" ref="P26:P40" si="8">IF(OR(AND($AA26&lt;0.25,$AM26&gt;=0.133,AE26&gt;4%),(AND($O26="JITTERBUG",$AM26&gt;0.11)),(AND($O26="JITTERBUG",$AE26&gt;9.5%))),"+RECEIVER",IF(AND($AJ26&gt;=0.25,$AO26&gt;=3.81),"3DOWN",IF($AO26&gt;=3.81,"HORSE",IF(OR(AJ26&gt;0.28,AK26&gt;7,AP26&gt;47),"SLASHER",IF(AM26&gt;0.19,"+RECEIVER","PLODDER")))))</f>
        <v>+RECEIVER</v>
      </c>
      <c r="Q26" s="37">
        <f>'2023'!J5</f>
        <v>68</v>
      </c>
      <c r="R26" s="37">
        <f>'2023'!K5</f>
        <v>188</v>
      </c>
      <c r="S26" s="39">
        <f t="shared" si="5"/>
        <v>28.584985543673515</v>
      </c>
      <c r="T26" s="37">
        <f>'2023'!L5</f>
        <v>4.32</v>
      </c>
      <c r="U26" s="40">
        <f>'2023'!M5</f>
        <v>3</v>
      </c>
      <c r="V26" s="41">
        <f>'2023'!N5</f>
        <v>0</v>
      </c>
      <c r="W26" s="42">
        <f>'2023'!O5</f>
        <v>0</v>
      </c>
      <c r="X26" s="42">
        <f>'2023'!P5</f>
        <v>0.10496357012750455</v>
      </c>
      <c r="Y26" s="42">
        <f>'2023'!Q5</f>
        <v>0.24388167695254309</v>
      </c>
      <c r="Z26" s="42">
        <f>'2023'!R5</f>
        <v>0.29944547134935307</v>
      </c>
      <c r="AA26" s="42">
        <f>'2023'!S5</f>
        <v>0.29944547134935307</v>
      </c>
      <c r="AB26" s="42">
        <f>'2023'!T5</f>
        <v>0.29944547134935307</v>
      </c>
      <c r="AC26" s="42">
        <f>'2023'!U5</f>
        <v>0.10427487015581302</v>
      </c>
      <c r="AD26" s="42">
        <f>'2023'!V5</f>
        <v>7.4439802506646405E-2</v>
      </c>
      <c r="AE26" s="42">
        <f>'2023'!W5</f>
        <v>8.935733633122972E-2</v>
      </c>
      <c r="AF26" s="43">
        <f>'2023'!X5</f>
        <v>8.935733633122972E-2</v>
      </c>
      <c r="AG26" s="44">
        <f>'2023'!Y5</f>
        <v>19.909589041095892</v>
      </c>
      <c r="AH26" s="45">
        <f>'2023'!Z5</f>
        <v>107.95750962947908</v>
      </c>
      <c r="AI26" s="45">
        <f>'2023'!AA5</f>
        <v>28.582179930795846</v>
      </c>
      <c r="AJ26" s="45">
        <f>'2023'!AB5</f>
        <v>0.27692307692307694</v>
      </c>
      <c r="AK26" s="45">
        <f>'2023'!AC5</f>
        <v>6.8</v>
      </c>
      <c r="AL26" s="45">
        <f t="shared" si="3"/>
        <v>8.523076923076923</v>
      </c>
      <c r="AM26" s="45">
        <f t="shared" si="4"/>
        <v>0.15517241379310345</v>
      </c>
      <c r="AN26" s="45">
        <f>'2023'!AD5</f>
        <v>112.1</v>
      </c>
      <c r="AO26" s="45">
        <f>'2023'!AE5</f>
        <v>4.0199999999999996</v>
      </c>
      <c r="AP26" s="46">
        <f>'2023'!AF5</f>
        <v>52.1</v>
      </c>
      <c r="AQ26" s="47">
        <f>'2023'!AG5</f>
        <v>8</v>
      </c>
      <c r="AR26" s="48">
        <f>'2023'!AH5</f>
        <v>8</v>
      </c>
      <c r="AS26" s="48">
        <f>'2023'!AI5</f>
        <v>5</v>
      </c>
      <c r="AT26" s="48">
        <f>IF(AH26&gt;113.25,10,IF(AH26&gt;=107.84,9,IF(AH26&gt;=105.37,8,IF(AH26&gt;=103.25,7,IF(AH26&gt;=100.55,6,IF(AH26&gt;=98.75,5,IF(AH26&gt;=96.08,4,IF(AH26&gt;=94.39,3,IF(AH26&gt;=88.43,2,IF(AH26&gt;=85.16,1,IF(AH26&lt;85.16,0,FALSE)))))))))))</f>
        <v>9</v>
      </c>
      <c r="AU26" s="48">
        <f>'2023'!AK5</f>
        <v>7</v>
      </c>
      <c r="AV26" s="48">
        <f>'2023'!AL5</f>
        <v>7</v>
      </c>
      <c r="AW26" s="48">
        <f>'2023'!AM5</f>
        <v>5</v>
      </c>
      <c r="AX26" s="48">
        <f>'2023'!AN5</f>
        <v>5</v>
      </c>
      <c r="AY26" s="49">
        <f>'2023'!AO5</f>
        <v>6</v>
      </c>
      <c r="AZ26" s="50">
        <f>'2023'!AP5</f>
        <v>0.75</v>
      </c>
      <c r="BA26" s="56">
        <f>'2023'!AQ5</f>
        <v>0</v>
      </c>
      <c r="BB26" s="57">
        <f>'2023'!AR5</f>
        <v>2847</v>
      </c>
      <c r="BC26" s="57">
        <f>'2023'!AS5</f>
        <v>0</v>
      </c>
      <c r="BD26" s="57">
        <f>'2023'!AT5</f>
        <v>28</v>
      </c>
      <c r="BE26" s="57">
        <f>'2023'!AU5</f>
        <v>0</v>
      </c>
      <c r="BF26" s="57">
        <f>'2023'!AV5</f>
        <v>0</v>
      </c>
      <c r="BG26" s="58">
        <f>'2023'!AW5</f>
        <v>0</v>
      </c>
      <c r="BH26" s="58">
        <f>'2023'!AX5</f>
        <v>0</v>
      </c>
      <c r="BI26" s="58">
        <f>'2023'!AY5</f>
        <v>0</v>
      </c>
      <c r="BJ26" s="58">
        <f>'2023'!AZ5</f>
        <v>0</v>
      </c>
      <c r="BK26" s="57">
        <f>'2023'!BA5</f>
        <v>0</v>
      </c>
      <c r="BL26" s="57">
        <f>'2023'!BB5</f>
        <v>3284</v>
      </c>
      <c r="BM26" s="57">
        <f>'2023'!BC5</f>
        <v>0</v>
      </c>
      <c r="BN26" s="57">
        <f>'2023'!BD5</f>
        <v>0</v>
      </c>
      <c r="BO26" s="59">
        <f>'2023'!BE5</f>
        <v>25</v>
      </c>
      <c r="BP26" s="56">
        <f>'2023'!BF5</f>
        <v>0</v>
      </c>
      <c r="BQ26" s="57">
        <f>'2023'!BG5</f>
        <v>2068</v>
      </c>
      <c r="BR26" s="57">
        <f>'2023'!BH5</f>
        <v>0</v>
      </c>
      <c r="BS26" s="57">
        <f>'2023'!BI5</f>
        <v>24</v>
      </c>
      <c r="BT26" s="57">
        <f>'2023'!BJ5</f>
        <v>0</v>
      </c>
      <c r="BU26" s="57">
        <f>'2023'!BK5</f>
        <v>0</v>
      </c>
      <c r="BV26" s="58">
        <f>'2023'!BL5</f>
        <v>0</v>
      </c>
      <c r="BW26" s="58">
        <f>'2023'!BM5</f>
        <v>0</v>
      </c>
      <c r="BX26" s="58">
        <f>'2023'!BN5</f>
        <v>0</v>
      </c>
      <c r="BY26" s="58">
        <f>'2023'!BO5</f>
        <v>0</v>
      </c>
      <c r="BZ26" s="57">
        <f>'2023'!BP5</f>
        <v>0</v>
      </c>
      <c r="CA26" s="57">
        <f>'2023'!BQ5</f>
        <v>3060</v>
      </c>
      <c r="CB26" s="57">
        <f>'2023'!BR5</f>
        <v>0</v>
      </c>
      <c r="CC26" s="57">
        <f>'2023'!BS5</f>
        <v>0</v>
      </c>
      <c r="CD26" s="59">
        <f>'2023'!BT5</f>
        <v>22</v>
      </c>
      <c r="CE26" s="56">
        <f>'2023'!BU5</f>
        <v>364</v>
      </c>
      <c r="CF26" s="57">
        <f>'2023'!BV5</f>
        <v>2051</v>
      </c>
      <c r="CG26" s="57">
        <f>'2023'!BW5</f>
        <v>4</v>
      </c>
      <c r="CH26" s="57">
        <f>'2023'!BX5</f>
        <v>21</v>
      </c>
      <c r="CI26" s="57">
        <f>'2023'!BY5</f>
        <v>43</v>
      </c>
      <c r="CJ26" s="57">
        <f>'2023'!BZ5</f>
        <v>17</v>
      </c>
      <c r="CK26" s="58">
        <f>'2023'!CA5</f>
        <v>8.5</v>
      </c>
      <c r="CL26" s="58">
        <f>'2023'!CB5</f>
        <v>185.3</v>
      </c>
      <c r="CM26" s="58">
        <f>'2023'!CC5</f>
        <v>5.23</v>
      </c>
      <c r="CN26" s="58">
        <f>'2023'!CD5</f>
        <v>51.4</v>
      </c>
      <c r="CO26" s="57">
        <f>'2023'!CE5</f>
        <v>97</v>
      </c>
      <c r="CP26" s="57">
        <f>'2023'!CF5</f>
        <v>2341</v>
      </c>
      <c r="CQ26" s="57">
        <f>'2023'!CG5</f>
        <v>5</v>
      </c>
      <c r="CR26" s="57">
        <f>'2023'!CH5</f>
        <v>0</v>
      </c>
      <c r="CS26" s="59">
        <f>'2023'!CI5</f>
        <v>20</v>
      </c>
      <c r="CT26" s="56">
        <f>'2023'!CJ5</f>
        <v>885</v>
      </c>
      <c r="CU26" s="57">
        <f>'2023'!CK5</f>
        <v>2196</v>
      </c>
      <c r="CV26" s="57">
        <f>'2023'!CL5</f>
        <v>9</v>
      </c>
      <c r="CW26" s="57">
        <f>'2023'!CM5</f>
        <v>17</v>
      </c>
      <c r="CX26" s="57">
        <f>'2023'!CN5</f>
        <v>130</v>
      </c>
      <c r="CY26" s="57">
        <f>'2023'!CO5</f>
        <v>36</v>
      </c>
      <c r="CZ26" s="58">
        <f>'2023'!CP5</f>
        <v>6.8</v>
      </c>
      <c r="DA26" s="58">
        <f>'2023'!CQ5</f>
        <v>112.1</v>
      </c>
      <c r="DB26" s="58">
        <f>'2023'!CR5</f>
        <v>4.0199999999999996</v>
      </c>
      <c r="DC26" s="58">
        <f>'2023'!CS5</f>
        <v>52.1</v>
      </c>
      <c r="DD26" s="57">
        <f>'2023'!CT5</f>
        <v>261</v>
      </c>
      <c r="DE26" s="57">
        <f>'2023'!CU5</f>
        <v>2503</v>
      </c>
      <c r="DF26" s="57">
        <f>'2023'!CV5</f>
        <v>24</v>
      </c>
      <c r="DG26" s="57">
        <f>'2023'!CW5</f>
        <v>0</v>
      </c>
      <c r="DH26" s="59">
        <f>'2023'!CX5</f>
        <v>19</v>
      </c>
      <c r="DI26" s="56">
        <f>'2023'!CY5</f>
        <v>1100</v>
      </c>
      <c r="DJ26" s="57">
        <f>'2023'!CZ5</f>
        <v>1695</v>
      </c>
      <c r="DK26" s="57">
        <f>'2023'!DA5</f>
        <v>8</v>
      </c>
      <c r="DL26" s="57">
        <f>'2023'!DB5</f>
        <v>12</v>
      </c>
      <c r="DM26" s="57">
        <f>'2023'!DC5</f>
        <v>196</v>
      </c>
      <c r="DN26" s="57">
        <f>'2023'!DD5</f>
        <v>51</v>
      </c>
      <c r="DO26" s="58">
        <f>'2023'!DE5</f>
        <v>5.6</v>
      </c>
      <c r="DP26" s="58">
        <f>'2023'!DF5</f>
        <v>89.9</v>
      </c>
      <c r="DQ26" s="58">
        <f>'2023'!DG5</f>
        <v>3.6</v>
      </c>
      <c r="DR26" s="58">
        <f>'2023'!DH5</f>
        <v>42.8</v>
      </c>
      <c r="DS26" s="57">
        <f>'2023'!DI5</f>
        <v>196</v>
      </c>
      <c r="DT26" s="57">
        <f>'2023'!DJ5</f>
        <v>2633</v>
      </c>
      <c r="DU26" s="57">
        <f>'2023'!DK5</f>
        <v>36</v>
      </c>
      <c r="DV26" s="57">
        <f>'2023'!DL5</f>
        <v>0</v>
      </c>
      <c r="DW26" s="59">
        <f>'2023'!DM5</f>
        <v>18</v>
      </c>
    </row>
    <row r="27" spans="1:127" x14ac:dyDescent="0.2">
      <c r="A27" s="33">
        <f t="shared" si="0"/>
        <v>25</v>
      </c>
      <c r="B27" s="11">
        <f>'2022'!A4</f>
        <v>2</v>
      </c>
      <c r="C27" s="11">
        <v>2022</v>
      </c>
      <c r="D27" s="34" t="str">
        <f>'2022'!B4</f>
        <v>Kenneth Walker III</v>
      </c>
      <c r="E27" s="224" t="str" cm="1">
        <f t="array" ref="E27">_xlfn.IFS(F27&gt;=13,"Cornerstone",AND(F27&gt;=12,F27&lt;13),"Elite",AND(F27&gt;=11,F27&lt;12),"Elite Upside",AND(F27&gt;=9,F27&lt;11),"Upside",AND(F27&gt;=7,F27&lt;9),"Upside Lite",AND(F27&gt;=6,F27&lt;7),"Outlier",AND(F27&gt;=5,F27&lt;6),"Outlier Lite",F27&lt;5,"Purgatory")</f>
        <v>Elite Upside</v>
      </c>
      <c r="F27" s="14">
        <f>'2022'!C4</f>
        <v>11.211111111111112</v>
      </c>
      <c r="G27" s="14">
        <f t="shared" si="7"/>
        <v>92</v>
      </c>
      <c r="H27" s="35">
        <f t="shared" si="1"/>
        <v>1.3580025356712282</v>
      </c>
      <c r="I27" s="36" t="str">
        <f>'2022'!D4</f>
        <v>Michigan State</v>
      </c>
      <c r="J27" s="37">
        <f>'2022'!E4</f>
        <v>2</v>
      </c>
      <c r="K27" s="38">
        <f>'2022'!F4</f>
        <v>36819</v>
      </c>
      <c r="L27" s="39">
        <f>'2022'!G4</f>
        <v>24.953424657534246</v>
      </c>
      <c r="M27" s="39" t="str">
        <f>'2022'!H4</f>
        <v>JR</v>
      </c>
      <c r="N27" s="39">
        <f>'2022'!I4</f>
        <v>21.534246575342465</v>
      </c>
      <c r="O27" s="39" t="str">
        <f t="shared" si="2"/>
        <v>DYNAMIC</v>
      </c>
      <c r="P27" s="39" t="str">
        <f t="shared" si="8"/>
        <v>3DOWN</v>
      </c>
      <c r="Q27" s="37">
        <f>'2022'!J4</f>
        <v>69</v>
      </c>
      <c r="R27" s="37">
        <f>'2022'!K4</f>
        <v>211</v>
      </c>
      <c r="S27" s="39">
        <f t="shared" si="5"/>
        <v>31.158907854467671</v>
      </c>
      <c r="T27" s="37">
        <f>'2022'!L4</f>
        <v>4.38</v>
      </c>
      <c r="U27" s="40">
        <f>'2022'!M4</f>
        <v>2</v>
      </c>
      <c r="V27" s="41">
        <f>'2022'!N4</f>
        <v>0</v>
      </c>
      <c r="W27" s="42">
        <f>'2022'!O4</f>
        <v>0</v>
      </c>
      <c r="X27" s="42">
        <f>'2022'!P4</f>
        <v>9.8806366047745356E-2</v>
      </c>
      <c r="Y27" s="42">
        <f>'2022'!Q4</f>
        <v>0.19347581552305962</v>
      </c>
      <c r="Z27" s="42">
        <f>'2022'!R4</f>
        <v>0.30872603476079558</v>
      </c>
      <c r="AA27" s="42">
        <f>'2022'!S4</f>
        <v>0.30872603476079558</v>
      </c>
      <c r="AB27" s="42">
        <f>'2022'!T4</f>
        <v>0.30872603476079558</v>
      </c>
      <c r="AC27" s="42">
        <f>'2022'!U4</f>
        <v>1.1676312315971165E-2</v>
      </c>
      <c r="AD27" s="42">
        <f>'2022'!V4</f>
        <v>2.6986052152819892E-2</v>
      </c>
      <c r="AE27" s="42">
        <f>'2022'!W4</f>
        <v>2.6986052152819892E-2</v>
      </c>
      <c r="AF27" s="43">
        <f>'2022'!X4</f>
        <v>2.6986052152819892E-2</v>
      </c>
      <c r="AG27" s="44">
        <f>'2022'!Y4</f>
        <v>19.890410958904109</v>
      </c>
      <c r="AH27" s="45">
        <f>'2022'!Z4</f>
        <v>114.66107494144349</v>
      </c>
      <c r="AI27" s="45">
        <f>'2022'!AA4</f>
        <v>31.15584961142617</v>
      </c>
      <c r="AJ27" s="45">
        <f>'2022'!AB4</f>
        <v>0.33587786259541985</v>
      </c>
      <c r="AK27" s="45">
        <f>'2022'!AC4</f>
        <v>6.2</v>
      </c>
      <c r="AL27" s="45">
        <f t="shared" si="3"/>
        <v>7.166666666666667</v>
      </c>
      <c r="AM27" s="45">
        <f t="shared" si="4"/>
        <v>4.7272727272727272E-2</v>
      </c>
      <c r="AN27" s="45">
        <f>'2022'!AD4</f>
        <v>145.9</v>
      </c>
      <c r="AO27" s="45">
        <f>'2022'!AE4</f>
        <v>4.46</v>
      </c>
      <c r="AP27" s="46">
        <f>'2022'!AF4</f>
        <v>53.9</v>
      </c>
      <c r="AQ27" s="47">
        <f>'2022'!AG4</f>
        <v>8</v>
      </c>
      <c r="AR27" s="48">
        <f>'2022'!AH4</f>
        <v>3</v>
      </c>
      <c r="AS27" s="48">
        <f>'2022'!AI4</f>
        <v>5</v>
      </c>
      <c r="AT27" s="48">
        <f>IF(AH27&gt;113.25,10,IF(AH27&gt;=107.84,9,IF(AH27&gt;=105.37,8,IF(AH27&gt;=103.25,7,IF(AH27&gt;=100.55,6,IF(AH27&gt;=98.75,5,IF(AH27&gt;=96.08,4,IF(AH27&gt;=94.39,3,IF(AH27&gt;=88.43,2,IF(AH27&gt;=85.16,1,IF(AH27&lt;85.16,0,FALSE)))))))))))</f>
        <v>10</v>
      </c>
      <c r="AU27" s="48">
        <f>'2022'!AK4</f>
        <v>9</v>
      </c>
      <c r="AV27" s="48">
        <f>'2022'!AL4</f>
        <v>5</v>
      </c>
      <c r="AW27" s="48">
        <f>'2022'!AM4</f>
        <v>7</v>
      </c>
      <c r="AX27" s="48">
        <f>'2022'!AN4</f>
        <v>7</v>
      </c>
      <c r="AY27" s="49">
        <f>IF(U27=1,10,IF(U27=2,7,IF(U27=3,6,IF(U27=4,4,IF(U27=5,3,IF(U27=6,2,IF(U27=7,1,IF(U27=0,0,"-"))))))))</f>
        <v>7</v>
      </c>
      <c r="AZ27" s="50">
        <f>'2022'!AP4</f>
        <v>0.5</v>
      </c>
      <c r="BA27" s="56">
        <f>'2022'!AQ4</f>
        <v>0</v>
      </c>
      <c r="BB27" s="57">
        <f>'2022'!AR4</f>
        <v>2182</v>
      </c>
      <c r="BC27" s="57">
        <f>'2022'!AS4</f>
        <v>0</v>
      </c>
      <c r="BD27" s="57">
        <f>'2022'!AT4</f>
        <v>18</v>
      </c>
      <c r="BE27" s="57">
        <f>'2022'!AU4</f>
        <v>0</v>
      </c>
      <c r="BF27" s="57">
        <f>'2022'!AV4</f>
        <v>0</v>
      </c>
      <c r="BG27" s="58">
        <f>'2022'!AW4</f>
        <v>0</v>
      </c>
      <c r="BH27" s="58">
        <f>'2022'!AX4</f>
        <v>0</v>
      </c>
      <c r="BI27" s="58">
        <f>'2022'!AY4</f>
        <v>0</v>
      </c>
      <c r="BJ27" s="58">
        <f>'2022'!AZ4</f>
        <v>0</v>
      </c>
      <c r="BK27" s="57">
        <f>'2022'!BA4</f>
        <v>0</v>
      </c>
      <c r="BL27" s="57">
        <f>'2022'!BB4</f>
        <v>3599</v>
      </c>
      <c r="BM27" s="57">
        <f>'2022'!BC4</f>
        <v>0</v>
      </c>
      <c r="BN27" s="57">
        <f>'2022'!BD4</f>
        <v>0</v>
      </c>
      <c r="BO27" s="59">
        <f>'2022'!BE4</f>
        <v>33</v>
      </c>
      <c r="BP27" s="56">
        <f>'2022'!BF4</f>
        <v>0</v>
      </c>
      <c r="BQ27" s="57">
        <f>'2022'!BG4</f>
        <v>2778</v>
      </c>
      <c r="BR27" s="57">
        <f>'2022'!BH4</f>
        <v>0</v>
      </c>
      <c r="BS27" s="57">
        <f>'2022'!BI4</f>
        <v>21</v>
      </c>
      <c r="BT27" s="57">
        <f>'2022'!BJ4</f>
        <v>0</v>
      </c>
      <c r="BU27" s="57">
        <f>'2022'!BK4</f>
        <v>0</v>
      </c>
      <c r="BV27" s="58">
        <f>'2022'!BL4</f>
        <v>0</v>
      </c>
      <c r="BW27" s="58">
        <f>'2022'!BM4</f>
        <v>0</v>
      </c>
      <c r="BX27" s="58">
        <f>'2022'!BN4</f>
        <v>0</v>
      </c>
      <c r="BY27" s="58">
        <f>'2022'!BO4</f>
        <v>0</v>
      </c>
      <c r="BZ27" s="57">
        <f>'2022'!BP4</f>
        <v>0</v>
      </c>
      <c r="CA27" s="57">
        <f>'2022'!BQ4</f>
        <v>3069</v>
      </c>
      <c r="CB27" s="57">
        <f>'2022'!BR4</f>
        <v>0</v>
      </c>
      <c r="CC27" s="57">
        <f>'2022'!BS4</f>
        <v>0</v>
      </c>
      <c r="CD27" s="59">
        <f>'2022'!BT4</f>
        <v>25</v>
      </c>
      <c r="CE27" s="56">
        <f>'2022'!BU4</f>
        <v>579</v>
      </c>
      <c r="CF27" s="57">
        <f>'2022'!BV4</f>
        <v>2284</v>
      </c>
      <c r="CG27" s="57">
        <f>'2022'!BW4</f>
        <v>4</v>
      </c>
      <c r="CH27" s="57">
        <f>'2022'!BX4</f>
        <v>18</v>
      </c>
      <c r="CI27" s="57">
        <f>'2022'!BY4</f>
        <v>98</v>
      </c>
      <c r="CJ27" s="57">
        <f>'2022'!BZ4</f>
        <v>36</v>
      </c>
      <c r="CK27" s="58">
        <f>'2022'!CA4</f>
        <v>5.9</v>
      </c>
      <c r="CL27" s="58">
        <f>'2022'!CB4</f>
        <v>162.4</v>
      </c>
      <c r="CM27" s="58">
        <f>'2022'!CC4</f>
        <v>4.32</v>
      </c>
      <c r="CN27" s="58">
        <f>'2022'!CD4</f>
        <v>46.3</v>
      </c>
      <c r="CO27" s="57">
        <f>'2022'!CE4</f>
        <v>17</v>
      </c>
      <c r="CP27" s="57">
        <f>'2022'!CF4</f>
        <v>3748</v>
      </c>
      <c r="CQ27" s="57">
        <f>'2022'!CG4</f>
        <v>3</v>
      </c>
      <c r="CR27" s="57">
        <f>'2022'!CH4</f>
        <v>0</v>
      </c>
      <c r="CS27" s="59">
        <f>'2022'!CI4</f>
        <v>31</v>
      </c>
      <c r="CT27" s="56">
        <f>'2022'!CJ4</f>
        <v>579</v>
      </c>
      <c r="CU27" s="57">
        <f>'2022'!CK4</f>
        <v>1141.7</v>
      </c>
      <c r="CV27" s="57">
        <f>'2022'!CL4</f>
        <v>13</v>
      </c>
      <c r="CW27" s="57">
        <f>'2022'!CM4</f>
        <v>22</v>
      </c>
      <c r="CX27" s="57">
        <f>'2022'!CN4</f>
        <v>119</v>
      </c>
      <c r="CY27" s="57">
        <f>'2022'!CO4</f>
        <v>34</v>
      </c>
      <c r="CZ27" s="58">
        <f>'2022'!CP4</f>
        <v>4.9000000000000004</v>
      </c>
      <c r="DA27" s="58">
        <f>'2022'!CQ4</f>
        <v>107.7</v>
      </c>
      <c r="DB27" s="58">
        <f>'2022'!CR4</f>
        <v>3.83</v>
      </c>
      <c r="DC27" s="58">
        <f>'2022'!CS4</f>
        <v>24.9</v>
      </c>
      <c r="DD27" s="57">
        <f>'2022'!CT4</f>
        <v>23</v>
      </c>
      <c r="DE27" s="57">
        <f>'2022'!CU4</f>
        <v>1969.7999999999997</v>
      </c>
      <c r="DF27" s="57">
        <f>'2022'!CV4</f>
        <v>2</v>
      </c>
      <c r="DG27" s="57">
        <f>'2022'!CW4</f>
        <v>0</v>
      </c>
      <c r="DH27" s="59">
        <f>'2022'!CX4</f>
        <v>14</v>
      </c>
      <c r="DI27" s="56">
        <f>'2022'!CY4</f>
        <v>1634</v>
      </c>
      <c r="DJ27" s="57">
        <f>'2022'!CZ4</f>
        <v>2283</v>
      </c>
      <c r="DK27" s="57">
        <f>'2022'!DA4</f>
        <v>18</v>
      </c>
      <c r="DL27" s="57">
        <f>'2022'!DB4</f>
        <v>23</v>
      </c>
      <c r="DM27" s="57">
        <f>'2022'!DC4</f>
        <v>262</v>
      </c>
      <c r="DN27" s="57">
        <f>'2022'!DD4</f>
        <v>88</v>
      </c>
      <c r="DO27" s="58">
        <f>'2022'!DE4</f>
        <v>6.2</v>
      </c>
      <c r="DP27" s="58">
        <f>'2022'!DF4</f>
        <v>145.9</v>
      </c>
      <c r="DQ27" s="58">
        <f>'2022'!DG4</f>
        <v>4.46</v>
      </c>
      <c r="DR27" s="58">
        <f>'2022'!DH4</f>
        <v>53.9</v>
      </c>
      <c r="DS27" s="57">
        <f>'2022'!DI4</f>
        <v>89</v>
      </c>
      <c r="DT27" s="57">
        <f>'2022'!DJ4</f>
        <v>3298</v>
      </c>
      <c r="DU27" s="57">
        <f>'2022'!DK4</f>
        <v>13</v>
      </c>
      <c r="DV27" s="57">
        <f>'2022'!DL4</f>
        <v>0</v>
      </c>
      <c r="DW27" s="59">
        <f>'2022'!DM4</f>
        <v>27</v>
      </c>
    </row>
    <row r="28" spans="1:127" x14ac:dyDescent="0.2">
      <c r="A28" s="33">
        <f t="shared" si="0"/>
        <v>25</v>
      </c>
      <c r="B28" s="11">
        <f>'2019'!A3</f>
        <v>1</v>
      </c>
      <c r="C28" s="11">
        <v>2019</v>
      </c>
      <c r="D28" s="34" t="str">
        <f>'2019'!B3</f>
        <v>Josh Jacobs</v>
      </c>
      <c r="E28" s="224" t="str" cm="1">
        <f t="array" ref="E28">_xlfn.IFS(F28&gt;=13,"Cornerstone",AND(F28&gt;=12,F28&lt;13),"Elite",AND(F28&gt;=11,F28&lt;12),"Elite Upside",AND(F28&gt;=9,F28&lt;11),"Upside",AND(F28&gt;=7,F28&lt;9),"Upside Lite",AND(F28&gt;=6,F28&lt;7),"Outlier",AND(F28&gt;=5,F28&lt;6),"Outlier Lite",F28&lt;5,"Purgatory")</f>
        <v>Elite Upside</v>
      </c>
      <c r="F28" s="14">
        <f>'2019'!C3</f>
        <v>11.211111111111112</v>
      </c>
      <c r="G28" s="14">
        <f t="shared" si="7"/>
        <v>92</v>
      </c>
      <c r="H28" s="35">
        <f t="shared" si="1"/>
        <v>1.3580025356712282</v>
      </c>
      <c r="I28" s="36" t="str">
        <f>'2019'!D3</f>
        <v>Alabama</v>
      </c>
      <c r="J28" s="37">
        <f>'2019'!E3</f>
        <v>1</v>
      </c>
      <c r="K28" s="38">
        <f>'2019'!F3</f>
        <v>35837</v>
      </c>
      <c r="L28" s="39">
        <f>'2019'!G3</f>
        <v>27.643835616438356</v>
      </c>
      <c r="M28" s="39" t="str">
        <f>'2019'!H3</f>
        <v>JR</v>
      </c>
      <c r="N28" s="39">
        <f>'2019'!I3</f>
        <v>21.213698630136985</v>
      </c>
      <c r="O28" s="39" t="str">
        <f t="shared" si="2"/>
        <v>BELL CALF</v>
      </c>
      <c r="P28" s="39" t="str">
        <f t="shared" si="8"/>
        <v>+RECEIVER</v>
      </c>
      <c r="Q28" s="37">
        <f>'2019'!J3</f>
        <v>70</v>
      </c>
      <c r="R28" s="37">
        <f>'2019'!K3</f>
        <v>220</v>
      </c>
      <c r="S28" s="39">
        <f t="shared" si="5"/>
        <v>31.566363540890343</v>
      </c>
      <c r="T28" s="37">
        <f>'2019'!L3</f>
        <v>4.5199999999999996</v>
      </c>
      <c r="U28" s="40">
        <f>'2019'!M3</f>
        <v>1</v>
      </c>
      <c r="V28" s="41">
        <f>'2019'!N3</f>
        <v>0</v>
      </c>
      <c r="W28" s="42">
        <f>'2019'!O3</f>
        <v>0</v>
      </c>
      <c r="X28" s="42">
        <f>'2019'!P3</f>
        <v>0.10704349099428906</v>
      </c>
      <c r="Y28" s="42">
        <f>'2019'!Q3</f>
        <v>9.0963855421686751E-2</v>
      </c>
      <c r="Z28" s="42">
        <f>'2019'!R3</f>
        <v>0.1532567049808429</v>
      </c>
      <c r="AA28" s="42">
        <f>'2019'!S3</f>
        <v>0.1532567049808429</v>
      </c>
      <c r="AB28" s="42">
        <f>'2019'!T3</f>
        <v>0.1532567049808429</v>
      </c>
      <c r="AC28" s="42">
        <f>'2019'!U3</f>
        <v>7.780847145488029E-2</v>
      </c>
      <c r="AD28" s="42">
        <f>'2019'!V3</f>
        <v>6.1804697156983932E-2</v>
      </c>
      <c r="AE28" s="42">
        <f>'2019'!W3</f>
        <v>6.9806584305932118E-2</v>
      </c>
      <c r="AF28" s="43">
        <f>'2019'!X3</f>
        <v>6.9806584305932118E-2</v>
      </c>
      <c r="AG28" s="44">
        <f>'2019'!Y3</f>
        <v>20.564383561643837</v>
      </c>
      <c r="AH28" s="45">
        <f>'2019'!Z3</f>
        <v>105.4141563198929</v>
      </c>
      <c r="AI28" s="45">
        <f>'2019'!AA3</f>
        <v>31.563265306122446</v>
      </c>
      <c r="AJ28" s="45">
        <f>'2019'!AB3</f>
        <v>0.27272727272727271</v>
      </c>
      <c r="AK28" s="45">
        <f>'2019'!AC3</f>
        <v>6.2</v>
      </c>
      <c r="AL28" s="45">
        <f t="shared" si="3"/>
        <v>13.25</v>
      </c>
      <c r="AM28" s="45">
        <f t="shared" si="4"/>
        <v>0.14184397163120568</v>
      </c>
      <c r="AN28" s="45">
        <f>'2019'!AD3</f>
        <v>109.8</v>
      </c>
      <c r="AO28" s="45">
        <f>'2019'!AE3</f>
        <v>4.07</v>
      </c>
      <c r="AP28" s="46">
        <f>'2019'!AF3</f>
        <v>23.6</v>
      </c>
      <c r="AQ28" s="47">
        <f>'2019'!AG3</f>
        <v>2</v>
      </c>
      <c r="AR28" s="48">
        <f>'2019'!AH3</f>
        <v>7</v>
      </c>
      <c r="AS28" s="48">
        <f>'2019'!AI3</f>
        <v>3</v>
      </c>
      <c r="AT28" s="48">
        <f>IF(AH28&gt;113.25,10,IF(AH28&gt;=107.84,9,IF(AH28&gt;=105.37,8,IF(AH28&gt;=103.25,7,IF(AH28&gt;=100.55,6,IF(AH28&gt;=98.75,5,IF(AH28&gt;=96.08,4,IF(AH28&gt;=94.39,3,IF(AH28&gt;=88.43,2,IF(AH28&gt;=85.16,1,IF(AH28&lt;85.16,0,FALSE)))))))))))</f>
        <v>8</v>
      </c>
      <c r="AU28" s="48">
        <f>'2019'!AK3</f>
        <v>7</v>
      </c>
      <c r="AV28" s="48">
        <f>'2019'!AL3</f>
        <v>5</v>
      </c>
      <c r="AW28" s="48">
        <f>'2019'!AM3</f>
        <v>5</v>
      </c>
      <c r="AX28" s="48">
        <f>'2019'!AN3</f>
        <v>5</v>
      </c>
      <c r="AY28" s="49">
        <f>IF(U28=1,10,IF(U28=2,7,IF(U28=3,6,IF(U28=4,4,IF(U28=5,3,IF(U28=6,2,IF(U28=7,1,IF(U28=0,0,"-"))))))))</f>
        <v>10</v>
      </c>
      <c r="AZ28" s="50">
        <f>'2019'!AP3</f>
        <v>1</v>
      </c>
      <c r="BA28" s="56">
        <f>'2019'!AQ3</f>
        <v>0</v>
      </c>
      <c r="BB28" s="57">
        <f>'2019'!AR3</f>
        <v>2893</v>
      </c>
      <c r="BC28" s="57">
        <f>'2019'!AS3</f>
        <v>0</v>
      </c>
      <c r="BD28" s="57">
        <f>'2019'!AT3</f>
        <v>35</v>
      </c>
      <c r="BE28" s="57">
        <f>'2019'!AU3</f>
        <v>0</v>
      </c>
      <c r="BF28" s="57">
        <f>'2019'!AV3</f>
        <v>0</v>
      </c>
      <c r="BG28" s="58">
        <f>'2019'!AW3</f>
        <v>0</v>
      </c>
      <c r="BH28" s="58">
        <f>'2019'!AX3</f>
        <v>0</v>
      </c>
      <c r="BI28" s="58">
        <f>'2019'!AY3</f>
        <v>0</v>
      </c>
      <c r="BJ28" s="58">
        <f>'2019'!AZ3</f>
        <v>0</v>
      </c>
      <c r="BK28" s="57">
        <f>'2019'!BA3</f>
        <v>0</v>
      </c>
      <c r="BL28" s="57">
        <f>'2019'!BB3</f>
        <v>3890</v>
      </c>
      <c r="BM28" s="57">
        <f>'2019'!BC3</f>
        <v>0</v>
      </c>
      <c r="BN28" s="57">
        <f>'2019'!BD3</f>
        <v>0</v>
      </c>
      <c r="BO28" s="59">
        <f>'2019'!BE3</f>
        <v>32</v>
      </c>
      <c r="BP28" s="56">
        <f>'2019'!BF3</f>
        <v>0</v>
      </c>
      <c r="BQ28" s="57">
        <f>'2019'!BG3</f>
        <v>2999</v>
      </c>
      <c r="BR28" s="57">
        <f>'2019'!BH3</f>
        <v>0</v>
      </c>
      <c r="BS28" s="57">
        <f>'2019'!BI3</f>
        <v>33</v>
      </c>
      <c r="BT28" s="57">
        <f>'2019'!BJ3</f>
        <v>0</v>
      </c>
      <c r="BU28" s="57">
        <f>'2019'!BK3</f>
        <v>0</v>
      </c>
      <c r="BV28" s="58">
        <f>'2019'!BL3</f>
        <v>0</v>
      </c>
      <c r="BW28" s="58">
        <f>'2019'!BM3</f>
        <v>0</v>
      </c>
      <c r="BX28" s="58">
        <f>'2019'!BN3</f>
        <v>0</v>
      </c>
      <c r="BY28" s="58">
        <f>'2019'!BO3</f>
        <v>0</v>
      </c>
      <c r="BZ28" s="57">
        <f>'2019'!BP3</f>
        <v>0</v>
      </c>
      <c r="CA28" s="57">
        <f>'2019'!BQ3</f>
        <v>3407</v>
      </c>
      <c r="CB28" s="57">
        <f>'2019'!BR3</f>
        <v>0</v>
      </c>
      <c r="CC28" s="57">
        <f>'2019'!BS3</f>
        <v>0</v>
      </c>
      <c r="CD28" s="59">
        <f>'2019'!BT3</f>
        <v>22</v>
      </c>
      <c r="CE28" s="56">
        <f>'2019'!BU3</f>
        <v>564</v>
      </c>
      <c r="CF28" s="57">
        <f>'2019'!BV3</f>
        <v>3675</v>
      </c>
      <c r="CG28" s="57">
        <f>'2019'!BW3</f>
        <v>4</v>
      </c>
      <c r="CH28" s="57">
        <f>'2019'!BX3</f>
        <v>33</v>
      </c>
      <c r="CI28" s="57">
        <f>'2019'!BY3</f>
        <v>86</v>
      </c>
      <c r="CJ28" s="57">
        <f>'2019'!BZ3</f>
        <v>26</v>
      </c>
      <c r="CK28" s="58">
        <f>'2019'!CA3</f>
        <v>6.6</v>
      </c>
      <c r="CL28" s="58">
        <f>'2019'!CB3</f>
        <v>165.8</v>
      </c>
      <c r="CM28" s="58">
        <f>'2019'!CC3</f>
        <v>4.5999999999999996</v>
      </c>
      <c r="CN28" s="58">
        <f>'2019'!CD3</f>
        <v>45.2</v>
      </c>
      <c r="CO28" s="57">
        <f>'2019'!CE3</f>
        <v>167</v>
      </c>
      <c r="CP28" s="57">
        <f>'2019'!CF3</f>
        <v>3154</v>
      </c>
      <c r="CQ28" s="57">
        <f>'2019'!CG3</f>
        <v>14</v>
      </c>
      <c r="CR28" s="57">
        <f>'2019'!CH3</f>
        <v>0</v>
      </c>
      <c r="CS28" s="59">
        <f>'2019'!CI3</f>
        <v>26</v>
      </c>
      <c r="CT28" s="56">
        <f>'2019'!CJ3</f>
        <v>284</v>
      </c>
      <c r="CU28" s="57">
        <f>'2019'!CK3</f>
        <v>2808</v>
      </c>
      <c r="CV28" s="57">
        <f>'2019'!CL3</f>
        <v>1</v>
      </c>
      <c r="CW28" s="57">
        <f>'2019'!CM3</f>
        <v>36</v>
      </c>
      <c r="CX28" s="57">
        <f>'2019'!CN3</f>
        <v>46</v>
      </c>
      <c r="CY28" s="57">
        <f>'2019'!CO3</f>
        <v>4</v>
      </c>
      <c r="CZ28" s="58">
        <f>'2019'!CP3</f>
        <v>6.2</v>
      </c>
      <c r="DA28" s="58">
        <f>'2019'!CQ3</f>
        <v>53.6</v>
      </c>
      <c r="DB28" s="58">
        <f>'2019'!CR3</f>
        <v>3.22</v>
      </c>
      <c r="DC28" s="58">
        <f>'2019'!CS3</f>
        <v>23.6</v>
      </c>
      <c r="DD28" s="57">
        <f>'2019'!CT3</f>
        <v>169</v>
      </c>
      <c r="DE28" s="57">
        <f>'2019'!CU3</f>
        <v>2172</v>
      </c>
      <c r="DF28" s="57">
        <f>'2019'!CV3</f>
        <v>14</v>
      </c>
      <c r="DG28" s="57">
        <f>'2019'!CW3</f>
        <v>0</v>
      </c>
      <c r="DH28" s="59">
        <f>'2019'!CX3</f>
        <v>28</v>
      </c>
      <c r="DI28" s="56">
        <f>'2019'!CY3</f>
        <v>900</v>
      </c>
      <c r="DJ28" s="57">
        <f>'2019'!CZ3</f>
        <v>2976</v>
      </c>
      <c r="DK28" s="57">
        <f>'2019'!DA3</f>
        <v>11</v>
      </c>
      <c r="DL28" s="57">
        <f>'2019'!DB3</f>
        <v>33</v>
      </c>
      <c r="DM28" s="57">
        <f>'2019'!DC3</f>
        <v>121</v>
      </c>
      <c r="DN28" s="57">
        <f>'2019'!DD3</f>
        <v>33</v>
      </c>
      <c r="DO28" s="58">
        <f>'2019'!DE3</f>
        <v>5.3</v>
      </c>
      <c r="DP28" s="58">
        <f>'2019'!DF3</f>
        <v>109.8</v>
      </c>
      <c r="DQ28" s="58">
        <f>'2019'!DG3</f>
        <v>4.07</v>
      </c>
      <c r="DR28" s="58">
        <f>'2019'!DH3</f>
        <v>22.8</v>
      </c>
      <c r="DS28" s="57">
        <f>'2019'!DI3</f>
        <v>300</v>
      </c>
      <c r="DT28" s="57">
        <f>'2019'!DJ3</f>
        <v>4854</v>
      </c>
      <c r="DU28" s="57">
        <f>'2019'!DK3</f>
        <v>20</v>
      </c>
      <c r="DV28" s="57">
        <f>'2019'!DL3</f>
        <v>0</v>
      </c>
      <c r="DW28" s="59">
        <f>'2019'!DM3</f>
        <v>52</v>
      </c>
    </row>
    <row r="29" spans="1:127" x14ac:dyDescent="0.2">
      <c r="A29" s="33">
        <f t="shared" si="0"/>
        <v>27</v>
      </c>
      <c r="B29" s="11">
        <f>'2025'!A7</f>
        <v>5</v>
      </c>
      <c r="C29" s="11">
        <v>2025</v>
      </c>
      <c r="D29" s="34" t="str">
        <f>'2025'!B7</f>
        <v>Quinshon Judkins</v>
      </c>
      <c r="E29" s="224" t="str" cm="1">
        <f t="array" ref="E29">_xlfn.IFS(F29&gt;=13,"Cornerstone",AND(F29&gt;=12,F29&lt;13),"Elite",AND(F29&gt;=11,F29&lt;12),"Elite Upside",AND(F29&gt;=9,F29&lt;11),"Upside",AND(F29&gt;=7,F29&lt;9),"Upside Lite",AND(F29&gt;=6,F29&lt;7),"Outlier",AND(F29&gt;=5,F29&lt;6),"Outlier Lite",F29&lt;5,"Purgatory")</f>
        <v>Elite Upside</v>
      </c>
      <c r="F29" s="14">
        <f>'2025'!C7</f>
        <v>11.06111111111111</v>
      </c>
      <c r="G29" s="14">
        <f t="shared" si="7"/>
        <v>91.7</v>
      </c>
      <c r="H29" s="35">
        <f t="shared" si="1"/>
        <v>1.2945187760352814</v>
      </c>
      <c r="I29" s="36" t="str">
        <f>'2025'!D7</f>
        <v>Ohio State</v>
      </c>
      <c r="J29" s="37">
        <f>'2025'!E7</f>
        <v>2</v>
      </c>
      <c r="K29" s="38">
        <f>'2025'!F7</f>
        <v>37923</v>
      </c>
      <c r="L29" s="39">
        <f>'2025'!G7</f>
        <v>21.92876712328767</v>
      </c>
      <c r="M29" s="39" t="str">
        <f>'2025'!H7</f>
        <v>JR</v>
      </c>
      <c r="N29" s="39">
        <f>'2025'!I7</f>
        <v>21.509589041095889</v>
      </c>
      <c r="O29" s="39" t="str">
        <f t="shared" si="2"/>
        <v>FREAK</v>
      </c>
      <c r="P29" s="39" t="str">
        <f t="shared" si="8"/>
        <v>SLASHER</v>
      </c>
      <c r="Q29" s="37">
        <f>'2025'!J7</f>
        <v>72</v>
      </c>
      <c r="R29" s="37">
        <f>'2025'!K7</f>
        <v>230</v>
      </c>
      <c r="S29" s="39">
        <f t="shared" si="5"/>
        <v>31.193262232203477</v>
      </c>
      <c r="T29" s="37">
        <f>'2025'!L7</f>
        <v>4.4800000000000004</v>
      </c>
      <c r="U29" s="40">
        <f>'2025'!M7</f>
        <v>2</v>
      </c>
      <c r="V29" s="41">
        <f>'2025'!N7</f>
        <v>0</v>
      </c>
      <c r="W29" s="42">
        <f>'2025'!O7</f>
        <v>0</v>
      </c>
      <c r="X29" s="42">
        <f>'2025'!P7</f>
        <v>0.26328023306266657</v>
      </c>
      <c r="Y29" s="42">
        <f>'2025'!Q7</f>
        <v>0.21782936699585323</v>
      </c>
      <c r="Z29" s="42">
        <f>'2025'!R7</f>
        <v>0.17772925764192141</v>
      </c>
      <c r="AA29" s="42">
        <f>'2025'!S7</f>
        <v>0.26328023306266657</v>
      </c>
      <c r="AB29" s="42">
        <f>'2025'!T7</f>
        <v>0.26328023306266657</v>
      </c>
      <c r="AC29" s="42">
        <f>'2025'!U7</f>
        <v>4.0131437190260716E-2</v>
      </c>
      <c r="AD29" s="42">
        <f>'2025'!V7</f>
        <v>3.826045627376426E-2</v>
      </c>
      <c r="AE29" s="42">
        <f>'2025'!W7</f>
        <v>3.9195946732012488E-2</v>
      </c>
      <c r="AF29" s="43">
        <f>'2025'!X7</f>
        <v>3.9195946732012488E-2</v>
      </c>
      <c r="AG29" s="44">
        <f>'2025'!Y7</f>
        <v>18.865753424657534</v>
      </c>
      <c r="AH29" s="45">
        <f>'2025'!Z7</f>
        <v>114.1946547133681</v>
      </c>
      <c r="AI29" s="45">
        <f>'2025'!AA7</f>
        <v>31.190200617283953</v>
      </c>
      <c r="AJ29" s="45">
        <f>'2025'!AB7</f>
        <v>0.28782287822878228</v>
      </c>
      <c r="AK29" s="45">
        <f>'2025'!AC7</f>
        <v>5.6981818181818182</v>
      </c>
      <c r="AL29" s="45">
        <f t="shared" si="3"/>
        <v>7.4915254237288131</v>
      </c>
      <c r="AM29" s="45">
        <f t="shared" si="4"/>
        <v>0.10232558139534884</v>
      </c>
      <c r="AN29" s="45">
        <f>'2025'!AD7</f>
        <v>95.5</v>
      </c>
      <c r="AO29" s="45">
        <f>'2025'!AE7</f>
        <v>3.38</v>
      </c>
      <c r="AP29" s="46">
        <f>'2025'!AF7</f>
        <v>47.2</v>
      </c>
      <c r="AQ29" s="47">
        <f>'2025'!AG7</f>
        <v>7</v>
      </c>
      <c r="AR29" s="48">
        <f>'2025'!AH7</f>
        <v>4</v>
      </c>
      <c r="AS29" s="48">
        <f>'2025'!AI7</f>
        <v>9</v>
      </c>
      <c r="AT29" s="48">
        <f>'2025'!AJ7</f>
        <v>10</v>
      </c>
      <c r="AU29" s="48">
        <f>'2025'!AK7</f>
        <v>8</v>
      </c>
      <c r="AV29" s="48">
        <f>'2025'!AL7</f>
        <v>3</v>
      </c>
      <c r="AW29" s="48">
        <f>'2025'!AM7</f>
        <v>4</v>
      </c>
      <c r="AX29" s="48">
        <f>'2025'!AN7</f>
        <v>2</v>
      </c>
      <c r="AY29" s="49">
        <f>'2025'!AO7</f>
        <v>7</v>
      </c>
      <c r="AZ29" s="50">
        <f>'2025'!AP7</f>
        <v>1</v>
      </c>
      <c r="BA29" s="56">
        <f>'2025'!AQ7</f>
        <v>0</v>
      </c>
      <c r="BB29" s="57">
        <f>'2025'!AR7</f>
        <v>1</v>
      </c>
      <c r="BC29" s="57">
        <f>'2025'!AS7</f>
        <v>0</v>
      </c>
      <c r="BD29" s="57">
        <f>'2025'!AT7</f>
        <v>0</v>
      </c>
      <c r="BE29" s="57">
        <f>'2025'!AU7</f>
        <v>0</v>
      </c>
      <c r="BF29" s="57">
        <f>'2025'!AV7</f>
        <v>0</v>
      </c>
      <c r="BG29" s="58">
        <f>'2025'!AW7</f>
        <v>0</v>
      </c>
      <c r="BH29" s="58">
        <f>'2025'!AX7</f>
        <v>0</v>
      </c>
      <c r="BI29" s="58">
        <f>'2025'!AY7</f>
        <v>0</v>
      </c>
      <c r="BJ29" s="58">
        <f>'2025'!AZ7</f>
        <v>0</v>
      </c>
      <c r="BK29" s="57">
        <f>'2025'!BA7</f>
        <v>0</v>
      </c>
      <c r="BL29" s="57">
        <f>'2025'!BB7</f>
        <v>0</v>
      </c>
      <c r="BM29" s="57">
        <f>'2025'!BC7</f>
        <v>0</v>
      </c>
      <c r="BN29" s="57">
        <f>'2025'!BD7</f>
        <v>0</v>
      </c>
      <c r="BO29" s="59">
        <f>'2025'!BE7</f>
        <v>0</v>
      </c>
      <c r="BP29" s="56">
        <f>'2025'!BF7</f>
        <v>0</v>
      </c>
      <c r="BQ29" s="57">
        <f>'2025'!BG7</f>
        <v>1</v>
      </c>
      <c r="BR29" s="57">
        <f>'2025'!BH7</f>
        <v>0</v>
      </c>
      <c r="BS29" s="57">
        <f>'2025'!BI7</f>
        <v>0</v>
      </c>
      <c r="BT29" s="57">
        <f>'2025'!BJ7</f>
        <v>0</v>
      </c>
      <c r="BU29" s="57">
        <f>'2025'!BK7</f>
        <v>0</v>
      </c>
      <c r="BV29" s="58">
        <f>'2025'!BL7</f>
        <v>0</v>
      </c>
      <c r="BW29" s="58">
        <f>'2025'!BM7</f>
        <v>0</v>
      </c>
      <c r="BX29" s="58">
        <f>'2025'!BN7</f>
        <v>0</v>
      </c>
      <c r="BY29" s="58">
        <f>'2025'!BO7</f>
        <v>0</v>
      </c>
      <c r="BZ29" s="57">
        <f>'2025'!BP7</f>
        <v>0</v>
      </c>
      <c r="CA29" s="57">
        <f>'2025'!BQ7</f>
        <v>0</v>
      </c>
      <c r="CB29" s="57">
        <f>'2025'!BR7</f>
        <v>0</v>
      </c>
      <c r="CC29" s="57">
        <f>'2025'!BS7</f>
        <v>0</v>
      </c>
      <c r="CD29" s="59">
        <f>'2025'!BT7</f>
        <v>0</v>
      </c>
      <c r="CE29" s="56">
        <f>'2025'!BU7</f>
        <v>1567</v>
      </c>
      <c r="CF29" s="57">
        <f>'2025'!BV7</f>
        <v>3335.8</v>
      </c>
      <c r="CG29" s="57">
        <f>'2025'!BW7</f>
        <v>16</v>
      </c>
      <c r="CH29" s="57">
        <f>'2025'!BX7</f>
        <v>32.5</v>
      </c>
      <c r="CI29" s="57">
        <f>'2025'!BY7</f>
        <v>275</v>
      </c>
      <c r="CJ29" s="57">
        <f>'2025'!BZ7</f>
        <v>76</v>
      </c>
      <c r="CK29" s="58">
        <f>'2025'!CA7</f>
        <v>5.6981818181818182</v>
      </c>
      <c r="CL29" s="58">
        <f>'2025'!CB7</f>
        <v>95.5</v>
      </c>
      <c r="CM29" s="58">
        <f>'2025'!CC7</f>
        <v>3.38</v>
      </c>
      <c r="CN29" s="58">
        <f>'2025'!CD7</f>
        <v>47.2</v>
      </c>
      <c r="CO29" s="57">
        <f>'2025'!CE7</f>
        <v>132</v>
      </c>
      <c r="CP29" s="57">
        <f>'2025'!CF7</f>
        <v>3117.4</v>
      </c>
      <c r="CQ29" s="57">
        <f>'2025'!CG7</f>
        <v>15</v>
      </c>
      <c r="CR29" s="57">
        <f>'2025'!CH7</f>
        <v>1</v>
      </c>
      <c r="CS29" s="59">
        <f>'2025'!CI7</f>
        <v>22.099999999999998</v>
      </c>
      <c r="CT29" s="56">
        <f>'2025'!CJ7</f>
        <v>1159</v>
      </c>
      <c r="CU29" s="57">
        <f>'2025'!CK7</f>
        <v>2291.9</v>
      </c>
      <c r="CV29" s="57">
        <f>'2025'!CL7</f>
        <v>15</v>
      </c>
      <c r="CW29" s="57">
        <f>'2025'!CM7</f>
        <v>28.6</v>
      </c>
      <c r="CX29" s="57">
        <f>'2025'!CN7</f>
        <v>271</v>
      </c>
      <c r="CY29" s="57">
        <f>'2025'!CO7</f>
        <v>78</v>
      </c>
      <c r="CZ29" s="58">
        <f>'2025'!CP7</f>
        <v>4.2767527675276753</v>
      </c>
      <c r="DA29" s="58">
        <f>'2025'!CQ7</f>
        <v>86.7</v>
      </c>
      <c r="DB29" s="58">
        <f>'2025'!CR7</f>
        <v>3.21</v>
      </c>
      <c r="DC29" s="58">
        <f>'2025'!CS7</f>
        <v>27.5</v>
      </c>
      <c r="DD29" s="57">
        <f>'2025'!CT7</f>
        <v>149</v>
      </c>
      <c r="DE29" s="57">
        <f>'2025'!CU7</f>
        <v>3712.8</v>
      </c>
      <c r="DF29" s="57">
        <f>'2025'!CV7</f>
        <v>22</v>
      </c>
      <c r="DG29" s="57">
        <f>'2025'!CW7</f>
        <v>2</v>
      </c>
      <c r="DH29" s="59">
        <f>'2025'!CX7</f>
        <v>26</v>
      </c>
      <c r="DI29" s="56">
        <f>'2025'!CY7</f>
        <v>1060</v>
      </c>
      <c r="DJ29" s="57">
        <f>'2025'!CZ7</f>
        <v>2662</v>
      </c>
      <c r="DK29" s="57">
        <f>'2025'!DA7</f>
        <v>14</v>
      </c>
      <c r="DL29" s="57">
        <f>'2025'!DB7</f>
        <v>24</v>
      </c>
      <c r="DM29" s="57">
        <f>'2025'!DC7</f>
        <v>193</v>
      </c>
      <c r="DN29" s="57">
        <f>'2025'!DD7</f>
        <v>43</v>
      </c>
      <c r="DO29" s="58">
        <f>'2025'!DE7</f>
        <v>5.4922279792746114</v>
      </c>
      <c r="DP29" s="58">
        <f>'2025'!DF7</f>
        <v>69.3</v>
      </c>
      <c r="DQ29" s="58">
        <f>'2025'!DG7</f>
        <v>3.04</v>
      </c>
      <c r="DR29" s="58">
        <f>'2025'!DH7</f>
        <v>41.2</v>
      </c>
      <c r="DS29" s="57">
        <f>'2025'!DI7</f>
        <v>161</v>
      </c>
      <c r="DT29" s="57">
        <f>'2025'!DJ7</f>
        <v>4208</v>
      </c>
      <c r="DU29" s="57">
        <f>'2025'!DK7</f>
        <v>22</v>
      </c>
      <c r="DV29" s="57">
        <f>'2025'!DL7</f>
        <v>2</v>
      </c>
      <c r="DW29" s="59">
        <f>'2025'!DM7</f>
        <v>28.799999999999997</v>
      </c>
    </row>
    <row r="30" spans="1:127" x14ac:dyDescent="0.2">
      <c r="A30" s="33">
        <f t="shared" si="0"/>
        <v>28</v>
      </c>
      <c r="B30" s="11">
        <f>'2018'!A4</f>
        <v>2</v>
      </c>
      <c r="C30" s="11">
        <v>2018</v>
      </c>
      <c r="D30" s="34" t="str">
        <f>'2018'!B4</f>
        <v>Derrius Guice</v>
      </c>
      <c r="E30" s="224" t="str" cm="1">
        <f t="array" ref="E30">_xlfn.IFS(F30&gt;=13,"Cornerstone",AND(F30&gt;=12,F30&lt;13),"Elite",AND(F30&gt;=11,F30&lt;12),"Elite Upside",AND(F30&gt;=9,F30&lt;11),"Upside",AND(F30&gt;=7,F30&lt;9),"Upside Lite",AND(F30&gt;=6,F30&lt;7),"Outlier",AND(F30&gt;=5,F30&lt;6),"Outlier Lite",F30&lt;5,"Purgatory")</f>
        <v>Elite Upside</v>
      </c>
      <c r="F30" s="14">
        <f>'2018'!C4</f>
        <v>11.022222222222222</v>
      </c>
      <c r="G30" s="14">
        <f t="shared" si="7"/>
        <v>91.4</v>
      </c>
      <c r="H30" s="35">
        <f t="shared" si="1"/>
        <v>1.2780600235370736</v>
      </c>
      <c r="I30" s="36" t="str">
        <f>'2018'!D4</f>
        <v>LSU</v>
      </c>
      <c r="J30" s="37">
        <f>'2018'!E4</f>
        <v>1</v>
      </c>
      <c r="K30" s="38">
        <f>'2018'!F4</f>
        <v>35602</v>
      </c>
      <c r="L30" s="39">
        <f>'2018'!G4</f>
        <v>28.287671232876711</v>
      </c>
      <c r="M30" s="39" t="str">
        <f>'2018'!H4</f>
        <v>JR</v>
      </c>
      <c r="N30" s="39">
        <f>'2018'!I4</f>
        <v>20.860273972602741</v>
      </c>
      <c r="O30" s="39" t="str">
        <f t="shared" si="2"/>
        <v>FREAK</v>
      </c>
      <c r="P30" s="39" t="str">
        <f t="shared" si="8"/>
        <v>3DOWN</v>
      </c>
      <c r="Q30" s="37">
        <f>'2018'!J4</f>
        <v>70</v>
      </c>
      <c r="R30" s="37">
        <f>'2018'!K4</f>
        <v>224</v>
      </c>
      <c r="S30" s="39">
        <f t="shared" si="5"/>
        <v>32.14029742345199</v>
      </c>
      <c r="T30" s="37">
        <f>'2018'!L4</f>
        <v>4.49</v>
      </c>
      <c r="U30" s="40">
        <f>'2018'!M4</f>
        <v>2</v>
      </c>
      <c r="V30" s="41">
        <f>'2018'!N4</f>
        <v>0</v>
      </c>
      <c r="W30" s="42">
        <f>'2018'!O4</f>
        <v>0</v>
      </c>
      <c r="X30" s="42">
        <f>'2018'!P4</f>
        <v>8.8240899561654276E-2</v>
      </c>
      <c r="Y30" s="42">
        <f>'2018'!Q4</f>
        <v>0.29407130194997044</v>
      </c>
      <c r="Z30" s="42">
        <f>'2018'!R4</f>
        <v>0.25804640718562877</v>
      </c>
      <c r="AA30" s="42">
        <f>'2018'!S4</f>
        <v>0.27605885456779961</v>
      </c>
      <c r="AB30" s="42">
        <f>'2018'!T4</f>
        <v>0.27605885456779961</v>
      </c>
      <c r="AC30" s="42">
        <f>'2018'!U4</f>
        <v>4.6470846120122755E-2</v>
      </c>
      <c r="AD30" s="42">
        <f>'2018'!V4</f>
        <v>4.6880907372400756E-2</v>
      </c>
      <c r="AE30" s="42">
        <f>'2018'!W4</f>
        <v>4.6880907372400756E-2</v>
      </c>
      <c r="AF30" s="43">
        <f>'2018'!X4</f>
        <v>4.6880907372400756E-2</v>
      </c>
      <c r="AG30" s="44">
        <f>'2018'!Y4</f>
        <v>19.208219178082192</v>
      </c>
      <c r="AH30" s="45">
        <f>'2018'!Z4</f>
        <v>110.2281833596663</v>
      </c>
      <c r="AI30" s="45">
        <f>'2018'!AA4</f>
        <v>32.137142857142855</v>
      </c>
      <c r="AJ30" s="45">
        <f>'2018'!AB4</f>
        <v>0.26229508196721313</v>
      </c>
      <c r="AK30" s="45">
        <f>'2018'!AC4</f>
        <v>7.6</v>
      </c>
      <c r="AL30" s="45">
        <f t="shared" si="3"/>
        <v>8.193548387096774</v>
      </c>
      <c r="AM30" s="45">
        <f t="shared" si="4"/>
        <v>7.0588235294117646E-2</v>
      </c>
      <c r="AN30" s="45">
        <f>'2018'!AD4</f>
        <v>111.7</v>
      </c>
      <c r="AO30" s="45">
        <f>'2018'!AE4</f>
        <v>4.13</v>
      </c>
      <c r="AP30" s="46">
        <f>'2018'!AF4</f>
        <v>59.9</v>
      </c>
      <c r="AQ30" s="47">
        <f>'2018'!AG4</f>
        <v>7</v>
      </c>
      <c r="AR30" s="48">
        <f>'2018'!AH4</f>
        <v>5</v>
      </c>
      <c r="AS30" s="48">
        <f>'2018'!AI4</f>
        <v>7</v>
      </c>
      <c r="AT30" s="48">
        <f t="shared" ref="AT30:AT40" si="9">IF(AH30&gt;113.25,10,IF(AH30&gt;=107.84,9,IF(AH30&gt;=105.37,8,IF(AH30&gt;=103.25,7,IF(AH30&gt;=100.55,6,IF(AH30&gt;=98.75,5,IF(AH30&gt;=96.08,4,IF(AH30&gt;=94.39,3,IF(AH30&gt;=88.43,2,IF(AH30&gt;=85.16,1,IF(AH30&lt;85.16,0,FALSE)))))))))))</f>
        <v>9</v>
      </c>
      <c r="AU30" s="48">
        <f>'2018'!AK4</f>
        <v>7</v>
      </c>
      <c r="AV30" s="48">
        <f>'2018'!AL4</f>
        <v>9</v>
      </c>
      <c r="AW30" s="48">
        <f>'2018'!AM4</f>
        <v>5</v>
      </c>
      <c r="AX30" s="48">
        <f>'2018'!AN4</f>
        <v>5</v>
      </c>
      <c r="AY30" s="49">
        <f>IF(U30=1,10,IF(U30=2,7,IF(U30=3,6,IF(U30=4,4,IF(U30=5,3,IF(U30=6,2,IF(U30=7,1,IF(U30=0,0,"-"))))))))</f>
        <v>7</v>
      </c>
      <c r="AZ30" s="50">
        <f>'2018'!AP4</f>
        <v>0.25</v>
      </c>
      <c r="BA30" s="56">
        <f>'2018'!AQ4</f>
        <v>0</v>
      </c>
      <c r="BB30" s="57">
        <f>'2018'!AR4</f>
        <v>2630</v>
      </c>
      <c r="BC30" s="57">
        <f>'2018'!AS4</f>
        <v>0</v>
      </c>
      <c r="BD30" s="57">
        <f>'2018'!AT4</f>
        <v>0</v>
      </c>
      <c r="BE30" s="57">
        <f>'2018'!AU4</f>
        <v>0</v>
      </c>
      <c r="BF30" s="57">
        <f>'2018'!AV4</f>
        <v>0</v>
      </c>
      <c r="BG30" s="58">
        <f>'2018'!AW4</f>
        <v>0</v>
      </c>
      <c r="BH30" s="58">
        <f>'2018'!AX4</f>
        <v>0</v>
      </c>
      <c r="BI30" s="58">
        <f>'2018'!AY4</f>
        <v>0</v>
      </c>
      <c r="BJ30" s="58">
        <f>'2018'!AZ4</f>
        <v>0</v>
      </c>
      <c r="BK30" s="57">
        <f>'2018'!BA4</f>
        <v>0</v>
      </c>
      <c r="BL30" s="57">
        <f>'2018'!BB4</f>
        <v>3263</v>
      </c>
      <c r="BM30" s="57">
        <f>'2018'!BC4</f>
        <v>0</v>
      </c>
      <c r="BN30" s="57">
        <f>'2018'!BD4</f>
        <v>0</v>
      </c>
      <c r="BO30" s="59">
        <f>'2018'!BE4</f>
        <v>0</v>
      </c>
      <c r="BP30" s="56">
        <f>'2018'!BF4</f>
        <v>0</v>
      </c>
      <c r="BQ30" s="57">
        <f>'2018'!BG4</f>
        <v>2919</v>
      </c>
      <c r="BR30" s="57">
        <f>'2018'!BH4</f>
        <v>0</v>
      </c>
      <c r="BS30" s="57">
        <f>'2018'!BI4</f>
        <v>0</v>
      </c>
      <c r="BT30" s="57">
        <f>'2018'!BJ4</f>
        <v>0</v>
      </c>
      <c r="BU30" s="57">
        <f>'2018'!BK4</f>
        <v>0</v>
      </c>
      <c r="BV30" s="58">
        <f>'2018'!BL4</f>
        <v>0</v>
      </c>
      <c r="BW30" s="58">
        <f>'2018'!BM4</f>
        <v>0</v>
      </c>
      <c r="BX30" s="58">
        <f>'2018'!BN4</f>
        <v>0</v>
      </c>
      <c r="BY30" s="58">
        <f>'2018'!BO4</f>
        <v>0</v>
      </c>
      <c r="BZ30" s="57">
        <f>'2018'!BP4</f>
        <v>0</v>
      </c>
      <c r="CA30" s="57">
        <f>'2018'!BQ4</f>
        <v>2118</v>
      </c>
      <c r="CB30" s="57">
        <f>'2018'!BR4</f>
        <v>0</v>
      </c>
      <c r="CC30" s="57">
        <f>'2018'!BS4</f>
        <v>0</v>
      </c>
      <c r="CD30" s="59">
        <f>'2018'!BT4</f>
        <v>0</v>
      </c>
      <c r="CE30" s="56">
        <f>'2018'!BU4</f>
        <v>439</v>
      </c>
      <c r="CF30" s="57">
        <f>'2018'!BV4</f>
        <v>3082</v>
      </c>
      <c r="CG30" s="57">
        <f>'2018'!BW4</f>
        <v>3</v>
      </c>
      <c r="CH30" s="57">
        <f>'2018'!BX4</f>
        <v>0</v>
      </c>
      <c r="CI30" s="57">
        <f>'2018'!BY4</f>
        <v>50</v>
      </c>
      <c r="CJ30" s="57">
        <f>'2018'!BZ4</f>
        <v>15</v>
      </c>
      <c r="CK30" s="58">
        <f>'2018'!CA4</f>
        <v>8.8000000000000007</v>
      </c>
      <c r="CL30" s="58">
        <f>'2018'!CB4</f>
        <v>138</v>
      </c>
      <c r="CM30" s="58">
        <f>'2018'!CC4</f>
        <v>4.1399999999999997</v>
      </c>
      <c r="CN30" s="58">
        <f>'2018'!CD4</f>
        <v>67.7</v>
      </c>
      <c r="CO30" s="57">
        <f>'2018'!CE4</f>
        <v>24</v>
      </c>
      <c r="CP30" s="57">
        <f>'2018'!CF4</f>
        <v>2165</v>
      </c>
      <c r="CQ30" s="57">
        <f>'2018'!CG4</f>
        <v>4</v>
      </c>
      <c r="CR30" s="57">
        <f>'2018'!CH4</f>
        <v>0</v>
      </c>
      <c r="CS30" s="59">
        <f>'2018'!CI4</f>
        <v>0</v>
      </c>
      <c r="CT30" s="56">
        <f>'2018'!CJ4</f>
        <v>1387</v>
      </c>
      <c r="CU30" s="57">
        <f>'2018'!CK4</f>
        <v>2796</v>
      </c>
      <c r="CV30" s="57">
        <f>'2018'!CL4</f>
        <v>15</v>
      </c>
      <c r="CW30" s="57">
        <f>'2018'!CM4</f>
        <v>0</v>
      </c>
      <c r="CX30" s="57">
        <f>'2018'!CN4</f>
        <v>183</v>
      </c>
      <c r="CY30" s="57">
        <f>'2018'!CO4</f>
        <v>48</v>
      </c>
      <c r="CZ30" s="58">
        <f>'2018'!CP4</f>
        <v>7.6</v>
      </c>
      <c r="DA30" s="58">
        <f>'2018'!CQ4</f>
        <v>111.7</v>
      </c>
      <c r="DB30" s="58">
        <f>'2018'!CR4</f>
        <v>4.13</v>
      </c>
      <c r="DC30" s="58">
        <f>'2018'!CS4</f>
        <v>59.9</v>
      </c>
      <c r="DD30" s="57">
        <f>'2018'!CT4</f>
        <v>106</v>
      </c>
      <c r="DE30" s="57">
        <f>'2018'!CU4</f>
        <v>2281</v>
      </c>
      <c r="DF30" s="57">
        <f>'2018'!CV4</f>
        <v>9</v>
      </c>
      <c r="DG30" s="57">
        <f>'2018'!CW4</f>
        <v>0</v>
      </c>
      <c r="DH30" s="59">
        <f>'2018'!CX4</f>
        <v>0</v>
      </c>
      <c r="DI30" s="56">
        <f>'2018'!CY4</f>
        <v>1255</v>
      </c>
      <c r="DJ30" s="57">
        <f>'2018'!CZ4</f>
        <v>2699</v>
      </c>
      <c r="DK30" s="57">
        <f>'2018'!DA4</f>
        <v>11</v>
      </c>
      <c r="DL30" s="57">
        <f>'2018'!DB4</f>
        <v>0</v>
      </c>
      <c r="DM30" s="57">
        <f>'2018'!DC4</f>
        <v>237</v>
      </c>
      <c r="DN30" s="57">
        <f>'2018'!DD4</f>
        <v>44</v>
      </c>
      <c r="DO30" s="58">
        <f>'2018'!DE4</f>
        <v>5.3</v>
      </c>
      <c r="DP30" s="58">
        <f>'2018'!DF4</f>
        <v>60.2</v>
      </c>
      <c r="DQ30" s="58">
        <f>'2018'!DG4</f>
        <v>3.2</v>
      </c>
      <c r="DR30" s="58">
        <f>'2018'!DH4</f>
        <v>29.6</v>
      </c>
      <c r="DS30" s="57">
        <f>'2018'!DI4</f>
        <v>124</v>
      </c>
      <c r="DT30" s="57">
        <f>'2018'!DJ4</f>
        <v>2645</v>
      </c>
      <c r="DU30" s="57">
        <f>'2018'!DK4</f>
        <v>18</v>
      </c>
      <c r="DV30" s="57">
        <f>'2018'!DL4</f>
        <v>0</v>
      </c>
      <c r="DW30" s="59">
        <f>'2018'!DM4</f>
        <v>0</v>
      </c>
    </row>
    <row r="31" spans="1:127" x14ac:dyDescent="0.2">
      <c r="A31" s="33">
        <f t="shared" si="0"/>
        <v>29</v>
      </c>
      <c r="B31" s="11">
        <f>'2020'!A5</f>
        <v>3</v>
      </c>
      <c r="C31" s="11">
        <v>2020</v>
      </c>
      <c r="D31" s="34" t="str">
        <f>'2020'!B5</f>
        <v>Cam Akers</v>
      </c>
      <c r="E31" s="224" t="str" cm="1">
        <f t="array" ref="E31">_xlfn.IFS(F31&gt;=13,"Cornerstone",AND(F31&gt;=12,F31&lt;13),"Elite",AND(F31&gt;=11,F31&lt;12),"Elite Upside",AND(F31&gt;=9,F31&lt;11),"Upside",AND(F31&gt;=7,F31&lt;9),"Upside Lite",AND(F31&gt;=6,F31&lt;7),"Outlier",AND(F31&gt;=5,F31&lt;6),"Outlier Lite",F31&lt;5,"Purgatory")</f>
        <v>Upside</v>
      </c>
      <c r="F31" s="14">
        <f>'2020'!C5</f>
        <v>10.905555555555557</v>
      </c>
      <c r="G31" s="14">
        <f t="shared" si="7"/>
        <v>91.100000000000009</v>
      </c>
      <c r="H31" s="35">
        <f t="shared" si="1"/>
        <v>1.2286837660424494</v>
      </c>
      <c r="I31" s="36" t="str">
        <f>'2020'!D5</f>
        <v>Florida State</v>
      </c>
      <c r="J31" s="37">
        <f>'2020'!E5</f>
        <v>4</v>
      </c>
      <c r="K31" s="38">
        <f>'2020'!F5</f>
        <v>36333</v>
      </c>
      <c r="L31" s="39">
        <f>'2020'!G5</f>
        <v>26.284931506849315</v>
      </c>
      <c r="M31" s="39" t="str">
        <f>'2020'!H5</f>
        <v>JR</v>
      </c>
      <c r="N31" s="39">
        <f>'2020'!I5</f>
        <v>20.852054794520548</v>
      </c>
      <c r="O31" s="39" t="str">
        <f t="shared" si="2"/>
        <v>FREAK</v>
      </c>
      <c r="P31" s="39" t="str">
        <f t="shared" si="8"/>
        <v>3DOWN</v>
      </c>
      <c r="Q31" s="37">
        <f>'2020'!J5</f>
        <v>70</v>
      </c>
      <c r="R31" s="37">
        <f>'2020'!K5</f>
        <v>217</v>
      </c>
      <c r="S31" s="39">
        <f t="shared" si="5"/>
        <v>31.135913128969111</v>
      </c>
      <c r="T31" s="37">
        <f>'2020'!L5</f>
        <v>4.47</v>
      </c>
      <c r="U31" s="40">
        <f>'2020'!M5</f>
        <v>2</v>
      </c>
      <c r="V31" s="41">
        <f>'2020'!N5</f>
        <v>0</v>
      </c>
      <c r="W31" s="42">
        <f>'2020'!O5</f>
        <v>0</v>
      </c>
      <c r="X31" s="42">
        <f>'2020'!P5</f>
        <v>0.24721311475409835</v>
      </c>
      <c r="Y31" s="42">
        <f>'2020'!Q5</f>
        <v>0.19589293954776188</v>
      </c>
      <c r="Z31" s="42">
        <f>'2020'!R5</f>
        <v>0.2575357950263753</v>
      </c>
      <c r="AA31" s="42">
        <f>'2020'!S5</f>
        <v>0.2575357950263753</v>
      </c>
      <c r="AB31" s="42">
        <f>'2020'!T5</f>
        <v>0.23178221552373779</v>
      </c>
      <c r="AC31" s="42">
        <f>'2020'!U5</f>
        <v>4.3813637766121565E-2</v>
      </c>
      <c r="AD31" s="42">
        <f>'2020'!V5</f>
        <v>6.4673756826674325E-2</v>
      </c>
      <c r="AE31" s="42">
        <f>'2020'!W5</f>
        <v>6.4673756826674325E-2</v>
      </c>
      <c r="AF31" s="43">
        <f>'2020'!X5</f>
        <v>5.8206381144006891E-2</v>
      </c>
      <c r="AG31" s="44">
        <f>'2020'!Y5</f>
        <v>18.208219178082192</v>
      </c>
      <c r="AH31" s="45">
        <f>'2020'!Z5</f>
        <v>108.70753224259629</v>
      </c>
      <c r="AI31" s="45">
        <f>'2020'!AA5</f>
        <v>31.132857142857141</v>
      </c>
      <c r="AJ31" s="45">
        <f>'2020'!AB5</f>
        <v>0.32900432900432902</v>
      </c>
      <c r="AK31" s="45">
        <f>'2020'!AC5</f>
        <v>4.9000000000000004</v>
      </c>
      <c r="AL31" s="45">
        <f t="shared" si="3"/>
        <v>9.2884615384615383</v>
      </c>
      <c r="AM31" s="45">
        <f t="shared" si="4"/>
        <v>0.11494252873563218</v>
      </c>
      <c r="AN31" s="45">
        <f>'2020'!AD5</f>
        <v>125.9</v>
      </c>
      <c r="AO31" s="45">
        <f>'2020'!AE5</f>
        <v>3.91</v>
      </c>
      <c r="AP31" s="46">
        <f>'2020'!AF5</f>
        <v>45.1</v>
      </c>
      <c r="AQ31" s="47">
        <f>'2020'!AG5</f>
        <v>5</v>
      </c>
      <c r="AR31" s="48">
        <f>'2020'!AH5</f>
        <v>6</v>
      </c>
      <c r="AS31" s="48">
        <f>'2020'!AI5</f>
        <v>10</v>
      </c>
      <c r="AT31" s="48">
        <f t="shared" si="9"/>
        <v>9</v>
      </c>
      <c r="AU31" s="48">
        <f>'2020'!AK5</f>
        <v>9</v>
      </c>
      <c r="AV31" s="48">
        <f>'2020'!AL5</f>
        <v>1</v>
      </c>
      <c r="AW31" s="48">
        <f>'2020'!AM5</f>
        <v>6</v>
      </c>
      <c r="AX31" s="48">
        <f>'2020'!AN5</f>
        <v>4</v>
      </c>
      <c r="AY31" s="49">
        <f>IF(U31=1,10,IF(U31=2,7,IF(U31=3,6,IF(U31=4,4,IF(U31=5,3,IF(U31=6,2,IF(U31=7,1,IF(U31=0,0,"-"))))))))</f>
        <v>7</v>
      </c>
      <c r="AZ31" s="50">
        <f>'2020'!AP5</f>
        <v>0.5</v>
      </c>
      <c r="BA31" s="56">
        <f>'2020'!AQ5</f>
        <v>0</v>
      </c>
      <c r="BB31" s="57">
        <f>'2020'!AR5</f>
        <v>2187</v>
      </c>
      <c r="BC31" s="57">
        <f>'2020'!AS5</f>
        <v>0</v>
      </c>
      <c r="BD31" s="57">
        <f>'2020'!AT5</f>
        <v>27</v>
      </c>
      <c r="BE31" s="57">
        <f>'2020'!AU5</f>
        <v>0</v>
      </c>
      <c r="BF31" s="57">
        <f>'2020'!AV5</f>
        <v>0</v>
      </c>
      <c r="BG31" s="58">
        <f>'2020'!AW5</f>
        <v>0</v>
      </c>
      <c r="BH31" s="58">
        <f>'2020'!AX5</f>
        <v>0</v>
      </c>
      <c r="BI31" s="58">
        <f>'2020'!AY5</f>
        <v>0</v>
      </c>
      <c r="BJ31" s="58">
        <f>'2020'!AZ5</f>
        <v>0</v>
      </c>
      <c r="BK31" s="57">
        <f>'2020'!BA5</f>
        <v>0</v>
      </c>
      <c r="BL31" s="57">
        <f>'2020'!BB5</f>
        <v>3325</v>
      </c>
      <c r="BM31" s="57">
        <f>'2020'!BC5</f>
        <v>0</v>
      </c>
      <c r="BN31" s="57">
        <f>'2020'!BD5</f>
        <v>0</v>
      </c>
      <c r="BO31" s="59">
        <f>'2020'!BE5</f>
        <v>22</v>
      </c>
      <c r="BP31" s="56">
        <f>'2020'!BF5</f>
        <v>0</v>
      </c>
      <c r="BQ31" s="57">
        <f>'2020'!BG5</f>
        <v>2630</v>
      </c>
      <c r="BR31" s="57">
        <f>'2020'!BH5</f>
        <v>0</v>
      </c>
      <c r="BS31" s="57">
        <f>'2020'!BI5</f>
        <v>33</v>
      </c>
      <c r="BT31" s="57">
        <f>'2020'!BJ5</f>
        <v>0</v>
      </c>
      <c r="BU31" s="57">
        <f>'2020'!BK5</f>
        <v>0</v>
      </c>
      <c r="BV31" s="58">
        <f>'2020'!BL5</f>
        <v>0</v>
      </c>
      <c r="BW31" s="58">
        <f>'2020'!BM5</f>
        <v>0</v>
      </c>
      <c r="BX31" s="58">
        <f>'2020'!BN5</f>
        <v>0</v>
      </c>
      <c r="BY31" s="58">
        <f>'2020'!BO5</f>
        <v>0</v>
      </c>
      <c r="BZ31" s="57">
        <f>'2020'!BP5</f>
        <v>0</v>
      </c>
      <c r="CA31" s="57">
        <f>'2020'!BQ5</f>
        <v>3433</v>
      </c>
      <c r="CB31" s="57">
        <f>'2020'!BR5</f>
        <v>0</v>
      </c>
      <c r="CC31" s="57">
        <f>'2020'!BS5</f>
        <v>0</v>
      </c>
      <c r="CD31" s="59">
        <f>'2020'!BT5</f>
        <v>23</v>
      </c>
      <c r="CE31" s="56">
        <f>'2020'!BU5</f>
        <v>1015</v>
      </c>
      <c r="CF31" s="57">
        <f>'2020'!BV5</f>
        <v>2024</v>
      </c>
      <c r="CG31" s="57">
        <f>'2020'!BW5</f>
        <v>7</v>
      </c>
      <c r="CH31" s="57">
        <f>'2020'!BX5</f>
        <v>18</v>
      </c>
      <c r="CI31" s="57">
        <f>'2020'!BY5</f>
        <v>193</v>
      </c>
      <c r="CJ31" s="57">
        <f>'2020'!BZ5</f>
        <v>41</v>
      </c>
      <c r="CK31" s="58">
        <f>'2020'!CA5</f>
        <v>5.3</v>
      </c>
      <c r="CL31" s="58">
        <f>'2020'!CB5</f>
        <v>80.599999999999994</v>
      </c>
      <c r="CM31" s="58">
        <f>'2020'!CC5</f>
        <v>3.66</v>
      </c>
      <c r="CN31" s="58">
        <f>'2020'!CD5</f>
        <v>38.4</v>
      </c>
      <c r="CO31" s="57">
        <f>'2020'!CE5</f>
        <v>116</v>
      </c>
      <c r="CP31" s="57">
        <f>'2020'!CF5</f>
        <v>2551</v>
      </c>
      <c r="CQ31" s="57">
        <f>'2020'!CG5</f>
        <v>16</v>
      </c>
      <c r="CR31" s="57">
        <f>'2020'!CH5</f>
        <v>0</v>
      </c>
      <c r="CS31" s="59">
        <f>'2020'!CI5</f>
        <v>21</v>
      </c>
      <c r="CT31" s="56">
        <f>'2020'!CJ5</f>
        <v>707</v>
      </c>
      <c r="CU31" s="57">
        <f>'2020'!CK5</f>
        <v>1093</v>
      </c>
      <c r="CV31" s="57">
        <f>'2020'!CL5</f>
        <v>6</v>
      </c>
      <c r="CW31" s="57">
        <f>'2020'!CM5</f>
        <v>11</v>
      </c>
      <c r="CX31" s="57">
        <f>'2020'!CN5</f>
        <v>162</v>
      </c>
      <c r="CY31" s="57">
        <f>'2020'!CO5</f>
        <v>27</v>
      </c>
      <c r="CZ31" s="58">
        <f>'2020'!CP5</f>
        <v>4.4000000000000004</v>
      </c>
      <c r="DA31" s="58">
        <f>'2020'!CQ5</f>
        <v>63.7</v>
      </c>
      <c r="DB31" s="58">
        <f>'2020'!CR5</f>
        <v>3.55</v>
      </c>
      <c r="DC31" s="58">
        <f>'2020'!CS5</f>
        <v>45.1</v>
      </c>
      <c r="DD31" s="57">
        <f>'2020'!CT5</f>
        <v>142</v>
      </c>
      <c r="DE31" s="57">
        <f>'2020'!CU5</f>
        <v>3241</v>
      </c>
      <c r="DF31" s="57">
        <f>'2020'!CV5</f>
        <v>6</v>
      </c>
      <c r="DG31" s="57">
        <f>'2020'!CW5</f>
        <v>0</v>
      </c>
      <c r="DH31" s="59">
        <f>'2020'!CX5</f>
        <v>20</v>
      </c>
      <c r="DI31" s="56">
        <f>'2020'!CY5</f>
        <v>1142</v>
      </c>
      <c r="DJ31" s="57">
        <f>'2020'!CZ5</f>
        <v>1829</v>
      </c>
      <c r="DK31" s="57">
        <f>'2020'!DA5</f>
        <v>14</v>
      </c>
      <c r="DL31" s="57">
        <f>'2020'!DB5</f>
        <v>24</v>
      </c>
      <c r="DM31" s="57">
        <f>'2020'!DC5</f>
        <v>231</v>
      </c>
      <c r="DN31" s="57">
        <f>'2020'!DD5</f>
        <v>76</v>
      </c>
      <c r="DO31" s="58">
        <f>'2020'!DE5</f>
        <v>4.9000000000000004</v>
      </c>
      <c r="DP31" s="58">
        <f>'2020'!DF5</f>
        <v>125.9</v>
      </c>
      <c r="DQ31" s="58">
        <f>'2020'!DG5</f>
        <v>3.91</v>
      </c>
      <c r="DR31" s="58">
        <f>'2020'!DH5</f>
        <v>33.299999999999997</v>
      </c>
      <c r="DS31" s="57">
        <f>'2020'!DI5</f>
        <v>225</v>
      </c>
      <c r="DT31" s="57">
        <f>'2020'!DJ5</f>
        <v>3479</v>
      </c>
      <c r="DU31" s="57">
        <f>'2020'!DK5</f>
        <v>30</v>
      </c>
      <c r="DV31" s="57">
        <f>'2020'!DL5</f>
        <v>0</v>
      </c>
      <c r="DW31" s="59">
        <f>'2020'!DM5</f>
        <v>24</v>
      </c>
    </row>
    <row r="32" spans="1:127" x14ac:dyDescent="0.2">
      <c r="A32" s="33">
        <f t="shared" si="0"/>
        <v>30</v>
      </c>
      <c r="B32" s="11">
        <f>'2023'!A6</f>
        <v>4</v>
      </c>
      <c r="C32" s="11">
        <v>2023</v>
      </c>
      <c r="D32" s="34" t="str">
        <f>'2023'!B6</f>
        <v>Tank Bigsby</v>
      </c>
      <c r="E32" s="224" t="str" cm="1">
        <f t="array" ref="E32">_xlfn.IFS(F32&gt;=13,"Cornerstone",AND(F32&gt;=12,F32&lt;13),"Elite",AND(F32&gt;=11,F32&lt;12),"Elite Upside",AND(F32&gt;=9,F32&lt;11),"Upside",AND(F32&gt;=7,F32&lt;9),"Upside Lite",AND(F32&gt;=6,F32&lt;7),"Outlier",AND(F32&gt;=5,F32&lt;6),"Outlier Lite",F32&lt;5,"Purgatory")</f>
        <v>Upside</v>
      </c>
      <c r="F32" s="14">
        <f>'2023'!C6</f>
        <v>10.899999999999999</v>
      </c>
      <c r="G32" s="14">
        <f t="shared" si="7"/>
        <v>90.8</v>
      </c>
      <c r="H32" s="35">
        <f t="shared" si="1"/>
        <v>1.2263325156855616</v>
      </c>
      <c r="I32" s="36" t="str">
        <f>'2023'!D6</f>
        <v>Auburn</v>
      </c>
      <c r="J32" s="37">
        <f>'2023'!E6</f>
        <v>1</v>
      </c>
      <c r="K32" s="38">
        <f>'2023'!F6</f>
        <v>37133</v>
      </c>
      <c r="L32" s="39">
        <f>'2023'!G6</f>
        <v>24.093150684931508</v>
      </c>
      <c r="M32" s="39" t="str">
        <f>'2023'!H6</f>
        <v>JR</v>
      </c>
      <c r="N32" s="39">
        <f>'2023'!I6</f>
        <v>21.671232876712327</v>
      </c>
      <c r="O32" s="39" t="str">
        <f t="shared" si="2"/>
        <v>BELL COW</v>
      </c>
      <c r="P32" s="39" t="str">
        <f t="shared" si="8"/>
        <v>3DOWN</v>
      </c>
      <c r="Q32" s="37">
        <f>'2023'!J6</f>
        <v>72</v>
      </c>
      <c r="R32" s="37">
        <f>'2023'!K6</f>
        <v>210</v>
      </c>
      <c r="S32" s="39">
        <f t="shared" si="5"/>
        <v>28.480804646794478</v>
      </c>
      <c r="T32" s="37">
        <f>'2023'!L6</f>
        <v>4.5599999999999996</v>
      </c>
      <c r="U32" s="40">
        <f>'2023'!M6</f>
        <v>3</v>
      </c>
      <c r="V32" s="41">
        <f>'2023'!N6</f>
        <v>0</v>
      </c>
      <c r="W32" s="42">
        <f>'2023'!O6</f>
        <v>0</v>
      </c>
      <c r="X32" s="42">
        <f>'2023'!P6</f>
        <v>0.21800047494656852</v>
      </c>
      <c r="Y32" s="42">
        <f>'2023'!Q6</f>
        <v>0.24611845888441633</v>
      </c>
      <c r="Z32" s="42">
        <f>'2023'!R6</f>
        <v>0.25451343020695727</v>
      </c>
      <c r="AA32" s="42">
        <f>'2023'!S6</f>
        <v>0.25451343020695727</v>
      </c>
      <c r="AB32" s="42">
        <f>'2023'!T6</f>
        <v>0.25451343020695727</v>
      </c>
      <c r="AC32" s="42">
        <f>'2023'!U6</f>
        <v>5.7673822492790773E-2</v>
      </c>
      <c r="AD32" s="42">
        <f>'2023'!V6</f>
        <v>8.6872586872586879E-2</v>
      </c>
      <c r="AE32" s="42">
        <f>'2023'!W6</f>
        <v>8.6872586872586879E-2</v>
      </c>
      <c r="AF32" s="43">
        <f>'2023'!X6</f>
        <v>8.6872586872586879E-2</v>
      </c>
      <c r="AG32" s="44">
        <f>'2023'!Y6</f>
        <v>19.016438356164382</v>
      </c>
      <c r="AH32" s="45">
        <f>'2023'!Z6</f>
        <v>97.138170506046762</v>
      </c>
      <c r="AI32" s="45">
        <f>'2023'!AA6</f>
        <v>28.47800925925926</v>
      </c>
      <c r="AJ32" s="45">
        <f>'2023'!AB6</f>
        <v>0.34057971014492755</v>
      </c>
      <c r="AK32" s="45">
        <f>'2023'!AC6</f>
        <v>5.5</v>
      </c>
      <c r="AL32" s="45">
        <f t="shared" si="3"/>
        <v>7.278688524590164</v>
      </c>
      <c r="AM32" s="45">
        <f t="shared" si="4"/>
        <v>0.14423076923076922</v>
      </c>
      <c r="AN32" s="45">
        <f>'2023'!AD6</f>
        <v>137.9</v>
      </c>
      <c r="AO32" s="45">
        <f>'2023'!AE6</f>
        <v>4.16</v>
      </c>
      <c r="AP32" s="46">
        <f>'2023'!AF6</f>
        <v>50.1</v>
      </c>
      <c r="AQ32" s="47">
        <f>'2023'!AG6</f>
        <v>6</v>
      </c>
      <c r="AR32" s="48">
        <f>'2023'!AH6</f>
        <v>8</v>
      </c>
      <c r="AS32" s="48">
        <f>'2023'!AI6</f>
        <v>8</v>
      </c>
      <c r="AT32" s="48">
        <f t="shared" si="9"/>
        <v>4</v>
      </c>
      <c r="AU32" s="48">
        <f>'2023'!AK6</f>
        <v>9</v>
      </c>
      <c r="AV32" s="48">
        <f>'2023'!AL6</f>
        <v>3</v>
      </c>
      <c r="AW32" s="48">
        <f>'2023'!AM6</f>
        <v>7</v>
      </c>
      <c r="AX32" s="48">
        <f>'2023'!AN6</f>
        <v>5</v>
      </c>
      <c r="AY32" s="49">
        <f>'2023'!AO6</f>
        <v>6</v>
      </c>
      <c r="AZ32" s="50">
        <f>'2023'!AP6</f>
        <v>1</v>
      </c>
      <c r="BA32" s="56">
        <f>'2023'!AQ6</f>
        <v>0</v>
      </c>
      <c r="BB32" s="57">
        <f>'2023'!AR6</f>
        <v>2177</v>
      </c>
      <c r="BC32" s="57">
        <f>'2023'!AS6</f>
        <v>0</v>
      </c>
      <c r="BD32" s="57">
        <f>'2023'!AT6</f>
        <v>25</v>
      </c>
      <c r="BE32" s="57">
        <f>'2023'!AU6</f>
        <v>0</v>
      </c>
      <c r="BF32" s="57">
        <f>'2023'!AV6</f>
        <v>0</v>
      </c>
      <c r="BG32" s="58">
        <f>'2023'!AW6</f>
        <v>0</v>
      </c>
      <c r="BH32" s="58">
        <f>'2023'!AX6</f>
        <v>0</v>
      </c>
      <c r="BI32" s="58">
        <f>'2023'!AY6</f>
        <v>0</v>
      </c>
      <c r="BJ32" s="58">
        <f>'2023'!AZ6</f>
        <v>0</v>
      </c>
      <c r="BK32" s="57">
        <f>'2023'!BA6</f>
        <v>0</v>
      </c>
      <c r="BL32" s="57">
        <f>'2023'!BB6</f>
        <v>2892</v>
      </c>
      <c r="BM32" s="57">
        <f>'2023'!BC6</f>
        <v>0</v>
      </c>
      <c r="BN32" s="57">
        <f>'2023'!BD6</f>
        <v>0</v>
      </c>
      <c r="BO32" s="59">
        <f>'2023'!BE6</f>
        <v>21</v>
      </c>
      <c r="BP32" s="56">
        <f>'2023'!BF6</f>
        <v>0</v>
      </c>
      <c r="BQ32" s="57">
        <f>'2023'!BG6</f>
        <v>2588</v>
      </c>
      <c r="BR32" s="57">
        <f>'2023'!BH6</f>
        <v>0</v>
      </c>
      <c r="BS32" s="57">
        <f>'2023'!BI6</f>
        <v>31</v>
      </c>
      <c r="BT32" s="57">
        <f>'2023'!BJ6</f>
        <v>0</v>
      </c>
      <c r="BU32" s="57">
        <f>'2023'!BK6</f>
        <v>0</v>
      </c>
      <c r="BV32" s="58">
        <f>'2023'!BL6</f>
        <v>0</v>
      </c>
      <c r="BW32" s="58">
        <f>'2023'!BM6</f>
        <v>0</v>
      </c>
      <c r="BX32" s="58">
        <f>'2023'!BN6</f>
        <v>0</v>
      </c>
      <c r="BY32" s="58">
        <f>'2023'!BO6</f>
        <v>0</v>
      </c>
      <c r="BZ32" s="57">
        <f>'2023'!BP6</f>
        <v>0</v>
      </c>
      <c r="CA32" s="57">
        <f>'2023'!BQ6</f>
        <v>2697</v>
      </c>
      <c r="CB32" s="57">
        <f>'2023'!BR6</f>
        <v>0</v>
      </c>
      <c r="CC32" s="57">
        <f>'2023'!BS6</f>
        <v>0</v>
      </c>
      <c r="CD32" s="59">
        <f>'2023'!BT6</f>
        <v>20</v>
      </c>
      <c r="CE32" s="56">
        <f>'2023'!BU6</f>
        <v>834</v>
      </c>
      <c r="CF32" s="57">
        <f>'2023'!BV6</f>
        <v>1788</v>
      </c>
      <c r="CG32" s="57">
        <f>'2023'!BW6</f>
        <v>5</v>
      </c>
      <c r="CH32" s="57">
        <f>'2023'!BX6</f>
        <v>16</v>
      </c>
      <c r="CI32" s="57">
        <f>'2023'!BY6</f>
        <v>138</v>
      </c>
      <c r="CJ32" s="57">
        <f>'2023'!BZ6</f>
        <v>47</v>
      </c>
      <c r="CK32" s="58">
        <f>'2023'!CA6</f>
        <v>6</v>
      </c>
      <c r="CL32" s="58">
        <f>'2023'!CB6</f>
        <v>131.30000000000001</v>
      </c>
      <c r="CM32" s="58">
        <f>'2023'!CC6</f>
        <v>3.99</v>
      </c>
      <c r="CN32" s="58">
        <f>'2023'!CD6</f>
        <v>39.200000000000003</v>
      </c>
      <c r="CO32" s="57">
        <f>'2023'!CE6</f>
        <v>84</v>
      </c>
      <c r="CP32" s="57">
        <f>'2023'!CF6</f>
        <v>2423</v>
      </c>
      <c r="CQ32" s="57">
        <f>'2023'!CG6</f>
        <v>11</v>
      </c>
      <c r="CR32" s="57">
        <f>'2023'!CH6</f>
        <v>0</v>
      </c>
      <c r="CS32" s="59">
        <f>'2023'!CI6</f>
        <v>12</v>
      </c>
      <c r="CT32" s="56">
        <f>'2023'!CJ6</f>
        <v>1104</v>
      </c>
      <c r="CU32" s="57">
        <f>'2023'!CK6</f>
        <v>2096</v>
      </c>
      <c r="CV32" s="57">
        <f>'2023'!CL6</f>
        <v>10</v>
      </c>
      <c r="CW32" s="57">
        <f>'2023'!CM6</f>
        <v>22</v>
      </c>
      <c r="CX32" s="57">
        <f>'2023'!CN6</f>
        <v>224</v>
      </c>
      <c r="CY32" s="57">
        <f>'2023'!CO6</f>
        <v>48</v>
      </c>
      <c r="CZ32" s="58">
        <f>'2023'!CP6</f>
        <v>4.9000000000000004</v>
      </c>
      <c r="DA32" s="58">
        <f>'2023'!CQ6</f>
        <v>65.5</v>
      </c>
      <c r="DB32" s="58">
        <f>'2023'!CR6</f>
        <v>3.13</v>
      </c>
      <c r="DC32" s="58">
        <f>'2023'!CS6</f>
        <v>32.6</v>
      </c>
      <c r="DD32" s="57">
        <f>'2023'!CT6</f>
        <v>180</v>
      </c>
      <c r="DE32" s="57">
        <f>'2023'!CU6</f>
        <v>3121</v>
      </c>
      <c r="DF32" s="57">
        <f>'2023'!CV6</f>
        <v>20</v>
      </c>
      <c r="DG32" s="57">
        <f>'2023'!CW6</f>
        <v>0</v>
      </c>
      <c r="DH32" s="59">
        <f>'2023'!CX6</f>
        <v>17</v>
      </c>
      <c r="DI32" s="56">
        <f>'2023'!CY6</f>
        <v>976</v>
      </c>
      <c r="DJ32" s="57">
        <f>'2023'!CZ6</f>
        <v>2470</v>
      </c>
      <c r="DK32" s="57">
        <f>'2023'!DA6</f>
        <v>10</v>
      </c>
      <c r="DL32" s="57">
        <f>'2023'!DB6</f>
        <v>25</v>
      </c>
      <c r="DM32" s="57">
        <f>'2023'!DC6</f>
        <v>178</v>
      </c>
      <c r="DN32" s="57">
        <f>'2023'!DD6</f>
        <v>60</v>
      </c>
      <c r="DO32" s="58">
        <f>'2023'!DE6</f>
        <v>5.5</v>
      </c>
      <c r="DP32" s="58">
        <f>'2023'!DF6</f>
        <v>137.9</v>
      </c>
      <c r="DQ32" s="58">
        <f>'2023'!DG6</f>
        <v>4.16</v>
      </c>
      <c r="DR32" s="58">
        <f>'2023'!DH6</f>
        <v>50.1</v>
      </c>
      <c r="DS32" s="57">
        <f>'2023'!DI6</f>
        <v>180</v>
      </c>
      <c r="DT32" s="57">
        <f>'2023'!DJ6</f>
        <v>2072</v>
      </c>
      <c r="DU32" s="57">
        <f>'2023'!DK6</f>
        <v>30</v>
      </c>
      <c r="DV32" s="57">
        <f>'2023'!DL6</f>
        <v>0</v>
      </c>
      <c r="DW32" s="59">
        <f>'2023'!DM6</f>
        <v>9</v>
      </c>
    </row>
    <row r="33" spans="1:127" x14ac:dyDescent="0.2">
      <c r="A33" s="33">
        <f t="shared" si="0"/>
        <v>31</v>
      </c>
      <c r="B33" s="11">
        <f>'2018'!A5</f>
        <v>3</v>
      </c>
      <c r="C33" s="11">
        <v>2018</v>
      </c>
      <c r="D33" s="34" t="str">
        <f>'2018'!B5</f>
        <v>Rashaad Penny</v>
      </c>
      <c r="E33" s="224" t="str" cm="1">
        <f t="array" ref="E33">_xlfn.IFS(F33&gt;=13,"Cornerstone",AND(F33&gt;=12,F33&lt;13),"Elite",AND(F33&gt;=11,F33&lt;12),"Elite Upside",AND(F33&gt;=9,F33&lt;11),"Upside",AND(F33&gt;=7,F33&lt;9),"Upside Lite",AND(F33&gt;=6,F33&lt;7),"Outlier",AND(F33&gt;=5,F33&lt;6),"Outlier Lite",F33&lt;5,"Purgatory")</f>
        <v>Upside</v>
      </c>
      <c r="F33" s="14">
        <f>'2018'!C5</f>
        <v>10.877777777777778</v>
      </c>
      <c r="G33" s="14">
        <f t="shared" si="7"/>
        <v>90.5</v>
      </c>
      <c r="H33" s="35">
        <f t="shared" si="1"/>
        <v>1.2169275142580147</v>
      </c>
      <c r="I33" s="36" t="str">
        <f>'2018'!D5</f>
        <v>San Diego State</v>
      </c>
      <c r="J33" s="37">
        <f>'2018'!E5</f>
        <v>7</v>
      </c>
      <c r="K33" s="38">
        <f>'2018'!F5</f>
        <v>35097</v>
      </c>
      <c r="L33" s="39">
        <f>'2018'!G5</f>
        <v>29.671232876712327</v>
      </c>
      <c r="M33" s="39" t="str">
        <f>'2018'!H5</f>
        <v>SR</v>
      </c>
      <c r="N33" s="39">
        <f>'2018'!I5</f>
        <v>22.243835616438357</v>
      </c>
      <c r="O33" s="39" t="str">
        <f t="shared" si="2"/>
        <v>FREAK</v>
      </c>
      <c r="P33" s="39" t="str">
        <f t="shared" si="8"/>
        <v>3DOWN</v>
      </c>
      <c r="Q33" s="37">
        <f>'2018'!J5</f>
        <v>70</v>
      </c>
      <c r="R33" s="37">
        <f>'2018'!K5</f>
        <v>224</v>
      </c>
      <c r="S33" s="39">
        <f t="shared" si="5"/>
        <v>32.14029742345199</v>
      </c>
      <c r="T33" s="37">
        <f>'2018'!L5</f>
        <v>4.46</v>
      </c>
      <c r="U33" s="40">
        <f>'2018'!M5</f>
        <v>1</v>
      </c>
      <c r="V33" s="41">
        <f>'2018'!N5</f>
        <v>0</v>
      </c>
      <c r="W33" s="42">
        <f>'2018'!O5</f>
        <v>4.2901716068642747E-3</v>
      </c>
      <c r="X33" s="42">
        <f>'2018'!P5</f>
        <v>9.0787971069661216E-2</v>
      </c>
      <c r="Y33" s="42">
        <f>'2018'!Q5</f>
        <v>0.21322111169559882</v>
      </c>
      <c r="Z33" s="42">
        <f>'2018'!R5</f>
        <v>0.45809304113802385</v>
      </c>
      <c r="AA33" s="42">
        <f>'2018'!S5</f>
        <v>0.45809304113802385</v>
      </c>
      <c r="AB33" s="42">
        <f>'2018'!T5</f>
        <v>0.29776047673971551</v>
      </c>
      <c r="AC33" s="42">
        <f>'2018'!U5</f>
        <v>0.11072664359861592</v>
      </c>
      <c r="AD33" s="42">
        <f>'2018'!V5</f>
        <v>6.7187499999999997E-2</v>
      </c>
      <c r="AE33" s="42">
        <f>'2018'!W5</f>
        <v>8.8957071799307952E-2</v>
      </c>
      <c r="AF33" s="43">
        <f>'2018'!X5</f>
        <v>5.7822096669550169E-2</v>
      </c>
      <c r="AG33" s="44">
        <f>'2018'!Y5</f>
        <v>20.591780821917808</v>
      </c>
      <c r="AH33" s="45">
        <f>'2018'!Z5</f>
        <v>113.22402228742737</v>
      </c>
      <c r="AI33" s="45">
        <f>'2018'!AA5</f>
        <v>32.137142857142855</v>
      </c>
      <c r="AJ33" s="45">
        <f>'2018'!AB5</f>
        <v>0.29757785467128028</v>
      </c>
      <c r="AK33" s="45">
        <f>'2018'!AC5</f>
        <v>7.8</v>
      </c>
      <c r="AL33" s="45">
        <f t="shared" si="3"/>
        <v>11.261904761904763</v>
      </c>
      <c r="AM33" s="45">
        <f t="shared" si="4"/>
        <v>6.1688311688311688E-2</v>
      </c>
      <c r="AN33" s="45">
        <f>'2018'!AD5</f>
        <v>129.69999999999999</v>
      </c>
      <c r="AO33" s="45">
        <f>'2018'!AE5</f>
        <v>4.78</v>
      </c>
      <c r="AP33" s="46">
        <f>'2018'!AF5</f>
        <v>62.6</v>
      </c>
      <c r="AQ33" s="47">
        <f>'2018'!AG5</f>
        <v>8</v>
      </c>
      <c r="AR33" s="48">
        <f>'2018'!AH5</f>
        <v>6</v>
      </c>
      <c r="AS33" s="48">
        <f>'2018'!AI5</f>
        <v>3</v>
      </c>
      <c r="AT33" s="48">
        <f t="shared" si="9"/>
        <v>9</v>
      </c>
      <c r="AU33" s="48">
        <f>'2018'!AK5</f>
        <v>8</v>
      </c>
      <c r="AV33" s="48">
        <f>'2018'!AL5</f>
        <v>9</v>
      </c>
      <c r="AW33" s="48">
        <f>'2018'!AM5</f>
        <v>6</v>
      </c>
      <c r="AX33" s="48">
        <f>'2018'!AN5</f>
        <v>8</v>
      </c>
      <c r="AY33" s="49">
        <f>IF(U33=1,10,IF(U33=2,7,IF(U33=3,6,IF(U33=4,4,IF(U33=5,3,IF(U33=6,2,IF(U33=7,1,IF(U33=0,0,"-"))))))))</f>
        <v>10</v>
      </c>
      <c r="AZ33" s="50">
        <f>'2018'!AP5</f>
        <v>0</v>
      </c>
      <c r="BA33" s="56">
        <f>'2018'!AQ5</f>
        <v>0</v>
      </c>
      <c r="BB33" s="57">
        <f>'2018'!AR5</f>
        <v>2166</v>
      </c>
      <c r="BC33" s="57">
        <f>'2018'!AS5</f>
        <v>0</v>
      </c>
      <c r="BD33" s="57">
        <f>'2018'!AT5</f>
        <v>0</v>
      </c>
      <c r="BE33" s="57">
        <f>'2018'!AU5</f>
        <v>0</v>
      </c>
      <c r="BF33" s="57">
        <f>'2018'!AV5</f>
        <v>0</v>
      </c>
      <c r="BG33" s="58">
        <f>'2018'!AW5</f>
        <v>0</v>
      </c>
      <c r="BH33" s="58">
        <f>'2018'!AX5</f>
        <v>0</v>
      </c>
      <c r="BI33" s="58">
        <f>'2018'!AY5</f>
        <v>0</v>
      </c>
      <c r="BJ33" s="58">
        <f>'2018'!AZ5</f>
        <v>0</v>
      </c>
      <c r="BK33" s="57">
        <f>'2018'!BA5</f>
        <v>0</v>
      </c>
      <c r="BL33" s="57">
        <f>'2018'!BB5</f>
        <v>3358</v>
      </c>
      <c r="BM33" s="57">
        <f>'2018'!BC5</f>
        <v>0</v>
      </c>
      <c r="BN33" s="57">
        <f>'2018'!BD5</f>
        <v>0</v>
      </c>
      <c r="BO33" s="59">
        <f>'2018'!BE5</f>
        <v>0</v>
      </c>
      <c r="BP33" s="56">
        <f>'2018'!BF5</f>
        <v>22</v>
      </c>
      <c r="BQ33" s="57">
        <f>'2018'!BG5</f>
        <v>2809</v>
      </c>
      <c r="BR33" s="57">
        <f>'2018'!BH5</f>
        <v>0</v>
      </c>
      <c r="BS33" s="57">
        <f>'2018'!BI5</f>
        <v>0</v>
      </c>
      <c r="BT33" s="57">
        <f>'2018'!BJ5</f>
        <v>2</v>
      </c>
      <c r="BU33" s="57">
        <f>'2018'!BK5</f>
        <v>0</v>
      </c>
      <c r="BV33" s="58">
        <f>'2018'!BL5</f>
        <v>11</v>
      </c>
      <c r="BW33" s="58">
        <f>'2018'!BM5</f>
        <v>0</v>
      </c>
      <c r="BX33" s="58">
        <f>'2018'!BN5</f>
        <v>6</v>
      </c>
      <c r="BY33" s="58">
        <f>'2018'!BO5</f>
        <v>95.5</v>
      </c>
      <c r="BZ33" s="57">
        <f>'2018'!BP5</f>
        <v>0</v>
      </c>
      <c r="CA33" s="57">
        <f>'2018'!BQ5</f>
        <v>2319</v>
      </c>
      <c r="CB33" s="57">
        <f>'2018'!BR5</f>
        <v>0</v>
      </c>
      <c r="CC33" s="57">
        <f>'2018'!BS5</f>
        <v>0</v>
      </c>
      <c r="CD33" s="59">
        <f>'2018'!BT5</f>
        <v>0</v>
      </c>
      <c r="CE33" s="56">
        <f>'2018'!BU5</f>
        <v>357</v>
      </c>
      <c r="CF33" s="57">
        <f>'2018'!BV5</f>
        <v>3266</v>
      </c>
      <c r="CG33" s="57">
        <f>'2018'!BW5</f>
        <v>4</v>
      </c>
      <c r="CH33" s="57">
        <f>'2018'!BX5</f>
        <v>0</v>
      </c>
      <c r="CI33" s="57">
        <f>'2018'!BY5</f>
        <v>60</v>
      </c>
      <c r="CJ33" s="57">
        <f>'2018'!BZ5</f>
        <v>11</v>
      </c>
      <c r="CK33" s="58">
        <f>'2018'!CA5</f>
        <v>6</v>
      </c>
      <c r="CL33" s="58">
        <f>'2018'!CB5</f>
        <v>41</v>
      </c>
      <c r="CM33" s="58">
        <f>'2018'!CC5</f>
        <v>2.5299999999999998</v>
      </c>
      <c r="CN33" s="58">
        <f>'2018'!CD5</f>
        <v>33.299999999999997</v>
      </c>
      <c r="CO33" s="57">
        <f>'2018'!CE5</f>
        <v>120</v>
      </c>
      <c r="CP33" s="57">
        <f>'2018'!CF5</f>
        <v>1988</v>
      </c>
      <c r="CQ33" s="57">
        <f>'2018'!CG5</f>
        <v>8</v>
      </c>
      <c r="CR33" s="57">
        <f>'2018'!CH5</f>
        <v>0</v>
      </c>
      <c r="CS33" s="59">
        <f>'2018'!CI5</f>
        <v>0</v>
      </c>
      <c r="CT33" s="56">
        <f>'2018'!CJ5</f>
        <v>992</v>
      </c>
      <c r="CU33" s="57">
        <f>'2018'!CK5</f>
        <v>3680</v>
      </c>
      <c r="CV33" s="57">
        <f>'2018'!CL5</f>
        <v>11</v>
      </c>
      <c r="CW33" s="57">
        <f>'2018'!CM5</f>
        <v>0</v>
      </c>
      <c r="CX33" s="57">
        <f>'2018'!CN5</f>
        <v>134</v>
      </c>
      <c r="CY33" s="57">
        <f>'2018'!CO5</f>
        <v>31</v>
      </c>
      <c r="CZ33" s="58">
        <f>'2018'!CP5</f>
        <v>7.4</v>
      </c>
      <c r="DA33" s="58">
        <f>'2018'!CQ5</f>
        <v>109</v>
      </c>
      <c r="DB33" s="58">
        <f>'2018'!CR5</f>
        <v>4.78</v>
      </c>
      <c r="DC33" s="58">
        <f>'2018'!CS5</f>
        <v>62.6</v>
      </c>
      <c r="DD33" s="57">
        <f>'2018'!CT5</f>
        <v>224</v>
      </c>
      <c r="DE33" s="57">
        <f>'2018'!CU5</f>
        <v>2023</v>
      </c>
      <c r="DF33" s="57">
        <f>'2018'!CV5</f>
        <v>15</v>
      </c>
      <c r="DG33" s="57">
        <f>'2018'!CW5</f>
        <v>0</v>
      </c>
      <c r="DH33" s="59">
        <f>'2018'!CX5</f>
        <v>0</v>
      </c>
      <c r="DI33" s="56">
        <f>'2018'!CY5</f>
        <v>2254</v>
      </c>
      <c r="DJ33" s="57">
        <f>'2018'!CZ5</f>
        <v>3282</v>
      </c>
      <c r="DK33" s="57">
        <f>'2018'!DA5</f>
        <v>23</v>
      </c>
      <c r="DL33" s="57">
        <f>'2018'!DB5</f>
        <v>0</v>
      </c>
      <c r="DM33" s="57">
        <f>'2018'!DC5</f>
        <v>289</v>
      </c>
      <c r="DN33" s="57">
        <f>'2018'!DD5</f>
        <v>86</v>
      </c>
      <c r="DO33" s="58">
        <f>'2018'!DE5</f>
        <v>7.8</v>
      </c>
      <c r="DP33" s="58">
        <f>'2018'!DF5</f>
        <v>129.69999999999999</v>
      </c>
      <c r="DQ33" s="58">
        <f>'2018'!DG5</f>
        <v>4.47</v>
      </c>
      <c r="DR33" s="58">
        <f>'2018'!DH5</f>
        <v>56.6</v>
      </c>
      <c r="DS33" s="57">
        <f>'2018'!DI5</f>
        <v>129</v>
      </c>
      <c r="DT33" s="57">
        <f>'2018'!DJ5</f>
        <v>1920</v>
      </c>
      <c r="DU33" s="57">
        <f>'2018'!DK5</f>
        <v>19</v>
      </c>
      <c r="DV33" s="57">
        <f>'2018'!DL5</f>
        <v>0</v>
      </c>
      <c r="DW33" s="59">
        <f>'2018'!DM5</f>
        <v>0</v>
      </c>
    </row>
    <row r="34" spans="1:127" x14ac:dyDescent="0.2">
      <c r="A34" s="33">
        <f t="shared" si="0"/>
        <v>32</v>
      </c>
      <c r="B34" s="11">
        <f>'2017'!A7</f>
        <v>5</v>
      </c>
      <c r="C34" s="11">
        <v>2017</v>
      </c>
      <c r="D34" s="34" t="str">
        <f>'2017'!B7</f>
        <v>Alvin Kamara</v>
      </c>
      <c r="E34" s="224" t="str" cm="1">
        <f t="array" ref="E34">_xlfn.IFS(F34&gt;=13,"Cornerstone",AND(F34&gt;=12,F34&lt;13),"Elite",AND(F34&gt;=11,F34&lt;12),"Elite Upside",AND(F34&gt;=9,F34&lt;11),"Upside",AND(F34&gt;=7,F34&lt;9),"Upside Lite",AND(F34&gt;=6,F34&lt;7),"Outlier",AND(F34&gt;=5,F34&lt;6),"Outlier Lite",F34&lt;5,"Purgatory")</f>
        <v>Upside</v>
      </c>
      <c r="F34" s="14">
        <f>'2017'!C7</f>
        <v>10.844444444444443</v>
      </c>
      <c r="G34" s="14">
        <f t="shared" si="7"/>
        <v>90.2</v>
      </c>
      <c r="H34" s="35">
        <f t="shared" si="1"/>
        <v>1.2028200121166928</v>
      </c>
      <c r="I34" s="36" t="str">
        <f>'2017'!D7</f>
        <v>Tennessee</v>
      </c>
      <c r="J34" s="37">
        <f>'2017'!E7</f>
        <v>1</v>
      </c>
      <c r="K34" s="38">
        <f>'2017'!F7</f>
        <v>34905</v>
      </c>
      <c r="L34" s="39">
        <f>'2017'!G7</f>
        <v>30.197260273972603</v>
      </c>
      <c r="M34" s="39" t="str">
        <f>'2017'!H7</f>
        <v>JR</v>
      </c>
      <c r="N34" s="39">
        <f>'2017'!I7</f>
        <v>21.772602739726029</v>
      </c>
      <c r="O34" s="39" t="str">
        <f t="shared" si="2"/>
        <v>BELL CALF</v>
      </c>
      <c r="P34" s="39" t="str">
        <f t="shared" si="8"/>
        <v>+RECEIVER</v>
      </c>
      <c r="Q34" s="37">
        <f>'2017'!J7</f>
        <v>70</v>
      </c>
      <c r="R34" s="37">
        <f>'2017'!K7</f>
        <v>214</v>
      </c>
      <c r="S34" s="39">
        <f t="shared" si="5"/>
        <v>30.70546271704788</v>
      </c>
      <c r="T34" s="37">
        <f>'2017'!L7</f>
        <v>4.53</v>
      </c>
      <c r="U34" s="55">
        <f>'2017'!M7</f>
        <v>3</v>
      </c>
      <c r="V34" s="41">
        <f>'2017'!N7</f>
        <v>0</v>
      </c>
      <c r="W34" s="42">
        <f>'2017'!O7</f>
        <v>0</v>
      </c>
      <c r="X34" s="42">
        <f>'2017'!P7</f>
        <v>0</v>
      </c>
      <c r="Y34" s="42">
        <f>'2017'!Q7</f>
        <v>0.18178506375227688</v>
      </c>
      <c r="Z34" s="42">
        <f>'2017'!R7</f>
        <v>0.20202020202020202</v>
      </c>
      <c r="AA34" s="42">
        <f>'2017'!S7</f>
        <v>0.20202020202020202</v>
      </c>
      <c r="AB34" s="42">
        <f>'2017'!T7</f>
        <v>0.20202020202020202</v>
      </c>
      <c r="AC34" s="42">
        <f>'2017'!U7</f>
        <v>0.11463981409759876</v>
      </c>
      <c r="AD34" s="42">
        <f>'2017'!V7</f>
        <v>0.14865637507146942</v>
      </c>
      <c r="AE34" s="42">
        <f>'2017'!W7</f>
        <v>0.14865637507146942</v>
      </c>
      <c r="AF34" s="43">
        <f>'2017'!X7</f>
        <v>0.14865637507146942</v>
      </c>
      <c r="AG34" s="44">
        <f>'2017'!Y7</f>
        <v>20.115068493150684</v>
      </c>
      <c r="AH34" s="45">
        <f>'2017'!Z7</f>
        <v>101.63679484717927</v>
      </c>
      <c r="AI34" s="45">
        <f>'2017'!AA7</f>
        <v>30.702448979591839</v>
      </c>
      <c r="AJ34" s="45">
        <f>'2017'!AB7</f>
        <v>0.26415094339622641</v>
      </c>
      <c r="AK34" s="45">
        <f>'2017'!AC7</f>
        <v>6.6</v>
      </c>
      <c r="AL34" s="45">
        <f t="shared" si="3"/>
        <v>9.1466666666666665</v>
      </c>
      <c r="AM34" s="45">
        <f t="shared" si="4"/>
        <v>0.27972027972027974</v>
      </c>
      <c r="AN34" s="45">
        <f>'2017'!AD7</f>
        <v>132.1</v>
      </c>
      <c r="AO34" s="45">
        <f>'2017'!AE7</f>
        <v>3.78</v>
      </c>
      <c r="AP34" s="46">
        <f>'2017'!AF7</f>
        <v>47.7</v>
      </c>
      <c r="AQ34" s="47">
        <f>'2017'!AG7</f>
        <v>4</v>
      </c>
      <c r="AR34" s="48">
        <f>'2017'!AH7</f>
        <v>10</v>
      </c>
      <c r="AS34" s="48">
        <f>'2017'!AI7</f>
        <v>4</v>
      </c>
      <c r="AT34" s="48">
        <f t="shared" si="9"/>
        <v>6</v>
      </c>
      <c r="AU34" s="48">
        <f>'2017'!AK7</f>
        <v>7</v>
      </c>
      <c r="AV34" s="48">
        <f>'2017'!AL7</f>
        <v>6</v>
      </c>
      <c r="AW34" s="48">
        <f>'2017'!AM7</f>
        <v>9</v>
      </c>
      <c r="AX34" s="48">
        <f>'2017'!AN7</f>
        <v>5</v>
      </c>
      <c r="AY34" s="49">
        <f>IF(U34=1,10,IF(U34=2,7,IF(U34=3,6,IF(U34=4,4,IF(U34=5,3,IF(U34=6,2,IF(U34=7,1,IF(U34=0,0,"-"))))))))</f>
        <v>6</v>
      </c>
      <c r="AZ34" s="50">
        <f>'2017'!AP7</f>
        <v>1</v>
      </c>
      <c r="BA34" s="56">
        <f>'2017'!AQ7</f>
        <v>0</v>
      </c>
      <c r="BB34" s="57">
        <f>'2017'!AR7</f>
        <v>1924</v>
      </c>
      <c r="BC34" s="57">
        <f>'2017'!AS7</f>
        <v>0</v>
      </c>
      <c r="BD34" s="57">
        <f>'2017'!AT7</f>
        <v>0</v>
      </c>
      <c r="BE34" s="57">
        <f>'2017'!AU7</f>
        <v>0</v>
      </c>
      <c r="BF34" s="57">
        <f>'2017'!AV7</f>
        <v>0</v>
      </c>
      <c r="BG34" s="58">
        <f>'2017'!AW7</f>
        <v>0</v>
      </c>
      <c r="BH34" s="58">
        <f>'2017'!AX7</f>
        <v>0</v>
      </c>
      <c r="BI34" s="58">
        <f>'2017'!AY7</f>
        <v>0</v>
      </c>
      <c r="BJ34" s="58">
        <f>'2017'!AZ7</f>
        <v>0</v>
      </c>
      <c r="BK34" s="57">
        <f>'2017'!BA7</f>
        <v>0</v>
      </c>
      <c r="BL34" s="57">
        <f>'2017'!BB7</f>
        <v>3787</v>
      </c>
      <c r="BM34" s="57">
        <f>'2017'!BC7</f>
        <v>0</v>
      </c>
      <c r="BN34" s="57">
        <f>'2017'!BD7</f>
        <v>0</v>
      </c>
      <c r="BO34" s="59">
        <f>'2017'!BE7</f>
        <v>0</v>
      </c>
      <c r="BP34" s="56">
        <f>'2017'!BF7</f>
        <v>0</v>
      </c>
      <c r="BQ34" s="57">
        <f>'2017'!BG7</f>
        <v>2261</v>
      </c>
      <c r="BR34" s="57">
        <f>'2017'!BH7</f>
        <v>0</v>
      </c>
      <c r="BS34" s="57">
        <f>'2017'!BI7</f>
        <v>0</v>
      </c>
      <c r="BT34" s="57">
        <f>'2017'!BJ7</f>
        <v>0</v>
      </c>
      <c r="BU34" s="57">
        <f>'2017'!BK7</f>
        <v>0</v>
      </c>
      <c r="BV34" s="58">
        <f>'2017'!BL7</f>
        <v>0</v>
      </c>
      <c r="BW34" s="58">
        <f>'2017'!BM7</f>
        <v>0</v>
      </c>
      <c r="BX34" s="58">
        <f>'2017'!BN7</f>
        <v>0</v>
      </c>
      <c r="BY34" s="58">
        <f>'2017'!BO7</f>
        <v>0</v>
      </c>
      <c r="BZ34" s="57">
        <f>'2017'!BP7</f>
        <v>0</v>
      </c>
      <c r="CA34" s="57">
        <f>'2017'!BQ7</f>
        <v>1979</v>
      </c>
      <c r="CB34" s="57">
        <f>'2017'!BR7</f>
        <v>0</v>
      </c>
      <c r="CC34" s="57">
        <f>'2017'!BS7</f>
        <v>0</v>
      </c>
      <c r="CD34" s="59">
        <f>'2017'!BT7</f>
        <v>0</v>
      </c>
      <c r="CE34" s="56">
        <f>'2017'!BU7</f>
        <v>0</v>
      </c>
      <c r="CF34" s="57">
        <f>'2017'!BV7</f>
        <v>1903</v>
      </c>
      <c r="CG34" s="57">
        <f>'2017'!BW7</f>
        <v>0</v>
      </c>
      <c r="CH34" s="57">
        <f>'2017'!BX7</f>
        <v>0</v>
      </c>
      <c r="CI34" s="57">
        <f>'2017'!BY7</f>
        <v>0</v>
      </c>
      <c r="CJ34" s="57">
        <f>'2017'!BZ7</f>
        <v>0</v>
      </c>
      <c r="CK34" s="58">
        <f>'2017'!CA7</f>
        <v>0</v>
      </c>
      <c r="CL34" s="58">
        <f>'2017'!CB7</f>
        <v>0</v>
      </c>
      <c r="CM34" s="58">
        <f>'2017'!CC7</f>
        <v>0</v>
      </c>
      <c r="CN34" s="58">
        <f>'2017'!CD7</f>
        <v>0</v>
      </c>
      <c r="CO34" s="57">
        <f>'2017'!CE7</f>
        <v>0</v>
      </c>
      <c r="CP34" s="57">
        <f>'2017'!CF7</f>
        <v>2914</v>
      </c>
      <c r="CQ34" s="57">
        <f>'2017'!CG7</f>
        <v>0</v>
      </c>
      <c r="CR34" s="57">
        <f>'2017'!CH7</f>
        <v>0</v>
      </c>
      <c r="CS34" s="59">
        <f>'2017'!CI7</f>
        <v>0</v>
      </c>
      <c r="CT34" s="56">
        <f>'2017'!CJ7</f>
        <v>702</v>
      </c>
      <c r="CU34" s="57">
        <f>'2017'!CK7</f>
        <v>2908</v>
      </c>
      <c r="CV34" s="57">
        <f>'2017'!CL7</f>
        <v>7</v>
      </c>
      <c r="CW34" s="57">
        <f>'2017'!CM7</f>
        <v>0</v>
      </c>
      <c r="CX34" s="57">
        <f>'2017'!CN7</f>
        <v>106</v>
      </c>
      <c r="CY34" s="57">
        <f>'2017'!CO7</f>
        <v>28</v>
      </c>
      <c r="CZ34" s="58">
        <f>'2017'!CP7</f>
        <v>6.6</v>
      </c>
      <c r="DA34" s="58">
        <f>'2017'!CQ7</f>
        <v>109.2</v>
      </c>
      <c r="DB34" s="58">
        <f>'2017'!CR7</f>
        <v>3.75</v>
      </c>
      <c r="DC34" s="58">
        <f>'2017'!CS7</f>
        <v>39.700000000000003</v>
      </c>
      <c r="DD34" s="57">
        <f>'2017'!CT7</f>
        <v>296</v>
      </c>
      <c r="DE34" s="57">
        <f>'2017'!CU7</f>
        <v>2582</v>
      </c>
      <c r="DF34" s="57">
        <f>'2017'!CV7</f>
        <v>35</v>
      </c>
      <c r="DG34" s="57">
        <f>'2017'!CW7</f>
        <v>0</v>
      </c>
      <c r="DH34" s="59">
        <f>'2017'!CX7</f>
        <v>0</v>
      </c>
      <c r="DI34" s="56">
        <f>'2017'!CY7</f>
        <v>596</v>
      </c>
      <c r="DJ34" s="57">
        <f>'2017'!CZ7</f>
        <v>2257.1999999999998</v>
      </c>
      <c r="DK34" s="57">
        <f>'2017'!DA7</f>
        <v>9</v>
      </c>
      <c r="DL34" s="57">
        <f>'2017'!DB7</f>
        <v>0</v>
      </c>
      <c r="DM34" s="57">
        <f>'2017'!DC7</f>
        <v>103</v>
      </c>
      <c r="DN34" s="57">
        <f>'2017'!DD7</f>
        <v>26</v>
      </c>
      <c r="DO34" s="58">
        <f>'2017'!DE7</f>
        <v>5.8</v>
      </c>
      <c r="DP34" s="58">
        <f>'2017'!DF7</f>
        <v>132.1</v>
      </c>
      <c r="DQ34" s="58">
        <f>'2017'!DG7</f>
        <v>3.78</v>
      </c>
      <c r="DR34" s="58">
        <f>'2017'!DH7</f>
        <v>47.7</v>
      </c>
      <c r="DS34" s="57">
        <f>'2017'!DI7</f>
        <v>390</v>
      </c>
      <c r="DT34" s="57">
        <f>'2017'!DJ7</f>
        <v>2623.5</v>
      </c>
      <c r="DU34" s="57">
        <f>'2017'!DK7</f>
        <v>40</v>
      </c>
      <c r="DV34" s="57">
        <f>'2017'!DL7</f>
        <v>0</v>
      </c>
      <c r="DW34" s="59">
        <f>'2017'!DM7</f>
        <v>0</v>
      </c>
    </row>
    <row r="35" spans="1:127" x14ac:dyDescent="0.2">
      <c r="A35" s="33">
        <f t="shared" si="0"/>
        <v>33</v>
      </c>
      <c r="B35" s="11">
        <f>'2021'!A5</f>
        <v>3</v>
      </c>
      <c r="C35" s="11">
        <v>2021</v>
      </c>
      <c r="D35" s="34" t="str">
        <f>'2021'!B5</f>
        <v>Najee Harris</v>
      </c>
      <c r="E35" s="224" t="str" cm="1">
        <f t="array" ref="E35">_xlfn.IFS(F35&gt;=13,"Cornerstone",AND(F35&gt;=12,F35&lt;13),"Elite",AND(F35&gt;=11,F35&lt;12),"Elite Upside",AND(F35&gt;=9,F35&lt;11),"Upside",AND(F35&gt;=7,F35&lt;9),"Upside Lite",AND(F35&gt;=6,F35&lt;7),"Outlier",AND(F35&gt;=5,F35&lt;6),"Outlier Lite",F35&lt;5,"Purgatory")</f>
        <v>Upside</v>
      </c>
      <c r="F35" s="14">
        <f>'2021'!C5</f>
        <v>10.805555555555555</v>
      </c>
      <c r="G35" s="14">
        <f t="shared" si="7"/>
        <v>89.9</v>
      </c>
      <c r="H35" s="35">
        <f t="shared" si="1"/>
        <v>1.1863612596184849</v>
      </c>
      <c r="I35" s="36" t="str">
        <f>'2021'!D5</f>
        <v>Alabama</v>
      </c>
      <c r="J35" s="37">
        <f>'2021'!E5</f>
        <v>1</v>
      </c>
      <c r="K35" s="38">
        <f>'2021'!F5</f>
        <v>35863</v>
      </c>
      <c r="L35" s="39">
        <f>'2021'!G5</f>
        <v>27.572602739726026</v>
      </c>
      <c r="M35" s="39" t="str">
        <f>'2021'!H5</f>
        <v>SR</v>
      </c>
      <c r="N35" s="39">
        <f>'2021'!I5</f>
        <v>23.156164383561645</v>
      </c>
      <c r="O35" s="39" t="str">
        <f t="shared" si="2"/>
        <v>BRUISER</v>
      </c>
      <c r="P35" s="39" t="str">
        <f t="shared" si="8"/>
        <v>SLASHER</v>
      </c>
      <c r="Q35" s="37">
        <f>'2021'!J5</f>
        <v>73</v>
      </c>
      <c r="R35" s="37">
        <f>'2021'!K5</f>
        <v>232</v>
      </c>
      <c r="S35" s="39">
        <f t="shared" si="5"/>
        <v>30.608371068496695</v>
      </c>
      <c r="T35" s="37">
        <f>'2021'!L5</f>
        <v>4.66</v>
      </c>
      <c r="U35" s="40">
        <f>'2021'!M5</f>
        <v>1</v>
      </c>
      <c r="V35" s="41">
        <f>'2021'!N5</f>
        <v>0</v>
      </c>
      <c r="W35" s="42">
        <f>'2021'!O5</f>
        <v>6.6752452951584371E-2</v>
      </c>
      <c r="X35" s="42">
        <f>'2021'!P5</f>
        <v>0.10089399744572158</v>
      </c>
      <c r="Y35" s="42">
        <f>'2021'!Q5</f>
        <v>0.23012048192771084</v>
      </c>
      <c r="Z35" s="42">
        <f>'2021'!R5</f>
        <v>0.26828575486436584</v>
      </c>
      <c r="AA35" s="42">
        <f>'2021'!S5</f>
        <v>0.26828575486436584</v>
      </c>
      <c r="AB35" s="42">
        <f>'2021'!T5</f>
        <v>0.26828575486436584</v>
      </c>
      <c r="AC35" s="42">
        <f>'2021'!U5</f>
        <v>6.8329961789166102E-2</v>
      </c>
      <c r="AD35" s="42">
        <f>'2021'!V5</f>
        <v>9.1280068728522332E-2</v>
      </c>
      <c r="AE35" s="42">
        <f>'2021'!W5</f>
        <v>9.1280068728522332E-2</v>
      </c>
      <c r="AF35" s="43">
        <f>'2021'!X5</f>
        <v>9.1280068728522332E-2</v>
      </c>
      <c r="AG35" s="44">
        <f>'2021'!Y5</f>
        <v>21.493150684931507</v>
      </c>
      <c r="AH35" s="45">
        <f>'2021'!Z5</f>
        <v>98.395290846709756</v>
      </c>
      <c r="AI35" s="45">
        <f>'2021'!AA5</f>
        <v>30.605366860574215</v>
      </c>
      <c r="AJ35" s="45">
        <f>'2021'!AB5</f>
        <v>0.28229665071770332</v>
      </c>
      <c r="AK35" s="45">
        <f>'2021'!AC5</f>
        <v>5.9</v>
      </c>
      <c r="AL35" s="45">
        <f t="shared" si="3"/>
        <v>10.276315789473685</v>
      </c>
      <c r="AM35" s="45">
        <f t="shared" ref="AM35:AM66" si="10">DU35/SUM(DM35,DU35)</f>
        <v>0.14576271186440679</v>
      </c>
      <c r="AN35" s="45">
        <f>'2021'!AD5</f>
        <v>106</v>
      </c>
      <c r="AO35" s="45">
        <f>'2021'!AE5</f>
        <v>3.57</v>
      </c>
      <c r="AP35" s="46">
        <f>'2021'!AF5</f>
        <v>31.8</v>
      </c>
      <c r="AQ35" s="47">
        <f>'2021'!AG5</f>
        <v>7</v>
      </c>
      <c r="AR35" s="48">
        <f>'2021'!AH5</f>
        <v>9</v>
      </c>
      <c r="AS35" s="48">
        <f>'2021'!AI5</f>
        <v>2</v>
      </c>
      <c r="AT35" s="48">
        <f t="shared" si="9"/>
        <v>4</v>
      </c>
      <c r="AU35" s="48">
        <f>'2021'!AK5</f>
        <v>8</v>
      </c>
      <c r="AV35" s="48">
        <f>'2021'!AL5</f>
        <v>4</v>
      </c>
      <c r="AW35" s="48">
        <f>'2021'!AM5</f>
        <v>4</v>
      </c>
      <c r="AX35" s="48">
        <f>'2021'!AN5</f>
        <v>2</v>
      </c>
      <c r="AY35" s="49">
        <f>IF(U35=1,10,IF(U35=2,7,IF(U35=3,6,IF(U35=4,4,IF(U35=5,3,IF(U35=6,2,IF(U35=7,1,IF(U35=0,0,"-"))))))))</f>
        <v>10</v>
      </c>
      <c r="AZ35" s="50">
        <f>'2021'!AP5</f>
        <v>1</v>
      </c>
      <c r="BA35" s="56">
        <f>'2021'!AQ5</f>
        <v>0</v>
      </c>
      <c r="BB35" s="57">
        <f>'2021'!AR5</f>
        <v>3675</v>
      </c>
      <c r="BC35" s="57">
        <f>'2021'!AS5</f>
        <v>0</v>
      </c>
      <c r="BD35" s="57">
        <f>'2021'!AT5</f>
        <v>33</v>
      </c>
      <c r="BE35" s="57">
        <f>'2021'!AU5</f>
        <v>0</v>
      </c>
      <c r="BF35" s="57">
        <f>'2021'!AV5</f>
        <v>0</v>
      </c>
      <c r="BG35" s="58">
        <f>'2021'!AW5</f>
        <v>0</v>
      </c>
      <c r="BH35" s="58">
        <f>'2021'!AX5</f>
        <v>0</v>
      </c>
      <c r="BI35" s="58">
        <f>'2021'!AY5</f>
        <v>0</v>
      </c>
      <c r="BJ35" s="58">
        <f>'2021'!AZ5</f>
        <v>0</v>
      </c>
      <c r="BK35" s="57">
        <f>'2021'!BA5</f>
        <v>0</v>
      </c>
      <c r="BL35" s="57">
        <f>'2021'!BB5</f>
        <v>3154</v>
      </c>
      <c r="BM35" s="57">
        <f>'2021'!BC5</f>
        <v>0</v>
      </c>
      <c r="BN35" s="57">
        <f>'2021'!BD5</f>
        <v>0</v>
      </c>
      <c r="BO35" s="59">
        <f>'2021'!BE5</f>
        <v>26</v>
      </c>
      <c r="BP35" s="56">
        <f>'2021'!BF5</f>
        <v>370</v>
      </c>
      <c r="BQ35" s="57">
        <f>'2021'!BG5</f>
        <v>3509</v>
      </c>
      <c r="BR35" s="57">
        <f>'2021'!BH5</f>
        <v>3</v>
      </c>
      <c r="BS35" s="57">
        <f>'2021'!BI5</f>
        <v>36</v>
      </c>
      <c r="BT35" s="57">
        <f>'2021'!BJ5</f>
        <v>61</v>
      </c>
      <c r="BU35" s="57">
        <f>'2021'!BK5</f>
        <v>16</v>
      </c>
      <c r="BV35" s="58">
        <f>'2021'!BL5</f>
        <v>6.1</v>
      </c>
      <c r="BW35" s="58">
        <f>'2021'!BM5</f>
        <v>123.3</v>
      </c>
      <c r="BX35" s="58">
        <f>'2021'!BN5</f>
        <v>4.59</v>
      </c>
      <c r="BY35" s="58">
        <f>'2021'!BO5</f>
        <v>33.799999999999997</v>
      </c>
      <c r="BZ35" s="57">
        <f>'2021'!BP5</f>
        <v>45</v>
      </c>
      <c r="CA35" s="57">
        <f>'2021'!BQ5</f>
        <v>2708</v>
      </c>
      <c r="CB35" s="57">
        <f>'2021'!BR5</f>
        <v>6</v>
      </c>
      <c r="CC35" s="57">
        <f>'2021'!BS5</f>
        <v>0</v>
      </c>
      <c r="CD35" s="59">
        <f>'2021'!BT5</f>
        <v>28</v>
      </c>
      <c r="CE35" s="56">
        <f>'2021'!BU5</f>
        <v>783</v>
      </c>
      <c r="CF35" s="57">
        <f>'2021'!BV5</f>
        <v>2976</v>
      </c>
      <c r="CG35" s="57">
        <f>'2021'!BW5</f>
        <v>4</v>
      </c>
      <c r="CH35" s="57">
        <f>'2021'!BX5</f>
        <v>33</v>
      </c>
      <c r="CI35" s="57">
        <f>'2021'!BY5</f>
        <v>117</v>
      </c>
      <c r="CJ35" s="57">
        <f>'2021'!BZ5</f>
        <v>37</v>
      </c>
      <c r="CK35" s="58">
        <f>'2021'!CA5</f>
        <v>6.7</v>
      </c>
      <c r="CL35" s="58">
        <f>'2021'!CB5</f>
        <v>133.80000000000001</v>
      </c>
      <c r="CM35" s="58">
        <f>'2021'!CC5</f>
        <v>4.38</v>
      </c>
      <c r="CN35" s="58">
        <f>'2021'!CD5</f>
        <v>37.4</v>
      </c>
      <c r="CO35" s="57">
        <f>'2021'!CE5</f>
        <v>7</v>
      </c>
      <c r="CP35" s="57">
        <f>'2021'!CF5</f>
        <v>4854</v>
      </c>
      <c r="CQ35" s="57">
        <f>'2021'!CG5</f>
        <v>0</v>
      </c>
      <c r="CR35" s="57">
        <f>'2021'!CH5</f>
        <v>0</v>
      </c>
      <c r="CS35" s="59">
        <f>'2021'!CI5</f>
        <v>52</v>
      </c>
      <c r="CT35" s="56">
        <f>'2021'!CJ5</f>
        <v>1224</v>
      </c>
      <c r="CU35" s="57">
        <f>'2021'!CK5</f>
        <v>2191</v>
      </c>
      <c r="CV35" s="57">
        <f>'2021'!CL5</f>
        <v>13</v>
      </c>
      <c r="CW35" s="57">
        <f>'2021'!CM5</f>
        <v>27</v>
      </c>
      <c r="CX35" s="57">
        <f>'2021'!CN5</f>
        <v>209</v>
      </c>
      <c r="CY35" s="57">
        <f>'2021'!CO5</f>
        <v>59</v>
      </c>
      <c r="CZ35" s="58">
        <f>'2021'!CP5</f>
        <v>5.9</v>
      </c>
      <c r="DA35" s="58">
        <f>'2021'!CQ5</f>
        <v>106</v>
      </c>
      <c r="DB35" s="58">
        <f>'2021'!CR5</f>
        <v>3.57</v>
      </c>
      <c r="DC35" s="58">
        <f>'2021'!CS5</f>
        <v>28.3</v>
      </c>
      <c r="DD35" s="57">
        <f>'2021'!CT5</f>
        <v>304</v>
      </c>
      <c r="DE35" s="57">
        <f>'2021'!CU5</f>
        <v>4449</v>
      </c>
      <c r="DF35" s="57">
        <f>'2021'!CV5</f>
        <v>27</v>
      </c>
      <c r="DG35" s="57">
        <f>'2021'!CW5</f>
        <v>0</v>
      </c>
      <c r="DH35" s="59">
        <f>'2021'!CX5</f>
        <v>49</v>
      </c>
      <c r="DI35" s="56">
        <f>'2021'!CY5</f>
        <v>1464</v>
      </c>
      <c r="DJ35" s="57">
        <f>'2021'!CZ5</f>
        <v>2385</v>
      </c>
      <c r="DK35" s="57">
        <f>'2021'!DA5</f>
        <v>26</v>
      </c>
      <c r="DL35" s="57">
        <f>'2021'!DB5</f>
        <v>37</v>
      </c>
      <c r="DM35" s="57">
        <f>'2021'!DC5</f>
        <v>252</v>
      </c>
      <c r="DN35" s="57">
        <f>'2021'!DD5</f>
        <v>71</v>
      </c>
      <c r="DO35" s="58">
        <f>'2021'!DE5</f>
        <v>5.8</v>
      </c>
      <c r="DP35" s="58">
        <f>'2021'!DF5</f>
        <v>102.7</v>
      </c>
      <c r="DQ35" s="58">
        <f>'2021'!DG5</f>
        <v>3.26</v>
      </c>
      <c r="DR35" s="58">
        <f>'2021'!DH5</f>
        <v>31.8</v>
      </c>
      <c r="DS35" s="57">
        <f>'2021'!DI5</f>
        <v>425</v>
      </c>
      <c r="DT35" s="57">
        <f>'2021'!DJ5</f>
        <v>4656</v>
      </c>
      <c r="DU35" s="57">
        <f>'2021'!DK5</f>
        <v>43</v>
      </c>
      <c r="DV35" s="57">
        <f>'2021'!DL5</f>
        <v>0</v>
      </c>
      <c r="DW35" s="59">
        <f>'2021'!DM5</f>
        <v>42</v>
      </c>
    </row>
    <row r="36" spans="1:127" x14ac:dyDescent="0.2">
      <c r="A36" s="33">
        <f t="shared" si="0"/>
        <v>34</v>
      </c>
      <c r="B36" s="11">
        <f>'2017'!A8</f>
        <v>6</v>
      </c>
      <c r="C36" s="11">
        <v>2017</v>
      </c>
      <c r="D36" s="34" t="str">
        <f>'2017'!B8</f>
        <v>Kareem Hunt</v>
      </c>
      <c r="E36" s="224" t="str" cm="1">
        <f t="array" ref="E36">_xlfn.IFS(F36&gt;=13,"Cornerstone",AND(F36&gt;=12,F36&lt;13),"Elite",AND(F36&gt;=11,F36&lt;12),"Elite Upside",AND(F36&gt;=9,F36&lt;11),"Upside",AND(F36&gt;=7,F36&lt;9),"Upside Lite",AND(F36&gt;=6,F36&lt;7),"Outlier",AND(F36&gt;=5,F36&lt;6),"Outlier Lite",F36&lt;5,"Purgatory")</f>
        <v>Upside</v>
      </c>
      <c r="F36" s="14">
        <f>'2017'!C8</f>
        <v>10.777777777777779</v>
      </c>
      <c r="G36" s="14">
        <f t="shared" si="7"/>
        <v>89.600000000000009</v>
      </c>
      <c r="H36" s="35">
        <f t="shared" si="1"/>
        <v>1.1746050078340509</v>
      </c>
      <c r="I36" s="36" t="str">
        <f>'2017'!D8</f>
        <v>Toledo</v>
      </c>
      <c r="J36" s="37">
        <f>'2017'!E8</f>
        <v>9</v>
      </c>
      <c r="K36" s="38">
        <f>'2017'!F8</f>
        <v>34917</v>
      </c>
      <c r="L36" s="39">
        <f>'2017'!G8</f>
        <v>30.164383561643834</v>
      </c>
      <c r="M36" s="39" t="str">
        <f>'2017'!H8</f>
        <v>SR</v>
      </c>
      <c r="N36" s="39">
        <f>'2017'!I8</f>
        <v>21.739726027397261</v>
      </c>
      <c r="O36" s="39" t="str">
        <f t="shared" si="2"/>
        <v>BELL CALF</v>
      </c>
      <c r="P36" s="39" t="str">
        <f t="shared" si="8"/>
        <v>3DOWN</v>
      </c>
      <c r="Q36" s="37">
        <f>'2017'!J8</f>
        <v>70</v>
      </c>
      <c r="R36" s="37">
        <f>'2017'!K8</f>
        <v>216</v>
      </c>
      <c r="S36" s="39">
        <f t="shared" si="5"/>
        <v>30.9924296583287</v>
      </c>
      <c r="T36" s="37">
        <f>'2017'!L8</f>
        <v>4.62</v>
      </c>
      <c r="U36" s="55">
        <f>'2017'!M8</f>
        <v>3</v>
      </c>
      <c r="V36" s="41">
        <f>'2017'!N8</f>
        <v>0</v>
      </c>
      <c r="W36" s="42">
        <f>'2017'!O8</f>
        <v>0.21097808899932233</v>
      </c>
      <c r="X36" s="42">
        <f>'2017'!P8</f>
        <v>0.28205041333514025</v>
      </c>
      <c r="Y36" s="42">
        <f>'2017'!Q8</f>
        <v>0.31353846153846154</v>
      </c>
      <c r="Z36" s="42">
        <f>'2017'!R8</f>
        <v>0.44297520661157025</v>
      </c>
      <c r="AA36" s="42">
        <f>'2017'!S8</f>
        <v>0.44297520661157025</v>
      </c>
      <c r="AB36" s="42">
        <f>'2017'!T8</f>
        <v>0.28793388429752065</v>
      </c>
      <c r="AC36" s="42">
        <f>'2017'!U8</f>
        <v>2.715751357875679E-2</v>
      </c>
      <c r="AD36" s="42">
        <f>'2017'!V8</f>
        <v>0.23705882352941177</v>
      </c>
      <c r="AE36" s="42">
        <f>'2017'!W8</f>
        <v>0.23705882352941177</v>
      </c>
      <c r="AF36" s="43">
        <f>'2017'!X8</f>
        <v>0.15408823529411766</v>
      </c>
      <c r="AG36" s="44">
        <f>'2017'!Y8</f>
        <v>18.082191780821919</v>
      </c>
      <c r="AH36" s="45">
        <f>'2017'!Z8</f>
        <v>94.823470132593457</v>
      </c>
      <c r="AI36" s="45">
        <f>'2017'!AA8</f>
        <v>30.98938775510204</v>
      </c>
      <c r="AJ36" s="45">
        <f>'2017'!AB8</f>
        <v>0.29118773946360155</v>
      </c>
      <c r="AK36" s="45">
        <f>'2017'!AC8</f>
        <v>5.6</v>
      </c>
      <c r="AL36" s="45">
        <f t="shared" si="3"/>
        <v>7.5342465753424657</v>
      </c>
      <c r="AM36" s="45">
        <f t="shared" si="10"/>
        <v>0.13576158940397351</v>
      </c>
      <c r="AN36" s="45">
        <f>'2017'!AD8</f>
        <v>124</v>
      </c>
      <c r="AO36" s="45">
        <f>'2017'!AE8</f>
        <v>4.6500000000000004</v>
      </c>
      <c r="AP36" s="46">
        <f>'2017'!AF8</f>
        <v>49.3</v>
      </c>
      <c r="AQ36" s="47">
        <f>'2017'!AG8</f>
        <v>8</v>
      </c>
      <c r="AR36" s="48">
        <f>'2017'!AH8</f>
        <v>10</v>
      </c>
      <c r="AS36" s="48">
        <f>'2017'!AI8</f>
        <v>10</v>
      </c>
      <c r="AT36" s="48">
        <f t="shared" si="9"/>
        <v>3</v>
      </c>
      <c r="AU36" s="48">
        <f>'2017'!AK8</f>
        <v>8</v>
      </c>
      <c r="AV36" s="48">
        <f>'2017'!AL8</f>
        <v>3</v>
      </c>
      <c r="AW36" s="48">
        <f>'2017'!AM8</f>
        <v>8</v>
      </c>
      <c r="AX36" s="48">
        <f>'2017'!AN8</f>
        <v>9</v>
      </c>
      <c r="AY36" s="49">
        <f>IF(U36=1,10,IF(U36=2,7,IF(U36=3,6,IF(U36=4,4,IF(U36=5,3,IF(U36=6,2,IF(U36=7,1,IF(U36=0,0,"-"))))))))</f>
        <v>6</v>
      </c>
      <c r="AZ36" s="50">
        <f>'2017'!AP8</f>
        <v>0</v>
      </c>
      <c r="BA36" s="56">
        <f>'2017'!AQ8</f>
        <v>0</v>
      </c>
      <c r="BB36" s="57">
        <f>'2017'!AR8</f>
        <v>3161</v>
      </c>
      <c r="BC36" s="57">
        <f>'2017'!AS8</f>
        <v>0</v>
      </c>
      <c r="BD36" s="57">
        <f>'2017'!AT8</f>
        <v>0</v>
      </c>
      <c r="BE36" s="57">
        <f>'2017'!AU8</f>
        <v>0</v>
      </c>
      <c r="BF36" s="57">
        <f>'2017'!AV8</f>
        <v>0</v>
      </c>
      <c r="BG36" s="58">
        <f>'2017'!AW8</f>
        <v>0</v>
      </c>
      <c r="BH36" s="58">
        <f>'2017'!AX8</f>
        <v>0</v>
      </c>
      <c r="BI36" s="58">
        <f>'2017'!AY8</f>
        <v>0</v>
      </c>
      <c r="BJ36" s="58">
        <f>'2017'!AZ8</f>
        <v>0</v>
      </c>
      <c r="BK36" s="57">
        <f>'2017'!BA8</f>
        <v>0</v>
      </c>
      <c r="BL36" s="57">
        <f>'2017'!BB8</f>
        <v>2275</v>
      </c>
      <c r="BM36" s="57">
        <f>'2017'!BC8</f>
        <v>0</v>
      </c>
      <c r="BN36" s="57">
        <f>'2017'!BD8</f>
        <v>0</v>
      </c>
      <c r="BO36" s="59">
        <f>'2017'!BE8</f>
        <v>0</v>
      </c>
      <c r="BP36" s="56">
        <f>'2017'!BF8</f>
        <v>866</v>
      </c>
      <c r="BQ36" s="57">
        <f>'2017'!BG8</f>
        <v>2189</v>
      </c>
      <c r="BR36" s="57">
        <f>'2017'!BH8</f>
        <v>0</v>
      </c>
      <c r="BS36" s="57">
        <f>'2017'!BI8</f>
        <v>0</v>
      </c>
      <c r="BT36" s="57">
        <f>'2017'!BJ8</f>
        <v>0</v>
      </c>
      <c r="BU36" s="57">
        <f>'2017'!BK8</f>
        <v>0</v>
      </c>
      <c r="BV36" s="58">
        <f>'2017'!BL8</f>
        <v>0</v>
      </c>
      <c r="BW36" s="58">
        <f>'2017'!BM8</f>
        <v>0</v>
      </c>
      <c r="BX36" s="58">
        <f>'2017'!BN8</f>
        <v>0</v>
      </c>
      <c r="BY36" s="58">
        <f>'2017'!BO8</f>
        <v>0</v>
      </c>
      <c r="BZ36" s="57">
        <f>'2017'!BP8</f>
        <v>68</v>
      </c>
      <c r="CA36" s="57">
        <f>'2017'!BQ8</f>
        <v>2238</v>
      </c>
      <c r="CB36" s="57">
        <f>'2017'!BR8</f>
        <v>12</v>
      </c>
      <c r="CC36" s="57">
        <f>'2017'!BS8</f>
        <v>0</v>
      </c>
      <c r="CD36" s="59">
        <f>'2017'!BT8</f>
        <v>0</v>
      </c>
      <c r="CE36" s="56">
        <f>'2017'!BU8</f>
        <v>1631</v>
      </c>
      <c r="CF36" s="57">
        <f>'2017'!BV8</f>
        <v>3333.2</v>
      </c>
      <c r="CG36" s="57">
        <f>'2017'!BW8</f>
        <v>16</v>
      </c>
      <c r="CH36" s="57">
        <f>'2017'!BX8</f>
        <v>0</v>
      </c>
      <c r="CI36" s="57">
        <f>'2017'!BY8</f>
        <v>205</v>
      </c>
      <c r="CJ36" s="57">
        <f>'2017'!BZ8</f>
        <v>57</v>
      </c>
      <c r="CK36" s="58">
        <f>'2017'!CA8</f>
        <v>7.9</v>
      </c>
      <c r="CL36" s="58">
        <f>'2017'!CB8</f>
        <v>124</v>
      </c>
      <c r="CM36" s="58">
        <f>'2017'!CC8</f>
        <v>4.6500000000000004</v>
      </c>
      <c r="CN36" s="58">
        <f>'2017'!CD8</f>
        <v>49.3</v>
      </c>
      <c r="CO36" s="57">
        <f>'2017'!CE8</f>
        <v>34</v>
      </c>
      <c r="CP36" s="57">
        <f>'2017'!CF8</f>
        <v>2570</v>
      </c>
      <c r="CQ36" s="57">
        <f>'2017'!CG8</f>
        <v>9</v>
      </c>
      <c r="CR36" s="57">
        <f>'2017'!CH8</f>
        <v>0</v>
      </c>
      <c r="CS36" s="59">
        <f>'2017'!CI8</f>
        <v>0</v>
      </c>
      <c r="CT36" s="56">
        <f>'2017'!CJ8</f>
        <v>974</v>
      </c>
      <c r="CU36" s="57">
        <f>'2017'!CK8</f>
        <v>1593</v>
      </c>
      <c r="CV36" s="57">
        <f>'2017'!CL8</f>
        <v>12</v>
      </c>
      <c r="CW36" s="57">
        <f>'2017'!CM8</f>
        <v>0</v>
      </c>
      <c r="CX36" s="57">
        <f>'2017'!CN8</f>
        <v>179</v>
      </c>
      <c r="CY36" s="57">
        <f>'2017'!CO8</f>
        <v>43</v>
      </c>
      <c r="CZ36" s="58">
        <f>'2017'!CP8</f>
        <v>5.4</v>
      </c>
      <c r="DA36" s="58">
        <f>'2017'!CQ8</f>
        <v>84.3</v>
      </c>
      <c r="DB36" s="58">
        <f>'2017'!CR8</f>
        <v>3.34</v>
      </c>
      <c r="DC36" s="58">
        <f>'2017'!CS8</f>
        <v>41.6</v>
      </c>
      <c r="DD36" s="57">
        <f>'2017'!CT8</f>
        <v>45</v>
      </c>
      <c r="DE36" s="57">
        <f>'2017'!CU8</f>
        <v>1657</v>
      </c>
      <c r="DF36" s="57">
        <f>'2017'!CV8</f>
        <v>11</v>
      </c>
      <c r="DG36" s="57">
        <f>'2017'!CW8</f>
        <v>0</v>
      </c>
      <c r="DH36" s="59">
        <f>'2017'!CX8</f>
        <v>0</v>
      </c>
      <c r="DI36" s="56">
        <f>'2017'!CY8</f>
        <v>1473</v>
      </c>
      <c r="DJ36" s="57">
        <f>'2017'!CZ8</f>
        <v>2535</v>
      </c>
      <c r="DK36" s="57">
        <f>'2017'!DA8</f>
        <v>10</v>
      </c>
      <c r="DL36" s="57">
        <f>'2017'!DB8</f>
        <v>0</v>
      </c>
      <c r="DM36" s="57">
        <f>'2017'!DC8</f>
        <v>261</v>
      </c>
      <c r="DN36" s="57">
        <f>'2017'!DD8</f>
        <v>76</v>
      </c>
      <c r="DO36" s="58">
        <f>'2017'!DE8</f>
        <v>5.6</v>
      </c>
      <c r="DP36" s="58">
        <f>'2017'!DF8</f>
        <v>112.4</v>
      </c>
      <c r="DQ36" s="58">
        <f>'2017'!DG8</f>
        <v>3.46</v>
      </c>
      <c r="DR36" s="58">
        <f>'2017'!DH8</f>
        <v>29.3</v>
      </c>
      <c r="DS36" s="57">
        <f>'2017'!DI8</f>
        <v>403</v>
      </c>
      <c r="DT36" s="57">
        <f>'2017'!DJ8</f>
        <v>1700</v>
      </c>
      <c r="DU36" s="57">
        <f>'2017'!DK8</f>
        <v>41</v>
      </c>
      <c r="DV36" s="57">
        <f>'2017'!DL8</f>
        <v>0</v>
      </c>
      <c r="DW36" s="59">
        <f>'2017'!DM8</f>
        <v>0</v>
      </c>
    </row>
    <row r="37" spans="1:127" x14ac:dyDescent="0.2">
      <c r="A37" s="33">
        <f t="shared" si="0"/>
        <v>35</v>
      </c>
      <c r="B37" s="11">
        <f>'2023'!A7</f>
        <v>5</v>
      </c>
      <c r="C37" s="11">
        <v>2023</v>
      </c>
      <c r="D37" s="34" t="str">
        <f>'2023'!B7</f>
        <v>Zach Charbonnet</v>
      </c>
      <c r="E37" s="224" t="str" cm="1">
        <f t="array" ref="E37">_xlfn.IFS(F37&gt;=13,"Cornerstone",AND(F37&gt;=12,F37&lt;13),"Elite",AND(F37&gt;=11,F37&lt;12),"Elite Upside",AND(F37&gt;=9,F37&lt;11),"Upside",AND(F37&gt;=7,F37&lt;9),"Upside Lite",AND(F37&gt;=6,F37&lt;7),"Outlier",AND(F37&gt;=5,F37&lt;6),"Outlier Lite",F37&lt;5,"Purgatory")</f>
        <v>Upside</v>
      </c>
      <c r="F37" s="14">
        <f>'2023'!C7</f>
        <v>10.727777777777778</v>
      </c>
      <c r="G37" s="14">
        <f t="shared" si="7"/>
        <v>89.2</v>
      </c>
      <c r="H37" s="35">
        <f t="shared" si="1"/>
        <v>1.1534437546220686</v>
      </c>
      <c r="I37" s="36" t="str">
        <f>'2023'!D7</f>
        <v>UCLA</v>
      </c>
      <c r="J37" s="37">
        <f>'2023'!E7</f>
        <v>5</v>
      </c>
      <c r="K37" s="38">
        <f>'2023'!F7</f>
        <v>36899</v>
      </c>
      <c r="L37" s="39">
        <f>'2023'!G7</f>
        <v>24.734246575342464</v>
      </c>
      <c r="M37" s="39" t="str">
        <f>'2023'!H7</f>
        <v>SR</v>
      </c>
      <c r="N37" s="39">
        <f>'2023'!I7</f>
        <v>22.312328767123287</v>
      </c>
      <c r="O37" s="39" t="str">
        <f t="shared" si="2"/>
        <v>DYNAMIC</v>
      </c>
      <c r="P37" s="39" t="str">
        <f t="shared" si="8"/>
        <v>3DOWN</v>
      </c>
      <c r="Q37" s="37">
        <f>'2023'!J7</f>
        <v>72</v>
      </c>
      <c r="R37" s="37">
        <f>'2023'!K7</f>
        <v>214</v>
      </c>
      <c r="S37" s="39">
        <f t="shared" si="5"/>
        <v>29.023296163876278</v>
      </c>
      <c r="T37" s="37">
        <f>'2023'!L7</f>
        <v>4.5</v>
      </c>
      <c r="U37" s="40">
        <f>'2023'!M7</f>
        <v>2</v>
      </c>
      <c r="V37" s="41">
        <f>'2023'!N7</f>
        <v>0</v>
      </c>
      <c r="W37" s="42">
        <f>'2023'!O7</f>
        <v>0.14482758620689656</v>
      </c>
      <c r="X37" s="42">
        <f>'2023'!P7</f>
        <v>5.2952503209242621E-2</v>
      </c>
      <c r="Y37" s="42">
        <f>'2023'!Q7</f>
        <v>0.25188821752265861</v>
      </c>
      <c r="Z37" s="42">
        <f>'2023'!R7</f>
        <v>0.2563789152024446</v>
      </c>
      <c r="AA37" s="42">
        <f>'2023'!S7</f>
        <v>0.2563789152024446</v>
      </c>
      <c r="AB37" s="42">
        <f>'2023'!T7</f>
        <v>0.21792207792207791</v>
      </c>
      <c r="AC37" s="42">
        <f>'2023'!U7</f>
        <v>6.6691230655858511E-2</v>
      </c>
      <c r="AD37" s="42">
        <f>'2023'!V7</f>
        <v>9.2807424593967514E-2</v>
      </c>
      <c r="AE37" s="42">
        <f>'2023'!W7</f>
        <v>9.2807424593967514E-2</v>
      </c>
      <c r="AF37" s="43">
        <f>'2023'!X7</f>
        <v>7.8886310904872387E-2</v>
      </c>
      <c r="AG37" s="44">
        <f>'2023'!Y7</f>
        <v>20.671232876712327</v>
      </c>
      <c r="AH37" s="45">
        <f>'2023'!Z7</f>
        <v>104.37433318091755</v>
      </c>
      <c r="AI37" s="45">
        <f>'2023'!AA7</f>
        <v>29.0204475308642</v>
      </c>
      <c r="AJ37" s="45">
        <f>'2023'!AB7</f>
        <v>0.33823529411764708</v>
      </c>
      <c r="AK37" s="45">
        <f>'2023'!AC7</f>
        <v>7</v>
      </c>
      <c r="AL37" s="45">
        <f t="shared" si="3"/>
        <v>7.7297297297297298</v>
      </c>
      <c r="AM37" s="45">
        <f t="shared" si="10"/>
        <v>0.16017316017316016</v>
      </c>
      <c r="AN37" s="45">
        <f>'2023'!AD7</f>
        <v>120.5</v>
      </c>
      <c r="AO37" s="45">
        <f>'2023'!AE7</f>
        <v>4.1500000000000004</v>
      </c>
      <c r="AP37" s="46">
        <f>'2023'!AF7</f>
        <v>44.6</v>
      </c>
      <c r="AQ37" s="47">
        <f>'2023'!AG7</f>
        <v>4</v>
      </c>
      <c r="AR37" s="48">
        <f>'2023'!AH7</f>
        <v>8</v>
      </c>
      <c r="AS37" s="48">
        <f>'2023'!AI7</f>
        <v>3</v>
      </c>
      <c r="AT37" s="48">
        <f t="shared" si="9"/>
        <v>7</v>
      </c>
      <c r="AU37" s="48">
        <f>'2023'!AK7</f>
        <v>9</v>
      </c>
      <c r="AV37" s="48">
        <f>'2023'!AL7</f>
        <v>8</v>
      </c>
      <c r="AW37" s="48">
        <f>'2023'!AM7</f>
        <v>6</v>
      </c>
      <c r="AX37" s="48">
        <f>'2023'!AN7</f>
        <v>5</v>
      </c>
      <c r="AY37" s="49">
        <f>'2023'!AO7</f>
        <v>7</v>
      </c>
      <c r="AZ37" s="50">
        <f>'2023'!AP7</f>
        <v>1</v>
      </c>
      <c r="BA37" s="56">
        <f>'2023'!AQ7</f>
        <v>0</v>
      </c>
      <c r="BB37" s="57">
        <f>'2023'!AR7</f>
        <v>2649</v>
      </c>
      <c r="BC37" s="57">
        <f>'2023'!AS7</f>
        <v>0</v>
      </c>
      <c r="BD37" s="57">
        <f>'2023'!AT7</f>
        <v>26</v>
      </c>
      <c r="BE37" s="57">
        <f>'2023'!AU7</f>
        <v>0</v>
      </c>
      <c r="BF37" s="57">
        <f>'2023'!AV7</f>
        <v>0</v>
      </c>
      <c r="BG37" s="58">
        <f>'2023'!AW7</f>
        <v>0</v>
      </c>
      <c r="BH37" s="58">
        <f>'2023'!AX7</f>
        <v>0</v>
      </c>
      <c r="BI37" s="58">
        <f>'2023'!AY7</f>
        <v>0</v>
      </c>
      <c r="BJ37" s="58">
        <f>'2023'!AZ7</f>
        <v>0</v>
      </c>
      <c r="BK37" s="57">
        <f>'2023'!BA7</f>
        <v>0</v>
      </c>
      <c r="BL37" s="57">
        <f>'2023'!BB7</f>
        <v>2804</v>
      </c>
      <c r="BM37" s="57">
        <f>'2023'!BC7</f>
        <v>0</v>
      </c>
      <c r="BN37" s="57">
        <f>'2023'!BD7</f>
        <v>0</v>
      </c>
      <c r="BO37" s="59">
        <f>'2023'!BE7</f>
        <v>24</v>
      </c>
      <c r="BP37" s="56">
        <f>'2023'!BF7</f>
        <v>726</v>
      </c>
      <c r="BQ37" s="57">
        <f>'2023'!BG7</f>
        <v>1959</v>
      </c>
      <c r="BR37" s="57">
        <f>'2023'!BH7</f>
        <v>11</v>
      </c>
      <c r="BS37" s="57">
        <f>'2023'!BI7</f>
        <v>26</v>
      </c>
      <c r="BT37" s="57">
        <f>'2023'!BJ7</f>
        <v>149</v>
      </c>
      <c r="BU37" s="57">
        <f>'2023'!BK7</f>
        <v>27</v>
      </c>
      <c r="BV37" s="58">
        <f>'2023'!BL7</f>
        <v>4.9000000000000004</v>
      </c>
      <c r="BW37" s="58">
        <f>'2023'!BM7</f>
        <v>51.9</v>
      </c>
      <c r="BX37" s="58">
        <f>'2023'!BN7</f>
        <v>2.91</v>
      </c>
      <c r="BY37" s="58">
        <f>'2023'!BO7</f>
        <v>20.399999999999999</v>
      </c>
      <c r="BZ37" s="57">
        <f>'2023'!BP7</f>
        <v>30</v>
      </c>
      <c r="CA37" s="57">
        <f>'2023'!BQ7</f>
        <v>3261</v>
      </c>
      <c r="CB37" s="57">
        <f>'2023'!BR7</f>
        <v>8</v>
      </c>
      <c r="CC37" s="57">
        <f>'2023'!BS7</f>
        <v>0</v>
      </c>
      <c r="CD37" s="59">
        <f>'2023'!BT7</f>
        <v>25</v>
      </c>
      <c r="CE37" s="56">
        <f>'2023'!BU7</f>
        <v>124</v>
      </c>
      <c r="CF37" s="57">
        <f>'2023'!BV7</f>
        <v>1614</v>
      </c>
      <c r="CG37" s="57">
        <f>'2023'!BW7</f>
        <v>1</v>
      </c>
      <c r="CH37" s="57">
        <f>'2023'!BX7</f>
        <v>13</v>
      </c>
      <c r="CI37" s="57">
        <f>'2023'!BY7</f>
        <v>19</v>
      </c>
      <c r="CJ37" s="57">
        <f>'2023'!BZ7</f>
        <v>5</v>
      </c>
      <c r="CK37" s="58">
        <f>'2023'!CA7</f>
        <v>6.5</v>
      </c>
      <c r="CL37" s="58">
        <f>'2023'!CB7</f>
        <v>70.7</v>
      </c>
      <c r="CM37" s="58">
        <f>'2023'!CC7</f>
        <v>2.5299999999999998</v>
      </c>
      <c r="CN37" s="58">
        <f>'2023'!CD7</f>
        <v>56.5</v>
      </c>
      <c r="CO37" s="57">
        <f>'2023'!CE7</f>
        <v>41</v>
      </c>
      <c r="CP37" s="57">
        <f>'2023'!CF7</f>
        <v>1502</v>
      </c>
      <c r="CQ37" s="57">
        <f>'2023'!CG7</f>
        <v>6</v>
      </c>
      <c r="CR37" s="57">
        <f>'2023'!CH7</f>
        <v>0</v>
      </c>
      <c r="CS37" s="59">
        <f>'2023'!CI7</f>
        <v>9</v>
      </c>
      <c r="CT37" s="56">
        <f>'2023'!CJ7</f>
        <v>1153</v>
      </c>
      <c r="CU37" s="57">
        <f>'2023'!CK7</f>
        <v>2582</v>
      </c>
      <c r="CV37" s="57">
        <f>'2023'!CL7</f>
        <v>13</v>
      </c>
      <c r="CW37" s="57">
        <f>'2023'!CM7</f>
        <v>31</v>
      </c>
      <c r="CX37" s="57">
        <f>'2023'!CN7</f>
        <v>204</v>
      </c>
      <c r="CY37" s="57">
        <f>'2023'!CO7</f>
        <v>69</v>
      </c>
      <c r="CZ37" s="58">
        <f>'2023'!CP7</f>
        <v>5.7</v>
      </c>
      <c r="DA37" s="58">
        <f>'2023'!CQ7</f>
        <v>112.6</v>
      </c>
      <c r="DB37" s="58">
        <f>'2023'!CR7</f>
        <v>3.5</v>
      </c>
      <c r="DC37" s="58">
        <f>'2023'!CS7</f>
        <v>37.4</v>
      </c>
      <c r="DD37" s="57">
        <f>'2023'!CT7</f>
        <v>181</v>
      </c>
      <c r="DE37" s="57">
        <f>'2023'!CU7</f>
        <v>2714</v>
      </c>
      <c r="DF37" s="57">
        <f>'2023'!CV7</f>
        <v>23</v>
      </c>
      <c r="DG37" s="57">
        <f>'2023'!CW7</f>
        <v>0</v>
      </c>
      <c r="DH37" s="59">
        <f>'2023'!CX7</f>
        <v>23</v>
      </c>
      <c r="DI37" s="56">
        <f>'2023'!CY7</f>
        <v>1358</v>
      </c>
      <c r="DJ37" s="57">
        <f>'2023'!CZ7</f>
        <v>3097</v>
      </c>
      <c r="DK37" s="57">
        <f>'2023'!DA7</f>
        <v>14</v>
      </c>
      <c r="DL37" s="57">
        <f>'2023'!DB7</f>
        <v>36</v>
      </c>
      <c r="DM37" s="57">
        <f>'2023'!DC7</f>
        <v>194</v>
      </c>
      <c r="DN37" s="57">
        <f>'2023'!DD7</f>
        <v>52</v>
      </c>
      <c r="DO37" s="58">
        <f>'2023'!DE7</f>
        <v>7</v>
      </c>
      <c r="DP37" s="58">
        <f>'2023'!DF7</f>
        <v>120.5</v>
      </c>
      <c r="DQ37" s="58">
        <f>'2023'!DG7</f>
        <v>4.1500000000000004</v>
      </c>
      <c r="DR37" s="58">
        <f>'2023'!DH7</f>
        <v>44.6</v>
      </c>
      <c r="DS37" s="57">
        <f>'2023'!DI7</f>
        <v>320</v>
      </c>
      <c r="DT37" s="57">
        <f>'2023'!DJ7</f>
        <v>3448</v>
      </c>
      <c r="DU37" s="57">
        <f>'2023'!DK7</f>
        <v>37</v>
      </c>
      <c r="DV37" s="57">
        <f>'2023'!DL7</f>
        <v>0</v>
      </c>
      <c r="DW37" s="59">
        <f>'2023'!DM7</f>
        <v>29</v>
      </c>
    </row>
    <row r="38" spans="1:127" x14ac:dyDescent="0.2">
      <c r="A38" s="33">
        <f t="shared" si="0"/>
        <v>36</v>
      </c>
      <c r="B38" s="11">
        <f>'2020'!A6</f>
        <v>4</v>
      </c>
      <c r="C38" s="11">
        <v>2020</v>
      </c>
      <c r="D38" s="34" t="str">
        <f>'2020'!B6</f>
        <v>Antonio Gibson</v>
      </c>
      <c r="E38" s="224" t="str" cm="1">
        <f t="array" ref="E38">_xlfn.IFS(F38&gt;=13,"Cornerstone",AND(F38&gt;=12,F38&lt;13),"Elite",AND(F38&gt;=11,F38&lt;12),"Elite Upside",AND(F38&gt;=9,F38&lt;11),"Upside",AND(F38&gt;=7,F38&lt;9),"Upside Lite",AND(F38&gt;=6,F38&lt;7),"Outlier",AND(F38&gt;=5,F38&lt;6),"Outlier Lite",F38&lt;5,"Purgatory")</f>
        <v>Upside</v>
      </c>
      <c r="F38" s="14">
        <f>'2020'!C6</f>
        <v>10.722222222222221</v>
      </c>
      <c r="G38" s="14">
        <f t="shared" si="7"/>
        <v>88.9</v>
      </c>
      <c r="H38" s="35">
        <f t="shared" si="1"/>
        <v>1.1510925042651814</v>
      </c>
      <c r="I38" s="36" t="str">
        <f>'2020'!D6</f>
        <v>Memphis</v>
      </c>
      <c r="J38" s="37">
        <f>'2020'!E6</f>
        <v>6</v>
      </c>
      <c r="K38" s="38">
        <f>'2020'!F6</f>
        <v>35969</v>
      </c>
      <c r="L38" s="39">
        <f>'2020'!G6</f>
        <v>27.282191780821918</v>
      </c>
      <c r="M38" s="39" t="str">
        <f>'2020'!H6</f>
        <v>SR</v>
      </c>
      <c r="N38" s="39">
        <f>'2020'!I6</f>
        <v>21.849315068493151</v>
      </c>
      <c r="O38" s="39" t="str">
        <f t="shared" si="2"/>
        <v>FREAK</v>
      </c>
      <c r="P38" s="39" t="str">
        <f t="shared" si="8"/>
        <v>+RECEIVER</v>
      </c>
      <c r="Q38" s="37">
        <f>'2020'!J6</f>
        <v>72</v>
      </c>
      <c r="R38" s="37">
        <f>'2020'!K6</f>
        <v>228</v>
      </c>
      <c r="S38" s="39">
        <f t="shared" si="5"/>
        <v>30.922016473662577</v>
      </c>
      <c r="T38" s="37">
        <f>'2020'!L6</f>
        <v>4.3899999999999997</v>
      </c>
      <c r="U38" s="40">
        <f>'2020'!M6</f>
        <v>3</v>
      </c>
      <c r="V38" s="41">
        <f>'2020'!N6</f>
        <v>0</v>
      </c>
      <c r="W38" s="42">
        <f>'2020'!O6</f>
        <v>0</v>
      </c>
      <c r="X38" s="42">
        <f>'2020'!P6</f>
        <v>0</v>
      </c>
      <c r="Y38" s="42">
        <f>'2020'!Q6</f>
        <v>3.7851271267444087E-2</v>
      </c>
      <c r="Z38" s="42">
        <f>'2020'!R6</f>
        <v>0.16255852990546868</v>
      </c>
      <c r="AA38" s="42">
        <f>'2020'!S6</f>
        <v>0.16255852990546868</v>
      </c>
      <c r="AB38" s="42">
        <f>'2020'!T6</f>
        <v>0.1219188974291015</v>
      </c>
      <c r="AC38" s="42">
        <f>'2020'!U6</f>
        <v>8.1414473684210523E-2</v>
      </c>
      <c r="AD38" s="42">
        <f>'2020'!V6</f>
        <v>0.17593833780160861</v>
      </c>
      <c r="AE38" s="42">
        <f>'2020'!W6</f>
        <v>0.17593833780160861</v>
      </c>
      <c r="AF38" s="43">
        <f>'2020'!X6</f>
        <v>0.13195375335120646</v>
      </c>
      <c r="AG38" s="44">
        <f>'2020'!Y6</f>
        <v>21.216438356164385</v>
      </c>
      <c r="AH38" s="45">
        <f>'2020'!Z6</f>
        <v>122.77410070451556</v>
      </c>
      <c r="AI38" s="45">
        <f>'2020'!AA6</f>
        <v>30.918981481481481</v>
      </c>
      <c r="AJ38" s="45">
        <f>'2020'!AB6</f>
        <v>0.48484848484848486</v>
      </c>
      <c r="AK38" s="45">
        <f>'2020'!AC6</f>
        <v>11.181818181818182</v>
      </c>
      <c r="AL38" s="45">
        <f t="shared" si="3"/>
        <v>18.954545454545453</v>
      </c>
      <c r="AM38" s="45">
        <f t="shared" si="10"/>
        <v>0.53521126760563376</v>
      </c>
      <c r="AN38" s="45">
        <f>'2020'!AD6</f>
        <v>359.2</v>
      </c>
      <c r="AO38" s="45">
        <f>'2020'!AE6</f>
        <v>7.73</v>
      </c>
      <c r="AP38" s="46">
        <f>'2020'!AF6</f>
        <v>61.8</v>
      </c>
      <c r="AQ38" s="47">
        <f>'2020'!AG6</f>
        <v>1</v>
      </c>
      <c r="AR38" s="48">
        <f>'2020'!AH6</f>
        <v>10</v>
      </c>
      <c r="AS38" s="48">
        <f>'2020'!AI6</f>
        <v>2</v>
      </c>
      <c r="AT38" s="48">
        <f t="shared" si="9"/>
        <v>10</v>
      </c>
      <c r="AU38" s="48">
        <f>'2020'!AK6</f>
        <v>10</v>
      </c>
      <c r="AV38" s="48">
        <f>'2020'!AL6</f>
        <v>10</v>
      </c>
      <c r="AW38" s="48">
        <f>'2020'!AM6</f>
        <v>10</v>
      </c>
      <c r="AX38" s="48">
        <f>'2020'!AN6</f>
        <v>10</v>
      </c>
      <c r="AY38" s="49">
        <f>IF(U38=1,10,IF(U38=2,7,IF(U38=3,6,IF(U38=4,4,IF(U38=5,3,IF(U38=6,2,IF(U38=7,1,IF(U38=0,0,"-"))))))))</f>
        <v>6</v>
      </c>
      <c r="AZ38" s="50">
        <f>'2020'!AP6</f>
        <v>0.25</v>
      </c>
      <c r="BA38" s="56">
        <f>'2020'!AQ6</f>
        <v>0</v>
      </c>
      <c r="BB38" s="57">
        <f>'2020'!AR6</f>
        <v>1</v>
      </c>
      <c r="BC38" s="57">
        <f>'2020'!AS6</f>
        <v>0</v>
      </c>
      <c r="BD38" s="57">
        <f>'2020'!AT6</f>
        <v>0</v>
      </c>
      <c r="BE38" s="57">
        <f>'2020'!AU6</f>
        <v>0</v>
      </c>
      <c r="BF38" s="57">
        <f>'2020'!AV6</f>
        <v>0</v>
      </c>
      <c r="BG38" s="58">
        <f>'2020'!AW6</f>
        <v>0</v>
      </c>
      <c r="BH38" s="58">
        <f>'2020'!AX6</f>
        <v>0</v>
      </c>
      <c r="BI38" s="58">
        <f>'2020'!AY6</f>
        <v>0</v>
      </c>
      <c r="BJ38" s="58">
        <f>'2020'!AZ6</f>
        <v>0</v>
      </c>
      <c r="BK38" s="57">
        <f>'2020'!BA6</f>
        <v>0</v>
      </c>
      <c r="BL38" s="57">
        <f>'2020'!BB6</f>
        <v>1</v>
      </c>
      <c r="BM38" s="57">
        <f>'2020'!BC6</f>
        <v>0</v>
      </c>
      <c r="BN38" s="57">
        <f>'2020'!BD6</f>
        <v>0</v>
      </c>
      <c r="BO38" s="59">
        <f>'2020'!BE6</f>
        <v>0</v>
      </c>
      <c r="BP38" s="56">
        <f>'2020'!BF6</f>
        <v>0</v>
      </c>
      <c r="BQ38" s="57">
        <f>'2020'!BG6</f>
        <v>1</v>
      </c>
      <c r="BR38" s="57">
        <f>'2020'!BH6</f>
        <v>0</v>
      </c>
      <c r="BS38" s="57">
        <f>'2020'!BI6</f>
        <v>0</v>
      </c>
      <c r="BT38" s="57">
        <f>'2020'!BJ6</f>
        <v>0</v>
      </c>
      <c r="BU38" s="57">
        <f>'2020'!BK6</f>
        <v>0</v>
      </c>
      <c r="BV38" s="58">
        <f>'2020'!BL6</f>
        <v>0</v>
      </c>
      <c r="BW38" s="58">
        <f>'2020'!BM6</f>
        <v>0</v>
      </c>
      <c r="BX38" s="58">
        <f>'2020'!BN6</f>
        <v>0</v>
      </c>
      <c r="BY38" s="58">
        <f>'2020'!BO6</f>
        <v>0</v>
      </c>
      <c r="BZ38" s="57">
        <f>'2020'!BP6</f>
        <v>0</v>
      </c>
      <c r="CA38" s="57">
        <f>'2020'!BQ6</f>
        <v>1</v>
      </c>
      <c r="CB38" s="57">
        <f>'2020'!BR6</f>
        <v>0</v>
      </c>
      <c r="CC38" s="57">
        <f>'2020'!BS6</f>
        <v>0</v>
      </c>
      <c r="CD38" s="59">
        <f>'2020'!BT6</f>
        <v>0</v>
      </c>
      <c r="CE38" s="56">
        <f>'2020'!BU6</f>
        <v>0</v>
      </c>
      <c r="CF38" s="57">
        <f>'2020'!BV6</f>
        <v>1</v>
      </c>
      <c r="CG38" s="57">
        <f>'2020'!BW6</f>
        <v>0</v>
      </c>
      <c r="CH38" s="57">
        <f>'2020'!BX6</f>
        <v>0</v>
      </c>
      <c r="CI38" s="57">
        <f>'2020'!BY6</f>
        <v>0</v>
      </c>
      <c r="CJ38" s="57">
        <f>'2020'!BZ6</f>
        <v>0</v>
      </c>
      <c r="CK38" s="58">
        <f>'2020'!CA6</f>
        <v>0</v>
      </c>
      <c r="CL38" s="58">
        <f>'2020'!CB6</f>
        <v>0</v>
      </c>
      <c r="CM38" s="58">
        <f>'2020'!CC6</f>
        <v>0</v>
      </c>
      <c r="CN38" s="58">
        <f>'2020'!CD6</f>
        <v>0</v>
      </c>
      <c r="CO38" s="57">
        <f>'2020'!CE6</f>
        <v>0</v>
      </c>
      <c r="CP38" s="57">
        <f>'2020'!CF6</f>
        <v>1</v>
      </c>
      <c r="CQ38" s="57">
        <f>'2020'!CG6</f>
        <v>0</v>
      </c>
      <c r="CR38" s="57">
        <f>'2020'!CH6</f>
        <v>0</v>
      </c>
      <c r="CS38" s="59">
        <f>'2020'!CI6</f>
        <v>0</v>
      </c>
      <c r="CT38" s="56">
        <f>'2020'!CJ6</f>
        <v>0</v>
      </c>
      <c r="CU38" s="57">
        <f>'2020'!CK6</f>
        <v>1399.5</v>
      </c>
      <c r="CV38" s="57">
        <f>'2020'!CL6</f>
        <v>0</v>
      </c>
      <c r="CW38" s="57">
        <f>'2020'!CM6</f>
        <v>17</v>
      </c>
      <c r="CX38" s="57">
        <f>'2020'!CN6</f>
        <v>0</v>
      </c>
      <c r="CY38" s="57">
        <f>'2020'!CO6</f>
        <v>0</v>
      </c>
      <c r="CZ38" s="58">
        <f>'2020'!CP6</f>
        <v>0</v>
      </c>
      <c r="DA38" s="58">
        <f>'2020'!CQ6</f>
        <v>0</v>
      </c>
      <c r="DB38" s="58">
        <f>'2020'!CR6</f>
        <v>0</v>
      </c>
      <c r="DC38" s="58">
        <f>'2020'!CS6</f>
        <v>0</v>
      </c>
      <c r="DD38" s="57">
        <f>'2020'!CT6</f>
        <v>99</v>
      </c>
      <c r="DE38" s="57">
        <f>'2020'!CU6</f>
        <v>1216</v>
      </c>
      <c r="DF38" s="57">
        <f>'2020'!CV6</f>
        <v>6</v>
      </c>
      <c r="DG38" s="57">
        <f>'2020'!CW6</f>
        <v>0</v>
      </c>
      <c r="DH38" s="59">
        <f>'2020'!CX6</f>
        <v>10</v>
      </c>
      <c r="DI38" s="56">
        <f>'2020'!CY6</f>
        <v>369</v>
      </c>
      <c r="DJ38" s="57">
        <f>'2020'!CZ6</f>
        <v>2613.7999999999997</v>
      </c>
      <c r="DK38" s="57">
        <f>'2020'!DA6</f>
        <v>4</v>
      </c>
      <c r="DL38" s="57">
        <f>'2020'!DB6</f>
        <v>32.199999999999996</v>
      </c>
      <c r="DM38" s="57">
        <f>'2020'!DC6</f>
        <v>33</v>
      </c>
      <c r="DN38" s="57">
        <f>'2020'!DD6</f>
        <v>16</v>
      </c>
      <c r="DO38" s="58">
        <f>'2020'!DE6</f>
        <v>11.181818181818182</v>
      </c>
      <c r="DP38" s="58">
        <f>'2020'!DF6</f>
        <v>359.2</v>
      </c>
      <c r="DQ38" s="58">
        <f>'2020'!DG6</f>
        <v>7.73</v>
      </c>
      <c r="DR38" s="58">
        <f>'2020'!DH6</f>
        <v>61.8</v>
      </c>
      <c r="DS38" s="57">
        <f>'2020'!DI6</f>
        <v>735</v>
      </c>
      <c r="DT38" s="57">
        <f>'2020'!DJ6</f>
        <v>4177.5999999999995</v>
      </c>
      <c r="DU38" s="57">
        <f>'2020'!DK6</f>
        <v>38</v>
      </c>
      <c r="DV38" s="57">
        <f>'2020'!DL6</f>
        <v>0</v>
      </c>
      <c r="DW38" s="59">
        <f>'2020'!DM6</f>
        <v>33.6</v>
      </c>
    </row>
    <row r="39" spans="1:127" x14ac:dyDescent="0.2">
      <c r="A39" s="33">
        <f t="shared" si="0"/>
        <v>37</v>
      </c>
      <c r="B39" s="11">
        <f>'2020'!A7</f>
        <v>5</v>
      </c>
      <c r="C39" s="11">
        <v>2020</v>
      </c>
      <c r="D39" s="34" t="str">
        <f>'2020'!B7</f>
        <v>D'Andre Swift</v>
      </c>
      <c r="E39" s="224" t="str" cm="1">
        <f t="array" ref="E39">_xlfn.IFS(F39&gt;=13,"Cornerstone",AND(F39&gt;=12,F39&lt;13),"Elite",AND(F39&gt;=11,F39&lt;12),"Elite Upside",AND(F39&gt;=9,F39&lt;11),"Upside",AND(F39&gt;=7,F39&lt;9),"Upside Lite",AND(F39&gt;=6,F39&lt;7),"Outlier",AND(F39&gt;=5,F39&lt;6),"Outlier Lite",F39&lt;5,"Purgatory")</f>
        <v>Upside</v>
      </c>
      <c r="F39" s="14">
        <f>'2020'!C7</f>
        <v>10.68888888888889</v>
      </c>
      <c r="G39" s="14">
        <f t="shared" si="7"/>
        <v>88.6</v>
      </c>
      <c r="H39" s="35">
        <f t="shared" si="1"/>
        <v>1.1369850021238608</v>
      </c>
      <c r="I39" s="36" t="str">
        <f>'2020'!D7</f>
        <v>Georgia</v>
      </c>
      <c r="J39" s="37">
        <f>'2020'!E7</f>
        <v>1</v>
      </c>
      <c r="K39" s="38">
        <f>'2020'!F7</f>
        <v>36174</v>
      </c>
      <c r="L39" s="39">
        <f>'2020'!G7</f>
        <v>26.720547945205478</v>
      </c>
      <c r="M39" s="39" t="str">
        <f>'2020'!H7</f>
        <v>JR</v>
      </c>
      <c r="N39" s="39">
        <f>'2020'!I7</f>
        <v>21.287671232876711</v>
      </c>
      <c r="O39" s="39" t="str">
        <f t="shared" si="2"/>
        <v>DYNAMIC</v>
      </c>
      <c r="P39" s="39" t="str">
        <f t="shared" si="8"/>
        <v>HORSE</v>
      </c>
      <c r="Q39" s="37">
        <f>'2020'!J7</f>
        <v>68</v>
      </c>
      <c r="R39" s="37">
        <f>'2020'!K7</f>
        <v>212</v>
      </c>
      <c r="S39" s="39">
        <f t="shared" si="5"/>
        <v>32.234132634355241</v>
      </c>
      <c r="T39" s="37">
        <f>'2020'!L7</f>
        <v>4.4800000000000004</v>
      </c>
      <c r="U39" s="40">
        <f>'2020'!M7</f>
        <v>2</v>
      </c>
      <c r="V39" s="41">
        <f>'2020'!N7</f>
        <v>0</v>
      </c>
      <c r="W39" s="42">
        <f>'2020'!O7</f>
        <v>0</v>
      </c>
      <c r="X39" s="42">
        <f>'2020'!P7</f>
        <v>0.11747587685709909</v>
      </c>
      <c r="Y39" s="42">
        <f>'2020'!Q7</f>
        <v>0.20682237246465887</v>
      </c>
      <c r="Z39" s="42">
        <f>'2020'!R7</f>
        <v>0.25135655522492562</v>
      </c>
      <c r="AA39" s="42">
        <f>'2020'!S7</f>
        <v>0.25135655522492562</v>
      </c>
      <c r="AB39" s="42">
        <f>'2020'!T7</f>
        <v>0.25135655522492562</v>
      </c>
      <c r="AC39" s="42">
        <f>'2020'!U7</f>
        <v>9.3838862559241704E-2</v>
      </c>
      <c r="AD39" s="42">
        <f>'2020'!V7</f>
        <v>6.9186418962203719E-2</v>
      </c>
      <c r="AE39" s="42">
        <f>'2020'!W7</f>
        <v>8.1512640760722704E-2</v>
      </c>
      <c r="AF39" s="43">
        <f>'2020'!X7</f>
        <v>8.1512640760722704E-2</v>
      </c>
      <c r="AG39" s="44">
        <f>'2020'!Y7</f>
        <v>19.641095890410959</v>
      </c>
      <c r="AH39" s="45">
        <f>'2020'!Z7</f>
        <v>105.25768173580016</v>
      </c>
      <c r="AI39" s="45">
        <f>'2020'!AA7</f>
        <v>32.23096885813149</v>
      </c>
      <c r="AJ39" s="45">
        <f>'2020'!AB7</f>
        <v>0.22699386503067484</v>
      </c>
      <c r="AK39" s="45">
        <f>'2020'!AC7</f>
        <v>6.4</v>
      </c>
      <c r="AL39" s="45">
        <f t="shared" si="3"/>
        <v>13.591836734693878</v>
      </c>
      <c r="AM39" s="45">
        <f t="shared" si="10"/>
        <v>0.10859728506787331</v>
      </c>
      <c r="AN39" s="45">
        <f>'2020'!AD7</f>
        <v>89.8</v>
      </c>
      <c r="AO39" s="45">
        <f>'2020'!AE7</f>
        <v>3.89</v>
      </c>
      <c r="AP39" s="46">
        <f>'2020'!AF7</f>
        <v>46.5</v>
      </c>
      <c r="AQ39" s="47">
        <f>'2020'!AG7</f>
        <v>6</v>
      </c>
      <c r="AR39" s="48">
        <f>'2020'!AH7</f>
        <v>8</v>
      </c>
      <c r="AS39" s="48">
        <f>'2020'!AI7</f>
        <v>6</v>
      </c>
      <c r="AT39" s="48">
        <f t="shared" si="9"/>
        <v>7</v>
      </c>
      <c r="AU39" s="48">
        <f>'2020'!AK7</f>
        <v>5</v>
      </c>
      <c r="AV39" s="48">
        <f>'2020'!AL7</f>
        <v>6</v>
      </c>
      <c r="AW39" s="48">
        <f>'2020'!AM7</f>
        <v>3</v>
      </c>
      <c r="AX39" s="48">
        <f>'2020'!AN7</f>
        <v>4</v>
      </c>
      <c r="AY39" s="49">
        <f>IF(U39=1,10,IF(U39=2,7,IF(U39=3,6,IF(U39=4,4,IF(U39=5,3,IF(U39=6,2,IF(U39=7,1,IF(U39=0,0,"-"))))))))</f>
        <v>7</v>
      </c>
      <c r="AZ39" s="50">
        <f>'2020'!AP7</f>
        <v>1</v>
      </c>
      <c r="BA39" s="56">
        <f>'2020'!AQ7</f>
        <v>0</v>
      </c>
      <c r="BB39" s="57">
        <f>'2020'!AR7</f>
        <v>2498</v>
      </c>
      <c r="BC39" s="57">
        <f>'2020'!AS7</f>
        <v>0</v>
      </c>
      <c r="BD39" s="57">
        <f>'2020'!AT7</f>
        <v>22</v>
      </c>
      <c r="BE39" s="57">
        <f>'2020'!AU7</f>
        <v>0</v>
      </c>
      <c r="BF39" s="57">
        <f>'2020'!AV7</f>
        <v>0</v>
      </c>
      <c r="BG39" s="58">
        <f>'2020'!AW7</f>
        <v>0</v>
      </c>
      <c r="BH39" s="58">
        <f>'2020'!AX7</f>
        <v>0</v>
      </c>
      <c r="BI39" s="58">
        <f>'2020'!AY7</f>
        <v>0</v>
      </c>
      <c r="BJ39" s="58">
        <f>'2020'!AZ7</f>
        <v>0</v>
      </c>
      <c r="BK39" s="57">
        <f>'2020'!BA7</f>
        <v>0</v>
      </c>
      <c r="BL39" s="57">
        <f>'2020'!BB7</f>
        <v>2406</v>
      </c>
      <c r="BM39" s="57">
        <f>'2020'!BC7</f>
        <v>0</v>
      </c>
      <c r="BN39" s="57">
        <f>'2020'!BD7</f>
        <v>0</v>
      </c>
      <c r="BO39" s="59">
        <f>'2020'!BE7</f>
        <v>14</v>
      </c>
      <c r="BP39" s="56">
        <f>'2020'!BF7</f>
        <v>0</v>
      </c>
      <c r="BQ39" s="57">
        <f>'2020'!BG7</f>
        <v>2486</v>
      </c>
      <c r="BR39" s="57">
        <f>'2020'!BH7</f>
        <v>0</v>
      </c>
      <c r="BS39" s="57">
        <f>'2020'!BI7</f>
        <v>18</v>
      </c>
      <c r="BT39" s="57">
        <f>'2020'!BJ7</f>
        <v>0</v>
      </c>
      <c r="BU39" s="57">
        <f>'2020'!BK7</f>
        <v>0</v>
      </c>
      <c r="BV39" s="58">
        <f>'2020'!BL7</f>
        <v>0</v>
      </c>
      <c r="BW39" s="58">
        <f>'2020'!BM7</f>
        <v>0</v>
      </c>
      <c r="BX39" s="58">
        <f>'2020'!BN7</f>
        <v>0</v>
      </c>
      <c r="BY39" s="58">
        <f>'2020'!BO7</f>
        <v>0</v>
      </c>
      <c r="BZ39" s="57">
        <f>'2020'!BP7</f>
        <v>0</v>
      </c>
      <c r="CA39" s="57">
        <f>'2020'!BQ7</f>
        <v>2515</v>
      </c>
      <c r="CB39" s="57">
        <f>'2020'!BR7</f>
        <v>0</v>
      </c>
      <c r="CC39" s="57">
        <f>'2020'!BS7</f>
        <v>0</v>
      </c>
      <c r="CD39" s="59">
        <f>'2020'!BT7</f>
        <v>16</v>
      </c>
      <c r="CE39" s="56">
        <f>'2020'!BU7</f>
        <v>614</v>
      </c>
      <c r="CF39" s="57">
        <f>'2020'!BV7</f>
        <v>3876</v>
      </c>
      <c r="CG39" s="57">
        <f>'2020'!BW7</f>
        <v>3</v>
      </c>
      <c r="CH39" s="57">
        <f>'2020'!BX7</f>
        <v>42</v>
      </c>
      <c r="CI39" s="57">
        <f>'2020'!BY7</f>
        <v>81</v>
      </c>
      <c r="CJ39" s="57">
        <f>'2020'!BZ7</f>
        <v>16</v>
      </c>
      <c r="CK39" s="58">
        <f>'2020'!CA7</f>
        <v>7.6</v>
      </c>
      <c r="CL39" s="58">
        <f>'2020'!CB7</f>
        <v>102.6</v>
      </c>
      <c r="CM39" s="58">
        <f>'2020'!CC7</f>
        <v>4.37</v>
      </c>
      <c r="CN39" s="58">
        <f>'2020'!CD7</f>
        <v>53.6</v>
      </c>
      <c r="CO39" s="57">
        <f>'2020'!CE7</f>
        <v>153</v>
      </c>
      <c r="CP39" s="57">
        <f>'2020'!CF7</f>
        <v>2653</v>
      </c>
      <c r="CQ39" s="57">
        <f>'2020'!CG7</f>
        <v>17</v>
      </c>
      <c r="CR39" s="57">
        <f>'2020'!CH7</f>
        <v>0</v>
      </c>
      <c r="CS39" s="59">
        <f>'2020'!CI7</f>
        <v>24</v>
      </c>
      <c r="CT39" s="56">
        <f>'2020'!CJ7</f>
        <v>1049</v>
      </c>
      <c r="CU39" s="57">
        <f>'2020'!CK7</f>
        <v>3343</v>
      </c>
      <c r="CV39" s="57">
        <f>'2020'!CL7</f>
        <v>10</v>
      </c>
      <c r="CW39" s="57">
        <f>'2020'!CM7</f>
        <v>30</v>
      </c>
      <c r="CX39" s="57">
        <f>'2020'!CN7</f>
        <v>163</v>
      </c>
      <c r="CY39" s="57">
        <f>'2020'!CO7</f>
        <v>37</v>
      </c>
      <c r="CZ39" s="58">
        <f>'2020'!CP7</f>
        <v>6.4</v>
      </c>
      <c r="DA39" s="58">
        <f>'2020'!CQ7</f>
        <v>89.8</v>
      </c>
      <c r="DB39" s="58">
        <f>'2020'!CR7</f>
        <v>3.89</v>
      </c>
      <c r="DC39" s="58">
        <f>'2020'!CS7</f>
        <v>46.5</v>
      </c>
      <c r="DD39" s="57">
        <f>'2020'!CT7</f>
        <v>297</v>
      </c>
      <c r="DE39" s="57">
        <f>'2020'!CU7</f>
        <v>3165</v>
      </c>
      <c r="DF39" s="57">
        <f>'2020'!CV7</f>
        <v>8</v>
      </c>
      <c r="DG39" s="57">
        <f>'2020'!CW7</f>
        <v>0</v>
      </c>
      <c r="DH39" s="59">
        <f>'2020'!CX7</f>
        <v>34</v>
      </c>
      <c r="DI39" s="56">
        <f>'2020'!CY7</f>
        <v>1220</v>
      </c>
      <c r="DJ39" s="57">
        <f>'2020'!CZ7</f>
        <v>2591</v>
      </c>
      <c r="DK39" s="57">
        <f>'2020'!DA7</f>
        <v>7</v>
      </c>
      <c r="DL39" s="57">
        <f>'2020'!DB7</f>
        <v>21</v>
      </c>
      <c r="DM39" s="57">
        <f>'2020'!DC7</f>
        <v>197</v>
      </c>
      <c r="DN39" s="57">
        <f>'2020'!DD7</f>
        <v>40</v>
      </c>
      <c r="DO39" s="58">
        <f>'2020'!DE7</f>
        <v>6.2</v>
      </c>
      <c r="DP39" s="58">
        <f>'2020'!DF7</f>
        <v>70.7</v>
      </c>
      <c r="DQ39" s="58">
        <f>'2020'!DG7</f>
        <v>3.55</v>
      </c>
      <c r="DR39" s="58">
        <f>'2020'!DH7</f>
        <v>37.5</v>
      </c>
      <c r="DS39" s="57">
        <f>'2020'!DI7</f>
        <v>216</v>
      </c>
      <c r="DT39" s="57">
        <f>'2020'!DJ7</f>
        <v>3122</v>
      </c>
      <c r="DU39" s="57">
        <f>'2020'!DK7</f>
        <v>24</v>
      </c>
      <c r="DV39" s="57">
        <f>'2020'!DL7</f>
        <v>0</v>
      </c>
      <c r="DW39" s="59">
        <f>'2020'!DM7</f>
        <v>26</v>
      </c>
    </row>
    <row r="40" spans="1:127" x14ac:dyDescent="0.2">
      <c r="A40" s="33">
        <f t="shared" si="0"/>
        <v>38</v>
      </c>
      <c r="B40" s="11">
        <f>'2018'!A6</f>
        <v>4</v>
      </c>
      <c r="C40" s="11">
        <v>2018</v>
      </c>
      <c r="D40" s="34" t="str">
        <f>'2018'!B6</f>
        <v>Nick Chubb</v>
      </c>
      <c r="E40" s="224" t="str" cm="1">
        <f t="array" ref="E40">_xlfn.IFS(F40&gt;=13,"Cornerstone",AND(F40&gt;=12,F40&lt;13),"Elite",AND(F40&gt;=11,F40&lt;12),"Elite Upside",AND(F40&gt;=9,F40&lt;11),"Upside",AND(F40&gt;=7,F40&lt;9),"Upside Lite",AND(F40&gt;=6,F40&lt;7),"Outlier",AND(F40&gt;=5,F40&lt;6),"Outlier Lite",F40&lt;5,"Purgatory")</f>
        <v>Upside</v>
      </c>
      <c r="F40" s="14">
        <f>'2018'!C6</f>
        <v>10.666666666666666</v>
      </c>
      <c r="G40" s="14">
        <f t="shared" si="7"/>
        <v>88.3</v>
      </c>
      <c r="H40" s="35">
        <f t="shared" si="1"/>
        <v>1.1275800006963126</v>
      </c>
      <c r="I40" s="36" t="str">
        <f>'2018'!D6</f>
        <v>Georgia</v>
      </c>
      <c r="J40" s="37">
        <f>'2018'!E6</f>
        <v>1</v>
      </c>
      <c r="K40" s="38">
        <f>'2018'!F6</f>
        <v>35060</v>
      </c>
      <c r="L40" s="39">
        <f>'2018'!G6</f>
        <v>29.772602739726029</v>
      </c>
      <c r="M40" s="39" t="str">
        <f>'2018'!H6</f>
        <v>SR*</v>
      </c>
      <c r="N40" s="39">
        <f>'2018'!I6</f>
        <v>22.345205479452055</v>
      </c>
      <c r="O40" s="39" t="str">
        <f t="shared" si="2"/>
        <v>BELL CALF</v>
      </c>
      <c r="P40" s="39" t="str">
        <f t="shared" si="8"/>
        <v>SLASHER</v>
      </c>
      <c r="Q40" s="37">
        <f>'2018'!J6</f>
        <v>70</v>
      </c>
      <c r="R40" s="37">
        <f>'2018'!K6</f>
        <v>220</v>
      </c>
      <c r="S40" s="39">
        <f t="shared" si="5"/>
        <v>31.566363540890343</v>
      </c>
      <c r="T40" s="37">
        <f>'2018'!L6</f>
        <v>4.5199999999999996</v>
      </c>
      <c r="U40" s="40">
        <f>'2018'!M6</f>
        <v>2</v>
      </c>
      <c r="V40" s="41">
        <f>'2018'!N6</f>
        <v>0</v>
      </c>
      <c r="W40" s="42">
        <f>'2018'!O6</f>
        <v>0.29608469164846246</v>
      </c>
      <c r="X40" s="42">
        <f>'2018'!P6</f>
        <v>0.15823817292006526</v>
      </c>
      <c r="Y40" s="42">
        <f>'2018'!Q6</f>
        <v>0.24315136972605478</v>
      </c>
      <c r="Z40" s="42">
        <f>'2018'!R6</f>
        <v>0.21044570378312147</v>
      </c>
      <c r="AA40" s="42">
        <f>'2018'!S6</f>
        <v>0.25326519771579198</v>
      </c>
      <c r="AB40" s="42">
        <f>'2018'!T6</f>
        <v>0.25326519771579198</v>
      </c>
      <c r="AC40" s="42">
        <f>'2018'!U6</f>
        <v>3.4194831013916502E-2</v>
      </c>
      <c r="AD40" s="42">
        <f>'2018'!V6</f>
        <v>1.1307953260459858E-2</v>
      </c>
      <c r="AE40" s="42">
        <f>'2018'!W6</f>
        <v>2.275139213718818E-2</v>
      </c>
      <c r="AF40" s="43">
        <f>'2018'!X6</f>
        <v>2.275139213718818E-2</v>
      </c>
      <c r="AG40" s="44">
        <f>'2018'!Y6</f>
        <v>18.69041095890411</v>
      </c>
      <c r="AH40" s="45">
        <f>'2018'!Z6</f>
        <v>105.4141563198929</v>
      </c>
      <c r="AI40" s="45">
        <f>'2018'!AA6</f>
        <v>31.563265306122446</v>
      </c>
      <c r="AJ40" s="45">
        <f>'2018'!AB6</f>
        <v>0.25</v>
      </c>
      <c r="AK40" s="45">
        <f>'2018'!AC6</f>
        <v>8.1</v>
      </c>
      <c r="AL40" s="45">
        <f t="shared" si="3"/>
        <v>11.64516129032258</v>
      </c>
      <c r="AM40" s="45">
        <f t="shared" si="10"/>
        <v>1.7621145374449341E-2</v>
      </c>
      <c r="AN40" s="45">
        <f>'2018'!AD6</f>
        <v>91.2</v>
      </c>
      <c r="AO40" s="45">
        <f>'2018'!AE6</f>
        <v>3.76</v>
      </c>
      <c r="AP40" s="46">
        <f>'2018'!AF6</f>
        <v>57.5</v>
      </c>
      <c r="AQ40" s="47">
        <f>'2018'!AG6</f>
        <v>6</v>
      </c>
      <c r="AR40" s="48">
        <f>'2018'!AH6</f>
        <v>2</v>
      </c>
      <c r="AS40" s="48">
        <f>'2018'!AI6</f>
        <v>9</v>
      </c>
      <c r="AT40" s="48">
        <f t="shared" si="9"/>
        <v>8</v>
      </c>
      <c r="AU40" s="48">
        <f>'2018'!AK6</f>
        <v>6</v>
      </c>
      <c r="AV40" s="48">
        <f>'2018'!AL6</f>
        <v>9</v>
      </c>
      <c r="AW40" s="48">
        <f>'2018'!AM6</f>
        <v>3</v>
      </c>
      <c r="AX40" s="48">
        <f>'2018'!AN6</f>
        <v>3</v>
      </c>
      <c r="AY40" s="49">
        <f>IF(U40=1,10,IF(U40=2,7,IF(U40=3,6,IF(U40=4,4,IF(U40=5,3,IF(U40=6,2,IF(U40=7,1,IF(U40=0,0,"-"))))))))</f>
        <v>7</v>
      </c>
      <c r="AZ40" s="50">
        <f>'2018'!AP6</f>
        <v>1</v>
      </c>
      <c r="BA40" s="56">
        <f>'2018'!AQ6</f>
        <v>0</v>
      </c>
      <c r="BB40" s="57">
        <f>'2018'!AR6</f>
        <v>2209</v>
      </c>
      <c r="BC40" s="57">
        <f>'2018'!AS6</f>
        <v>0</v>
      </c>
      <c r="BD40" s="57">
        <f>'2018'!AT6</f>
        <v>0</v>
      </c>
      <c r="BE40" s="57">
        <f>'2018'!AU6</f>
        <v>0</v>
      </c>
      <c r="BF40" s="57">
        <f>'2018'!AV6</f>
        <v>0</v>
      </c>
      <c r="BG40" s="58">
        <f>'2018'!AW6</f>
        <v>0</v>
      </c>
      <c r="BH40" s="58">
        <f>'2018'!AX6</f>
        <v>0</v>
      </c>
      <c r="BI40" s="58">
        <f>'2018'!AY6</f>
        <v>0</v>
      </c>
      <c r="BJ40" s="58">
        <f>'2018'!AZ6</f>
        <v>0</v>
      </c>
      <c r="BK40" s="57">
        <f>'2018'!BA6</f>
        <v>0</v>
      </c>
      <c r="BL40" s="57">
        <f>'2018'!BB6</f>
        <v>4085</v>
      </c>
      <c r="BM40" s="57">
        <f>'2018'!BC6</f>
        <v>0</v>
      </c>
      <c r="BN40" s="57">
        <f>'2018'!BD6</f>
        <v>0</v>
      </c>
      <c r="BO40" s="59">
        <f>'2018'!BE6</f>
        <v>0</v>
      </c>
      <c r="BP40" s="56">
        <f>'2018'!BF6</f>
        <v>1549</v>
      </c>
      <c r="BQ40" s="57">
        <f>'2018'!BG6</f>
        <v>3352</v>
      </c>
      <c r="BR40" s="57">
        <f>'2018'!BH6</f>
        <v>14</v>
      </c>
      <c r="BS40" s="57">
        <f>'2018'!BI6</f>
        <v>0</v>
      </c>
      <c r="BT40" s="57">
        <f>'2018'!BJ6</f>
        <v>219</v>
      </c>
      <c r="BU40" s="57">
        <f>'2018'!BK6</f>
        <v>63</v>
      </c>
      <c r="BV40" s="58">
        <f>'2018'!BL6</f>
        <v>7.1</v>
      </c>
      <c r="BW40" s="58">
        <f>'2018'!BM6</f>
        <v>108.5</v>
      </c>
      <c r="BX40" s="58">
        <f>'2018'!BN6</f>
        <v>3.73</v>
      </c>
      <c r="BY40" s="58">
        <f>'2018'!BO6</f>
        <v>52.1</v>
      </c>
      <c r="BZ40" s="57">
        <f>'2018'!BP6</f>
        <v>213</v>
      </c>
      <c r="CA40" s="57">
        <f>'2018'!BQ6</f>
        <v>2599</v>
      </c>
      <c r="CB40" s="57">
        <f>'2018'!BR6</f>
        <v>18</v>
      </c>
      <c r="CC40" s="57">
        <f>'2018'!BS6</f>
        <v>0</v>
      </c>
      <c r="CD40" s="59">
        <f>'2018'!BT6</f>
        <v>0</v>
      </c>
      <c r="CE40" s="56">
        <f>'2018'!BU6</f>
        <v>744</v>
      </c>
      <c r="CF40" s="57">
        <f>'2018'!BV6</f>
        <v>2498</v>
      </c>
      <c r="CG40" s="57">
        <f>'2018'!BW6</f>
        <v>7</v>
      </c>
      <c r="CH40" s="57">
        <f>'2018'!BX6</f>
        <v>0</v>
      </c>
      <c r="CI40" s="57">
        <f>'2018'!BY6</f>
        <v>92</v>
      </c>
      <c r="CJ40" s="57">
        <f>'2018'!BZ6</f>
        <v>23</v>
      </c>
      <c r="CK40" s="58">
        <f>'2018'!CA6</f>
        <v>8.1</v>
      </c>
      <c r="CL40" s="58">
        <f>'2018'!CB6</f>
        <v>88.5</v>
      </c>
      <c r="CM40" s="58">
        <f>'2018'!CC6</f>
        <v>3.7</v>
      </c>
      <c r="CN40" s="58">
        <f>'2018'!CD6</f>
        <v>57.5</v>
      </c>
      <c r="CO40" s="57">
        <f>'2018'!CE6</f>
        <v>32</v>
      </c>
      <c r="CP40" s="57">
        <f>'2018'!CF6</f>
        <v>2406</v>
      </c>
      <c r="CQ40" s="57">
        <f>'2018'!CG6</f>
        <v>4</v>
      </c>
      <c r="CR40" s="57">
        <f>'2018'!CH6</f>
        <v>0</v>
      </c>
      <c r="CS40" s="59">
        <f>'2018'!CI6</f>
        <v>0</v>
      </c>
      <c r="CT40" s="56">
        <f>'2018'!CJ6</f>
        <v>1130</v>
      </c>
      <c r="CU40" s="57">
        <f>'2018'!CK6</f>
        <v>2486</v>
      </c>
      <c r="CV40" s="57">
        <f>'2018'!CL6</f>
        <v>8</v>
      </c>
      <c r="CW40" s="57">
        <f>'2018'!CM6</f>
        <v>0</v>
      </c>
      <c r="CX40" s="57">
        <f>'2018'!CN6</f>
        <v>224</v>
      </c>
      <c r="CY40" s="57">
        <f>'2018'!CO6</f>
        <v>39</v>
      </c>
      <c r="CZ40" s="58">
        <f>'2018'!CP6</f>
        <v>5</v>
      </c>
      <c r="DA40" s="58">
        <f>'2018'!CQ6</f>
        <v>63.7</v>
      </c>
      <c r="DB40" s="58">
        <f>'2018'!CR6</f>
        <v>3.65</v>
      </c>
      <c r="DC40" s="58">
        <f>'2018'!CS6</f>
        <v>36.5</v>
      </c>
      <c r="DD40" s="57">
        <f>'2018'!CT6</f>
        <v>86</v>
      </c>
      <c r="DE40" s="57">
        <f>'2018'!CU6</f>
        <v>2515</v>
      </c>
      <c r="DF40" s="57">
        <f>'2018'!CV6</f>
        <v>5</v>
      </c>
      <c r="DG40" s="57">
        <f>'2018'!CW6</f>
        <v>0</v>
      </c>
      <c r="DH40" s="59">
        <f>'2018'!CX6</f>
        <v>0</v>
      </c>
      <c r="DI40" s="56">
        <f>'2018'!CY6</f>
        <v>1344</v>
      </c>
      <c r="DJ40" s="57">
        <f>'2018'!CZ6</f>
        <v>3876</v>
      </c>
      <c r="DK40" s="57">
        <f>'2018'!DA6</f>
        <v>15</v>
      </c>
      <c r="DL40" s="57">
        <f>'2018'!DB6</f>
        <v>0</v>
      </c>
      <c r="DM40" s="57">
        <f>'2018'!DC6</f>
        <v>223</v>
      </c>
      <c r="DN40" s="57">
        <f>'2018'!DD6</f>
        <v>53</v>
      </c>
      <c r="DO40" s="58">
        <f>'2018'!DE6</f>
        <v>6</v>
      </c>
      <c r="DP40" s="58">
        <f>'2018'!DF6</f>
        <v>91.2</v>
      </c>
      <c r="DQ40" s="58">
        <f>'2018'!DG6</f>
        <v>3.76</v>
      </c>
      <c r="DR40" s="58">
        <f>'2018'!DH6</f>
        <v>45.8</v>
      </c>
      <c r="DS40" s="57">
        <f>'2018'!DI6</f>
        <v>30</v>
      </c>
      <c r="DT40" s="57">
        <f>'2018'!DJ6</f>
        <v>2653</v>
      </c>
      <c r="DU40" s="57">
        <f>'2018'!DK6</f>
        <v>4</v>
      </c>
      <c r="DV40" s="57">
        <f>'2018'!DL6</f>
        <v>0</v>
      </c>
      <c r="DW40" s="59">
        <f>'2018'!DM6</f>
        <v>0</v>
      </c>
    </row>
    <row r="41" spans="1:127" x14ac:dyDescent="0.2">
      <c r="A41" s="33">
        <f t="shared" si="0"/>
        <v>39</v>
      </c>
      <c r="B41" s="11">
        <f>'2026 - WIP'!A5</f>
        <v>3</v>
      </c>
      <c r="C41" s="11">
        <v>2026</v>
      </c>
      <c r="D41" s="34" t="str">
        <f>'2026 - WIP'!B5</f>
        <v>Nicholas Singleton</v>
      </c>
      <c r="E41" s="224" t="str" cm="1">
        <f t="array" ref="E41">_xlfn.IFS(F41&gt;=13,"Cornerstone",AND(F41&gt;=12,F41&lt;13),"Elite",AND(F41&gt;=11,F41&lt;12),"Elite Upside",AND(F41&gt;=9,F41&lt;11),"Upside",AND(F41&gt;=7,F41&lt;9),"Upside Lite",AND(F41&gt;=6,F41&lt;7),"Outlier",AND(F41&gt;=5,F41&lt;6),"Outlier Lite",F41&lt;5,"Purgatory")</f>
        <v>Upside</v>
      </c>
      <c r="F41" s="14">
        <f>'2026 - WIP'!C5</f>
        <v>10.588888888888889</v>
      </c>
      <c r="G41" s="14">
        <f t="shared" si="7"/>
        <v>88</v>
      </c>
      <c r="H41" s="35">
        <f t="shared" si="1"/>
        <v>1.0946624956998963</v>
      </c>
      <c r="I41" s="36" t="str">
        <f>'2026 - WIP'!D5</f>
        <v>Penn State</v>
      </c>
      <c r="J41" s="37">
        <f>'2026 - WIP'!E5</f>
        <v>2</v>
      </c>
      <c r="K41" s="38">
        <f>'2026 - WIP'!F5</f>
        <v>37990</v>
      </c>
      <c r="L41" s="39">
        <f>'2026 - WIP'!G5</f>
        <v>21.745205479452054</v>
      </c>
      <c r="M41" s="39" t="str">
        <f>'2026 - WIP'!H5</f>
        <v>SR</v>
      </c>
      <c r="N41" s="39">
        <f>'2026 - WIP'!I5</f>
        <v>22.326027397260273</v>
      </c>
      <c r="O41" s="39" t="str">
        <f t="shared" si="2"/>
        <v>FREAK</v>
      </c>
      <c r="P41" s="39" t="str">
        <f>IF(OR(AND($AA41&lt;0.25,$AO41&gt;=0.133,AE41&gt;4%),(AND($O41="JITTERBUG",$AO41&gt;0.11)),(AND($O41="JITTERBUG",$AE41&gt;9.5%))),"+RECEIVER",IF(AND($AJ41&gt;=0.25,$AQ41&gt;=3.81),"3DOWN",IF($AQ41&gt;=3.81,"HORSE",IF(OR(AJ41&gt;0.28,AK41&gt;7,AR41&gt;47),"SLASHER",IF(AO41&gt;0.19,"+RECEIVER","PLODDER")))))</f>
        <v>+RECEIVER</v>
      </c>
      <c r="Q41" s="37">
        <f>'2026 - WIP'!J5</f>
        <v>72</v>
      </c>
      <c r="R41" s="37">
        <f>'2026 - WIP'!K5</f>
        <v>228</v>
      </c>
      <c r="S41" s="39">
        <f t="shared" si="5"/>
        <v>30.922016473662577</v>
      </c>
      <c r="T41" s="39">
        <f>'2026 - WIP'!L5</f>
        <v>4.33</v>
      </c>
      <c r="U41" s="55">
        <f>'2026 - WIP'!M5</f>
        <v>2</v>
      </c>
      <c r="V41" s="41">
        <f>'2026 - WIP'!N5</f>
        <v>0</v>
      </c>
      <c r="W41" s="42">
        <f>'2026 - WIP'!O5</f>
        <v>0.20259721827987515</v>
      </c>
      <c r="X41" s="42">
        <f>'2026 - WIP'!P5</f>
        <v>0.20394812791010891</v>
      </c>
      <c r="Y41" s="42">
        <f>'2026 - WIP'!Q5</f>
        <v>0.21182700794351281</v>
      </c>
      <c r="Z41" s="42">
        <f>'2026 - WIP'!R5</f>
        <v>0.16716641679160421</v>
      </c>
      <c r="AA41" s="42">
        <f>'2026 - WIP'!S5</f>
        <v>0.1894967123675585</v>
      </c>
      <c r="AB41" s="42">
        <f>'2026 - WIP'!T5</f>
        <v>0.1894967123675585</v>
      </c>
      <c r="AC41" s="42">
        <f>'2026 - WIP'!U5</f>
        <v>0.10695187165775402</v>
      </c>
      <c r="AD41" s="42">
        <f>'2026 - WIP'!V5</f>
        <v>6.0191518467852256E-2</v>
      </c>
      <c r="AE41" s="42">
        <f>'2026 - WIP'!W5</f>
        <v>8.3571695062803139E-2</v>
      </c>
      <c r="AF41" s="43">
        <f>'2026 - WIP'!X5</f>
        <v>8.3571695062803139E-2</v>
      </c>
      <c r="AG41" s="44">
        <f>'2026 - WIP'!Y5</f>
        <v>18.682191780821917</v>
      </c>
      <c r="AH41" s="45">
        <f>'2026 - WIP'!Z5</f>
        <v>129.72188692159159</v>
      </c>
      <c r="AI41" s="45">
        <f>'2026 - WIP'!AA5</f>
        <v>30.918981481481481</v>
      </c>
      <c r="AJ41" s="45">
        <f>'2026 - WIP'!AB5</f>
        <v>0.21794871794871795</v>
      </c>
      <c r="AK41" s="45">
        <f>'2026 - WIP'!AC5</f>
        <v>6.7756410256410255</v>
      </c>
      <c r="AL41" s="45">
        <f t="shared" si="3"/>
        <v>10.4</v>
      </c>
      <c r="AM41" s="45">
        <f t="shared" si="10"/>
        <v>0</v>
      </c>
      <c r="AN41" s="45">
        <f>'2026 - WIP'!AD5</f>
        <v>98.8</v>
      </c>
      <c r="AO41" s="45">
        <f>'2026 - WIP'!AE5</f>
        <v>3.46</v>
      </c>
      <c r="AP41" s="46">
        <f>'2026 - WIP'!AF5</f>
        <v>38</v>
      </c>
      <c r="AQ41" s="47">
        <f>'2026 - WIP'!AG5</f>
        <v>3</v>
      </c>
      <c r="AR41" s="48">
        <f>'2026 - WIP'!AH5</f>
        <v>8</v>
      </c>
      <c r="AS41" s="48">
        <f>'2026 - WIP'!AI5</f>
        <v>9</v>
      </c>
      <c r="AT41" s="48">
        <f>'2026 - WIP'!AJ5</f>
        <v>10</v>
      </c>
      <c r="AU41" s="48">
        <f>'2026 - WIP'!AK5</f>
        <v>4</v>
      </c>
      <c r="AV41" s="48">
        <f>'2026 - WIP'!AL5</f>
        <v>7</v>
      </c>
      <c r="AW41" s="48">
        <f>'2026 - WIP'!AM5</f>
        <v>4</v>
      </c>
      <c r="AX41" s="48">
        <f>'2026 - WIP'!AN5</f>
        <v>1</v>
      </c>
      <c r="AY41" s="49">
        <f>'2026 - WIP'!AO5</f>
        <v>7</v>
      </c>
      <c r="AZ41" s="50">
        <f>'2026 - WIP'!AP5</f>
        <v>1</v>
      </c>
      <c r="BA41" s="56">
        <f>'2026 - WIP'!AQ5</f>
        <v>0</v>
      </c>
      <c r="BB41" s="57">
        <f>'2026 - WIP'!AR5</f>
        <v>1</v>
      </c>
      <c r="BC41" s="57">
        <f>'2026 - WIP'!AS5</f>
        <v>0</v>
      </c>
      <c r="BD41" s="57">
        <f>'2026 - WIP'!AT5</f>
        <v>0</v>
      </c>
      <c r="BE41" s="57">
        <f>'2026 - WIP'!AU5</f>
        <v>0</v>
      </c>
      <c r="BF41" s="57">
        <f>'2026 - WIP'!AV5</f>
        <v>0</v>
      </c>
      <c r="BG41" s="58">
        <f>'2026 - WIP'!AW5</f>
        <v>0</v>
      </c>
      <c r="BH41" s="58">
        <f>'2026 - WIP'!AX5</f>
        <v>0</v>
      </c>
      <c r="BI41" s="58">
        <f>'2026 - WIP'!AY5</f>
        <v>0</v>
      </c>
      <c r="BJ41" s="58">
        <f>'2026 - WIP'!AZ5</f>
        <v>0</v>
      </c>
      <c r="BK41" s="57">
        <f>'2026 - WIP'!BA5</f>
        <v>0</v>
      </c>
      <c r="BL41" s="57">
        <f>'2026 - WIP'!BB5</f>
        <v>1</v>
      </c>
      <c r="BM41" s="57">
        <f>'2026 - WIP'!BC5</f>
        <v>0</v>
      </c>
      <c r="BN41" s="57">
        <f>'2026 - WIP'!BD5</f>
        <v>0</v>
      </c>
      <c r="BO41" s="59">
        <f>'2026 - WIP'!BE5</f>
        <v>0</v>
      </c>
      <c r="BP41" s="56">
        <f>'2026 - WIP'!BF5</f>
        <v>1057</v>
      </c>
      <c r="BQ41" s="57">
        <f>'2026 - WIP'!BG5</f>
        <v>2354.2999999999997</v>
      </c>
      <c r="BR41" s="57">
        <f>'2026 - WIP'!BH5</f>
        <v>12</v>
      </c>
      <c r="BS41" s="57">
        <f>'2026 - WIP'!BI5</f>
        <v>28.6</v>
      </c>
      <c r="BT41" s="57">
        <f>'2026 - WIP'!BJ5</f>
        <v>156</v>
      </c>
      <c r="BU41" s="57">
        <f>'2026 - WIP'!BK5</f>
        <v>34</v>
      </c>
      <c r="BV41" s="58">
        <f>'2026 - WIP'!BL5</f>
        <v>6.7756410256410255</v>
      </c>
      <c r="BW41" s="58">
        <f>'2026 - WIP'!BM5</f>
        <v>98.8</v>
      </c>
      <c r="BX41" s="58">
        <f>'2026 - WIP'!BN5</f>
        <v>4.58</v>
      </c>
      <c r="BY41" s="58">
        <f>'2026 - WIP'!BO5</f>
        <v>59.9</v>
      </c>
      <c r="BZ41" s="57">
        <f>'2026 - WIP'!BP5</f>
        <v>85</v>
      </c>
      <c r="CA41" s="57">
        <f>'2026 - WIP'!BQ5</f>
        <v>3282.5</v>
      </c>
      <c r="CB41" s="57">
        <f>'2026 - WIP'!BR5</f>
        <v>11</v>
      </c>
      <c r="CC41" s="57">
        <f>'2026 - WIP'!BS5</f>
        <v>1</v>
      </c>
      <c r="CD41" s="59">
        <f>'2026 - WIP'!BT5</f>
        <v>28.6</v>
      </c>
      <c r="CE41" s="56">
        <f>'2026 - WIP'!BU5</f>
        <v>753</v>
      </c>
      <c r="CF41" s="57">
        <f>'2026 - WIP'!BV5</f>
        <v>2402.4</v>
      </c>
      <c r="CG41" s="57">
        <f>'2026 - WIP'!BW5</f>
        <v>8</v>
      </c>
      <c r="CH41" s="57">
        <f>'2026 - WIP'!BX5</f>
        <v>26</v>
      </c>
      <c r="CI41" s="57">
        <f>'2026 - WIP'!BY5</f>
        <v>171</v>
      </c>
      <c r="CJ41" s="57">
        <f>'2026 - WIP'!BZ5</f>
        <v>23</v>
      </c>
      <c r="CK41" s="58">
        <f>'2026 - WIP'!CA5</f>
        <v>4.4035087719298245</v>
      </c>
      <c r="CL41" s="58">
        <f>'2026 - WIP'!CB5</f>
        <v>37.5</v>
      </c>
      <c r="CM41" s="58">
        <f>'2026 - WIP'!CC5</f>
        <v>2.84</v>
      </c>
      <c r="CN41" s="58">
        <f>'2026 - WIP'!CD5</f>
        <v>22.4</v>
      </c>
      <c r="CO41" s="57">
        <f>'2026 - WIP'!CE5</f>
        <v>307</v>
      </c>
      <c r="CP41" s="57">
        <f>'2026 - WIP'!CF5</f>
        <v>2795</v>
      </c>
      <c r="CQ41" s="57">
        <f>'2026 - WIP'!CG5</f>
        <v>26</v>
      </c>
      <c r="CR41" s="57">
        <f>'2026 - WIP'!CH5</f>
        <v>2</v>
      </c>
      <c r="CS41" s="59">
        <f>'2026 - WIP'!CI5</f>
        <v>29.9</v>
      </c>
      <c r="CT41" s="56">
        <f>'2026 - WIP'!CJ5</f>
        <v>740</v>
      </c>
      <c r="CU41" s="57">
        <f>'2026 - WIP'!CK5</f>
        <v>2141.6999999999998</v>
      </c>
      <c r="CV41" s="57">
        <f>'2026 - WIP'!CL5</f>
        <v>7</v>
      </c>
      <c r="CW41" s="57">
        <f>'2026 - WIP'!CM5</f>
        <v>24.200000000000003</v>
      </c>
      <c r="CX41" s="57">
        <f>'2026 - WIP'!CN5</f>
        <v>122</v>
      </c>
      <c r="CY41" s="57">
        <f>'2026 - WIP'!CO5</f>
        <v>22</v>
      </c>
      <c r="CZ41" s="58">
        <f>'2026 - WIP'!CP5</f>
        <v>6.0655737704918034</v>
      </c>
      <c r="DA41" s="58">
        <f>'2026 - WIP'!CQ5</f>
        <v>55.8</v>
      </c>
      <c r="DB41" s="58">
        <f>'2026 - WIP'!CR5</f>
        <v>3.46</v>
      </c>
      <c r="DC41" s="58">
        <f>'2026 - WIP'!CS5</f>
        <v>38</v>
      </c>
      <c r="DD41" s="57">
        <f>'2026 - WIP'!CT5</f>
        <v>292</v>
      </c>
      <c r="DE41" s="57">
        <f>'2026 - WIP'!CU5</f>
        <v>2730.2</v>
      </c>
      <c r="DF41" s="57">
        <f>'2026 - WIP'!CV5</f>
        <v>33</v>
      </c>
      <c r="DG41" s="57">
        <f>'2026 - WIP'!CW5</f>
        <v>4</v>
      </c>
      <c r="DH41" s="59">
        <f>'2026 - WIP'!CX5</f>
        <v>22</v>
      </c>
      <c r="DI41" s="56">
        <f>'2026 - WIP'!CY5</f>
        <v>179</v>
      </c>
      <c r="DJ41" s="57">
        <f>'2026 - WIP'!CZ5</f>
        <v>603</v>
      </c>
      <c r="DK41" s="57">
        <f>'2026 - WIP'!DA5</f>
        <v>0</v>
      </c>
      <c r="DL41" s="57">
        <f>'2026 - WIP'!DB5</f>
        <v>0</v>
      </c>
      <c r="DM41" s="57">
        <f>'2026 - WIP'!DC5</f>
        <v>41</v>
      </c>
      <c r="DN41" s="57">
        <f>'2026 - WIP'!DD5</f>
        <v>3</v>
      </c>
      <c r="DO41" s="58">
        <f>'2026 - WIP'!DE5</f>
        <v>4.3658536585365857</v>
      </c>
      <c r="DP41" s="58">
        <f>'2026 - WIP'!DF5</f>
        <v>15.4</v>
      </c>
      <c r="DQ41" s="58">
        <f>'2026 - WIP'!DG5</f>
        <v>2.37</v>
      </c>
      <c r="DR41" s="58">
        <f>'2026 - WIP'!DH5</f>
        <v>8.9</v>
      </c>
      <c r="DS41" s="57">
        <f>'2026 - WIP'!DI5</f>
        <v>44</v>
      </c>
      <c r="DT41" s="57">
        <f>'2026 - WIP'!DJ5</f>
        <v>731</v>
      </c>
      <c r="DU41" s="57">
        <f>'2026 - WIP'!DK5</f>
        <v>0</v>
      </c>
      <c r="DV41" s="57">
        <f>'2026 - WIP'!DL5</f>
        <v>0</v>
      </c>
      <c r="DW41" s="59">
        <f>'2026 - WIP'!DM5</f>
        <v>0</v>
      </c>
    </row>
    <row r="42" spans="1:127" x14ac:dyDescent="0.2">
      <c r="A42" s="33">
        <f t="shared" si="0"/>
        <v>40</v>
      </c>
      <c r="B42" s="11">
        <f>'2016'!A5</f>
        <v>3</v>
      </c>
      <c r="C42" s="11">
        <v>2016</v>
      </c>
      <c r="D42" s="34" t="str">
        <f>'2016'!B5</f>
        <v>Kenyan Drake</v>
      </c>
      <c r="E42" s="224" t="str" cm="1">
        <f t="array" ref="E42">_xlfn.IFS(F42&gt;=13,"Cornerstone",AND(F42&gt;=12,F42&lt;13),"Elite",AND(F42&gt;=11,F42&lt;12),"Elite Upside",AND(F42&gt;=9,F42&lt;11),"Upside",AND(F42&gt;=7,F42&lt;9),"Upside Lite",AND(F42&gt;=6,F42&lt;7),"Outlier",AND(F42&gt;=5,F42&lt;6),"Outlier Lite",F42&lt;5,"Purgatory")</f>
        <v>Upside</v>
      </c>
      <c r="F42" s="14">
        <f>'2016'!C5</f>
        <v>10.527777777777779</v>
      </c>
      <c r="G42" s="14">
        <f t="shared" si="7"/>
        <v>87.7</v>
      </c>
      <c r="H42" s="35">
        <f t="shared" si="1"/>
        <v>1.0687987417741411</v>
      </c>
      <c r="I42" s="36" t="str">
        <f>'2016'!D5</f>
        <v>Alabama</v>
      </c>
      <c r="J42" s="37">
        <f>'2016'!E5</f>
        <v>1</v>
      </c>
      <c r="K42" s="38">
        <f>'2016'!F5</f>
        <v>34360</v>
      </c>
      <c r="L42" s="39">
        <f>'2016'!G5</f>
        <v>31.69041095890411</v>
      </c>
      <c r="M42" s="39" t="str">
        <f>'2016'!H5</f>
        <v>SR</v>
      </c>
      <c r="N42" s="39">
        <f>'2016'!I5</f>
        <v>22.265753424657536</v>
      </c>
      <c r="O42" s="39" t="str">
        <f t="shared" si="2"/>
        <v>DYNAMIC</v>
      </c>
      <c r="P42" s="39" t="str">
        <f t="shared" ref="P42:P59" si="11">IF(OR(AND($AA42&lt;0.25,$AM42&gt;=0.133,AE42&gt;4%),(AND($O42="JITTERBUG",$AM42&gt;0.11)),(AND($O42="JITTERBUG",$AE42&gt;9.5%))),"+RECEIVER",IF(AND($AJ42&gt;=0.25,$AO42&gt;=3.81),"3DOWN",IF($AO42&gt;=3.81,"HORSE",IF(OR(AJ42&gt;0.28,AK42&gt;7,AP42&gt;47),"SLASHER",IF(AM42&gt;0.19,"+RECEIVER","PLODDER")))))</f>
        <v>+RECEIVER</v>
      </c>
      <c r="Q42" s="37">
        <f>'2016'!J5</f>
        <v>73</v>
      </c>
      <c r="R42" s="37">
        <f>'2016'!K5</f>
        <v>210</v>
      </c>
      <c r="S42" s="39">
        <f t="shared" si="5"/>
        <v>27.705853122346142</v>
      </c>
      <c r="T42" s="37">
        <f>'2016'!L5</f>
        <v>4.45</v>
      </c>
      <c r="U42" s="55">
        <f>'2016'!M5</f>
        <v>3</v>
      </c>
      <c r="V42" s="41">
        <f>'2016'!N5</f>
        <v>0</v>
      </c>
      <c r="W42" s="42">
        <f>'2016'!O5</f>
        <v>5.2562663673774782E-2</v>
      </c>
      <c r="X42" s="42">
        <f>'2016'!P5</f>
        <v>0.16596264339052269</v>
      </c>
      <c r="Y42" s="42">
        <f>'2016'!Q5</f>
        <v>0.11186790505675955</v>
      </c>
      <c r="Z42" s="42">
        <f>'2016'!R5</f>
        <v>0.12141956404251486</v>
      </c>
      <c r="AA42" s="42">
        <f>'2016'!S5</f>
        <v>0.14369110371651878</v>
      </c>
      <c r="AB42" s="42">
        <f>'2016'!T5</f>
        <v>0.14369110371651878</v>
      </c>
      <c r="AC42" s="42">
        <f>'2016'!U5</f>
        <v>0.1043540842029507</v>
      </c>
      <c r="AD42" s="42">
        <f>'2016'!V5</f>
        <v>8.8405649832334121E-2</v>
      </c>
      <c r="AE42" s="42">
        <f>'2016'!W5</f>
        <v>9.6379867017642409E-2</v>
      </c>
      <c r="AF42" s="43">
        <f>'2016'!X5</f>
        <v>9.6379867017642409E-2</v>
      </c>
      <c r="AG42" s="44">
        <f>'2016'!Y5</f>
        <v>19.610958904109587</v>
      </c>
      <c r="AH42" s="45">
        <f>'2016'!Z5</f>
        <v>107.10487692015971</v>
      </c>
      <c r="AI42" s="45">
        <f>'2016'!AA5</f>
        <v>27.703133796209421</v>
      </c>
      <c r="AJ42" s="45">
        <f>'2016'!AB5</f>
        <v>0.2857142857142857</v>
      </c>
      <c r="AK42" s="45">
        <f>'2016'!AC5</f>
        <v>5.4782608695652177</v>
      </c>
      <c r="AL42" s="45">
        <f t="shared" si="3"/>
        <v>12.022222222222222</v>
      </c>
      <c r="AM42" s="45">
        <f t="shared" si="10"/>
        <v>0.27358490566037735</v>
      </c>
      <c r="AN42" s="45">
        <f>'2016'!AD5</f>
        <v>100.6</v>
      </c>
      <c r="AO42" s="45">
        <f>'2016'!AE5</f>
        <v>2.88</v>
      </c>
      <c r="AP42" s="46">
        <f>'2016'!AF5</f>
        <v>42.1</v>
      </c>
      <c r="AQ42" s="47">
        <f>'2016'!AG5</f>
        <v>1</v>
      </c>
      <c r="AR42" s="48">
        <f>'2016'!AH5</f>
        <v>9</v>
      </c>
      <c r="AS42" s="48">
        <f>'2016'!AI5</f>
        <v>6</v>
      </c>
      <c r="AT42" s="48">
        <f>'2016'!AJ5</f>
        <v>8</v>
      </c>
      <c r="AU42" s="48">
        <f>'2016'!AK5</f>
        <v>9</v>
      </c>
      <c r="AV42" s="48">
        <f>'2016'!AL5</f>
        <v>2</v>
      </c>
      <c r="AW42" s="48">
        <f>'2016'!AM5</f>
        <v>8</v>
      </c>
      <c r="AX42" s="48">
        <f>'2016'!AN5</f>
        <v>2</v>
      </c>
      <c r="AY42" s="49">
        <f>'2016'!AO5</f>
        <v>6</v>
      </c>
      <c r="AZ42" s="50">
        <f>'2016'!AP5</f>
        <v>2</v>
      </c>
      <c r="BA42" s="56">
        <f>'2016'!AQ5</f>
        <v>0</v>
      </c>
      <c r="BB42" s="57">
        <f>'2016'!AR5</f>
        <v>1</v>
      </c>
      <c r="BC42" s="57">
        <f>'2016'!AS5</f>
        <v>0</v>
      </c>
      <c r="BD42" s="57">
        <f>'2016'!AT5</f>
        <v>0</v>
      </c>
      <c r="BE42" s="57">
        <f>'2016'!AU5</f>
        <v>0</v>
      </c>
      <c r="BF42" s="57">
        <f>'2016'!AV5</f>
        <v>0</v>
      </c>
      <c r="BG42" s="58">
        <f>'2016'!AW5</f>
        <v>0</v>
      </c>
      <c r="BH42" s="58">
        <f>'2016'!AX5</f>
        <v>0</v>
      </c>
      <c r="BI42" s="58">
        <f>'2016'!AY5</f>
        <v>0</v>
      </c>
      <c r="BJ42" s="58">
        <f>'2016'!AZ5</f>
        <v>0</v>
      </c>
      <c r="BK42" s="57">
        <f>'2016'!BA5</f>
        <v>0</v>
      </c>
      <c r="BL42" s="57">
        <f>'2016'!BB5</f>
        <v>1</v>
      </c>
      <c r="BM42" s="57">
        <f>'2016'!BC5</f>
        <v>0</v>
      </c>
      <c r="BN42" s="57">
        <f>'2016'!BD5</f>
        <v>0</v>
      </c>
      <c r="BO42" s="59">
        <f>'2016'!BE5</f>
        <v>0</v>
      </c>
      <c r="BP42" s="56">
        <f>'2016'!BF5</f>
        <v>281</v>
      </c>
      <c r="BQ42" s="57">
        <f>'2016'!BG5</f>
        <v>2730</v>
      </c>
      <c r="BR42" s="57">
        <f>'2016'!BH5</f>
        <v>5</v>
      </c>
      <c r="BS42" s="57">
        <f>'2016'!BI5</f>
        <v>31.200000000000003</v>
      </c>
      <c r="BT42" s="57">
        <f>'2016'!BJ5</f>
        <v>0</v>
      </c>
      <c r="BU42" s="57">
        <f>'2016'!BK5</f>
        <v>0</v>
      </c>
      <c r="BV42" s="58">
        <f>'2016'!BL5</f>
        <v>0</v>
      </c>
      <c r="BW42" s="58">
        <f>'2016'!BM5</f>
        <v>0</v>
      </c>
      <c r="BX42" s="58">
        <f>'2016'!BN5</f>
        <v>0</v>
      </c>
      <c r="BY42" s="58">
        <f>'2016'!BO5</f>
        <v>0</v>
      </c>
      <c r="BZ42" s="57">
        <f>'2016'!BP5</f>
        <v>0</v>
      </c>
      <c r="CA42" s="57">
        <f>'2016'!BQ5</f>
        <v>2616</v>
      </c>
      <c r="CB42" s="57">
        <f>'2016'!BR5</f>
        <v>0</v>
      </c>
      <c r="CC42" s="57">
        <f>'2016'!BS5</f>
        <v>26.400000000000002</v>
      </c>
      <c r="CD42" s="59">
        <f>'2016'!BT5</f>
        <v>0</v>
      </c>
      <c r="CE42" s="56">
        <f>'2016'!BU5</f>
        <v>694</v>
      </c>
      <c r="CF42" s="57">
        <f>'2016'!BV5</f>
        <v>2261.6</v>
      </c>
      <c r="CG42" s="57">
        <f>'2016'!BW5</f>
        <v>8</v>
      </c>
      <c r="CH42" s="57">
        <f>'2016'!BX5</f>
        <v>24.200000000000003</v>
      </c>
      <c r="CI42" s="57">
        <f>'2016'!BY5</f>
        <v>0</v>
      </c>
      <c r="CJ42" s="57">
        <f>'2016'!BZ5</f>
        <v>0</v>
      </c>
      <c r="CK42" s="58">
        <f>'2016'!CA5</f>
        <v>0</v>
      </c>
      <c r="CL42" s="58">
        <f>'2016'!CB5</f>
        <v>0</v>
      </c>
      <c r="CM42" s="58">
        <f>'2016'!CC5</f>
        <v>0</v>
      </c>
      <c r="CN42" s="58">
        <f>'2016'!CD5</f>
        <v>0</v>
      </c>
      <c r="CO42" s="57">
        <f>'2016'!CE5</f>
        <v>135</v>
      </c>
      <c r="CP42" s="57">
        <f>'2016'!CF5</f>
        <v>2733.5</v>
      </c>
      <c r="CQ42" s="57">
        <f>'2016'!CG5</f>
        <v>12</v>
      </c>
      <c r="CR42" s="57">
        <f>'2016'!CH5</f>
        <v>1</v>
      </c>
      <c r="CS42" s="59">
        <f>'2016'!CI5</f>
        <v>23</v>
      </c>
      <c r="CT42" s="56">
        <f>'2016'!CJ5</f>
        <v>126</v>
      </c>
      <c r="CU42" s="57">
        <f>'2016'!CK5</f>
        <v>1033</v>
      </c>
      <c r="CV42" s="57">
        <f>'2016'!CL5</f>
        <v>4</v>
      </c>
      <c r="CW42" s="57">
        <f>'2016'!CM5</f>
        <v>12.5</v>
      </c>
      <c r="CX42" s="57">
        <f>'2016'!CN5</f>
        <v>23</v>
      </c>
      <c r="CY42" s="57">
        <f>'2016'!CO5</f>
        <v>6</v>
      </c>
      <c r="CZ42" s="58">
        <f>'2016'!CP5</f>
        <v>5.4782608695652177</v>
      </c>
      <c r="DA42" s="58">
        <f>'2016'!CQ5</f>
        <v>48.3</v>
      </c>
      <c r="DB42" s="58">
        <f>'2016'!CR5</f>
        <v>2.17</v>
      </c>
      <c r="DC42" s="58">
        <f>'2016'!CS5</f>
        <v>23</v>
      </c>
      <c r="DD42" s="57">
        <f>'2016'!CT5</f>
        <v>145</v>
      </c>
      <c r="DE42" s="57">
        <f>'2016'!CU5</f>
        <v>1389.5</v>
      </c>
      <c r="DF42" s="57">
        <f>'2016'!CV5</f>
        <v>4</v>
      </c>
      <c r="DG42" s="57">
        <f>'2016'!CW5</f>
        <v>2</v>
      </c>
      <c r="DH42" s="59">
        <f>'2016'!CX5</f>
        <v>11.5</v>
      </c>
      <c r="DI42" s="56">
        <f>'2016'!CY5</f>
        <v>413</v>
      </c>
      <c r="DJ42" s="57">
        <f>'2016'!CZ5</f>
        <v>2598.7000000000003</v>
      </c>
      <c r="DK42" s="57">
        <f>'2016'!DA5</f>
        <v>1</v>
      </c>
      <c r="DL42" s="57">
        <f>'2016'!DB5</f>
        <v>28.6</v>
      </c>
      <c r="DM42" s="57">
        <f>'2016'!DC5</f>
        <v>77</v>
      </c>
      <c r="DN42" s="57">
        <f>'2016'!DD5</f>
        <v>22</v>
      </c>
      <c r="DO42" s="58">
        <f>'2016'!DE5</f>
        <v>5.3636363636363633</v>
      </c>
      <c r="DP42" s="58">
        <f>'2016'!DF5</f>
        <v>100.6</v>
      </c>
      <c r="DQ42" s="58">
        <f>'2016'!DG5</f>
        <v>2.88</v>
      </c>
      <c r="DR42" s="58">
        <f>'2016'!DH5</f>
        <v>42.1</v>
      </c>
      <c r="DS42" s="57">
        <f>'2016'!DI5</f>
        <v>261</v>
      </c>
      <c r="DT42" s="57">
        <f>'2016'!DJ5</f>
        <v>2952.2999999999997</v>
      </c>
      <c r="DU42" s="57">
        <f>'2016'!DK5</f>
        <v>29</v>
      </c>
      <c r="DV42" s="57">
        <f>'2016'!DL5</f>
        <v>1</v>
      </c>
      <c r="DW42" s="59">
        <f>'2016'!DM5</f>
        <v>19.5</v>
      </c>
    </row>
    <row r="43" spans="1:127" x14ac:dyDescent="0.2">
      <c r="A43" s="33">
        <f t="shared" si="0"/>
        <v>41</v>
      </c>
      <c r="B43" s="11">
        <f>'2017'!A9</f>
        <v>7</v>
      </c>
      <c r="C43" s="11">
        <v>2017</v>
      </c>
      <c r="D43" s="34" t="str">
        <f>'2017'!B9</f>
        <v>James Conner</v>
      </c>
      <c r="E43" s="224" t="str" cm="1">
        <f t="array" ref="E43">_xlfn.IFS(F43&gt;=13,"Cornerstone",AND(F43&gt;=12,F43&lt;13),"Elite",AND(F43&gt;=11,F43&lt;12),"Elite Upside",AND(F43&gt;=9,F43&lt;11),"Upside",AND(F43&gt;=7,F43&lt;9),"Upside Lite",AND(F43&gt;=6,F43&lt;7),"Outlier",AND(F43&gt;=5,F43&lt;6),"Outlier Lite",F43&lt;5,"Purgatory")</f>
        <v>Upside</v>
      </c>
      <c r="F43" s="14">
        <f>'2017'!C9</f>
        <v>10.5</v>
      </c>
      <c r="G43" s="14">
        <f t="shared" si="7"/>
        <v>87.4</v>
      </c>
      <c r="H43" s="35">
        <f t="shared" si="1"/>
        <v>1.0570424899897062</v>
      </c>
      <c r="I43" s="36" t="str">
        <f>'2017'!D9</f>
        <v>Pitt</v>
      </c>
      <c r="J43" s="37">
        <f>'2017'!E9</f>
        <v>4</v>
      </c>
      <c r="K43" s="38">
        <f>'2017'!F9</f>
        <v>34824</v>
      </c>
      <c r="L43" s="39">
        <f>'2017'!G9</f>
        <v>30.419178082191781</v>
      </c>
      <c r="M43" s="39" t="str">
        <f>'2017'!H9</f>
        <v>RS JR</v>
      </c>
      <c r="N43" s="39">
        <f>'2017'!I9</f>
        <v>21.994520547945207</v>
      </c>
      <c r="O43" s="39" t="str">
        <f t="shared" si="2"/>
        <v>BRUISER</v>
      </c>
      <c r="P43" s="39" t="str">
        <f t="shared" si="11"/>
        <v>SLASHER</v>
      </c>
      <c r="Q43" s="37">
        <f>'2017'!J9</f>
        <v>71</v>
      </c>
      <c r="R43" s="37">
        <f>'2017'!K9</f>
        <v>233</v>
      </c>
      <c r="S43" s="39">
        <f t="shared" si="5"/>
        <v>32.496544025026161</v>
      </c>
      <c r="T43" s="37">
        <f>'2017'!L9</f>
        <v>4.6500000000000004</v>
      </c>
      <c r="U43" s="55">
        <f>'2017'!M9</f>
        <v>3</v>
      </c>
      <c r="V43" s="41">
        <f>'2017'!N9</f>
        <v>0</v>
      </c>
      <c r="W43" s="42">
        <f>'2017'!O9</f>
        <v>0.17672047578589634</v>
      </c>
      <c r="X43" s="42">
        <f>'2017'!P9</f>
        <v>0.32420494699646646</v>
      </c>
      <c r="Y43" s="42">
        <f>'2017'!Q9</f>
        <v>1.7114914425427872E-2</v>
      </c>
      <c r="Z43" s="42">
        <f>'2017'!R9</f>
        <v>0.23932506887052341</v>
      </c>
      <c r="AA43" s="42">
        <f>'2017'!S9</f>
        <v>0.2817650079334949</v>
      </c>
      <c r="AB43" s="42">
        <f>'2017'!T9</f>
        <v>0.25358850714014541</v>
      </c>
      <c r="AC43" s="42">
        <f>'2017'!U9</f>
        <v>2.8248587570621469E-3</v>
      </c>
      <c r="AD43" s="42">
        <f>'2017'!V9</f>
        <v>0.10478834142956281</v>
      </c>
      <c r="AE43" s="42">
        <f>'2017'!W9</f>
        <v>0.10478834142956281</v>
      </c>
      <c r="AF43" s="43">
        <f>'2017'!X9</f>
        <v>9.4309507286606531E-2</v>
      </c>
      <c r="AG43" s="44">
        <f>'2017'!Y9</f>
        <v>18.336986301369862</v>
      </c>
      <c r="AH43" s="45">
        <f>'2017'!Z9</f>
        <v>99.672213968116978</v>
      </c>
      <c r="AI43" s="45">
        <f>'2017'!AA9</f>
        <v>32.493354493156119</v>
      </c>
      <c r="AJ43" s="45">
        <f>'2017'!AB9</f>
        <v>0.30405405405405406</v>
      </c>
      <c r="AK43" s="45">
        <f>'2017'!AC9</f>
        <v>9.6</v>
      </c>
      <c r="AL43" s="45">
        <f t="shared" si="3"/>
        <v>13.733333333333333</v>
      </c>
      <c r="AM43" s="45">
        <f t="shared" si="10"/>
        <v>8.8607594936708861E-2</v>
      </c>
      <c r="AN43" s="45">
        <f>'2017'!AD9</f>
        <v>89.4</v>
      </c>
      <c r="AO43" s="45">
        <f>'2017'!AE9</f>
        <v>2.95</v>
      </c>
      <c r="AP43" s="46">
        <f>'2017'!AF9</f>
        <v>51.9</v>
      </c>
      <c r="AQ43" s="47">
        <f>'2017'!AG9</f>
        <v>6</v>
      </c>
      <c r="AR43" s="48">
        <f>'2017'!AH9</f>
        <v>9</v>
      </c>
      <c r="AS43" s="48">
        <f>'2017'!AI9</f>
        <v>10</v>
      </c>
      <c r="AT43" s="48">
        <f>IF(AH43&gt;113.25,10,IF(AH43&gt;=107.84,9,IF(AH43&gt;=105.37,8,IF(AH43&gt;=103.25,7,IF(AH43&gt;=100.55,6,IF(AH43&gt;=98.75,5,IF(AH43&gt;=96.08,4,IF(AH43&gt;=94.39,3,IF(AH43&gt;=88.43,2,IF(AH43&gt;=85.16,1,IF(AH43&lt;85.16,0,FALSE)))))))))))</f>
        <v>5</v>
      </c>
      <c r="AU43" s="48">
        <f>'2017'!AK9</f>
        <v>8</v>
      </c>
      <c r="AV43" s="48">
        <f>'2017'!AL9</f>
        <v>10</v>
      </c>
      <c r="AW43" s="48">
        <f>'2017'!AM9</f>
        <v>5</v>
      </c>
      <c r="AX43" s="48">
        <f>'2017'!AN9</f>
        <v>1</v>
      </c>
      <c r="AY43" s="49">
        <f>IF(U43=1,10,IF(U43=2,7,IF(U43=3,6,IF(U43=4,4,IF(U43=5,3,IF(U43=6,2,IF(U43=7,1,IF(U43=0,0,"-"))))))))</f>
        <v>6</v>
      </c>
      <c r="AZ43" s="50">
        <f>'2017'!AP9</f>
        <v>0</v>
      </c>
      <c r="BA43" s="56">
        <f>'2017'!AQ9</f>
        <v>0</v>
      </c>
      <c r="BB43" s="57">
        <f>'2017'!AR9</f>
        <v>1730</v>
      </c>
      <c r="BC43" s="57">
        <f>'2017'!AS9</f>
        <v>0</v>
      </c>
      <c r="BD43" s="57">
        <f>'2017'!AT9</f>
        <v>0</v>
      </c>
      <c r="BE43" s="57">
        <f>'2017'!AU9</f>
        <v>0</v>
      </c>
      <c r="BF43" s="57">
        <f>'2017'!AV9</f>
        <v>0</v>
      </c>
      <c r="BG43" s="58">
        <f>'2017'!AW9</f>
        <v>0</v>
      </c>
      <c r="BH43" s="58">
        <f>'2017'!AX9</f>
        <v>0</v>
      </c>
      <c r="BI43" s="58">
        <f>'2017'!AY9</f>
        <v>0</v>
      </c>
      <c r="BJ43" s="58">
        <f>'2017'!AZ9</f>
        <v>0</v>
      </c>
      <c r="BK43" s="57">
        <f>'2017'!BA9</f>
        <v>0</v>
      </c>
      <c r="BL43" s="57">
        <f>'2017'!BB9</f>
        <v>3341</v>
      </c>
      <c r="BM43" s="57">
        <f>'2017'!BC9</f>
        <v>0</v>
      </c>
      <c r="BN43" s="57">
        <f>'2017'!BD9</f>
        <v>0</v>
      </c>
      <c r="BO43" s="59">
        <f>'2017'!BE9</f>
        <v>0</v>
      </c>
      <c r="BP43" s="56">
        <f>'2017'!BF9</f>
        <v>799</v>
      </c>
      <c r="BQ43" s="57">
        <f>'2017'!BG9</f>
        <v>1634</v>
      </c>
      <c r="BR43" s="57">
        <f>'2017'!BH9</f>
        <v>0</v>
      </c>
      <c r="BS43" s="57">
        <f>'2017'!BI9</f>
        <v>0</v>
      </c>
      <c r="BT43" s="57">
        <f>'2017'!BJ9</f>
        <v>0</v>
      </c>
      <c r="BU43" s="57">
        <f>'2017'!BK9</f>
        <v>0</v>
      </c>
      <c r="BV43" s="58">
        <f>'2017'!BL9</f>
        <v>0</v>
      </c>
      <c r="BW43" s="58">
        <f>'2017'!BM9</f>
        <v>0</v>
      </c>
      <c r="BX43" s="58">
        <f>'2017'!BN9</f>
        <v>0</v>
      </c>
      <c r="BY43" s="58">
        <f>'2017'!BO9</f>
        <v>0</v>
      </c>
      <c r="BZ43" s="57">
        <f>'2017'!BP9</f>
        <v>33</v>
      </c>
      <c r="CA43" s="57">
        <f>'2017'!BQ9</f>
        <v>3074</v>
      </c>
      <c r="CB43" s="57">
        <f>'2017'!BR9</f>
        <v>3</v>
      </c>
      <c r="CC43" s="57">
        <f>'2017'!BS9</f>
        <v>0</v>
      </c>
      <c r="CD43" s="59">
        <f>'2017'!BT9</f>
        <v>0</v>
      </c>
      <c r="CE43" s="56">
        <f>'2017'!BU9</f>
        <v>1765</v>
      </c>
      <c r="CF43" s="57">
        <f>'2017'!BV9</f>
        <v>3243</v>
      </c>
      <c r="CG43" s="57">
        <f>'2017'!BW9</f>
        <v>26</v>
      </c>
      <c r="CH43" s="57">
        <f>'2017'!BX9</f>
        <v>0</v>
      </c>
      <c r="CI43" s="57">
        <f>'2017'!BY9</f>
        <v>296</v>
      </c>
      <c r="CJ43" s="57">
        <f>'2017'!BZ9</f>
        <v>90</v>
      </c>
      <c r="CK43" s="58">
        <f>'2017'!CA9</f>
        <v>6</v>
      </c>
      <c r="CL43" s="58">
        <f>'2017'!CB9</f>
        <v>89.4</v>
      </c>
      <c r="CM43" s="58">
        <f>'2017'!CC9</f>
        <v>2.89</v>
      </c>
      <c r="CN43" s="58">
        <f>'2017'!CD9</f>
        <v>32.5</v>
      </c>
      <c r="CO43" s="57">
        <f>'2017'!CE9</f>
        <v>70</v>
      </c>
      <c r="CP43" s="57">
        <f>'2017'!CF9</f>
        <v>2417</v>
      </c>
      <c r="CQ43" s="57">
        <f>'2017'!CG9</f>
        <v>5</v>
      </c>
      <c r="CR43" s="57">
        <f>'2017'!CH9</f>
        <v>0</v>
      </c>
      <c r="CS43" s="59">
        <f>'2017'!CI9</f>
        <v>0</v>
      </c>
      <c r="CT43" s="56">
        <f>'2017'!CJ9</f>
        <v>77</v>
      </c>
      <c r="CU43" s="57">
        <f>'2017'!CK9</f>
        <v>2430</v>
      </c>
      <c r="CV43" s="57">
        <f>'2017'!CL9</f>
        <v>2</v>
      </c>
      <c r="CW43" s="57">
        <f>'2017'!CM9</f>
        <v>0</v>
      </c>
      <c r="CX43" s="57">
        <f>'2017'!CN9</f>
        <v>8</v>
      </c>
      <c r="CY43" s="57">
        <f>'2017'!CO9</f>
        <v>2</v>
      </c>
      <c r="CZ43" s="58">
        <f>'2017'!CP9</f>
        <v>9.6</v>
      </c>
      <c r="DA43" s="58">
        <f>'2017'!CQ9</f>
        <v>52.8</v>
      </c>
      <c r="DB43" s="58">
        <f>'2017'!CR9</f>
        <v>2.38</v>
      </c>
      <c r="DC43" s="58">
        <f>'2017'!CS9</f>
        <v>51.9</v>
      </c>
      <c r="DD43" s="57">
        <f>'2017'!CT9</f>
        <v>7</v>
      </c>
      <c r="DE43" s="57">
        <f>'2017'!CU9</f>
        <v>2478</v>
      </c>
      <c r="DF43" s="57">
        <f>'2017'!CV9</f>
        <v>1</v>
      </c>
      <c r="DG43" s="57">
        <f>'2017'!CW9</f>
        <v>0</v>
      </c>
      <c r="DH43" s="59">
        <f>'2017'!CX9</f>
        <v>0</v>
      </c>
      <c r="DI43" s="56">
        <f>'2017'!CY9</f>
        <v>1088</v>
      </c>
      <c r="DJ43" s="57">
        <f>'2017'!CZ9</f>
        <v>2926</v>
      </c>
      <c r="DK43" s="57">
        <f>'2017'!DA9</f>
        <v>16</v>
      </c>
      <c r="DL43" s="57">
        <f>'2017'!DB9</f>
        <v>0</v>
      </c>
      <c r="DM43" s="57">
        <f>'2017'!DC9</f>
        <v>216</v>
      </c>
      <c r="DN43" s="57">
        <f>'2017'!DD9</f>
        <v>39</v>
      </c>
      <c r="DO43" s="58">
        <f>'2017'!DE9</f>
        <v>5</v>
      </c>
      <c r="DP43" s="58">
        <f>'2017'!DF9</f>
        <v>52.3</v>
      </c>
      <c r="DQ43" s="58">
        <f>'2017'!DG9</f>
        <v>2.95</v>
      </c>
      <c r="DR43" s="58">
        <f>'2017'!DH9</f>
        <v>51.7</v>
      </c>
      <c r="DS43" s="57">
        <f>'2017'!DI9</f>
        <v>302</v>
      </c>
      <c r="DT43" s="57">
        <f>'2017'!DJ9</f>
        <v>2882</v>
      </c>
      <c r="DU43" s="57">
        <f>'2017'!DK9</f>
        <v>21</v>
      </c>
      <c r="DV43" s="57">
        <f>'2017'!DL9</f>
        <v>0</v>
      </c>
      <c r="DW43" s="59">
        <f>'2017'!DM9</f>
        <v>0</v>
      </c>
    </row>
    <row r="44" spans="1:127" x14ac:dyDescent="0.2">
      <c r="A44" s="33">
        <f t="shared" si="0"/>
        <v>42</v>
      </c>
      <c r="B44" s="11">
        <f>'2015'!A5</f>
        <v>3</v>
      </c>
      <c r="C44" s="11">
        <v>2015</v>
      </c>
      <c r="D44" s="34" t="str">
        <f>'2015'!B5</f>
        <v>Tevin Coleman</v>
      </c>
      <c r="E44" s="224" t="str" cm="1">
        <f t="array" ref="E44">_xlfn.IFS(F44&gt;=13,"Cornerstone",AND(F44&gt;=12,F44&lt;13),"Elite",AND(F44&gt;=11,F44&lt;12),"Elite Upside",AND(F44&gt;=9,F44&lt;11),"Upside",AND(F44&gt;=7,F44&lt;9),"Upside Lite",AND(F44&gt;=6,F44&lt;7),"Outlier",AND(F44&gt;=5,F44&lt;6),"Outlier Lite",F44&lt;5,"Purgatory")</f>
        <v>Upside</v>
      </c>
      <c r="F44" s="14">
        <f>'2015'!C5</f>
        <v>10.333333333333334</v>
      </c>
      <c r="G44" s="14">
        <f t="shared" si="7"/>
        <v>87.1</v>
      </c>
      <c r="H44" s="35">
        <f t="shared" si="1"/>
        <v>0.98650497928309988</v>
      </c>
      <c r="I44" s="36" t="str">
        <f>'2015'!D5</f>
        <v>Indiana</v>
      </c>
      <c r="J44" s="37">
        <f>'2015'!E5</f>
        <v>2</v>
      </c>
      <c r="K44" s="38">
        <f>'2015'!F5</f>
        <v>34075</v>
      </c>
      <c r="L44" s="39">
        <f>'2015'!G5</f>
        <v>32.471232876712328</v>
      </c>
      <c r="M44" s="39" t="str">
        <f>'2015'!H5</f>
        <v>JR</v>
      </c>
      <c r="N44" s="39">
        <f>'2015'!I5</f>
        <v>22.043835616438358</v>
      </c>
      <c r="O44" s="39" t="str">
        <f t="shared" si="2"/>
        <v>DYNAMIC</v>
      </c>
      <c r="P44" s="39" t="str">
        <f t="shared" si="11"/>
        <v>HORSE</v>
      </c>
      <c r="Q44" s="37">
        <f>'2015'!J5</f>
        <v>71</v>
      </c>
      <c r="R44" s="37">
        <f>'2015'!K5</f>
        <v>206</v>
      </c>
      <c r="S44" s="39">
        <f t="shared" si="5"/>
        <v>28.730850082211973</v>
      </c>
      <c r="T44" s="39">
        <f>'2015'!L5</f>
        <v>4.4000000000000004</v>
      </c>
      <c r="U44" s="55">
        <f>'2015'!M5</f>
        <v>3</v>
      </c>
      <c r="V44" s="41">
        <f>'2015'!N5</f>
        <v>0</v>
      </c>
      <c r="W44" s="42">
        <f>'2015'!O5</f>
        <v>0</v>
      </c>
      <c r="X44" s="42">
        <f>'2015'!P5</f>
        <v>5.165912518853695E-2</v>
      </c>
      <c r="Y44" s="42">
        <f>'2015'!Q5</f>
        <v>0.2515022397028297</v>
      </c>
      <c r="Z44" s="42">
        <f>'2015'!R5</f>
        <v>0.44609053497942386</v>
      </c>
      <c r="AA44" s="42">
        <f>'2015'!S5</f>
        <v>0.44609053497942386</v>
      </c>
      <c r="AB44" s="42">
        <f>'2015'!T5</f>
        <v>0.44609053497942386</v>
      </c>
      <c r="AC44" s="42">
        <f>'2015'!U5</f>
        <v>6.9919936238814623E-2</v>
      </c>
      <c r="AD44" s="42">
        <f>'2015'!V5</f>
        <v>8.3097595473833094E-2</v>
      </c>
      <c r="AE44" s="42">
        <f>'2015'!W5</f>
        <v>8.3097595473833094E-2</v>
      </c>
      <c r="AF44" s="43">
        <f>'2015'!X5</f>
        <v>8.3097595473833094E-2</v>
      </c>
      <c r="AG44" s="44">
        <f>'2015'!Y5</f>
        <v>20.391780821917809</v>
      </c>
      <c r="AH44" s="45">
        <f>'2015'!Z5</f>
        <v>109.92247797281604</v>
      </c>
      <c r="AI44" s="45">
        <f>'2015'!AA5</f>
        <v>28.728030152747472</v>
      </c>
      <c r="AJ44" s="45">
        <f>'2015'!AB5</f>
        <v>0.18518518518518517</v>
      </c>
      <c r="AK44" s="45">
        <f>'2015'!AC5</f>
        <v>7.5074074074074071</v>
      </c>
      <c r="AL44" s="45">
        <f t="shared" si="3"/>
        <v>7.0925925925925926</v>
      </c>
      <c r="AM44" s="45">
        <f t="shared" si="10"/>
        <v>8.4745762711864403E-2</v>
      </c>
      <c r="AN44" s="45">
        <f>'2015'!AD5</f>
        <v>73.599999999999994</v>
      </c>
      <c r="AO44" s="45">
        <f>'2015'!AE5</f>
        <v>4.0199999999999996</v>
      </c>
      <c r="AP44" s="46">
        <f>'2015'!AF5</f>
        <v>57</v>
      </c>
      <c r="AQ44" s="47">
        <f>'2015'!AG5</f>
        <v>10</v>
      </c>
      <c r="AR44" s="48">
        <f>'2015'!AH5</f>
        <v>8</v>
      </c>
      <c r="AS44" s="48">
        <f>'2015'!AI5</f>
        <v>4</v>
      </c>
      <c r="AT44" s="48">
        <f>'2015'!AJ5</f>
        <v>9</v>
      </c>
      <c r="AU44" s="48">
        <f>'2015'!AK5</f>
        <v>2</v>
      </c>
      <c r="AV44" s="48">
        <f>'2015'!AL5</f>
        <v>8</v>
      </c>
      <c r="AW44" s="48">
        <f>'2015'!AM5</f>
        <v>4</v>
      </c>
      <c r="AX44" s="48">
        <f>'2015'!AN5</f>
        <v>7</v>
      </c>
      <c r="AY44" s="49">
        <f>'2015'!AO5</f>
        <v>6</v>
      </c>
      <c r="AZ44" s="50">
        <f>'2015'!AP5</f>
        <v>0</v>
      </c>
      <c r="BA44" s="56">
        <f>'2015'!AQ5</f>
        <v>0</v>
      </c>
      <c r="BB44" s="57">
        <f>'2015'!AR5</f>
        <v>1</v>
      </c>
      <c r="BC44" s="57">
        <f>'2015'!AS5</f>
        <v>0</v>
      </c>
      <c r="BD44" s="57">
        <f>'2015'!AT5</f>
        <v>0</v>
      </c>
      <c r="BE44" s="57">
        <f>'2015'!AU5</f>
        <v>0</v>
      </c>
      <c r="BF44" s="57">
        <f>'2015'!AV5</f>
        <v>0</v>
      </c>
      <c r="BG44" s="58">
        <f>'2015'!AW5</f>
        <v>0</v>
      </c>
      <c r="BH44" s="58">
        <f>'2015'!AX5</f>
        <v>0</v>
      </c>
      <c r="BI44" s="58">
        <f>'2015'!AY5</f>
        <v>0</v>
      </c>
      <c r="BJ44" s="58">
        <f>'2015'!AZ5</f>
        <v>0</v>
      </c>
      <c r="BK44" s="57">
        <f>'2015'!BA5</f>
        <v>0</v>
      </c>
      <c r="BL44" s="57">
        <f>'2015'!BB5</f>
        <v>1</v>
      </c>
      <c r="BM44" s="57">
        <f>'2015'!BC5</f>
        <v>0</v>
      </c>
      <c r="BN44" s="57">
        <f>'2015'!BD5</f>
        <v>0</v>
      </c>
      <c r="BO44" s="59">
        <f>'2015'!BE5</f>
        <v>0</v>
      </c>
      <c r="BP44" s="56">
        <f>'2015'!BF5</f>
        <v>0</v>
      </c>
      <c r="BQ44" s="57">
        <f>'2015'!BG5</f>
        <v>1</v>
      </c>
      <c r="BR44" s="57">
        <f>'2015'!BH5</f>
        <v>0</v>
      </c>
      <c r="BS44" s="57">
        <f>'2015'!BI5</f>
        <v>0</v>
      </c>
      <c r="BT44" s="57">
        <f>'2015'!BJ5</f>
        <v>0</v>
      </c>
      <c r="BU44" s="57">
        <f>'2015'!BK5</f>
        <v>0</v>
      </c>
      <c r="BV44" s="58">
        <f>'2015'!BL5</f>
        <v>0</v>
      </c>
      <c r="BW44" s="58">
        <f>'2015'!BM5</f>
        <v>0</v>
      </c>
      <c r="BX44" s="58">
        <f>'2015'!BN5</f>
        <v>0</v>
      </c>
      <c r="BY44" s="58">
        <f>'2015'!BO5</f>
        <v>0</v>
      </c>
      <c r="BZ44" s="57">
        <f>'2015'!BP5</f>
        <v>0</v>
      </c>
      <c r="CA44" s="57">
        <f>'2015'!BQ5</f>
        <v>1</v>
      </c>
      <c r="CB44" s="57">
        <f>'2015'!BR5</f>
        <v>0</v>
      </c>
      <c r="CC44" s="57">
        <f>'2015'!BS5</f>
        <v>0</v>
      </c>
      <c r="CD44" s="59">
        <f>'2015'!BT5</f>
        <v>0</v>
      </c>
      <c r="CE44" s="56">
        <f>'2015'!BU5</f>
        <v>225</v>
      </c>
      <c r="CF44" s="57">
        <f>'2015'!BV5</f>
        <v>1570</v>
      </c>
      <c r="CG44" s="57">
        <f>'2015'!BW5</f>
        <v>1</v>
      </c>
      <c r="CH44" s="57">
        <f>'2015'!BX5</f>
        <v>0</v>
      </c>
      <c r="CI44" s="57">
        <f>'2015'!BY5</f>
        <v>51</v>
      </c>
      <c r="CJ44" s="57">
        <f>'2015'!BZ5</f>
        <v>0</v>
      </c>
      <c r="CK44" s="58">
        <f>'2015'!CA5</f>
        <v>4.4117647058823533</v>
      </c>
      <c r="CL44" s="58">
        <f>'2015'!CB5</f>
        <v>0</v>
      </c>
      <c r="CM44" s="58">
        <f>'2015'!CC5</f>
        <v>0</v>
      </c>
      <c r="CN44" s="58">
        <f>'2015'!CD5</f>
        <v>0</v>
      </c>
      <c r="CO44" s="57">
        <f>'2015'!CE5</f>
        <v>49</v>
      </c>
      <c r="CP44" s="57">
        <f>'2015'!CF5</f>
        <v>3734</v>
      </c>
      <c r="CQ44" s="57">
        <f>'2015'!CG5</f>
        <v>10</v>
      </c>
      <c r="CR44" s="57">
        <f>'2015'!CH5</f>
        <v>0</v>
      </c>
      <c r="CS44" s="59">
        <f>'2015'!CI5</f>
        <v>0</v>
      </c>
      <c r="CT44" s="56">
        <f>'2015'!CJ5</f>
        <v>958</v>
      </c>
      <c r="CU44" s="57">
        <f>'2015'!CK5</f>
        <v>1816.2</v>
      </c>
      <c r="CV44" s="57">
        <f>'2015'!CL5</f>
        <v>12</v>
      </c>
      <c r="CW44" s="57">
        <f>'2015'!CM5</f>
        <v>0</v>
      </c>
      <c r="CX44" s="57">
        <f>'2015'!CN5</f>
        <v>131</v>
      </c>
      <c r="CY44" s="57">
        <f>'2015'!CO5</f>
        <v>0</v>
      </c>
      <c r="CZ44" s="58">
        <f>'2015'!CP5</f>
        <v>7.3129770992366412</v>
      </c>
      <c r="DA44" s="58">
        <f>'2015'!CQ5</f>
        <v>0</v>
      </c>
      <c r="DB44" s="58">
        <f>'2015'!CR5</f>
        <v>0</v>
      </c>
      <c r="DC44" s="58">
        <f>'2015'!CS5</f>
        <v>0</v>
      </c>
      <c r="DD44" s="57">
        <f>'2015'!CT5</f>
        <v>193</v>
      </c>
      <c r="DE44" s="57">
        <f>'2015'!CU5</f>
        <v>2760.2999999999997</v>
      </c>
      <c r="DF44" s="57">
        <f>'2015'!CV5</f>
        <v>19</v>
      </c>
      <c r="DG44" s="57">
        <f>'2015'!CW5</f>
        <v>0</v>
      </c>
      <c r="DH44" s="59">
        <f>'2015'!CX5</f>
        <v>0</v>
      </c>
      <c r="DI44" s="56">
        <f>'2015'!CY5</f>
        <v>2027</v>
      </c>
      <c r="DJ44" s="57">
        <f>'2015'!CZ5</f>
        <v>3163.2000000000003</v>
      </c>
      <c r="DK44" s="57">
        <f>'2015'!DA5</f>
        <v>15</v>
      </c>
      <c r="DL44" s="57">
        <f>'2015'!DB5</f>
        <v>28.799999999999997</v>
      </c>
      <c r="DM44" s="57">
        <f>'2015'!DC5</f>
        <v>270</v>
      </c>
      <c r="DN44" s="57">
        <f>'2015'!DD5</f>
        <v>50</v>
      </c>
      <c r="DO44" s="58">
        <f>'2015'!DE5</f>
        <v>7.5074074074074071</v>
      </c>
      <c r="DP44" s="58">
        <f>'2015'!DF5</f>
        <v>73.599999999999994</v>
      </c>
      <c r="DQ44" s="58">
        <f>'2015'!DG5</f>
        <v>4.0199999999999996</v>
      </c>
      <c r="DR44" s="58">
        <f>'2015'!DH5</f>
        <v>57</v>
      </c>
      <c r="DS44" s="57">
        <f>'2015'!DI5</f>
        <v>141</v>
      </c>
      <c r="DT44" s="57">
        <f>'2015'!DJ5</f>
        <v>1696.8000000000002</v>
      </c>
      <c r="DU44" s="57">
        <f>'2015'!DK5</f>
        <v>25</v>
      </c>
      <c r="DV44" s="57">
        <f>'2015'!DL5</f>
        <v>0</v>
      </c>
      <c r="DW44" s="59">
        <f>'2015'!DM5</f>
        <v>7.1999999999999993</v>
      </c>
    </row>
    <row r="45" spans="1:127" x14ac:dyDescent="0.2">
      <c r="A45" s="33">
        <f t="shared" si="0"/>
        <v>43</v>
      </c>
      <c r="B45" s="11">
        <f>'2020'!A8</f>
        <v>6</v>
      </c>
      <c r="C45" s="11">
        <v>2020</v>
      </c>
      <c r="D45" s="34" t="str">
        <f>'2020'!B8</f>
        <v>Clyde Edwards-Helaire</v>
      </c>
      <c r="E45" s="224" t="str" cm="1">
        <f t="array" ref="E45">_xlfn.IFS(F45&gt;=13,"Cornerstone",AND(F45&gt;=12,F45&lt;13),"Elite",AND(F45&gt;=11,F45&lt;12),"Elite Upside",AND(F45&gt;=9,F45&lt;11),"Upside",AND(F45&gt;=7,F45&lt;9),"Upside Lite",AND(F45&gt;=6,F45&lt;7),"Outlier",AND(F45&gt;=5,F45&lt;6),"Outlier Lite",F45&lt;5,"Purgatory")</f>
        <v>Upside</v>
      </c>
      <c r="F45" s="14">
        <f>'2020'!C8</f>
        <v>10.316666666666666</v>
      </c>
      <c r="G45" s="14">
        <f t="shared" si="7"/>
        <v>86.8</v>
      </c>
      <c r="H45" s="35">
        <f t="shared" si="1"/>
        <v>0.97945122821243891</v>
      </c>
      <c r="I45" s="36" t="str">
        <f>'2020'!D8</f>
        <v>LSU</v>
      </c>
      <c r="J45" s="37">
        <f>'2020'!E8</f>
        <v>1</v>
      </c>
      <c r="K45" s="38">
        <f>'2020'!F8</f>
        <v>36261</v>
      </c>
      <c r="L45" s="39">
        <f>'2020'!G8</f>
        <v>26.482191780821918</v>
      </c>
      <c r="M45" s="39" t="str">
        <f>'2020'!H8</f>
        <v>JR</v>
      </c>
      <c r="N45" s="39">
        <f>'2020'!I8</f>
        <v>21.049315068493151</v>
      </c>
      <c r="O45" s="39" t="str">
        <f t="shared" si="2"/>
        <v>BELL CALF</v>
      </c>
      <c r="P45" s="39" t="str">
        <f t="shared" si="11"/>
        <v>+RECEIVER</v>
      </c>
      <c r="Q45" s="37">
        <f>'2020'!J8</f>
        <v>67</v>
      </c>
      <c r="R45" s="37">
        <f>'2020'!K8</f>
        <v>207</v>
      </c>
      <c r="S45" s="39">
        <f t="shared" si="5"/>
        <v>32.420424208190809</v>
      </c>
      <c r="T45" s="37">
        <f>'2020'!L8</f>
        <v>4.5999999999999996</v>
      </c>
      <c r="U45" s="40">
        <f>'2020'!M8</f>
        <v>1</v>
      </c>
      <c r="V45" s="41">
        <f>'2020'!N8</f>
        <v>0</v>
      </c>
      <c r="W45" s="42">
        <f>'2020'!O8</f>
        <v>0</v>
      </c>
      <c r="X45" s="42">
        <f>'2020'!P8</f>
        <v>1.440868263473054E-2</v>
      </c>
      <c r="Y45" s="42">
        <f>'2020'!Q8</f>
        <v>0.14405969007078631</v>
      </c>
      <c r="Z45" s="42">
        <f>'2020'!R8</f>
        <v>0.21956368754398312</v>
      </c>
      <c r="AA45" s="42">
        <f>'2020'!S8</f>
        <v>0.21956368754398312</v>
      </c>
      <c r="AB45" s="42">
        <f>'2020'!T8</f>
        <v>0.21956368754398312</v>
      </c>
      <c r="AC45" s="42">
        <f>'2020'!U8</f>
        <v>3.164983164983165E-2</v>
      </c>
      <c r="AD45" s="42">
        <f>'2020'!V8</f>
        <v>7.5199203187250999E-2</v>
      </c>
      <c r="AE45" s="42">
        <f>'2020'!W8</f>
        <v>7.5199203187250999E-2</v>
      </c>
      <c r="AF45" s="43">
        <f>'2020'!X8</f>
        <v>7.5199203187250999E-2</v>
      </c>
      <c r="AG45" s="44">
        <f>'2020'!Y8</f>
        <v>20.416438356164385</v>
      </c>
      <c r="AH45" s="45">
        <f>'2020'!Z8</f>
        <v>92.463220185748369</v>
      </c>
      <c r="AI45" s="45">
        <f>'2020'!AA8</f>
        <v>32.417242147471597</v>
      </c>
      <c r="AJ45" s="45">
        <f>'2020'!AB8</f>
        <v>0.33177570093457942</v>
      </c>
      <c r="AK45" s="45">
        <f>'2020'!AC8</f>
        <v>6.6</v>
      </c>
      <c r="AL45" s="45">
        <f t="shared" si="3"/>
        <v>9.721311475409836</v>
      </c>
      <c r="AM45" s="45">
        <f t="shared" si="10"/>
        <v>0.20446096654275092</v>
      </c>
      <c r="AN45" s="45">
        <f>'2020'!AD8</f>
        <v>115.5</v>
      </c>
      <c r="AO45" s="45">
        <f>'2020'!AE8</f>
        <v>3.65</v>
      </c>
      <c r="AP45" s="46">
        <f>'2020'!AF8</f>
        <v>44.7</v>
      </c>
      <c r="AQ45" s="47">
        <f>'2020'!AG8</f>
        <v>4</v>
      </c>
      <c r="AR45" s="48">
        <f>'2020'!AH8</f>
        <v>8</v>
      </c>
      <c r="AS45" s="48">
        <f>'2020'!AI8</f>
        <v>4</v>
      </c>
      <c r="AT45" s="48">
        <f>IF(AH45&gt;113.25,10,IF(AH45&gt;=107.84,9,IF(AH45&gt;=105.37,8,IF(AH45&gt;=103.25,7,IF(AH45&gt;=100.55,6,IF(AH45&gt;=98.75,5,IF(AH45&gt;=96.08,4,IF(AH45&gt;=94.39,3,IF(AH45&gt;=88.43,2,IF(AH45&gt;=85.16,1,IF(AH45&lt;85.16,0,FALSE)))))))))))</f>
        <v>2</v>
      </c>
      <c r="AU45" s="48">
        <f>'2020'!AK8</f>
        <v>9</v>
      </c>
      <c r="AV45" s="48">
        <f>'2020'!AL8</f>
        <v>6</v>
      </c>
      <c r="AW45" s="48">
        <f>'2020'!AM8</f>
        <v>5</v>
      </c>
      <c r="AX45" s="48">
        <f>'2020'!AN8</f>
        <v>2</v>
      </c>
      <c r="AY45" s="49">
        <f>IF(U45=1,10,IF(U45=2,7,IF(U45=3,6,IF(U45=4,4,IF(U45=5,3,IF(U45=6,2,IF(U45=7,1,IF(U45=0,0,"-"))))))))</f>
        <v>10</v>
      </c>
      <c r="AZ45" s="50">
        <f>'2020'!AP8</f>
        <v>0.25</v>
      </c>
      <c r="BA45" s="56">
        <f>'2020'!AQ8</f>
        <v>0</v>
      </c>
      <c r="BB45" s="57">
        <f>'2020'!AR8</f>
        <v>3082</v>
      </c>
      <c r="BC45" s="57">
        <f>'2020'!AS8</f>
        <v>0</v>
      </c>
      <c r="BD45" s="57">
        <f>'2020'!AT8</f>
        <v>36</v>
      </c>
      <c r="BE45" s="57">
        <f>'2020'!AU8</f>
        <v>0</v>
      </c>
      <c r="BF45" s="57">
        <f>'2020'!AV8</f>
        <v>0</v>
      </c>
      <c r="BG45" s="58">
        <f>'2020'!AW8</f>
        <v>0</v>
      </c>
      <c r="BH45" s="58">
        <f>'2020'!AX8</f>
        <v>0</v>
      </c>
      <c r="BI45" s="58">
        <f>'2020'!AY8</f>
        <v>0</v>
      </c>
      <c r="BJ45" s="58">
        <f>'2020'!AZ8</f>
        <v>0</v>
      </c>
      <c r="BK45" s="57">
        <f>'2020'!BA8</f>
        <v>0</v>
      </c>
      <c r="BL45" s="57">
        <f>'2020'!BB8</f>
        <v>2165</v>
      </c>
      <c r="BM45" s="57">
        <f>'2020'!BC8</f>
        <v>0</v>
      </c>
      <c r="BN45" s="57">
        <f>'2020'!BD8</f>
        <v>0</v>
      </c>
      <c r="BO45" s="59">
        <f>'2020'!BE8</f>
        <v>13</v>
      </c>
      <c r="BP45" s="56">
        <f>'2020'!BF8</f>
        <v>0</v>
      </c>
      <c r="BQ45" s="57">
        <f>'2020'!BG8</f>
        <v>2796</v>
      </c>
      <c r="BR45" s="57">
        <f>'2020'!BH8</f>
        <v>0</v>
      </c>
      <c r="BS45" s="57">
        <f>'2020'!BI8</f>
        <v>30</v>
      </c>
      <c r="BT45" s="57">
        <f>'2020'!BJ8</f>
        <v>0</v>
      </c>
      <c r="BU45" s="57">
        <f>'2020'!BK8</f>
        <v>0</v>
      </c>
      <c r="BV45" s="58">
        <f>'2020'!BL8</f>
        <v>0</v>
      </c>
      <c r="BW45" s="58">
        <f>'2020'!BM8</f>
        <v>0</v>
      </c>
      <c r="BX45" s="58">
        <f>'2020'!BN8</f>
        <v>0</v>
      </c>
      <c r="BY45" s="58">
        <f>'2020'!BO8</f>
        <v>0</v>
      </c>
      <c r="BZ45" s="57">
        <f>'2020'!BP8</f>
        <v>0</v>
      </c>
      <c r="CA45" s="57">
        <f>'2020'!BQ8</f>
        <v>2281</v>
      </c>
      <c r="CB45" s="57">
        <f>'2020'!BR8</f>
        <v>0</v>
      </c>
      <c r="CC45" s="57">
        <f>'2020'!BS8</f>
        <v>0</v>
      </c>
      <c r="CD45" s="59">
        <f>'2020'!BT8</f>
        <v>12</v>
      </c>
      <c r="CE45" s="56">
        <f>'2020'!BU8</f>
        <v>31</v>
      </c>
      <c r="CF45" s="57">
        <f>'2020'!BV8</f>
        <v>2699</v>
      </c>
      <c r="CG45" s="57">
        <f>'2020'!BW8</f>
        <v>0</v>
      </c>
      <c r="CH45" s="57">
        <f>'2020'!BX8</f>
        <v>25</v>
      </c>
      <c r="CI45" s="57">
        <f>'2020'!BY8</f>
        <v>9</v>
      </c>
      <c r="CJ45" s="57">
        <f>'2020'!BZ8</f>
        <v>3</v>
      </c>
      <c r="CK45" s="58">
        <f>'2020'!CA8</f>
        <v>3.4</v>
      </c>
      <c r="CL45" s="58">
        <f>'2020'!CB8</f>
        <v>100</v>
      </c>
      <c r="CM45" s="58">
        <f>'2020'!CC8</f>
        <v>2</v>
      </c>
      <c r="CN45" s="58">
        <f>'2020'!CD8</f>
        <v>0</v>
      </c>
      <c r="CO45" s="57">
        <f>'2020'!CE8</f>
        <v>46</v>
      </c>
      <c r="CP45" s="57">
        <f>'2020'!CF8</f>
        <v>2645</v>
      </c>
      <c r="CQ45" s="57">
        <f>'2020'!CG8</f>
        <v>3</v>
      </c>
      <c r="CR45" s="57">
        <f>'2020'!CH8</f>
        <v>0</v>
      </c>
      <c r="CS45" s="59">
        <f>'2020'!CI8</f>
        <v>17</v>
      </c>
      <c r="CT45" s="56">
        <f>'2020'!CJ8</f>
        <v>659</v>
      </c>
      <c r="CU45" s="57">
        <f>'2020'!CK8</f>
        <v>2257</v>
      </c>
      <c r="CV45" s="57">
        <f>'2020'!CL8</f>
        <v>7</v>
      </c>
      <c r="CW45" s="57">
        <f>'2020'!CM8</f>
        <v>29</v>
      </c>
      <c r="CX45" s="57">
        <f>'2020'!CN8</f>
        <v>147</v>
      </c>
      <c r="CY45" s="57">
        <f>'2020'!CO8</f>
        <v>33</v>
      </c>
      <c r="CZ45" s="58">
        <f>'2020'!CP8</f>
        <v>4.5</v>
      </c>
      <c r="DA45" s="58">
        <f>'2020'!CQ8</f>
        <v>74.2</v>
      </c>
      <c r="DB45" s="58">
        <f>'2020'!CR8</f>
        <v>3.24</v>
      </c>
      <c r="DC45" s="58">
        <f>'2020'!CS8</f>
        <v>33.799999999999997</v>
      </c>
      <c r="DD45" s="57">
        <f>'2020'!CT8</f>
        <v>94</v>
      </c>
      <c r="DE45" s="57">
        <f>'2020'!CU8</f>
        <v>2970</v>
      </c>
      <c r="DF45" s="57">
        <f>'2020'!CV8</f>
        <v>3</v>
      </c>
      <c r="DG45" s="57">
        <f>'2020'!CW8</f>
        <v>0</v>
      </c>
      <c r="DH45" s="59">
        <f>'2020'!CX8</f>
        <v>17</v>
      </c>
      <c r="DI45" s="56">
        <f>'2020'!CY8</f>
        <v>1419</v>
      </c>
      <c r="DJ45" s="57">
        <f>'2020'!CZ8</f>
        <v>2502</v>
      </c>
      <c r="DK45" s="57">
        <f>'2020'!DA8</f>
        <v>16</v>
      </c>
      <c r="DL45" s="57">
        <f>'2020'!DB8</f>
        <v>32</v>
      </c>
      <c r="DM45" s="57">
        <f>'2020'!DC8</f>
        <v>214</v>
      </c>
      <c r="DN45" s="57">
        <f>'2020'!DD8</f>
        <v>71</v>
      </c>
      <c r="DO45" s="58">
        <f>'2020'!DE8</f>
        <v>6.6</v>
      </c>
      <c r="DP45" s="58">
        <f>'2020'!DF8</f>
        <v>115.5</v>
      </c>
      <c r="DQ45" s="58">
        <f>'2020'!DG8</f>
        <v>3.65</v>
      </c>
      <c r="DR45" s="58">
        <f>'2020'!DH8</f>
        <v>44.7</v>
      </c>
      <c r="DS45" s="57">
        <f>'2020'!DI8</f>
        <v>453</v>
      </c>
      <c r="DT45" s="57">
        <f>'2020'!DJ8</f>
        <v>6024</v>
      </c>
      <c r="DU45" s="57">
        <f>'2020'!DK8</f>
        <v>55</v>
      </c>
      <c r="DV45" s="57">
        <f>'2020'!DL8</f>
        <v>0</v>
      </c>
      <c r="DW45" s="59">
        <f>'2020'!DM8</f>
        <v>61</v>
      </c>
    </row>
    <row r="46" spans="1:127" x14ac:dyDescent="0.2">
      <c r="A46" s="33">
        <f t="shared" si="0"/>
        <v>44</v>
      </c>
      <c r="B46" s="11">
        <f>'2019'!A4</f>
        <v>2</v>
      </c>
      <c r="C46" s="11">
        <v>2019</v>
      </c>
      <c r="D46" s="34" t="str">
        <f>'2019'!B4</f>
        <v>Miles Sanders</v>
      </c>
      <c r="E46" s="224" t="str" cm="1">
        <f t="array" ref="E46">_xlfn.IFS(F46&gt;=13,"Cornerstone",AND(F46&gt;=12,F46&lt;13),"Elite",AND(F46&gt;=11,F46&lt;12),"Elite Upside",AND(F46&gt;=9,F46&lt;11),"Upside",AND(F46&gt;=7,F46&lt;9),"Upside Lite",AND(F46&gt;=6,F46&lt;7),"Outlier",AND(F46&gt;=5,F46&lt;6),"Outlier Lite",F46&lt;5,"Purgatory")</f>
        <v>Upside</v>
      </c>
      <c r="F46" s="14">
        <f>'2019'!C4</f>
        <v>10.277777777777779</v>
      </c>
      <c r="G46" s="14">
        <f t="shared" si="7"/>
        <v>86.5</v>
      </c>
      <c r="H46" s="35">
        <f t="shared" si="1"/>
        <v>0.96299247571423108</v>
      </c>
      <c r="I46" s="36" t="str">
        <f>'2019'!D4</f>
        <v>Penn St</v>
      </c>
      <c r="J46" s="37">
        <f>'2019'!E4</f>
        <v>2</v>
      </c>
      <c r="K46" s="38">
        <f>'2019'!F4</f>
        <v>35551</v>
      </c>
      <c r="L46" s="39">
        <f>'2019'!G4</f>
        <v>28.427397260273974</v>
      </c>
      <c r="M46" s="39" t="str">
        <f>'2019'!H4</f>
        <v>JR</v>
      </c>
      <c r="N46" s="39">
        <f>'2019'!I4</f>
        <v>21.997260273972604</v>
      </c>
      <c r="O46" s="39" t="str">
        <f t="shared" si="2"/>
        <v>DYNAMIC</v>
      </c>
      <c r="P46" s="39" t="str">
        <f t="shared" si="11"/>
        <v>3DOWN</v>
      </c>
      <c r="Q46" s="37">
        <f>'2019'!J4</f>
        <v>71</v>
      </c>
      <c r="R46" s="37">
        <f>'2019'!K4</f>
        <v>211</v>
      </c>
      <c r="S46" s="39">
        <f t="shared" si="5"/>
        <v>29.428200812362746</v>
      </c>
      <c r="T46" s="37">
        <f>'2019'!L4</f>
        <v>4.49</v>
      </c>
      <c r="U46" s="40">
        <f>'2019'!M4</f>
        <v>2</v>
      </c>
      <c r="V46" s="41">
        <f>'2019'!N4</f>
        <v>0</v>
      </c>
      <c r="W46" s="42">
        <f>'2019'!O4</f>
        <v>0</v>
      </c>
      <c r="X46" s="42">
        <f>'2019'!P4</f>
        <v>3.4346103038309116E-2</v>
      </c>
      <c r="Y46" s="42">
        <f>'2019'!Q4</f>
        <v>3.6931818181818184E-2</v>
      </c>
      <c r="Z46" s="42">
        <f>'2019'!R4</f>
        <v>0.25550100018185123</v>
      </c>
      <c r="AA46" s="42">
        <f>'2019'!S4</f>
        <v>0.25550100018185123</v>
      </c>
      <c r="AB46" s="42">
        <f>'2019'!T4</f>
        <v>0.25550100018185123</v>
      </c>
      <c r="AC46" s="42">
        <f>'2019'!U4</f>
        <v>7.9533404029692462E-3</v>
      </c>
      <c r="AD46" s="42">
        <f>'2019'!V4</f>
        <v>4.5502645502645503E-2</v>
      </c>
      <c r="AE46" s="42">
        <f>'2019'!W4</f>
        <v>4.5502645502645503E-2</v>
      </c>
      <c r="AF46" s="43">
        <f>'2019'!X4</f>
        <v>4.5502645502645503E-2</v>
      </c>
      <c r="AG46" s="44">
        <f>'2019'!Y4</f>
        <v>21.347945205479451</v>
      </c>
      <c r="AH46" s="45">
        <f>'2019'!Z4</f>
        <v>103.8310120039714</v>
      </c>
      <c r="AI46" s="45">
        <f>'2019'!AA4</f>
        <v>29.425312438008334</v>
      </c>
      <c r="AJ46" s="45">
        <f>'2019'!AB4</f>
        <v>0.38709677419354838</v>
      </c>
      <c r="AK46" s="45">
        <f>'2019'!AC4</f>
        <v>6.2</v>
      </c>
      <c r="AL46" s="45">
        <f t="shared" si="3"/>
        <v>5.903225806451613</v>
      </c>
      <c r="AM46" s="45">
        <f t="shared" si="10"/>
        <v>9.4650205761316872E-2</v>
      </c>
      <c r="AN46" s="45">
        <f>'2019'!AD4</f>
        <v>77.5</v>
      </c>
      <c r="AO46" s="45">
        <f>'2019'!AE4</f>
        <v>4.97</v>
      </c>
      <c r="AP46" s="46">
        <f>'2019'!AF4</f>
        <v>55.5</v>
      </c>
      <c r="AQ46" s="47">
        <f>'2019'!AG4</f>
        <v>6</v>
      </c>
      <c r="AR46" s="48">
        <f>'2019'!AH4</f>
        <v>5</v>
      </c>
      <c r="AS46" s="48">
        <f>'2019'!AI4</f>
        <v>2</v>
      </c>
      <c r="AT46" s="48">
        <f>IF(AH46&gt;113.25,10,IF(AH46&gt;=107.84,9,IF(AH46&gt;=105.37,8,IF(AH46&gt;=103.25,7,IF(AH46&gt;=100.55,6,IF(AH46&gt;=98.75,5,IF(AH46&gt;=96.08,4,IF(AH46&gt;=94.39,3,IF(AH46&gt;=88.43,2,IF(AH46&gt;=85.16,1,IF(AH46&lt;85.16,0,FALSE)))))))))))</f>
        <v>7</v>
      </c>
      <c r="AU46" s="48">
        <f>'2019'!AK4</f>
        <v>10</v>
      </c>
      <c r="AV46" s="48">
        <f>'2019'!AL4</f>
        <v>5</v>
      </c>
      <c r="AW46" s="48">
        <f>'2019'!AM4</f>
        <v>2</v>
      </c>
      <c r="AX46" s="48">
        <f>'2019'!AN4</f>
        <v>8</v>
      </c>
      <c r="AY46" s="49">
        <f>IF(U46=1,10,IF(U46=2,7,IF(U46=3,6,IF(U46=4,4,IF(U46=5,3,IF(U46=6,2,IF(U46=7,1,IF(U46=0,0,"-"))))))))</f>
        <v>7</v>
      </c>
      <c r="AZ46" s="50">
        <f>'2019'!AP4</f>
        <v>1</v>
      </c>
      <c r="BA46" s="56">
        <f>'2019'!AQ4</f>
        <v>0</v>
      </c>
      <c r="BB46" s="57">
        <f>'2019'!AR4</f>
        <v>1325</v>
      </c>
      <c r="BC46" s="57">
        <f>'2019'!AS4</f>
        <v>0</v>
      </c>
      <c r="BD46" s="57">
        <f>'2019'!AT4</f>
        <v>13</v>
      </c>
      <c r="BE46" s="57">
        <f>'2019'!AU4</f>
        <v>0</v>
      </c>
      <c r="BF46" s="57">
        <f>'2019'!AV4</f>
        <v>0</v>
      </c>
      <c r="BG46" s="58">
        <f>'2019'!AW4</f>
        <v>0</v>
      </c>
      <c r="BH46" s="58">
        <f>'2019'!AX4</f>
        <v>0</v>
      </c>
      <c r="BI46" s="58">
        <f>'2019'!AY4</f>
        <v>0</v>
      </c>
      <c r="BJ46" s="58">
        <f>'2019'!AZ4</f>
        <v>0</v>
      </c>
      <c r="BK46" s="57">
        <f>'2019'!BA4</f>
        <v>0</v>
      </c>
      <c r="BL46" s="57">
        <f>'2019'!BB4</f>
        <v>3034</v>
      </c>
      <c r="BM46" s="57">
        <f>'2019'!BC4</f>
        <v>0</v>
      </c>
      <c r="BN46" s="57">
        <f>'2019'!BD4</f>
        <v>0</v>
      </c>
      <c r="BO46" s="59">
        <f>'2019'!BE4</f>
        <v>13</v>
      </c>
      <c r="BP46" s="56">
        <f>'2019'!BF4</f>
        <v>0</v>
      </c>
      <c r="BQ46" s="57">
        <f>'2019'!BG4</f>
        <v>1744</v>
      </c>
      <c r="BR46" s="57">
        <f>'2019'!BH4</f>
        <v>0</v>
      </c>
      <c r="BS46" s="57">
        <f>'2019'!BI4</f>
        <v>15</v>
      </c>
      <c r="BT46" s="57">
        <f>'2019'!BJ4</f>
        <v>0</v>
      </c>
      <c r="BU46" s="57">
        <f>'2019'!BK4</f>
        <v>0</v>
      </c>
      <c r="BV46" s="58">
        <f>'2019'!BL4</f>
        <v>0</v>
      </c>
      <c r="BW46" s="58">
        <f>'2019'!BM4</f>
        <v>0</v>
      </c>
      <c r="BX46" s="58">
        <f>'2019'!BN4</f>
        <v>0</v>
      </c>
      <c r="BY46" s="58">
        <f>'2019'!BO4</f>
        <v>0</v>
      </c>
      <c r="BZ46" s="57">
        <f>'2019'!BP4</f>
        <v>0</v>
      </c>
      <c r="CA46" s="57">
        <f>'2019'!BQ4</f>
        <v>2788</v>
      </c>
      <c r="CB46" s="57">
        <f>'2019'!BR4</f>
        <v>0</v>
      </c>
      <c r="CC46" s="57">
        <f>'2019'!BS4</f>
        <v>0</v>
      </c>
      <c r="CD46" s="59">
        <f>'2019'!BT4</f>
        <v>20</v>
      </c>
      <c r="CE46" s="56">
        <f>'2019'!BU4</f>
        <v>184</v>
      </c>
      <c r="CF46" s="57">
        <f>'2019'!BV4</f>
        <v>2406</v>
      </c>
      <c r="CG46" s="57">
        <f>'2019'!BW4</f>
        <v>1</v>
      </c>
      <c r="CH46" s="57">
        <f>'2019'!BX4</f>
        <v>34</v>
      </c>
      <c r="CI46" s="57">
        <f>'2019'!BY4</f>
        <v>25</v>
      </c>
      <c r="CJ46" s="57">
        <f>'2019'!BZ4</f>
        <v>7</v>
      </c>
      <c r="CK46" s="58">
        <f>'2019'!CA4</f>
        <v>7.4</v>
      </c>
      <c r="CL46" s="58">
        <f>'2019'!CB4</f>
        <v>148.1</v>
      </c>
      <c r="CM46" s="58">
        <f>'2019'!CC4</f>
        <v>5</v>
      </c>
      <c r="CN46" s="58">
        <f>'2019'!CD4</f>
        <v>75.5</v>
      </c>
      <c r="CO46" s="57">
        <f>'2019'!CE4</f>
        <v>24</v>
      </c>
      <c r="CP46" s="57">
        <f>'2019'!CF4</f>
        <v>3650</v>
      </c>
      <c r="CQ46" s="57">
        <f>'2019'!CG4</f>
        <v>2</v>
      </c>
      <c r="CR46" s="57">
        <f>'2019'!CH4</f>
        <v>0</v>
      </c>
      <c r="CS46" s="59">
        <f>'2019'!CI4</f>
        <v>29</v>
      </c>
      <c r="CT46" s="56">
        <f>'2019'!CJ4</f>
        <v>191</v>
      </c>
      <c r="CU46" s="57">
        <f>'2019'!CK4</f>
        <v>2212</v>
      </c>
      <c r="CV46" s="57">
        <f>'2019'!CL4</f>
        <v>2</v>
      </c>
      <c r="CW46" s="57">
        <f>'2019'!CM4</f>
        <v>36</v>
      </c>
      <c r="CX46" s="57">
        <f>'2019'!CN4</f>
        <v>31</v>
      </c>
      <c r="CY46" s="57">
        <f>'2019'!CO4</f>
        <v>12</v>
      </c>
      <c r="CZ46" s="58">
        <f>'2019'!CP4</f>
        <v>6.2</v>
      </c>
      <c r="DA46" s="58">
        <f>'2019'!CQ4</f>
        <v>201.4</v>
      </c>
      <c r="DB46" s="58">
        <f>'2019'!CR4</f>
        <v>4.97</v>
      </c>
      <c r="DC46" s="58">
        <f>'2019'!CS4</f>
        <v>55.5</v>
      </c>
      <c r="DD46" s="57">
        <f>'2019'!CT4</f>
        <v>30</v>
      </c>
      <c r="DE46" s="57">
        <f>'2019'!CU4</f>
        <v>3772</v>
      </c>
      <c r="DF46" s="57">
        <f>'2019'!CV4</f>
        <v>6</v>
      </c>
      <c r="DG46" s="57">
        <f>'2019'!CW4</f>
        <v>0</v>
      </c>
      <c r="DH46" s="59">
        <f>'2019'!CX4</f>
        <v>32</v>
      </c>
      <c r="DI46" s="56">
        <f>'2019'!CY4</f>
        <v>1276</v>
      </c>
      <c r="DJ46" s="57">
        <f>'2019'!CZ4</f>
        <v>2664</v>
      </c>
      <c r="DK46" s="57">
        <f>'2019'!DA4</f>
        <v>9</v>
      </c>
      <c r="DL46" s="57">
        <f>'2019'!DB4</f>
        <v>34</v>
      </c>
      <c r="DM46" s="57">
        <f>'2019'!DC4</f>
        <v>220</v>
      </c>
      <c r="DN46" s="57">
        <f>'2019'!DD4</f>
        <v>47</v>
      </c>
      <c r="DO46" s="58">
        <f>'2019'!DE4</f>
        <v>5.8</v>
      </c>
      <c r="DP46" s="58">
        <f>'2019'!DF4</f>
        <v>77.5</v>
      </c>
      <c r="DQ46" s="58">
        <f>'2019'!DG4</f>
        <v>3.84</v>
      </c>
      <c r="DR46" s="58">
        <f>'2019'!DH4</f>
        <v>35.1</v>
      </c>
      <c r="DS46" s="57">
        <f>'2019'!DI4</f>
        <v>129</v>
      </c>
      <c r="DT46" s="57">
        <f>'2019'!DJ4</f>
        <v>2835</v>
      </c>
      <c r="DU46" s="57">
        <f>'2019'!DK4</f>
        <v>23</v>
      </c>
      <c r="DV46" s="57">
        <f>'2019'!DL4</f>
        <v>0</v>
      </c>
      <c r="DW46" s="59">
        <f>'2019'!DM4</f>
        <v>21</v>
      </c>
    </row>
    <row r="47" spans="1:127" x14ac:dyDescent="0.2">
      <c r="A47" s="33">
        <f t="shared" si="0"/>
        <v>45</v>
      </c>
      <c r="B47" s="11">
        <f>'2024'!A4</f>
        <v>2</v>
      </c>
      <c r="C47" s="11">
        <v>2024</v>
      </c>
      <c r="D47" s="34" t="str">
        <f>'2024'!B4</f>
        <v>Trey Benson</v>
      </c>
      <c r="E47" s="224" t="str" cm="1">
        <f t="array" ref="E47">_xlfn.IFS(F47&gt;=13,"Cornerstone",AND(F47&gt;=12,F47&lt;13),"Elite",AND(F47&gt;=11,F47&lt;12),"Elite Upside",AND(F47&gt;=9,F47&lt;11),"Upside",AND(F47&gt;=7,F47&lt;9),"Upside Lite",AND(F47&gt;=6,F47&lt;7),"Outlier",AND(F47&gt;=5,F47&lt;6),"Outlier Lite",F47&lt;5,"Purgatory")</f>
        <v>Upside</v>
      </c>
      <c r="F47" s="14">
        <f>'2024'!C4</f>
        <v>10.25</v>
      </c>
      <c r="G47" s="14">
        <f t="shared" si="7"/>
        <v>86.2</v>
      </c>
      <c r="H47" s="35">
        <f t="shared" si="1"/>
        <v>0.95123622392979634</v>
      </c>
      <c r="I47" s="36" t="str">
        <f>'2024'!D4</f>
        <v>Florida State</v>
      </c>
      <c r="J47" s="37">
        <f>'2024'!E4</f>
        <v>4</v>
      </c>
      <c r="K47" s="38">
        <f>'2024'!F4</f>
        <v>37460</v>
      </c>
      <c r="L47" s="39">
        <f>'2024'!G4</f>
        <v>23.197260273972603</v>
      </c>
      <c r="M47" s="39" t="str">
        <f>'2024'!H4</f>
        <v>RS JR</v>
      </c>
      <c r="N47" s="39">
        <f>'2024'!I4</f>
        <v>21.778082191780822</v>
      </c>
      <c r="O47" s="39" t="str">
        <f t="shared" si="2"/>
        <v>FREAK</v>
      </c>
      <c r="P47" s="39" t="str">
        <f t="shared" si="11"/>
        <v>3DOWN</v>
      </c>
      <c r="Q47" s="37">
        <f>'2024'!J4</f>
        <v>72</v>
      </c>
      <c r="R47" s="37">
        <f>'2024'!K4</f>
        <v>216</v>
      </c>
      <c r="S47" s="39">
        <f t="shared" si="5"/>
        <v>29.294541922417178</v>
      </c>
      <c r="T47" s="37">
        <f>'2024'!L4</f>
        <v>4.3899999999999997</v>
      </c>
      <c r="U47" s="40">
        <f>'2024'!M4</f>
        <v>3</v>
      </c>
      <c r="V47" s="41">
        <f>'2024'!N4</f>
        <v>0</v>
      </c>
      <c r="W47" s="42">
        <f>'2024'!O4</f>
        <v>0</v>
      </c>
      <c r="X47" s="42">
        <f>'2024'!P4</f>
        <v>2.7129039867893372E-2</v>
      </c>
      <c r="Y47" s="42">
        <f>'2024'!Q4</f>
        <v>0.18043488619577822</v>
      </c>
      <c r="Z47" s="42">
        <f>'2024'!R4</f>
        <v>0.21682500766166105</v>
      </c>
      <c r="AA47" s="42">
        <f>'2024'!S4</f>
        <v>0.21682500766166105</v>
      </c>
      <c r="AB47" s="42">
        <f>'2024'!T4</f>
        <v>0.19514250689549495</v>
      </c>
      <c r="AC47" s="42">
        <f>'2024'!U4</f>
        <v>4.0425895348175145E-2</v>
      </c>
      <c r="AD47" s="42">
        <f>'2024'!V4</f>
        <v>6.9457193562205491E-2</v>
      </c>
      <c r="AE47" s="42">
        <f>'2024'!W4</f>
        <v>6.9457193562205491E-2</v>
      </c>
      <c r="AF47" s="43">
        <f>'2024'!X4</f>
        <v>6.2511474205984949E-2</v>
      </c>
      <c r="AG47" s="44">
        <f>'2024'!Y4</f>
        <v>20.134246575342466</v>
      </c>
      <c r="AH47" s="45">
        <f>'2024'!Z4</f>
        <v>116.31230593059369</v>
      </c>
      <c r="AI47" s="45">
        <f>'2024'!AA4</f>
        <v>29.291666666666664</v>
      </c>
      <c r="AJ47" s="45">
        <f>'2024'!AB4</f>
        <v>0.51298701298701299</v>
      </c>
      <c r="AK47" s="45">
        <f>'2024'!AC4</f>
        <v>6.4545454545454541</v>
      </c>
      <c r="AL47" s="45">
        <f t="shared" si="3"/>
        <v>11.5625</v>
      </c>
      <c r="AM47" s="45">
        <f t="shared" si="10"/>
        <v>0.11363636363636363</v>
      </c>
      <c r="AN47" s="45">
        <f>'2024'!AD4</f>
        <v>226.6</v>
      </c>
      <c r="AO47" s="45">
        <f>'2024'!AE4</f>
        <v>4.53</v>
      </c>
      <c r="AP47" s="46">
        <f>'2024'!AF4</f>
        <v>56.1</v>
      </c>
      <c r="AQ47" s="47">
        <f>'2024'!AG4</f>
        <v>3</v>
      </c>
      <c r="AR47" s="48">
        <f>'2024'!AH4</f>
        <v>6</v>
      </c>
      <c r="AS47" s="48">
        <f>'2024'!AI4</f>
        <v>4</v>
      </c>
      <c r="AT47" s="48">
        <f>'2024'!AJ4</f>
        <v>10</v>
      </c>
      <c r="AU47" s="48">
        <f>'2024'!AK4</f>
        <v>10</v>
      </c>
      <c r="AV47" s="48">
        <f>'2024'!AL4</f>
        <v>6</v>
      </c>
      <c r="AW47" s="48">
        <f>'2024'!AM4</f>
        <v>10</v>
      </c>
      <c r="AX47" s="48">
        <f>'2024'!AN4</f>
        <v>7</v>
      </c>
      <c r="AY47" s="49">
        <f>'2024'!AO4</f>
        <v>6</v>
      </c>
      <c r="AZ47" s="50">
        <f>'2024'!AP4</f>
        <v>0</v>
      </c>
      <c r="BA47" s="56">
        <f>'2024'!AQ4</f>
        <v>0</v>
      </c>
      <c r="BB47" s="57">
        <f>'2024'!AR4</f>
        <v>1</v>
      </c>
      <c r="BC47" s="57">
        <f>'2024'!AS4</f>
        <v>0</v>
      </c>
      <c r="BD47" s="57">
        <f>'2024'!AT4</f>
        <v>0</v>
      </c>
      <c r="BE47" s="57">
        <f>'2024'!AU4</f>
        <v>0</v>
      </c>
      <c r="BF47" s="57">
        <f>'2024'!AV4</f>
        <v>0</v>
      </c>
      <c r="BG47" s="58">
        <f>'2024'!AW4</f>
        <v>0</v>
      </c>
      <c r="BH47" s="58">
        <f>'2024'!AX4</f>
        <v>0</v>
      </c>
      <c r="BI47" s="58">
        <f>'2024'!AY4</f>
        <v>0</v>
      </c>
      <c r="BJ47" s="58">
        <f>'2024'!AZ4</f>
        <v>0</v>
      </c>
      <c r="BK47" s="57">
        <f>'2024'!BA4</f>
        <v>0</v>
      </c>
      <c r="BL47" s="57">
        <f>'2024'!BB4</f>
        <v>1</v>
      </c>
      <c r="BM47" s="57">
        <f>'2024'!BC4</f>
        <v>0</v>
      </c>
      <c r="BN47" s="57">
        <f>'2024'!BD4</f>
        <v>0</v>
      </c>
      <c r="BO47" s="59">
        <f>'2024'!BE4</f>
        <v>0</v>
      </c>
      <c r="BP47" s="56">
        <f>'2024'!BF4</f>
        <v>0</v>
      </c>
      <c r="BQ47" s="57">
        <f>'2024'!BG4</f>
        <v>1</v>
      </c>
      <c r="BR47" s="57">
        <f>'2024'!BH4</f>
        <v>0</v>
      </c>
      <c r="BS47" s="57">
        <f>'2024'!BI4</f>
        <v>0</v>
      </c>
      <c r="BT47" s="57">
        <f>'2024'!BJ4</f>
        <v>0</v>
      </c>
      <c r="BU47" s="57">
        <f>'2024'!BK4</f>
        <v>0</v>
      </c>
      <c r="BV47" s="58">
        <f>'2024'!BL4</f>
        <v>0</v>
      </c>
      <c r="BW47" s="58">
        <f>'2024'!BM4</f>
        <v>0</v>
      </c>
      <c r="BX47" s="58">
        <f>'2024'!BN4</f>
        <v>0</v>
      </c>
      <c r="BY47" s="58">
        <f>'2024'!BO4</f>
        <v>0</v>
      </c>
      <c r="BZ47" s="57">
        <f>'2024'!BP4</f>
        <v>0</v>
      </c>
      <c r="CA47" s="57">
        <f>'2024'!BQ4</f>
        <v>1</v>
      </c>
      <c r="CB47" s="57">
        <f>'2024'!BR4</f>
        <v>0</v>
      </c>
      <c r="CC47" s="57">
        <f>'2024'!BS4</f>
        <v>0</v>
      </c>
      <c r="CD47" s="59">
        <f>'2024'!BT4</f>
        <v>0</v>
      </c>
      <c r="CE47" s="56">
        <f>'2024'!BU4</f>
        <v>22</v>
      </c>
      <c r="CF47" s="57">
        <f>'2024'!BV4</f>
        <v>404.8</v>
      </c>
      <c r="CG47" s="57">
        <f>'2024'!BW4</f>
        <v>1</v>
      </c>
      <c r="CH47" s="57">
        <f>'2024'!BX4</f>
        <v>5</v>
      </c>
      <c r="CI47" s="57">
        <f>'2024'!BY4</f>
        <v>6</v>
      </c>
      <c r="CJ47" s="57">
        <f>'2024'!BZ4</f>
        <v>0</v>
      </c>
      <c r="CK47" s="58">
        <f>'2024'!CA4</f>
        <v>3.6666666666666665</v>
      </c>
      <c r="CL47" s="58">
        <f>'2024'!CB4</f>
        <v>0</v>
      </c>
      <c r="CM47" s="58">
        <f>'2024'!CC4</f>
        <v>0.83</v>
      </c>
      <c r="CN47" s="58">
        <f>'2024'!CD4</f>
        <v>0</v>
      </c>
      <c r="CO47" s="57">
        <f>'2024'!CE4</f>
        <v>1</v>
      </c>
      <c r="CP47" s="57">
        <f>'2024'!CF4</f>
        <v>443</v>
      </c>
      <c r="CQ47" s="57">
        <f>'2024'!CG4</f>
        <v>0</v>
      </c>
      <c r="CR47" s="57">
        <f>'2024'!CH4</f>
        <v>0</v>
      </c>
      <c r="CS47" s="59">
        <f>'2024'!CI4</f>
        <v>3</v>
      </c>
      <c r="CT47" s="56">
        <f>'2024'!CJ4</f>
        <v>994</v>
      </c>
      <c r="CU47" s="57">
        <f>'2024'!CK4</f>
        <v>2783.2999999999997</v>
      </c>
      <c r="CV47" s="57">
        <f>'2024'!CL4</f>
        <v>9</v>
      </c>
      <c r="CW47" s="57">
        <f>'2024'!CM4</f>
        <v>32.5</v>
      </c>
      <c r="CX47" s="57">
        <f>'2024'!CN4</f>
        <v>154</v>
      </c>
      <c r="CY47" s="57">
        <f>'2024'!CO4</f>
        <v>79</v>
      </c>
      <c r="CZ47" s="58">
        <f>'2024'!CP4</f>
        <v>6.4545454545454541</v>
      </c>
      <c r="DA47" s="58">
        <f>'2024'!CQ4</f>
        <v>226.6</v>
      </c>
      <c r="DB47" s="58">
        <f>'2024'!CR4</f>
        <v>4.53</v>
      </c>
      <c r="DC47" s="58">
        <f>'2024'!CS4</f>
        <v>56.1</v>
      </c>
      <c r="DD47" s="57">
        <f>'2024'!CT4</f>
        <v>142</v>
      </c>
      <c r="DE47" s="57">
        <f>'2024'!CU4</f>
        <v>3512.6</v>
      </c>
      <c r="DF47" s="57">
        <f>'2024'!CV4</f>
        <v>12</v>
      </c>
      <c r="DG47" s="57">
        <f>'2024'!CW4</f>
        <v>0</v>
      </c>
      <c r="DH47" s="59">
        <f>'2024'!CX4</f>
        <v>28.6</v>
      </c>
      <c r="DI47" s="56">
        <f>'2024'!CY4</f>
        <v>905</v>
      </c>
      <c r="DJ47" s="57">
        <f>'2024'!CZ4</f>
        <v>1952.6</v>
      </c>
      <c r="DK47" s="57">
        <f>'2024'!DA4</f>
        <v>14</v>
      </c>
      <c r="DL47" s="57">
        <f>'2024'!DB4</f>
        <v>29.9</v>
      </c>
      <c r="DM47" s="57">
        <f>'2024'!DC4</f>
        <v>156</v>
      </c>
      <c r="DN47" s="57">
        <f>'2024'!DD4</f>
        <v>45</v>
      </c>
      <c r="DO47" s="58">
        <f>'2024'!DE4</f>
        <v>5.8</v>
      </c>
      <c r="DP47" s="58">
        <f>'2024'!DF4</f>
        <v>106.4</v>
      </c>
      <c r="DQ47" s="58">
        <f>'2024'!DG4</f>
        <v>3.53</v>
      </c>
      <c r="DR47" s="58">
        <f>'2024'!DH4</f>
        <v>53.9</v>
      </c>
      <c r="DS47" s="57">
        <f>'2024'!DI4</f>
        <v>227</v>
      </c>
      <c r="DT47" s="57">
        <f>'2024'!DJ4</f>
        <v>3268.2000000000003</v>
      </c>
      <c r="DU47" s="57">
        <f>'2024'!DK4</f>
        <v>20</v>
      </c>
      <c r="DV47" s="57">
        <f>'2024'!DL4</f>
        <v>1</v>
      </c>
      <c r="DW47" s="59">
        <f>'2024'!DM4</f>
        <v>23.400000000000002</v>
      </c>
    </row>
    <row r="48" spans="1:127" x14ac:dyDescent="0.2">
      <c r="A48" s="33">
        <f t="shared" si="0"/>
        <v>46</v>
      </c>
      <c r="B48" s="11">
        <f>'2023'!A8</f>
        <v>6</v>
      </c>
      <c r="C48" s="11">
        <v>2023</v>
      </c>
      <c r="D48" s="34" t="str">
        <f>'2023'!B8</f>
        <v>Tyjae Spears</v>
      </c>
      <c r="E48" s="224" t="str" cm="1">
        <f t="array" ref="E48">_xlfn.IFS(F48&gt;=13,"Cornerstone",AND(F48&gt;=12,F48&lt;13),"Elite",AND(F48&gt;=11,F48&lt;12),"Elite Upside",AND(F48&gt;=9,F48&lt;11),"Upside",AND(F48&gt;=7,F48&lt;9),"Upside Lite",AND(F48&gt;=6,F48&lt;7),"Outlier",AND(F48&gt;=5,F48&lt;6),"Outlier Lite",F48&lt;5,"Purgatory")</f>
        <v>Upside</v>
      </c>
      <c r="F48" s="14">
        <f>'2023'!C8</f>
        <v>10.244444444444445</v>
      </c>
      <c r="G48" s="14">
        <f t="shared" si="7"/>
        <v>85.9</v>
      </c>
      <c r="H48" s="35">
        <f t="shared" si="1"/>
        <v>0.94888497357290991</v>
      </c>
      <c r="I48" s="36" t="str">
        <f>'2023'!D8</f>
        <v>Tulane</v>
      </c>
      <c r="J48" s="37">
        <f>'2023'!E8</f>
        <v>6</v>
      </c>
      <c r="K48" s="38">
        <f>'2023'!F8</f>
        <v>37057</v>
      </c>
      <c r="L48" s="39">
        <f>'2023'!G8</f>
        <v>24.301369863013697</v>
      </c>
      <c r="M48" s="39" t="str">
        <f>'2023'!H8</f>
        <v>RS JR</v>
      </c>
      <c r="N48" s="39">
        <f>'2023'!I8</f>
        <v>21.87945205479452</v>
      </c>
      <c r="O48" s="39" t="str">
        <f t="shared" si="2"/>
        <v>DYNAMIC</v>
      </c>
      <c r="P48" s="39" t="str">
        <f t="shared" si="11"/>
        <v>3DOWN</v>
      </c>
      <c r="Q48" s="37">
        <f>'2023'!J8</f>
        <v>70</v>
      </c>
      <c r="R48" s="37">
        <f>'2023'!K8</f>
        <v>201</v>
      </c>
      <c r="S48" s="39">
        <f t="shared" si="5"/>
        <v>28.840177598722544</v>
      </c>
      <c r="T48" s="37">
        <f>'2023'!L8</f>
        <v>4.4000000000000004</v>
      </c>
      <c r="U48" s="40">
        <f>'2023'!M8</f>
        <v>3</v>
      </c>
      <c r="V48" s="41">
        <f>'2023'!N8</f>
        <v>0</v>
      </c>
      <c r="W48" s="42">
        <f>'2023'!O8</f>
        <v>0.17191659272404616</v>
      </c>
      <c r="X48" s="42">
        <f>'2023'!P8</f>
        <v>0.25719120135363788</v>
      </c>
      <c r="Y48" s="42">
        <f>'2023'!Q8</f>
        <v>0.21733505821474774</v>
      </c>
      <c r="Z48" s="42">
        <f>'2023'!R8</f>
        <v>0.29724919093851132</v>
      </c>
      <c r="AA48" s="42">
        <f>'2023'!S8</f>
        <v>0.29724919093851132</v>
      </c>
      <c r="AB48" s="42">
        <f>'2023'!T8</f>
        <v>0.22293689320388349</v>
      </c>
      <c r="AC48" s="42">
        <f>'2023'!U8</f>
        <v>5.4490792934986848E-2</v>
      </c>
      <c r="AD48" s="42">
        <f>'2023'!V8</f>
        <v>7.5762149109568369E-2</v>
      </c>
      <c r="AE48" s="42">
        <f>'2023'!W8</f>
        <v>7.5762149109568369E-2</v>
      </c>
      <c r="AF48" s="43">
        <f>'2023'!X8</f>
        <v>5.682161183217628E-2</v>
      </c>
      <c r="AG48" s="44">
        <f>'2023'!Y8</f>
        <v>18.224657534246575</v>
      </c>
      <c r="AH48" s="45">
        <f>'2023'!Z8</f>
        <v>107.25445666279623</v>
      </c>
      <c r="AI48" s="45">
        <f>'2023'!AA8</f>
        <v>28.837346938775511</v>
      </c>
      <c r="AJ48" s="45">
        <f>'2023'!AB8</f>
        <v>0.43243243243243246</v>
      </c>
      <c r="AK48" s="45">
        <f>'2023'!AC8</f>
        <v>6.9</v>
      </c>
      <c r="AL48" s="45">
        <f t="shared" si="3"/>
        <v>11.541666666666666</v>
      </c>
      <c r="AM48" s="45">
        <f t="shared" si="10"/>
        <v>8.6956521739130432E-2</v>
      </c>
      <c r="AN48" s="45">
        <f>'2023'!AD8</f>
        <v>197.4</v>
      </c>
      <c r="AO48" s="45">
        <f>'2023'!AE8</f>
        <v>4.8099999999999996</v>
      </c>
      <c r="AP48" s="46">
        <f>'2023'!AF8</f>
        <v>55</v>
      </c>
      <c r="AQ48" s="47">
        <f>'2023'!AG8</f>
        <v>4</v>
      </c>
      <c r="AR48" s="48">
        <f>'2023'!AH8</f>
        <v>6</v>
      </c>
      <c r="AS48" s="48">
        <f>'2023'!AI8</f>
        <v>10</v>
      </c>
      <c r="AT48" s="48">
        <f>IF(AH48&gt;113.25,10,IF(AH48&gt;=107.84,9,IF(AH48&gt;=105.37,8,IF(AH48&gt;=103.25,7,IF(AH48&gt;=100.55,6,IF(AH48&gt;=98.75,5,IF(AH48&gt;=96.08,4,IF(AH48&gt;=94.39,3,IF(AH48&gt;=88.43,2,IF(AH48&gt;=85.16,1,IF(AH48&lt;85.16,0,FALSE)))))))))))</f>
        <v>8</v>
      </c>
      <c r="AU48" s="48">
        <f>'2023'!AK8</f>
        <v>10</v>
      </c>
      <c r="AV48" s="48">
        <f>'2023'!AL8</f>
        <v>7</v>
      </c>
      <c r="AW48" s="48">
        <f>'2023'!AM8</f>
        <v>9</v>
      </c>
      <c r="AX48" s="48">
        <f>'2023'!AN8</f>
        <v>8</v>
      </c>
      <c r="AY48" s="49">
        <f>'2023'!AO8</f>
        <v>6</v>
      </c>
      <c r="AZ48" s="50">
        <f>'2023'!AP8</f>
        <v>0</v>
      </c>
      <c r="BA48" s="56">
        <f>'2023'!AQ8</f>
        <v>0</v>
      </c>
      <c r="BB48" s="57">
        <f>'2023'!AR8</f>
        <v>2836</v>
      </c>
      <c r="BC48" s="57">
        <f>'2023'!AS8</f>
        <v>0</v>
      </c>
      <c r="BD48" s="57">
        <f>'2023'!AT8</f>
        <v>29</v>
      </c>
      <c r="BE48" s="57">
        <f>'2023'!AU8</f>
        <v>0</v>
      </c>
      <c r="BF48" s="57">
        <f>'2023'!AV8</f>
        <v>0</v>
      </c>
      <c r="BG48" s="58">
        <f>'2023'!AW8</f>
        <v>0</v>
      </c>
      <c r="BH48" s="58">
        <f>'2023'!AX8</f>
        <v>0</v>
      </c>
      <c r="BI48" s="58">
        <f>'2023'!AY8</f>
        <v>0</v>
      </c>
      <c r="BJ48" s="58">
        <f>'2023'!AZ8</f>
        <v>0</v>
      </c>
      <c r="BK48" s="57">
        <f>'2023'!BA8</f>
        <v>0</v>
      </c>
      <c r="BL48" s="57">
        <f>'2023'!BB8</f>
        <v>2378</v>
      </c>
      <c r="BM48" s="57">
        <f>'2023'!BC8</f>
        <v>0</v>
      </c>
      <c r="BN48" s="57">
        <f>'2023'!BD8</f>
        <v>0</v>
      </c>
      <c r="BO48" s="59">
        <f>'2023'!BE8</f>
        <v>15</v>
      </c>
      <c r="BP48" s="56">
        <f>'2023'!BF8</f>
        <v>182</v>
      </c>
      <c r="BQ48" s="57">
        <f>'2023'!BG8</f>
        <v>978.8</v>
      </c>
      <c r="BR48" s="57">
        <f>'2023'!BH8</f>
        <v>1</v>
      </c>
      <c r="BS48" s="57">
        <f>'2023'!BI8</f>
        <v>33</v>
      </c>
      <c r="BT48" s="57">
        <f>'2023'!BJ8</f>
        <v>30</v>
      </c>
      <c r="BU48" s="57">
        <f>'2023'!BK8</f>
        <v>13</v>
      </c>
      <c r="BV48" s="58">
        <f>'2023'!BL8</f>
        <v>6.1</v>
      </c>
      <c r="BW48" s="58">
        <f>'2023'!BM8</f>
        <v>182.9</v>
      </c>
      <c r="BX48" s="58">
        <f>'2023'!BN8</f>
        <v>4.2699999999999996</v>
      </c>
      <c r="BY48" s="58">
        <f>'2023'!BO8</f>
        <v>48.9</v>
      </c>
      <c r="BZ48" s="57">
        <f>'2023'!BP8</f>
        <v>128</v>
      </c>
      <c r="CA48" s="57">
        <f>'2023'!BQ8</f>
        <v>824.4</v>
      </c>
      <c r="CB48" s="57">
        <f>'2023'!BR8</f>
        <v>5</v>
      </c>
      <c r="CC48" s="57">
        <f>'2023'!BS8</f>
        <v>0</v>
      </c>
      <c r="CD48" s="59">
        <f>'2023'!BT8</f>
        <v>19</v>
      </c>
      <c r="CE48" s="56">
        <f>'2023'!BU8</f>
        <v>274</v>
      </c>
      <c r="CF48" s="57">
        <f>'2023'!BV8</f>
        <v>651.90000000000009</v>
      </c>
      <c r="CG48" s="57">
        <f>'2023'!BW8</f>
        <v>2</v>
      </c>
      <c r="CH48" s="57">
        <f>'2023'!BX8</f>
        <v>32</v>
      </c>
      <c r="CI48" s="57">
        <f>'2023'!BY8</f>
        <v>37</v>
      </c>
      <c r="CJ48" s="57">
        <f>'2023'!BZ8</f>
        <v>16</v>
      </c>
      <c r="CK48" s="58">
        <f>'2023'!CA8</f>
        <v>7.4</v>
      </c>
      <c r="CL48" s="58">
        <f>'2023'!CB8</f>
        <v>197.4</v>
      </c>
      <c r="CM48" s="58">
        <f>'2023'!CC8</f>
        <v>4.8099999999999996</v>
      </c>
      <c r="CN48" s="58">
        <f>'2023'!CD8</f>
        <v>54</v>
      </c>
      <c r="CO48" s="57">
        <f>'2023'!CE8</f>
        <v>30</v>
      </c>
      <c r="CP48" s="57">
        <f>'2023'!CF8</f>
        <v>530.09999999999991</v>
      </c>
      <c r="CQ48" s="57">
        <f>'2023'!CG8</f>
        <v>2</v>
      </c>
      <c r="CR48" s="57">
        <f>'2023'!CH8</f>
        <v>0</v>
      </c>
      <c r="CS48" s="59">
        <f>'2023'!CI8</f>
        <v>21</v>
      </c>
      <c r="CT48" s="56">
        <f>'2023'!CJ8</f>
        <v>863</v>
      </c>
      <c r="CU48" s="57">
        <f>'2023'!CK8</f>
        <v>1977</v>
      </c>
      <c r="CV48" s="57">
        <f>'2023'!CL8</f>
        <v>9</v>
      </c>
      <c r="CW48" s="57">
        <f>'2023'!CM8</f>
        <v>19</v>
      </c>
      <c r="CX48" s="57">
        <f>'2023'!CN8</f>
        <v>129</v>
      </c>
      <c r="CY48" s="57">
        <f>'2023'!CO8</f>
        <v>43</v>
      </c>
      <c r="CZ48" s="58">
        <f>'2023'!CP8</f>
        <v>6.7</v>
      </c>
      <c r="DA48" s="58">
        <f>'2023'!CQ8</f>
        <v>161.30000000000001</v>
      </c>
      <c r="DB48" s="58">
        <f>'2023'!CR8</f>
        <v>4.5</v>
      </c>
      <c r="DC48" s="58">
        <f>'2023'!CS8</f>
        <v>55</v>
      </c>
      <c r="DD48" s="57">
        <f>'2023'!CT8</f>
        <v>145</v>
      </c>
      <c r="DE48" s="57">
        <f>'2023'!CU8</f>
        <v>2661</v>
      </c>
      <c r="DF48" s="57">
        <f>'2023'!CV8</f>
        <v>19</v>
      </c>
      <c r="DG48" s="57">
        <f>'2023'!CW8</f>
        <v>0</v>
      </c>
      <c r="DH48" s="59">
        <f>'2023'!CX8</f>
        <v>23</v>
      </c>
      <c r="DI48" s="56">
        <f>'2023'!CY8</f>
        <v>1586</v>
      </c>
      <c r="DJ48" s="57">
        <f>'2023'!CZ8</f>
        <v>2867</v>
      </c>
      <c r="DK48" s="57">
        <f>'2023'!DA8</f>
        <v>19</v>
      </c>
      <c r="DL48" s="57">
        <f>'2023'!DB8</f>
        <v>34</v>
      </c>
      <c r="DM48" s="57">
        <f>'2023'!DC8</f>
        <v>231</v>
      </c>
      <c r="DN48" s="57">
        <f>'2023'!DD8</f>
        <v>62</v>
      </c>
      <c r="DO48" s="58">
        <f>'2023'!DE8</f>
        <v>6.9</v>
      </c>
      <c r="DP48" s="58">
        <f>'2023'!DF8</f>
        <v>144</v>
      </c>
      <c r="DQ48" s="58">
        <f>'2023'!DG8</f>
        <v>4.55</v>
      </c>
      <c r="DR48" s="58">
        <f>'2023'!DH8</f>
        <v>50</v>
      </c>
      <c r="DS48" s="57">
        <f>'2023'!DI8</f>
        <v>251</v>
      </c>
      <c r="DT48" s="57">
        <f>'2023'!DJ8</f>
        <v>3313</v>
      </c>
      <c r="DU48" s="57">
        <f>'2023'!DK8</f>
        <v>22</v>
      </c>
      <c r="DV48" s="57">
        <f>'2023'!DL8</f>
        <v>0</v>
      </c>
      <c r="DW48" s="59">
        <f>'2023'!DM8</f>
        <v>30</v>
      </c>
    </row>
    <row r="49" spans="1:127" x14ac:dyDescent="0.2">
      <c r="A49" s="33">
        <f t="shared" si="0"/>
        <v>47</v>
      </c>
      <c r="B49" s="11">
        <f>'2019'!A5</f>
        <v>3</v>
      </c>
      <c r="C49" s="11">
        <v>2019</v>
      </c>
      <c r="D49" s="34" t="str">
        <f>'2019'!B5</f>
        <v>Darrell Henderson</v>
      </c>
      <c r="E49" s="224" t="str" cm="1">
        <f t="array" ref="E49">_xlfn.IFS(F49&gt;=13,"Cornerstone",AND(F49&gt;=12,F49&lt;13),"Elite",AND(F49&gt;=11,F49&lt;12),"Elite Upside",AND(F49&gt;=9,F49&lt;11),"Upside",AND(F49&gt;=7,F49&lt;9),"Upside Lite",AND(F49&gt;=6,F49&lt;7),"Outlier",AND(F49&gt;=5,F49&lt;6),"Outlier Lite",F49&lt;5,"Purgatory")</f>
        <v>Upside</v>
      </c>
      <c r="F49" s="14">
        <f>'2019'!C5</f>
        <v>10.211111111111112</v>
      </c>
      <c r="G49" s="14">
        <f t="shared" si="7"/>
        <v>85.6</v>
      </c>
      <c r="H49" s="35">
        <f t="shared" si="1"/>
        <v>0.93477747143158862</v>
      </c>
      <c r="I49" s="36" t="str">
        <f>'2019'!D5</f>
        <v>Memphis</v>
      </c>
      <c r="J49" s="37">
        <f>'2019'!E5</f>
        <v>6</v>
      </c>
      <c r="K49" s="38">
        <f>'2019'!F5</f>
        <v>35661</v>
      </c>
      <c r="L49" s="39">
        <f>'2019'!G5</f>
        <v>28.126027397260273</v>
      </c>
      <c r="M49" s="39" t="str">
        <f>'2019'!H5</f>
        <v>JR</v>
      </c>
      <c r="N49" s="39">
        <f>'2019'!I5</f>
        <v>21.695890410958903</v>
      </c>
      <c r="O49" s="39" t="str">
        <f t="shared" si="2"/>
        <v>DYNAMIC</v>
      </c>
      <c r="P49" s="39" t="str">
        <f t="shared" si="11"/>
        <v>3DOWN</v>
      </c>
      <c r="Q49" s="37">
        <f>'2019'!J5</f>
        <v>68</v>
      </c>
      <c r="R49" s="37">
        <f>'2019'!K5</f>
        <v>208</v>
      </c>
      <c r="S49" s="39">
        <f t="shared" si="5"/>
        <v>31.625941452574956</v>
      </c>
      <c r="T49" s="37">
        <f>'2019'!L5</f>
        <v>4.49</v>
      </c>
      <c r="U49" s="40">
        <f>'2019'!M5</f>
        <v>3</v>
      </c>
      <c r="V49" s="41">
        <f>'2019'!N5</f>
        <v>0</v>
      </c>
      <c r="W49" s="42">
        <f>'2019'!O5</f>
        <v>0</v>
      </c>
      <c r="X49" s="42">
        <f>'2019'!P5</f>
        <v>0.11861313868613138</v>
      </c>
      <c r="Y49" s="42">
        <f>'2019'!Q5</f>
        <v>0.19820731531010555</v>
      </c>
      <c r="Z49" s="42">
        <f>'2019'!R5</f>
        <v>0.30092845439650462</v>
      </c>
      <c r="AA49" s="42">
        <f>'2019'!S5</f>
        <v>0.30092845439650462</v>
      </c>
      <c r="AB49" s="42">
        <f>'2019'!T5</f>
        <v>0.22569634079737846</v>
      </c>
      <c r="AC49" s="42">
        <f>'2019'!U5</f>
        <v>5.1894374282433986E-2</v>
      </c>
      <c r="AD49" s="42">
        <f>'2019'!V5</f>
        <v>8.6637298091042578E-2</v>
      </c>
      <c r="AE49" s="42">
        <f>'2019'!W5</f>
        <v>8.6637298091042578E-2</v>
      </c>
      <c r="AF49" s="43">
        <f>'2019'!X5</f>
        <v>6.497797356828193E-2</v>
      </c>
      <c r="AG49" s="44">
        <f>'2019'!Y5</f>
        <v>20.046575342465754</v>
      </c>
      <c r="AH49" s="45">
        <f>'2019'!Z5</f>
        <v>102.35474169111872</v>
      </c>
      <c r="AI49" s="45">
        <f>'2019'!AA5</f>
        <v>31.622837370242216</v>
      </c>
      <c r="AJ49" s="45">
        <f>'2019'!AB5</f>
        <v>0.26635514018691586</v>
      </c>
      <c r="AK49" s="45">
        <f>'2019'!AC5</f>
        <v>8.9</v>
      </c>
      <c r="AL49" s="45">
        <f t="shared" si="3"/>
        <v>12.031746031746032</v>
      </c>
      <c r="AM49" s="45">
        <f t="shared" si="10"/>
        <v>8.15450643776824E-2</v>
      </c>
      <c r="AN49" s="45">
        <f>'2019'!AD5</f>
        <v>158.6</v>
      </c>
      <c r="AO49" s="45">
        <f>'2019'!AE5</f>
        <v>6.16</v>
      </c>
      <c r="AP49" s="46">
        <f>'2019'!AF5</f>
        <v>70.8</v>
      </c>
      <c r="AQ49" s="47">
        <f>'2019'!AG5</f>
        <v>4</v>
      </c>
      <c r="AR49" s="48">
        <f>'2019'!AH5</f>
        <v>7</v>
      </c>
      <c r="AS49" s="48">
        <f>'2019'!AI5</f>
        <v>4</v>
      </c>
      <c r="AT49" s="48">
        <f>IF(AH49&gt;113.25,10,IF(AH49&gt;=107.84,9,IF(AH49&gt;=105.37,8,IF(AH49&gt;=103.25,7,IF(AH49&gt;=100.55,6,IF(AH49&gt;=98.75,5,IF(AH49&gt;=96.08,4,IF(AH49&gt;=94.39,3,IF(AH49&gt;=88.43,2,IF(AH49&gt;=85.16,1,IF(AH49&lt;85.16,0,FALSE)))))))))))</f>
        <v>6</v>
      </c>
      <c r="AU49" s="48">
        <f>'2019'!AK5</f>
        <v>7</v>
      </c>
      <c r="AV49" s="48">
        <f>'2019'!AL5</f>
        <v>10</v>
      </c>
      <c r="AW49" s="48">
        <f>'2019'!AM5</f>
        <v>8</v>
      </c>
      <c r="AX49" s="48">
        <f>'2019'!AN5</f>
        <v>10</v>
      </c>
      <c r="AY49" s="49">
        <f>IF(U49=1,10,IF(U49=2,7,IF(U49=3,6,IF(U49=4,4,IF(U49=5,3,IF(U49=6,2,IF(U49=7,1,IF(U49=0,0,"-"))))))))</f>
        <v>6</v>
      </c>
      <c r="AZ49" s="50">
        <f>'2019'!AP5</f>
        <v>1</v>
      </c>
      <c r="BA49" s="56">
        <f>'2019'!AQ5</f>
        <v>0</v>
      </c>
      <c r="BB49" s="57">
        <f>'2019'!AR5</f>
        <v>2479</v>
      </c>
      <c r="BC49" s="57">
        <f>'2019'!AS5</f>
        <v>0</v>
      </c>
      <c r="BD49" s="57">
        <f>'2019'!AT5</f>
        <v>31</v>
      </c>
      <c r="BE49" s="57">
        <f>'2019'!AU5</f>
        <v>0</v>
      </c>
      <c r="BF49" s="57">
        <f>'2019'!AV5</f>
        <v>0</v>
      </c>
      <c r="BG49" s="58">
        <f>'2019'!AW5</f>
        <v>0</v>
      </c>
      <c r="BH49" s="58">
        <f>'2019'!AX5</f>
        <v>0</v>
      </c>
      <c r="BI49" s="58">
        <f>'2019'!AY5</f>
        <v>0</v>
      </c>
      <c r="BJ49" s="58">
        <f>'2019'!AZ5</f>
        <v>0</v>
      </c>
      <c r="BK49" s="57">
        <f>'2019'!BA5</f>
        <v>0</v>
      </c>
      <c r="BL49" s="57">
        <f>'2019'!BB5</f>
        <v>3076</v>
      </c>
      <c r="BM49" s="57">
        <f>'2019'!BC5</f>
        <v>0</v>
      </c>
      <c r="BN49" s="57">
        <f>'2019'!BD5</f>
        <v>0</v>
      </c>
      <c r="BO49" s="59">
        <f>'2019'!BE5</f>
        <v>23</v>
      </c>
      <c r="BP49" s="56">
        <f>'2019'!BF5</f>
        <v>0</v>
      </c>
      <c r="BQ49" s="57">
        <f>'2019'!BG5</f>
        <v>2333</v>
      </c>
      <c r="BR49" s="57">
        <f>'2019'!BH5</f>
        <v>0</v>
      </c>
      <c r="BS49" s="57">
        <f>'2019'!BI5</f>
        <v>29</v>
      </c>
      <c r="BT49" s="57">
        <f>'2019'!BJ5</f>
        <v>0</v>
      </c>
      <c r="BU49" s="57">
        <f>'2019'!BK5</f>
        <v>0</v>
      </c>
      <c r="BV49" s="58">
        <f>'2019'!BL5</f>
        <v>0</v>
      </c>
      <c r="BW49" s="58">
        <f>'2019'!BM5</f>
        <v>0</v>
      </c>
      <c r="BX49" s="58">
        <f>'2019'!BN5</f>
        <v>0</v>
      </c>
      <c r="BY49" s="58">
        <f>'2019'!BO5</f>
        <v>0</v>
      </c>
      <c r="BZ49" s="57">
        <f>'2019'!BP5</f>
        <v>0</v>
      </c>
      <c r="CA49" s="57">
        <f>'2019'!BQ5</f>
        <v>3997</v>
      </c>
      <c r="CB49" s="57">
        <f>'2019'!BR5</f>
        <v>0</v>
      </c>
      <c r="CC49" s="57">
        <f>'2019'!BS5</f>
        <v>0</v>
      </c>
      <c r="CD49" s="59">
        <f>'2019'!BT5</f>
        <v>30</v>
      </c>
      <c r="CE49" s="56">
        <f>'2019'!BU5</f>
        <v>478</v>
      </c>
      <c r="CF49" s="57">
        <f>'2019'!BV5</f>
        <v>2071</v>
      </c>
      <c r="CG49" s="57">
        <f>'2019'!BW5</f>
        <v>5</v>
      </c>
      <c r="CH49" s="57">
        <f>'2019'!BX5</f>
        <v>23</v>
      </c>
      <c r="CI49" s="57">
        <f>'2019'!BY5</f>
        <v>86</v>
      </c>
      <c r="CJ49" s="57">
        <f>'2019'!BZ5</f>
        <v>16</v>
      </c>
      <c r="CK49" s="58">
        <f>'2019'!CA5</f>
        <v>5.6</v>
      </c>
      <c r="CL49" s="58">
        <f>'2019'!CB5</f>
        <v>57.7</v>
      </c>
      <c r="CM49" s="58">
        <f>'2019'!CC5</f>
        <v>3.22</v>
      </c>
      <c r="CN49" s="58">
        <f>'2019'!CD5</f>
        <v>37.200000000000003</v>
      </c>
      <c r="CO49" s="57">
        <f>'2019'!CE5</f>
        <v>237</v>
      </c>
      <c r="CP49" s="57">
        <f>'2019'!CF5</f>
        <v>3957</v>
      </c>
      <c r="CQ49" s="57">
        <f>'2019'!CG5</f>
        <v>20</v>
      </c>
      <c r="CR49" s="57">
        <f>'2019'!CH5</f>
        <v>0</v>
      </c>
      <c r="CS49" s="59">
        <f>'2019'!CI5</f>
        <v>34</v>
      </c>
      <c r="CT49" s="56">
        <f>'2019'!CJ5</f>
        <v>1145</v>
      </c>
      <c r="CU49" s="57">
        <f>'2019'!CK5</f>
        <v>2562</v>
      </c>
      <c r="CV49" s="57">
        <f>'2019'!CL5</f>
        <v>9</v>
      </c>
      <c r="CW49" s="57">
        <f>'2019'!CM5</f>
        <v>33</v>
      </c>
      <c r="CX49" s="57">
        <f>'2019'!CN5</f>
        <v>128</v>
      </c>
      <c r="CY49" s="57">
        <f>'2019'!CO5</f>
        <v>34</v>
      </c>
      <c r="CZ49" s="58">
        <f>'2019'!CP5</f>
        <v>8.9</v>
      </c>
      <c r="DA49" s="58">
        <f>'2019'!CQ5</f>
        <v>143.69999999999999</v>
      </c>
      <c r="DB49" s="58">
        <f>'2019'!CR5</f>
        <v>5.6</v>
      </c>
      <c r="DC49" s="58">
        <f>'2019'!CS5</f>
        <v>60.3</v>
      </c>
      <c r="DD49" s="57">
        <f>'2019'!CT5</f>
        <v>226</v>
      </c>
      <c r="DE49" s="57">
        <f>'2019'!CU5</f>
        <v>4355</v>
      </c>
      <c r="DF49" s="57">
        <f>'2019'!CV5</f>
        <v>24</v>
      </c>
      <c r="DG49" s="57">
        <f>'2019'!CW5</f>
        <v>0</v>
      </c>
      <c r="DH49" s="59">
        <f>'2019'!CX5</f>
        <v>39</v>
      </c>
      <c r="DI49" s="56">
        <f>'2019'!CY5</f>
        <v>1909</v>
      </c>
      <c r="DJ49" s="57">
        <f>'2019'!CZ5</f>
        <v>3919</v>
      </c>
      <c r="DK49" s="57">
        <f>'2019'!DA5</f>
        <v>22</v>
      </c>
      <c r="DL49" s="57">
        <f>'2019'!DB5</f>
        <v>48</v>
      </c>
      <c r="DM49" s="57">
        <f>'2019'!DC5</f>
        <v>214</v>
      </c>
      <c r="DN49" s="57">
        <f>'2019'!DD5</f>
        <v>57</v>
      </c>
      <c r="DO49" s="58">
        <f>'2019'!DE5</f>
        <v>8.9</v>
      </c>
      <c r="DP49" s="58">
        <f>'2019'!DF5</f>
        <v>158.6</v>
      </c>
      <c r="DQ49" s="58">
        <f>'2019'!DG5</f>
        <v>6.16</v>
      </c>
      <c r="DR49" s="58">
        <f>'2019'!DH5</f>
        <v>70.8</v>
      </c>
      <c r="DS49" s="57">
        <f>'2019'!DI5</f>
        <v>295</v>
      </c>
      <c r="DT49" s="57">
        <f>'2019'!DJ5</f>
        <v>3405</v>
      </c>
      <c r="DU49" s="57">
        <f>'2019'!DK5</f>
        <v>19</v>
      </c>
      <c r="DV49" s="57">
        <f>'2019'!DL5</f>
        <v>0</v>
      </c>
      <c r="DW49" s="59">
        <f>'2019'!DM5</f>
        <v>28</v>
      </c>
    </row>
    <row r="50" spans="1:127" x14ac:dyDescent="0.2">
      <c r="A50" s="33">
        <f t="shared" si="0"/>
        <v>48</v>
      </c>
      <c r="B50" s="11">
        <f>'2018'!A7</f>
        <v>5</v>
      </c>
      <c r="C50" s="11">
        <v>2018</v>
      </c>
      <c r="D50" s="34" t="str">
        <f>'2018'!B7</f>
        <v>Sony Michel</v>
      </c>
      <c r="E50" s="224" t="str" cm="1">
        <f t="array" ref="E50">_xlfn.IFS(F50&gt;=13,"Cornerstone",AND(F50&gt;=12,F50&lt;13),"Elite",AND(F50&gt;=11,F50&lt;12),"Elite Upside",AND(F50&gt;=9,F50&lt;11),"Upside",AND(F50&gt;=7,F50&lt;9),"Upside Lite",AND(F50&gt;=6,F50&lt;7),"Outlier",AND(F50&gt;=5,F50&lt;6),"Outlier Lite",F50&lt;5,"Purgatory")</f>
        <v>Upside</v>
      </c>
      <c r="F50" s="14">
        <f>'2018'!C7</f>
        <v>10.155555555555557</v>
      </c>
      <c r="G50" s="14">
        <f t="shared" si="7"/>
        <v>85.3</v>
      </c>
      <c r="H50" s="35">
        <f t="shared" si="1"/>
        <v>0.91126496786271982</v>
      </c>
      <c r="I50" s="36" t="str">
        <f>'2018'!D7</f>
        <v>Georgia</v>
      </c>
      <c r="J50" s="37">
        <f>'2018'!E7</f>
        <v>1</v>
      </c>
      <c r="K50" s="38">
        <f>'2018'!F7</f>
        <v>34747</v>
      </c>
      <c r="L50" s="39">
        <f>'2018'!G7</f>
        <v>30.63013698630137</v>
      </c>
      <c r="M50" s="39" t="str">
        <f>'2018'!H7</f>
        <v>SR</v>
      </c>
      <c r="N50" s="39">
        <f>'2018'!I7</f>
        <v>23.202739726027396</v>
      </c>
      <c r="O50" s="39" t="str">
        <f t="shared" si="2"/>
        <v>BELL COW</v>
      </c>
      <c r="P50" s="39" t="str">
        <f t="shared" si="11"/>
        <v>HORSE</v>
      </c>
      <c r="Q50" s="37">
        <f>'2018'!J7</f>
        <v>71</v>
      </c>
      <c r="R50" s="37">
        <f>'2018'!K7</f>
        <v>214</v>
      </c>
      <c r="S50" s="39">
        <f t="shared" si="5"/>
        <v>29.846611250453211</v>
      </c>
      <c r="T50" s="37">
        <f>'2018'!L7</f>
        <v>4.54</v>
      </c>
      <c r="U50" s="40">
        <f>'2018'!M7</f>
        <v>1</v>
      </c>
      <c r="V50" s="41">
        <f>'2018'!N7</f>
        <v>0</v>
      </c>
      <c r="W50" s="42">
        <f>'2018'!O7</f>
        <v>8.6540077297933116E-2</v>
      </c>
      <c r="X50" s="42">
        <f>'2018'!P7</f>
        <v>0.28935562805872755</v>
      </c>
      <c r="Y50" s="42">
        <f>'2018'!Q7</f>
        <v>0.19776044791041791</v>
      </c>
      <c r="Z50" s="42">
        <f>'2018'!R7</f>
        <v>0.20263440036759076</v>
      </c>
      <c r="AA50" s="42">
        <f>'2018'!S7</f>
        <v>0.24599501421315917</v>
      </c>
      <c r="AB50" s="42">
        <f>'2018'!T7</f>
        <v>0.24599501421315917</v>
      </c>
      <c r="AC50" s="42">
        <f>'2018'!U7</f>
        <v>5.9244532803180913E-2</v>
      </c>
      <c r="AD50" s="42">
        <f>'2018'!V7</f>
        <v>2.4123633622314362E-2</v>
      </c>
      <c r="AE50" s="42">
        <f>'2018'!W7</f>
        <v>4.1684083212747636E-2</v>
      </c>
      <c r="AF50" s="43">
        <f>'2018'!X7</f>
        <v>4.1684083212747636E-2</v>
      </c>
      <c r="AG50" s="44">
        <f>'2018'!Y7</f>
        <v>20.547945205479451</v>
      </c>
      <c r="AH50" s="45">
        <f>'2018'!Z7</f>
        <v>100.74427076530958</v>
      </c>
      <c r="AI50" s="45">
        <f>'2018'!AA7</f>
        <v>29.843681809164849</v>
      </c>
      <c r="AJ50" s="45">
        <f>'2018'!AB7</f>
        <v>0.22929936305732485</v>
      </c>
      <c r="AK50" s="45">
        <f>'2018'!AC7</f>
        <v>8</v>
      </c>
      <c r="AL50" s="45">
        <f t="shared" si="3"/>
        <v>9.174603174603174</v>
      </c>
      <c r="AM50" s="45">
        <f t="shared" si="10"/>
        <v>4.8484848484848485E-2</v>
      </c>
      <c r="AN50" s="45">
        <f>'2018'!AD7</f>
        <v>95.1</v>
      </c>
      <c r="AO50" s="45">
        <f>'2018'!AE7</f>
        <v>4.03</v>
      </c>
      <c r="AP50" s="46">
        <f>'2018'!AF7</f>
        <v>56.2</v>
      </c>
      <c r="AQ50" s="47">
        <f>'2018'!AG7</f>
        <v>6</v>
      </c>
      <c r="AR50" s="48">
        <f>'2018'!AH7</f>
        <v>4</v>
      </c>
      <c r="AS50" s="48">
        <f>'2018'!AI7</f>
        <v>3</v>
      </c>
      <c r="AT50" s="48">
        <f>IF(AH50&gt;113.25,10,IF(AH50&gt;=107.84,9,IF(AH50&gt;=105.37,8,IF(AH50&gt;=103.25,7,IF(AH50&gt;=100.55,6,IF(AH50&gt;=98.75,5,IF(AH50&gt;=96.08,4,IF(AH50&gt;=94.39,3,IF(AH50&gt;=88.43,2,IF(AH50&gt;=85.16,1,IF(AH50&lt;85.16,0,FALSE)))))))))))</f>
        <v>6</v>
      </c>
      <c r="AU50" s="48">
        <f>'2018'!AK7</f>
        <v>5</v>
      </c>
      <c r="AV50" s="48">
        <f>'2018'!AL7</f>
        <v>9</v>
      </c>
      <c r="AW50" s="48">
        <f>'2018'!AM7</f>
        <v>3</v>
      </c>
      <c r="AX50" s="48">
        <f>'2018'!AN7</f>
        <v>5</v>
      </c>
      <c r="AY50" s="49">
        <f>IF(U50=1,10,IF(U50=2,7,IF(U50=3,6,IF(U50=4,4,IF(U50=5,3,IF(U50=6,2,IF(U50=7,1,IF(U50=0,0,"-"))))))))</f>
        <v>10</v>
      </c>
      <c r="AZ50" s="50">
        <f>'2018'!AP7</f>
        <v>0.5</v>
      </c>
      <c r="BA50" s="56">
        <f>'2018'!AQ7</f>
        <v>0</v>
      </c>
      <c r="BB50" s="57">
        <f>'2018'!AR7</f>
        <v>2209</v>
      </c>
      <c r="BC50" s="57">
        <f>'2018'!AS7</f>
        <v>0</v>
      </c>
      <c r="BD50" s="57">
        <f>'2018'!AT7</f>
        <v>0</v>
      </c>
      <c r="BE50" s="57">
        <f>'2018'!AU7</f>
        <v>0</v>
      </c>
      <c r="BF50" s="57">
        <f>'2018'!AV7</f>
        <v>0</v>
      </c>
      <c r="BG50" s="58">
        <f>'2018'!AW7</f>
        <v>0</v>
      </c>
      <c r="BH50" s="58">
        <f>'2018'!AX7</f>
        <v>0</v>
      </c>
      <c r="BI50" s="58">
        <f>'2018'!AY7</f>
        <v>0</v>
      </c>
      <c r="BJ50" s="58">
        <f>'2018'!AZ7</f>
        <v>0</v>
      </c>
      <c r="BK50" s="57">
        <f>'2018'!BA7</f>
        <v>0</v>
      </c>
      <c r="BL50" s="57">
        <f>'2018'!BB7</f>
        <v>4085</v>
      </c>
      <c r="BM50" s="57">
        <f>'2018'!BC7</f>
        <v>0</v>
      </c>
      <c r="BN50" s="57">
        <f>'2018'!BD7</f>
        <v>0</v>
      </c>
      <c r="BO50" s="59">
        <f>'2018'!BE7</f>
        <v>0</v>
      </c>
      <c r="BP50" s="56">
        <f>'2018'!BF7</f>
        <v>409</v>
      </c>
      <c r="BQ50" s="57">
        <f>'2018'!BG7</f>
        <v>3352</v>
      </c>
      <c r="BR50" s="57">
        <f>'2018'!BH7</f>
        <v>5</v>
      </c>
      <c r="BS50" s="57">
        <f>'2018'!BI7</f>
        <v>0</v>
      </c>
      <c r="BT50" s="57">
        <f>'2018'!BJ7</f>
        <v>64</v>
      </c>
      <c r="BU50" s="57">
        <f>'2018'!BK7</f>
        <v>17</v>
      </c>
      <c r="BV50" s="58">
        <f>'2018'!BL7</f>
        <v>6.4</v>
      </c>
      <c r="BW50" s="58">
        <f>'2018'!BM7</f>
        <v>66.5</v>
      </c>
      <c r="BX50" s="58">
        <f>'2018'!BN7</f>
        <v>2.25</v>
      </c>
      <c r="BY50" s="58">
        <f>'2018'!BO7</f>
        <v>32.5</v>
      </c>
      <c r="BZ50" s="57">
        <f>'2018'!BP7</f>
        <v>106</v>
      </c>
      <c r="CA50" s="57">
        <f>'2018'!BQ7</f>
        <v>2599</v>
      </c>
      <c r="CB50" s="57">
        <f>'2018'!BR7</f>
        <v>7</v>
      </c>
      <c r="CC50" s="57">
        <f>'2018'!BS7</f>
        <v>0</v>
      </c>
      <c r="CD50" s="59">
        <f>'2018'!BT7</f>
        <v>0</v>
      </c>
      <c r="CE50" s="56">
        <f>'2018'!BU7</f>
        <v>1160</v>
      </c>
      <c r="CF50" s="57">
        <f>'2018'!BV7</f>
        <v>2498</v>
      </c>
      <c r="CG50" s="57">
        <f>'2018'!BW7</f>
        <v>8</v>
      </c>
      <c r="CH50" s="57">
        <f>'2018'!BX7</f>
        <v>0</v>
      </c>
      <c r="CI50" s="57">
        <f>'2018'!BY7</f>
        <v>219</v>
      </c>
      <c r="CJ50" s="57">
        <f>'2018'!BZ7</f>
        <v>48</v>
      </c>
      <c r="CK50" s="58">
        <f>'2018'!CA7</f>
        <v>5.3</v>
      </c>
      <c r="CL50" s="58">
        <f>'2018'!CB7</f>
        <v>85.1</v>
      </c>
      <c r="CM50" s="58">
        <f>'2018'!CC7</f>
        <v>3.31</v>
      </c>
      <c r="CN50" s="58">
        <f>'2018'!CD7</f>
        <v>46.2</v>
      </c>
      <c r="CO50" s="57">
        <f>'2018'!CE7</f>
        <v>259</v>
      </c>
      <c r="CP50" s="57">
        <f>'2018'!CF7</f>
        <v>2406</v>
      </c>
      <c r="CQ50" s="57">
        <f>'2018'!CG7</f>
        <v>26</v>
      </c>
      <c r="CR50" s="57">
        <f>'2018'!CH7</f>
        <v>0</v>
      </c>
      <c r="CS50" s="59">
        <f>'2018'!CI7</f>
        <v>0</v>
      </c>
      <c r="CT50" s="56">
        <f>'2018'!CJ7</f>
        <v>840</v>
      </c>
      <c r="CU50" s="57">
        <f>'2018'!CK7</f>
        <v>2486</v>
      </c>
      <c r="CV50" s="57">
        <f>'2018'!CL7</f>
        <v>4</v>
      </c>
      <c r="CW50" s="57">
        <f>'2018'!CM7</f>
        <v>0</v>
      </c>
      <c r="CX50" s="57">
        <f>'2018'!CN7</f>
        <v>152</v>
      </c>
      <c r="CY50" s="57">
        <f>'2018'!CO7</f>
        <v>26</v>
      </c>
      <c r="CZ50" s="58">
        <f>'2018'!CP7</f>
        <v>5.5</v>
      </c>
      <c r="DA50" s="58">
        <f>'2018'!CQ7</f>
        <v>63.1</v>
      </c>
      <c r="DB50" s="58">
        <f>'2018'!CR7</f>
        <v>3.14</v>
      </c>
      <c r="DC50" s="58">
        <f>'2018'!CS7</f>
        <v>26.8</v>
      </c>
      <c r="DD50" s="57">
        <f>'2018'!CT7</f>
        <v>149</v>
      </c>
      <c r="DE50" s="57">
        <f>'2018'!CU7</f>
        <v>2515</v>
      </c>
      <c r="DF50" s="57">
        <f>'2018'!CV7</f>
        <v>22</v>
      </c>
      <c r="DG50" s="57">
        <f>'2018'!CW7</f>
        <v>0</v>
      </c>
      <c r="DH50" s="59">
        <f>'2018'!CX7</f>
        <v>0</v>
      </c>
      <c r="DI50" s="56">
        <f>'2018'!CY7</f>
        <v>1259</v>
      </c>
      <c r="DJ50" s="57">
        <f>'2018'!CZ7</f>
        <v>3876</v>
      </c>
      <c r="DK50" s="57">
        <f>'2018'!DA7</f>
        <v>16</v>
      </c>
      <c r="DL50" s="57">
        <f>'2018'!DB7</f>
        <v>0</v>
      </c>
      <c r="DM50" s="57">
        <f>'2018'!DC7</f>
        <v>157</v>
      </c>
      <c r="DN50" s="57">
        <f>'2018'!DD7</f>
        <v>36</v>
      </c>
      <c r="DO50" s="58">
        <f>'2018'!DE7</f>
        <v>8</v>
      </c>
      <c r="DP50" s="58">
        <f>'2018'!DF7</f>
        <v>95.1</v>
      </c>
      <c r="DQ50" s="58">
        <f>'2018'!DG7</f>
        <v>4.03</v>
      </c>
      <c r="DR50" s="58">
        <f>'2018'!DH7</f>
        <v>56.2</v>
      </c>
      <c r="DS50" s="57">
        <f>'2018'!DI7</f>
        <v>64</v>
      </c>
      <c r="DT50" s="57">
        <f>'2018'!DJ7</f>
        <v>2653</v>
      </c>
      <c r="DU50" s="57">
        <f>'2018'!DK7</f>
        <v>8</v>
      </c>
      <c r="DV50" s="57">
        <f>'2018'!DL7</f>
        <v>0</v>
      </c>
      <c r="DW50" s="59">
        <f>'2018'!DM7</f>
        <v>0</v>
      </c>
    </row>
    <row r="51" spans="1:127" ht="15.75" customHeight="1" x14ac:dyDescent="0.2">
      <c r="A51" s="33">
        <f t="shared" si="0"/>
        <v>49</v>
      </c>
      <c r="B51" s="11">
        <f>'2025'!A8</f>
        <v>6</v>
      </c>
      <c r="C51" s="11">
        <v>2025</v>
      </c>
      <c r="D51" s="34" t="str">
        <f>'2025'!B8</f>
        <v>RJ Harvey</v>
      </c>
      <c r="E51" s="224" t="str" cm="1">
        <f t="array" ref="E51">_xlfn.IFS(F51&gt;=13,"Cornerstone",AND(F51&gt;=12,F51&lt;13),"Elite",AND(F51&gt;=11,F51&lt;12),"Elite Upside",AND(F51&gt;=9,F51&lt;11),"Upside",AND(F51&gt;=7,F51&lt;9),"Upside Lite",AND(F51&gt;=6,F51&lt;7),"Outlier",AND(F51&gt;=5,F51&lt;6),"Outlier Lite",F51&lt;5,"Purgatory")</f>
        <v>Upside</v>
      </c>
      <c r="F51" s="14">
        <f>'2025'!C8</f>
        <v>10.072222222222223</v>
      </c>
      <c r="G51" s="14">
        <f t="shared" si="7"/>
        <v>85</v>
      </c>
      <c r="H51" s="35">
        <f t="shared" si="1"/>
        <v>0.87599621250941628</v>
      </c>
      <c r="I51" s="36" t="str">
        <f>'2025'!D8</f>
        <v>UCF</v>
      </c>
      <c r="J51" s="37">
        <f>'2025'!E8</f>
        <v>3</v>
      </c>
      <c r="K51" s="38">
        <f>'2025'!F8</f>
        <v>36926</v>
      </c>
      <c r="L51" s="39">
        <f>'2025'!G8</f>
        <v>24.660273972602738</v>
      </c>
      <c r="M51" s="39" t="str">
        <f>'2025'!H8</f>
        <v>RS SR</v>
      </c>
      <c r="N51" s="39">
        <f>'2025'!I8</f>
        <v>24.241095890410961</v>
      </c>
      <c r="O51" s="39" t="str">
        <f t="shared" si="2"/>
        <v>DYNAMIC</v>
      </c>
      <c r="P51" s="39" t="str">
        <f t="shared" si="11"/>
        <v>3DOWN</v>
      </c>
      <c r="Q51" s="37">
        <f>'2025'!J8</f>
        <v>68</v>
      </c>
      <c r="R51" s="37">
        <f>'2025'!K8</f>
        <v>205</v>
      </c>
      <c r="S51" s="39">
        <f t="shared" si="5"/>
        <v>31.169798066239739</v>
      </c>
      <c r="T51" s="37">
        <f>'2025'!L8</f>
        <v>4.4000000000000004</v>
      </c>
      <c r="U51" s="40">
        <f>'2025'!M8</f>
        <v>2</v>
      </c>
      <c r="V51" s="41">
        <f>'2025'!N8</f>
        <v>0</v>
      </c>
      <c r="W51" s="42">
        <f>'2025'!O8</f>
        <v>0</v>
      </c>
      <c r="X51" s="42">
        <f>'2025'!P8</f>
        <v>0.16495216878521818</v>
      </c>
      <c r="Y51" s="42">
        <f>'2025'!Q8</f>
        <v>0.26141209919444008</v>
      </c>
      <c r="Z51" s="42">
        <f>'2025'!R8</f>
        <v>0.34334524341223766</v>
      </c>
      <c r="AA51" s="42">
        <f>'2025'!S8</f>
        <v>0.34334524341223766</v>
      </c>
      <c r="AB51" s="42">
        <f>'2025'!T8</f>
        <v>0.30901071907101391</v>
      </c>
      <c r="AC51" s="42">
        <f>'2025'!U8</f>
        <v>7.0740696706693612E-2</v>
      </c>
      <c r="AD51" s="42">
        <f>'2025'!V8</f>
        <v>0.11141712568853282</v>
      </c>
      <c r="AE51" s="42">
        <f>'2025'!W8</f>
        <v>0.11141712568853282</v>
      </c>
      <c r="AF51" s="43">
        <f>'2025'!X8</f>
        <v>0.10027541311967954</v>
      </c>
      <c r="AG51" s="44">
        <f>'2025'!Y8</f>
        <v>21.597260273972601</v>
      </c>
      <c r="AH51" s="45">
        <f>'2025'!Z8</f>
        <v>109.38887371081208</v>
      </c>
      <c r="AI51" s="45">
        <f>'2025'!AA8</f>
        <v>31.166738754325259</v>
      </c>
      <c r="AJ51" s="45">
        <f>'2025'!AB8</f>
        <v>0.3288888888888889</v>
      </c>
      <c r="AK51" s="45">
        <f>'2025'!AC8</f>
        <v>6.8311688311688314</v>
      </c>
      <c r="AL51" s="45">
        <f t="shared" si="3"/>
        <v>11.64516129032258</v>
      </c>
      <c r="AM51" s="45">
        <f t="shared" si="10"/>
        <v>7.9681274900398405E-2</v>
      </c>
      <c r="AN51" s="45">
        <f>'2025'!AD8</f>
        <v>123.4</v>
      </c>
      <c r="AO51" s="45">
        <f>'2025'!AE8</f>
        <v>3.88</v>
      </c>
      <c r="AP51" s="46">
        <f>'2025'!AF8</f>
        <v>52.4</v>
      </c>
      <c r="AQ51" s="47">
        <f>'2025'!AG8</f>
        <v>8</v>
      </c>
      <c r="AR51" s="48">
        <f>'2025'!AH8</f>
        <v>9</v>
      </c>
      <c r="AS51" s="48">
        <f>'2025'!AI8</f>
        <v>2</v>
      </c>
      <c r="AT51" s="48">
        <f>'2025'!AJ8</f>
        <v>9</v>
      </c>
      <c r="AU51" s="48">
        <f>'2025'!AK8</f>
        <v>9</v>
      </c>
      <c r="AV51" s="48">
        <f>'2025'!AL8</f>
        <v>7</v>
      </c>
      <c r="AW51" s="48">
        <f>'2025'!AM8</f>
        <v>6</v>
      </c>
      <c r="AX51" s="48">
        <f>'2025'!AN8</f>
        <v>4</v>
      </c>
      <c r="AY51" s="49">
        <f>'2025'!AO8</f>
        <v>7</v>
      </c>
      <c r="AZ51" s="50">
        <f>'2025'!AP8</f>
        <v>0</v>
      </c>
      <c r="BA51" s="56">
        <f>'2025'!AQ8</f>
        <v>0</v>
      </c>
      <c r="BB51" s="57">
        <f>'2025'!AR8</f>
        <v>1</v>
      </c>
      <c r="BC51" s="57">
        <f>'2025'!AS8</f>
        <v>0</v>
      </c>
      <c r="BD51" s="57">
        <f>'2025'!AT8</f>
        <v>0</v>
      </c>
      <c r="BE51" s="57">
        <f>'2025'!AU8</f>
        <v>0</v>
      </c>
      <c r="BF51" s="57">
        <f>'2025'!AV8</f>
        <v>0</v>
      </c>
      <c r="BG51" s="58">
        <f>'2025'!AW8</f>
        <v>0</v>
      </c>
      <c r="BH51" s="58">
        <f>'2025'!AX8</f>
        <v>0</v>
      </c>
      <c r="BI51" s="58">
        <f>'2025'!AY8</f>
        <v>0</v>
      </c>
      <c r="BJ51" s="58">
        <f>'2025'!AZ8</f>
        <v>0</v>
      </c>
      <c r="BK51" s="57">
        <f>'2025'!BA8</f>
        <v>0</v>
      </c>
      <c r="BL51" s="57">
        <f>'2025'!BB8</f>
        <v>1</v>
      </c>
      <c r="BM51" s="57">
        <f>'2025'!BC8</f>
        <v>0</v>
      </c>
      <c r="BN51" s="57">
        <f>'2025'!BD8</f>
        <v>0</v>
      </c>
      <c r="BO51" s="59">
        <f>'2025'!BE8</f>
        <v>0</v>
      </c>
      <c r="BP51" s="56">
        <f>'2025'!BF8</f>
        <v>0</v>
      </c>
      <c r="BQ51" s="57">
        <f>'2025'!BG8</f>
        <v>1</v>
      </c>
      <c r="BR51" s="57">
        <f>'2025'!BH8</f>
        <v>0</v>
      </c>
      <c r="BS51" s="57">
        <f>'2025'!BI8</f>
        <v>0</v>
      </c>
      <c r="BT51" s="57">
        <f>'2025'!BJ8</f>
        <v>0</v>
      </c>
      <c r="BU51" s="57">
        <f>'2025'!BK8</f>
        <v>0</v>
      </c>
      <c r="BV51" s="58">
        <f>'2025'!BL8</f>
        <v>0</v>
      </c>
      <c r="BW51" s="58">
        <f>'2025'!BM8</f>
        <v>0</v>
      </c>
      <c r="BX51" s="58">
        <f>'2025'!BN8</f>
        <v>0</v>
      </c>
      <c r="BY51" s="58">
        <f>'2025'!BO8</f>
        <v>0</v>
      </c>
      <c r="BZ51" s="57">
        <f>'2025'!BP8</f>
        <v>0</v>
      </c>
      <c r="CA51" s="57">
        <f>'2025'!BQ8</f>
        <v>1</v>
      </c>
      <c r="CB51" s="57">
        <f>'2025'!BR8</f>
        <v>0</v>
      </c>
      <c r="CC51" s="57">
        <f>'2025'!BS8</f>
        <v>0</v>
      </c>
      <c r="CD51" s="59">
        <f>'2025'!BT8</f>
        <v>0</v>
      </c>
      <c r="CE51" s="56">
        <f>'2025'!BU8</f>
        <v>790</v>
      </c>
      <c r="CF51" s="57">
        <f>'2025'!BV8</f>
        <v>2969.2000000000003</v>
      </c>
      <c r="CG51" s="57">
        <f>'2025'!BW8</f>
        <v>5</v>
      </c>
      <c r="CH51" s="57">
        <f>'2025'!BX8</f>
        <v>0</v>
      </c>
      <c r="CI51" s="57">
        <f>'2025'!BY8</f>
        <v>166</v>
      </c>
      <c r="CJ51" s="57">
        <f>'2025'!BZ8</f>
        <v>38</v>
      </c>
      <c r="CK51" s="58">
        <f>'2025'!CA8</f>
        <v>0</v>
      </c>
      <c r="CL51" s="58">
        <f>'2025'!CB8</f>
        <v>113</v>
      </c>
      <c r="CM51" s="58">
        <f>'2025'!CC8</f>
        <v>3.57</v>
      </c>
      <c r="CN51" s="58">
        <f>'2025'!CD8</f>
        <v>42.3</v>
      </c>
      <c r="CO51" s="57">
        <f>'2025'!CE8</f>
        <v>217</v>
      </c>
      <c r="CP51" s="57">
        <f>'2025'!CF8</f>
        <v>3135.6</v>
      </c>
      <c r="CQ51" s="57">
        <f>'2025'!CG8</f>
        <v>23</v>
      </c>
      <c r="CR51" s="57">
        <f>'2025'!CH8</f>
        <v>0</v>
      </c>
      <c r="CS51" s="59">
        <f>'2025'!CI8</f>
        <v>0</v>
      </c>
      <c r="CT51" s="56">
        <f>'2025'!CJ8</f>
        <v>1417</v>
      </c>
      <c r="CU51" s="57">
        <f>'2025'!CK8</f>
        <v>2966.6</v>
      </c>
      <c r="CV51" s="57">
        <f>'2025'!CL8</f>
        <v>16</v>
      </c>
      <c r="CW51" s="57">
        <f>'2025'!CM8</f>
        <v>0</v>
      </c>
      <c r="CX51" s="57">
        <f>'2025'!CN8</f>
        <v>225</v>
      </c>
      <c r="CY51" s="57">
        <f>'2025'!CO8</f>
        <v>74</v>
      </c>
      <c r="CZ51" s="58">
        <f>'2025'!CP8</f>
        <v>6.2977777777777781</v>
      </c>
      <c r="DA51" s="58">
        <f>'2025'!CQ8</f>
        <v>123.4</v>
      </c>
      <c r="DB51" s="58">
        <f>'2025'!CR8</f>
        <v>3.56</v>
      </c>
      <c r="DC51" s="58">
        <f>'2025'!CS8</f>
        <v>50.7</v>
      </c>
      <c r="DD51" s="57">
        <f>'2025'!CT8</f>
        <v>238</v>
      </c>
      <c r="DE51" s="57">
        <f>'2025'!CU8</f>
        <v>3364.4</v>
      </c>
      <c r="DF51" s="57">
        <f>'2025'!CV8</f>
        <v>19</v>
      </c>
      <c r="DG51" s="57">
        <f>'2025'!CW8</f>
        <v>2</v>
      </c>
      <c r="DH51" s="59">
        <f>'2025'!CX8</f>
        <v>0</v>
      </c>
      <c r="DI51" s="56">
        <f>'2025'!CY8</f>
        <v>1578</v>
      </c>
      <c r="DJ51" s="57">
        <f>'2025'!CZ8</f>
        <v>2977.2</v>
      </c>
      <c r="DK51" s="57">
        <f>'2025'!DA8</f>
        <v>22</v>
      </c>
      <c r="DL51" s="57">
        <f>'2025'!DB8</f>
        <v>33.599999999999994</v>
      </c>
      <c r="DM51" s="57">
        <f>'2025'!DC8</f>
        <v>231</v>
      </c>
      <c r="DN51" s="57">
        <f>'2025'!DD8</f>
        <v>69</v>
      </c>
      <c r="DO51" s="58">
        <f>'2025'!DE8</f>
        <v>6.8311688311688314</v>
      </c>
      <c r="DP51" s="58">
        <f>'2025'!DF8</f>
        <v>122.2</v>
      </c>
      <c r="DQ51" s="58">
        <f>'2025'!DG8</f>
        <v>3.88</v>
      </c>
      <c r="DR51" s="58">
        <f>'2025'!DH8</f>
        <v>52.4</v>
      </c>
      <c r="DS51" s="57">
        <f>'2025'!DI8</f>
        <v>267</v>
      </c>
      <c r="DT51" s="57">
        <f>'2025'!DJ8</f>
        <v>2396.3999999999996</v>
      </c>
      <c r="DU51" s="57">
        <f>'2025'!DK8</f>
        <v>20</v>
      </c>
      <c r="DV51" s="57">
        <f>'2025'!DL8</f>
        <v>3</v>
      </c>
      <c r="DW51" s="59">
        <f>'2025'!DM8</f>
        <v>14.399999999999999</v>
      </c>
    </row>
    <row r="52" spans="1:127" ht="15.75" customHeight="1" x14ac:dyDescent="0.2">
      <c r="A52" s="33">
        <f t="shared" si="0"/>
        <v>50</v>
      </c>
      <c r="B52" s="11">
        <f>'2020'!A9</f>
        <v>7</v>
      </c>
      <c r="C52" s="11">
        <v>2020</v>
      </c>
      <c r="D52" s="34" t="str">
        <f>'2020'!B9</f>
        <v>Ke'Shawn Vaughn</v>
      </c>
      <c r="E52" s="224" t="str" cm="1">
        <f t="array" ref="E52">_xlfn.IFS(F52&gt;=13,"Cornerstone",AND(F52&gt;=12,F52&lt;13),"Elite",AND(F52&gt;=11,F52&lt;12),"Elite Upside",AND(F52&gt;=9,F52&lt;11),"Upside",AND(F52&gt;=7,F52&lt;9),"Upside Lite",AND(F52&gt;=6,F52&lt;7),"Outlier",AND(F52&gt;=5,F52&lt;6),"Outlier Lite",F52&lt;5,"Purgatory")</f>
        <v>Upside</v>
      </c>
      <c r="F52" s="14">
        <f>'2020'!C9</f>
        <v>10.072222222222221</v>
      </c>
      <c r="G52" s="14">
        <f t="shared" si="7"/>
        <v>84.7</v>
      </c>
      <c r="H52" s="35">
        <f t="shared" si="1"/>
        <v>0.87599621250941551</v>
      </c>
      <c r="I52" s="36" t="str">
        <f>'2020'!D9</f>
        <v>Vanderbilt</v>
      </c>
      <c r="J52" s="37">
        <f>'2020'!E9</f>
        <v>1</v>
      </c>
      <c r="K52" s="38">
        <f>'2020'!F9</f>
        <v>35554</v>
      </c>
      <c r="L52" s="39">
        <f>'2020'!G9</f>
        <v>28.419178082191781</v>
      </c>
      <c r="M52" s="39" t="str">
        <f>'2020'!H9</f>
        <v>RS SR</v>
      </c>
      <c r="N52" s="39">
        <f>'2020'!I9</f>
        <v>22.986301369863014</v>
      </c>
      <c r="O52" s="39" t="str">
        <f t="shared" si="2"/>
        <v>BELL CALF</v>
      </c>
      <c r="P52" s="39" t="str">
        <f t="shared" si="11"/>
        <v>SLASHER</v>
      </c>
      <c r="Q52" s="37">
        <f>'2020'!J9</f>
        <v>69</v>
      </c>
      <c r="R52" s="37">
        <f>'2020'!K9</f>
        <v>214</v>
      </c>
      <c r="S52" s="39">
        <f t="shared" si="5"/>
        <v>31.601925501687592</v>
      </c>
      <c r="T52" s="37">
        <f>'2020'!L9</f>
        <v>4.51</v>
      </c>
      <c r="U52" s="40">
        <f>'2020'!M9</f>
        <v>3</v>
      </c>
      <c r="V52" s="41">
        <f>'2020'!N9</f>
        <v>0.17542390621729118</v>
      </c>
      <c r="W52" s="42">
        <f>'2020'!O9</f>
        <v>9.213323883770376E-2</v>
      </c>
      <c r="X52" s="42">
        <f>'2020'!P9</f>
        <v>0</v>
      </c>
      <c r="Y52" s="42">
        <f>'2020'!Q9</f>
        <v>0.26412270856715303</v>
      </c>
      <c r="Z52" s="42">
        <f>'2020'!R9</f>
        <v>0.36910112359550562</v>
      </c>
      <c r="AA52" s="42">
        <f>'2020'!S9</f>
        <v>0.36910112359550562</v>
      </c>
      <c r="AB52" s="42">
        <f>'2020'!T9</f>
        <v>0.36910112359550562</v>
      </c>
      <c r="AC52" s="42">
        <f>'2020'!U9</f>
        <v>5.3030303030303032E-2</v>
      </c>
      <c r="AD52" s="42">
        <f>'2020'!V9</f>
        <v>0.13856589147286821</v>
      </c>
      <c r="AE52" s="42">
        <f>'2020'!W9</f>
        <v>0.13856589147286821</v>
      </c>
      <c r="AF52" s="43">
        <f>'2020'!X9</f>
        <v>0.13856589147286821</v>
      </c>
      <c r="AG52" s="44">
        <f>'2020'!Y9</f>
        <v>18.336986301369862</v>
      </c>
      <c r="AH52" s="45">
        <f>'2020'!Z9</f>
        <v>103.45169279930266</v>
      </c>
      <c r="AI52" s="45">
        <f>'2020'!AA9</f>
        <v>31.598823776517538</v>
      </c>
      <c r="AJ52" s="45">
        <f>'2020'!AB9</f>
        <v>0.28025477707006369</v>
      </c>
      <c r="AK52" s="45">
        <f>'2020'!AC9</f>
        <v>5.2</v>
      </c>
      <c r="AL52" s="45">
        <f t="shared" si="3"/>
        <v>12.054545454545455</v>
      </c>
      <c r="AM52" s="45">
        <f t="shared" si="10"/>
        <v>0.12719298245614036</v>
      </c>
      <c r="AN52" s="45">
        <f>'2020'!AD9</f>
        <v>103.2</v>
      </c>
      <c r="AO52" s="45">
        <f>'2020'!AE9</f>
        <v>3.73</v>
      </c>
      <c r="AP52" s="46">
        <f>'2020'!AF9</f>
        <v>60.1</v>
      </c>
      <c r="AQ52" s="47">
        <f>'2020'!AG9</f>
        <v>10</v>
      </c>
      <c r="AR52" s="48">
        <f>'2020'!AH9</f>
        <v>10</v>
      </c>
      <c r="AS52" s="48">
        <f>'2020'!AI9</f>
        <v>10</v>
      </c>
      <c r="AT52" s="48">
        <f>IF(AH52&gt;113.25,10,IF(AH52&gt;=107.84,9,IF(AH52&gt;=105.37,8,IF(AH52&gt;=103.25,7,IF(AH52&gt;=100.55,6,IF(AH52&gt;=98.75,5,IF(AH52&gt;=96.08,4,IF(AH52&gt;=94.39,3,IF(AH52&gt;=88.43,2,IF(AH52&gt;=85.16,1,IF(AH52&lt;85.16,0,FALSE)))))))))))</f>
        <v>7</v>
      </c>
      <c r="AU52" s="48">
        <f>'2020'!AK9</f>
        <v>8</v>
      </c>
      <c r="AV52" s="48">
        <f>'2020'!AL9</f>
        <v>1</v>
      </c>
      <c r="AW52" s="48">
        <f>'2020'!AM9</f>
        <v>4</v>
      </c>
      <c r="AX52" s="48">
        <f>'2020'!AN9</f>
        <v>3</v>
      </c>
      <c r="AY52" s="49">
        <f>IF(U52=1,10,IF(U52=2,7,IF(U52=3,6,IF(U52=4,4,IF(U52=5,3,IF(U52=6,2,IF(U52=7,1,IF(U52=0,0,"-"))))))))</f>
        <v>6</v>
      </c>
      <c r="AZ52" s="50">
        <f>'2020'!AP9</f>
        <v>0</v>
      </c>
      <c r="BA52" s="56">
        <f>'2020'!AQ9</f>
        <v>718</v>
      </c>
      <c r="BB52" s="57">
        <f>'2020'!AR9</f>
        <v>1856</v>
      </c>
      <c r="BC52" s="57">
        <f>'2020'!AS9</f>
        <v>6</v>
      </c>
      <c r="BD52" s="57">
        <f>'2020'!AT9</f>
        <v>9</v>
      </c>
      <c r="BE52" s="57">
        <f>'2020'!AU9</f>
        <v>157</v>
      </c>
      <c r="BF52" s="57">
        <f>'2020'!AV9</f>
        <v>28</v>
      </c>
      <c r="BG52" s="58">
        <f>'2020'!AW9</f>
        <v>4.5999999999999996</v>
      </c>
      <c r="BH52" s="58">
        <f>'2020'!AX9</f>
        <v>55.6</v>
      </c>
      <c r="BI52" s="58">
        <f>'2020'!AY9</f>
        <v>3.01</v>
      </c>
      <c r="BJ52" s="58">
        <f>'2020'!AZ9</f>
        <v>41.9</v>
      </c>
      <c r="BK52" s="57">
        <f>'2020'!BA9</f>
        <v>120</v>
      </c>
      <c r="BL52" s="57">
        <f>'2020'!BB9</f>
        <v>2921</v>
      </c>
      <c r="BM52" s="57">
        <f>'2020'!BC9</f>
        <v>16</v>
      </c>
      <c r="BN52" s="57">
        <f>'2020'!BD9</f>
        <v>0</v>
      </c>
      <c r="BO52" s="59">
        <f>'2020'!BE9</f>
        <v>16</v>
      </c>
      <c r="BP52" s="56">
        <f>'2020'!BF9</f>
        <v>301</v>
      </c>
      <c r="BQ52" s="57">
        <f>'2020'!BG9</f>
        <v>2138</v>
      </c>
      <c r="BR52" s="57">
        <f>'2020'!BH9</f>
        <v>3</v>
      </c>
      <c r="BS52" s="57">
        <f>'2020'!BI9</f>
        <v>26</v>
      </c>
      <c r="BT52" s="57">
        <f>'2020'!BJ9</f>
        <v>60</v>
      </c>
      <c r="BU52" s="57">
        <f>'2020'!BK9</f>
        <v>10</v>
      </c>
      <c r="BV52" s="58">
        <f>'2020'!BL9</f>
        <v>5</v>
      </c>
      <c r="BW52" s="58">
        <f>'2020'!BM9</f>
        <v>47.5</v>
      </c>
      <c r="BX52" s="58">
        <f>'2020'!BN9</f>
        <v>2.73</v>
      </c>
      <c r="BY52" s="58">
        <f>'2020'!BO9</f>
        <v>55.5</v>
      </c>
      <c r="BZ52" s="57">
        <f>'2020'!BP9</f>
        <v>89</v>
      </c>
      <c r="CA52" s="57">
        <f>'2020'!BQ9</f>
        <v>2095</v>
      </c>
      <c r="CB52" s="57">
        <f>'2020'!BR9</f>
        <v>9</v>
      </c>
      <c r="CC52" s="57">
        <f>'2020'!BS9</f>
        <v>0</v>
      </c>
      <c r="CD52" s="59">
        <f>'2020'!BT9</f>
        <v>13</v>
      </c>
      <c r="CE52" s="56">
        <f>'2020'!BU9</f>
        <v>0</v>
      </c>
      <c r="CF52" s="57">
        <f>'2020'!BV9</f>
        <v>1286</v>
      </c>
      <c r="CG52" s="57">
        <f>'2020'!BW9</f>
        <v>0</v>
      </c>
      <c r="CH52" s="57">
        <f>'2020'!BX9</f>
        <v>14</v>
      </c>
      <c r="CI52" s="57">
        <f>'2020'!BY9</f>
        <v>0</v>
      </c>
      <c r="CJ52" s="57">
        <f>'2020'!BZ9</f>
        <v>0</v>
      </c>
      <c r="CK52" s="58">
        <f>'2020'!CA9</f>
        <v>0</v>
      </c>
      <c r="CL52" s="58">
        <f>'2020'!CB9</f>
        <v>0</v>
      </c>
      <c r="CM52" s="58">
        <f>'2020'!CC9</f>
        <v>0</v>
      </c>
      <c r="CN52" s="58">
        <f>'2020'!CD9</f>
        <v>0</v>
      </c>
      <c r="CO52" s="57">
        <f>'2020'!CE9</f>
        <v>0</v>
      </c>
      <c r="CP52" s="57">
        <f>'2020'!CF9</f>
        <v>2098</v>
      </c>
      <c r="CQ52" s="57">
        <f>'2020'!CG9</f>
        <v>0</v>
      </c>
      <c r="CR52" s="57">
        <f>'2020'!CH9</f>
        <v>0</v>
      </c>
      <c r="CS52" s="59">
        <f>'2020'!CI9</f>
        <v>8</v>
      </c>
      <c r="CT52" s="56">
        <f>'2020'!CJ9</f>
        <v>1244</v>
      </c>
      <c r="CU52" s="57">
        <f>'2020'!CK9</f>
        <v>2178</v>
      </c>
      <c r="CV52" s="57">
        <f>'2020'!CL9</f>
        <v>12</v>
      </c>
      <c r="CW52" s="57">
        <f>'2020'!CM9</f>
        <v>22</v>
      </c>
      <c r="CX52" s="57">
        <f>'2020'!CN9</f>
        <v>157</v>
      </c>
      <c r="CY52" s="57">
        <f>'2020'!CO9</f>
        <v>44</v>
      </c>
      <c r="CZ52" s="58">
        <f>'2020'!CP9</f>
        <v>7.9</v>
      </c>
      <c r="DA52" s="58">
        <f>'2020'!CQ9</f>
        <v>140.6</v>
      </c>
      <c r="DB52" s="58">
        <f>'2020'!CR9</f>
        <v>5.28</v>
      </c>
      <c r="DC52" s="58">
        <f>'2020'!CS9</f>
        <v>60.1</v>
      </c>
      <c r="DD52" s="57">
        <f>'2020'!CT9</f>
        <v>168</v>
      </c>
      <c r="DE52" s="57">
        <f>'2020'!CU9</f>
        <v>3168</v>
      </c>
      <c r="DF52" s="57">
        <f>'2020'!CV9</f>
        <v>1</v>
      </c>
      <c r="DG52" s="57">
        <f>'2020'!CW9</f>
        <v>0</v>
      </c>
      <c r="DH52" s="59">
        <f>'2020'!CX9</f>
        <v>24</v>
      </c>
      <c r="DI52" s="56">
        <f>'2020'!CY9</f>
        <v>1028</v>
      </c>
      <c r="DJ52" s="57">
        <f>'2020'!CZ9</f>
        <v>1496</v>
      </c>
      <c r="DK52" s="57">
        <f>'2020'!DA9</f>
        <v>9</v>
      </c>
      <c r="DL52" s="57">
        <f>'2020'!DB9</f>
        <v>11</v>
      </c>
      <c r="DM52" s="57">
        <f>'2020'!DC9</f>
        <v>199</v>
      </c>
      <c r="DN52" s="57">
        <f>'2020'!DD9</f>
        <v>55</v>
      </c>
      <c r="DO52" s="58">
        <f>'2020'!DE9</f>
        <v>5.2</v>
      </c>
      <c r="DP52" s="58">
        <f>'2020'!DF9</f>
        <v>103.2</v>
      </c>
      <c r="DQ52" s="58">
        <f>'2020'!DG9</f>
        <v>3.73</v>
      </c>
      <c r="DR52" s="58">
        <f>'2020'!DH9</f>
        <v>39</v>
      </c>
      <c r="DS52" s="57">
        <f>'2020'!DI9</f>
        <v>286</v>
      </c>
      <c r="DT52" s="57">
        <f>'2020'!DJ9</f>
        <v>2064</v>
      </c>
      <c r="DU52" s="57">
        <f>'2020'!DK9</f>
        <v>29</v>
      </c>
      <c r="DV52" s="57">
        <f>'2020'!DL9</f>
        <v>0</v>
      </c>
      <c r="DW52" s="59">
        <f>'2020'!DM9</f>
        <v>10</v>
      </c>
    </row>
    <row r="53" spans="1:127" ht="15.75" customHeight="1" x14ac:dyDescent="0.2">
      <c r="A53" s="33">
        <f t="shared" si="0"/>
        <v>51</v>
      </c>
      <c r="B53" s="11">
        <f>'2020'!A10</f>
        <v>8</v>
      </c>
      <c r="C53" s="11">
        <v>2020</v>
      </c>
      <c r="D53" s="34" t="str">
        <f>'2020'!B10</f>
        <v>A.J. Dillon</v>
      </c>
      <c r="E53" s="224" t="str" cm="1">
        <f t="array" ref="E53">_xlfn.IFS(F53&gt;=13,"Cornerstone",AND(F53&gt;=12,F53&lt;13),"Elite",AND(F53&gt;=11,F53&lt;12),"Elite Upside",AND(F53&gt;=9,F53&lt;11),"Upside",AND(F53&gt;=7,F53&lt;9),"Upside Lite",AND(F53&gt;=6,F53&lt;7),"Outlier",AND(F53&gt;=5,F53&lt;6),"Outlier Lite",F53&lt;5,"Purgatory")</f>
        <v>Upside</v>
      </c>
      <c r="F53" s="14">
        <f>'2020'!C10</f>
        <v>10.038888888888888</v>
      </c>
      <c r="G53" s="14">
        <f t="shared" si="7"/>
        <v>84.399999999999991</v>
      </c>
      <c r="H53" s="35">
        <f t="shared" si="1"/>
        <v>0.86188871036809422</v>
      </c>
      <c r="I53" s="36" t="str">
        <f>'2020'!D10</f>
        <v>Boston College</v>
      </c>
      <c r="J53" s="37">
        <f>'2020'!E10</f>
        <v>4</v>
      </c>
      <c r="K53" s="38">
        <f>'2020'!F10</f>
        <v>35917</v>
      </c>
      <c r="L53" s="39">
        <f>'2020'!G10</f>
        <v>27.424657534246574</v>
      </c>
      <c r="M53" s="39" t="str">
        <f>'2020'!H10</f>
        <v>JR</v>
      </c>
      <c r="N53" s="39">
        <f>'2020'!I10</f>
        <v>21.991780821917807</v>
      </c>
      <c r="O53" s="39" t="str">
        <f t="shared" si="2"/>
        <v>BRUISER</v>
      </c>
      <c r="P53" s="39" t="str">
        <f t="shared" si="11"/>
        <v>3DOWN</v>
      </c>
      <c r="Q53" s="37">
        <f>'2020'!J10</f>
        <v>72</v>
      </c>
      <c r="R53" s="37">
        <f>'2020'!K10</f>
        <v>247</v>
      </c>
      <c r="S53" s="39">
        <f t="shared" si="5"/>
        <v>33.498851179801122</v>
      </c>
      <c r="T53" s="37">
        <f>'2020'!L10</f>
        <v>4.53</v>
      </c>
      <c r="U53" s="40">
        <f>'2020'!M10</f>
        <v>2</v>
      </c>
      <c r="V53" s="41">
        <f>'2020'!N10</f>
        <v>0</v>
      </c>
      <c r="W53" s="42">
        <f>'2020'!O10</f>
        <v>0</v>
      </c>
      <c r="X53" s="42">
        <f>'2020'!P10</f>
        <v>0.31549742370194211</v>
      </c>
      <c r="Y53" s="42">
        <f>'2020'!Q10</f>
        <v>0.21506386175807662</v>
      </c>
      <c r="Z53" s="42">
        <f>'2020'!R10</f>
        <v>0.37166405023547883</v>
      </c>
      <c r="AA53" s="42">
        <f>'2020'!S10</f>
        <v>0.37166405023547883</v>
      </c>
      <c r="AB53" s="42">
        <f>'2020'!T10</f>
        <v>0.33449764521193093</v>
      </c>
      <c r="AC53" s="42">
        <f>'2020'!U10</f>
        <v>1.24355474673946E-2</v>
      </c>
      <c r="AD53" s="42">
        <f>'2020'!V10</f>
        <v>5.8876811594202896E-2</v>
      </c>
      <c r="AE53" s="42">
        <f>'2020'!W10</f>
        <v>5.8876811594202896E-2</v>
      </c>
      <c r="AF53" s="43">
        <f>'2020'!X10</f>
        <v>5.2989130434782608E-2</v>
      </c>
      <c r="AG53" s="44">
        <f>'2020'!Y10</f>
        <v>19.347945205479451</v>
      </c>
      <c r="AH53" s="45">
        <f>'2020'!Z10</f>
        <v>117.30975853856673</v>
      </c>
      <c r="AI53" s="45">
        <f>'2020'!AA10</f>
        <v>33.495563271604944</v>
      </c>
      <c r="AJ53" s="45">
        <f>'2020'!AB10</f>
        <v>0.25552050473186122</v>
      </c>
      <c r="AK53" s="45">
        <f>'2020'!AC10</f>
        <v>5.4</v>
      </c>
      <c r="AL53" s="45">
        <f t="shared" si="3"/>
        <v>11.238095238095237</v>
      </c>
      <c r="AM53" s="45">
        <f t="shared" si="10"/>
        <v>3.9393939393939391E-2</v>
      </c>
      <c r="AN53" s="45">
        <f>'2020'!AD10</f>
        <v>88.6</v>
      </c>
      <c r="AO53" s="45">
        <f>'2020'!AE10</f>
        <v>3.88</v>
      </c>
      <c r="AP53" s="46">
        <f>'2020'!AF10</f>
        <v>40.6</v>
      </c>
      <c r="AQ53" s="47">
        <f>'2020'!AG10</f>
        <v>9</v>
      </c>
      <c r="AR53" s="48">
        <f>'2020'!AH10</f>
        <v>5</v>
      </c>
      <c r="AS53" s="48">
        <f>'2020'!AI10</f>
        <v>7</v>
      </c>
      <c r="AT53" s="48">
        <f>IF(AH53&gt;113.25,10,IF(AH53&gt;=107.84,9,IF(AH53&gt;=105.37,8,IF(AH53&gt;=103.25,7,IF(AH53&gt;=100.55,6,IF(AH53&gt;=98.75,5,IF(AH53&gt;=96.08,4,IF(AH53&gt;=94.39,3,IF(AH53&gt;=88.43,2,IF(AH53&gt;=85.16,1,IF(AH53&lt;85.16,0,FALSE)))))))))))</f>
        <v>10</v>
      </c>
      <c r="AU53" s="48">
        <f>'2020'!AK10</f>
        <v>6</v>
      </c>
      <c r="AV53" s="48">
        <f>'2020'!AL10</f>
        <v>2</v>
      </c>
      <c r="AW53" s="48">
        <f>'2020'!AM10</f>
        <v>3</v>
      </c>
      <c r="AX53" s="48">
        <f>'2020'!AN10</f>
        <v>4</v>
      </c>
      <c r="AY53" s="49">
        <f>IF(U53=1,10,IF(U53=2,7,IF(U53=3,6,IF(U53=4,4,IF(U53=5,3,IF(U53=6,2,IF(U53=7,1,IF(U53=0,0,"-"))))))))</f>
        <v>7</v>
      </c>
      <c r="AZ53" s="50">
        <f>'2020'!AP10</f>
        <v>0</v>
      </c>
      <c r="BA53" s="56">
        <f>'2020'!AQ10</f>
        <v>0</v>
      </c>
      <c r="BB53" s="57">
        <f>'2020'!AR10</f>
        <v>2096</v>
      </c>
      <c r="BC53" s="57">
        <f>'2020'!AS10</f>
        <v>0</v>
      </c>
      <c r="BD53" s="57">
        <f>'2020'!AT10</f>
        <v>25</v>
      </c>
      <c r="BE53" s="57">
        <f>'2020'!AU10</f>
        <v>0</v>
      </c>
      <c r="BF53" s="57">
        <f>'2020'!AV10</f>
        <v>0</v>
      </c>
      <c r="BG53" s="58">
        <f>'2020'!AW10</f>
        <v>0</v>
      </c>
      <c r="BH53" s="58">
        <f>'2020'!AX10</f>
        <v>0</v>
      </c>
      <c r="BI53" s="58">
        <f>'2020'!AY10</f>
        <v>0</v>
      </c>
      <c r="BJ53" s="58">
        <f>'2020'!AZ10</f>
        <v>0</v>
      </c>
      <c r="BK53" s="57">
        <f>'2020'!BA10</f>
        <v>0</v>
      </c>
      <c r="BL53" s="57">
        <f>'2020'!BB10</f>
        <v>3038</v>
      </c>
      <c r="BM53" s="57">
        <f>'2020'!BC10</f>
        <v>0</v>
      </c>
      <c r="BN53" s="57">
        <f>'2020'!BD10</f>
        <v>0</v>
      </c>
      <c r="BO53" s="59">
        <f>'2020'!BE10</f>
        <v>20</v>
      </c>
      <c r="BP53" s="56">
        <f>'2020'!BF10</f>
        <v>0</v>
      </c>
      <c r="BQ53" s="57">
        <f>'2020'!BG10</f>
        <v>2466</v>
      </c>
      <c r="BR53" s="57">
        <f>'2020'!BH10</f>
        <v>0</v>
      </c>
      <c r="BS53" s="57">
        <f>'2020'!BI10</f>
        <v>31</v>
      </c>
      <c r="BT53" s="57">
        <f>'2020'!BJ10</f>
        <v>0</v>
      </c>
      <c r="BU53" s="57">
        <f>'2020'!BK10</f>
        <v>0</v>
      </c>
      <c r="BV53" s="58">
        <f>'2020'!BL10</f>
        <v>0</v>
      </c>
      <c r="BW53" s="58">
        <f>'2020'!BM10</f>
        <v>0</v>
      </c>
      <c r="BX53" s="58">
        <f>'2020'!BN10</f>
        <v>0</v>
      </c>
      <c r="BY53" s="58">
        <f>'2020'!BO10</f>
        <v>0</v>
      </c>
      <c r="BZ53" s="57">
        <f>'2020'!BP10</f>
        <v>0</v>
      </c>
      <c r="CA53" s="57">
        <f>'2020'!BQ10</f>
        <v>3324</v>
      </c>
      <c r="CB53" s="57">
        <f>'2020'!BR10</f>
        <v>0</v>
      </c>
      <c r="CC53" s="57">
        <f>'2020'!BS10</f>
        <v>0</v>
      </c>
      <c r="CD53" s="59">
        <f>'2020'!BT10</f>
        <v>22</v>
      </c>
      <c r="CE53" s="56">
        <f>'2020'!BU10</f>
        <v>1592</v>
      </c>
      <c r="CF53" s="57">
        <f>'2020'!BV10</f>
        <v>1773</v>
      </c>
      <c r="CG53" s="57">
        <f>'2020'!BW10</f>
        <v>14</v>
      </c>
      <c r="CH53" s="57">
        <f>'2020'!BX10</f>
        <v>15</v>
      </c>
      <c r="CI53" s="57">
        <f>'2020'!BY10</f>
        <v>299</v>
      </c>
      <c r="CJ53" s="57">
        <f>'2020'!BZ10</f>
        <v>64</v>
      </c>
      <c r="CK53" s="58">
        <f>'2020'!CA10</f>
        <v>5.3</v>
      </c>
      <c r="CL53" s="58">
        <f>'2020'!CB10</f>
        <v>83</v>
      </c>
      <c r="CM53" s="58">
        <f>'2020'!CC10</f>
        <v>3.88</v>
      </c>
      <c r="CN53" s="58">
        <f>'2020'!CD10</f>
        <v>40.6</v>
      </c>
      <c r="CO53" s="57">
        <f>'2020'!CE10</f>
        <v>0</v>
      </c>
      <c r="CP53" s="57">
        <f>'2020'!CF10</f>
        <v>3273</v>
      </c>
      <c r="CQ53" s="57">
        <f>'2020'!CG10</f>
        <v>0</v>
      </c>
      <c r="CR53" s="57">
        <f>'2020'!CH10</f>
        <v>0</v>
      </c>
      <c r="CS53" s="59">
        <f>'2020'!CI10</f>
        <v>21</v>
      </c>
      <c r="CT53" s="56">
        <f>'2020'!CJ10</f>
        <v>1104</v>
      </c>
      <c r="CU53" s="57">
        <f>'2020'!CK10</f>
        <v>2027</v>
      </c>
      <c r="CV53" s="57">
        <f>'2020'!CL10</f>
        <v>10</v>
      </c>
      <c r="CW53" s="57">
        <f>'2020'!CM10</f>
        <v>28</v>
      </c>
      <c r="CX53" s="57">
        <f>'2020'!CN10</f>
        <v>226</v>
      </c>
      <c r="CY53" s="57">
        <f>'2020'!CO10</f>
        <v>53</v>
      </c>
      <c r="CZ53" s="58">
        <f>'2020'!CP10</f>
        <v>4.9000000000000004</v>
      </c>
      <c r="DA53" s="58">
        <f>'2020'!CQ10</f>
        <v>71.900000000000006</v>
      </c>
      <c r="DB53" s="58">
        <f>'2020'!CR10</f>
        <v>3.17</v>
      </c>
      <c r="DC53" s="58">
        <f>'2020'!CS10</f>
        <v>40.1</v>
      </c>
      <c r="DD53" s="57">
        <f>'2020'!CT10</f>
        <v>41</v>
      </c>
      <c r="DE53" s="57">
        <f>'2020'!CU10</f>
        <v>3297</v>
      </c>
      <c r="DF53" s="57">
        <f>'2020'!CV10</f>
        <v>8</v>
      </c>
      <c r="DG53" s="57">
        <f>'2020'!CW10</f>
        <v>0</v>
      </c>
      <c r="DH53" s="59">
        <f>'2020'!CX10</f>
        <v>20</v>
      </c>
      <c r="DI53" s="56">
        <f>'2020'!CY10</f>
        <v>1699</v>
      </c>
      <c r="DJ53" s="57">
        <f>'2020'!CZ10</f>
        <v>1784</v>
      </c>
      <c r="DK53" s="57">
        <f>'2020'!DA10</f>
        <v>14</v>
      </c>
      <c r="DL53" s="57">
        <f>'2020'!DB10</f>
        <v>16</v>
      </c>
      <c r="DM53" s="57">
        <f>'2020'!DC10</f>
        <v>317</v>
      </c>
      <c r="DN53" s="57">
        <f>'2020'!DD10</f>
        <v>81</v>
      </c>
      <c r="DO53" s="58">
        <f>'2020'!DE10</f>
        <v>5.4</v>
      </c>
      <c r="DP53" s="58">
        <f>'2020'!DF10</f>
        <v>88.6</v>
      </c>
      <c r="DQ53" s="58">
        <f>'2020'!DG10</f>
        <v>3.48</v>
      </c>
      <c r="DR53" s="58">
        <f>'2020'!DH10</f>
        <v>31.7</v>
      </c>
      <c r="DS53" s="57">
        <f>'2020'!DI10</f>
        <v>195</v>
      </c>
      <c r="DT53" s="57">
        <f>'2020'!DJ10</f>
        <v>3312</v>
      </c>
      <c r="DU53" s="57">
        <f>'2020'!DK10</f>
        <v>13</v>
      </c>
      <c r="DV53" s="57">
        <f>'2020'!DL10</f>
        <v>0</v>
      </c>
      <c r="DW53" s="59">
        <f>'2020'!DM10</f>
        <v>26</v>
      </c>
    </row>
    <row r="54" spans="1:127" ht="15.75" customHeight="1" x14ac:dyDescent="0.2">
      <c r="A54" s="33">
        <f t="shared" si="0"/>
        <v>52</v>
      </c>
      <c r="B54" s="11">
        <f>'2024'!A5</f>
        <v>3</v>
      </c>
      <c r="C54" s="11">
        <v>2024</v>
      </c>
      <c r="D54" s="34" t="str">
        <f>'2024'!B5</f>
        <v>Braelon Allen</v>
      </c>
      <c r="E54" s="224" t="str" cm="1">
        <f t="array" ref="E54">_xlfn.IFS(F54&gt;=13,"Cornerstone",AND(F54&gt;=12,F54&lt;13),"Elite",AND(F54&gt;=11,F54&lt;12),"Elite Upside",AND(F54&gt;=9,F54&lt;11),"Upside",AND(F54&gt;=7,F54&lt;9),"Upside Lite",AND(F54&gt;=6,F54&lt;7),"Outlier",AND(F54&gt;=5,F54&lt;6),"Outlier Lite",F54&lt;5,"Purgatory")</f>
        <v>Upside</v>
      </c>
      <c r="F54" s="14">
        <f>'2024'!C5</f>
        <v>9.9944444444444454</v>
      </c>
      <c r="G54" s="14">
        <f t="shared" si="7"/>
        <v>84</v>
      </c>
      <c r="H54" s="35">
        <f t="shared" si="1"/>
        <v>0.84307870751299996</v>
      </c>
      <c r="I54" s="36" t="str">
        <f>'2024'!D5</f>
        <v>Wisconsin</v>
      </c>
      <c r="J54" s="37">
        <f>'2024'!E5</f>
        <v>2</v>
      </c>
      <c r="K54" s="38">
        <f>'2024'!F5</f>
        <v>38006</v>
      </c>
      <c r="L54" s="39">
        <f>'2024'!G5</f>
        <v>21.701369863013699</v>
      </c>
      <c r="M54" s="39" t="str">
        <f>'2024'!H5</f>
        <v>JR</v>
      </c>
      <c r="N54" s="39">
        <f>'2024'!I5</f>
        <v>20.282191780821918</v>
      </c>
      <c r="O54" s="39" t="str">
        <f t="shared" si="2"/>
        <v>BRUISER</v>
      </c>
      <c r="P54" s="39" t="str">
        <f t="shared" si="11"/>
        <v>3DOWN</v>
      </c>
      <c r="Q54" s="37">
        <f>'2024'!J5</f>
        <v>74</v>
      </c>
      <c r="R54" s="37">
        <f>'2024'!K5</f>
        <v>245</v>
      </c>
      <c r="S54" s="39">
        <f t="shared" si="5"/>
        <v>31.455790084699235</v>
      </c>
      <c r="T54" s="37">
        <f>'2024'!L5</f>
        <v>4.59</v>
      </c>
      <c r="U54" s="40">
        <f>'2024'!M5</f>
        <v>4</v>
      </c>
      <c r="V54" s="41">
        <f>'2024'!N5</f>
        <v>0</v>
      </c>
      <c r="W54" s="42">
        <f>'2024'!O5</f>
        <v>0</v>
      </c>
      <c r="X54" s="42">
        <f>'2024'!P5</f>
        <v>0.29109435317353444</v>
      </c>
      <c r="Y54" s="42">
        <f>'2024'!Q5</f>
        <v>0.30848918225155841</v>
      </c>
      <c r="Z54" s="42">
        <f>'2024'!R5</f>
        <v>0.26542974339406661</v>
      </c>
      <c r="AA54" s="42">
        <f>'2024'!S5</f>
        <v>0.28695946282281248</v>
      </c>
      <c r="AB54" s="42">
        <f>'2024'!T5</f>
        <v>0.28695946282281248</v>
      </c>
      <c r="AC54" s="42">
        <f>'2024'!U5</f>
        <v>4.7152702212549864E-2</v>
      </c>
      <c r="AD54" s="42">
        <f>'2024'!V5</f>
        <v>5.4083064982247547E-2</v>
      </c>
      <c r="AE54" s="42">
        <f>'2024'!W5</f>
        <v>5.4083064982247547E-2</v>
      </c>
      <c r="AF54" s="43">
        <f>'2024'!X5</f>
        <v>5.4083064982247547E-2</v>
      </c>
      <c r="AG54" s="44">
        <f>'2024'!Y5</f>
        <v>17.624657534246577</v>
      </c>
      <c r="AH54" s="45">
        <f>'2024'!Z5</f>
        <v>110.3939664692558</v>
      </c>
      <c r="AI54" s="45">
        <f>'2024'!AA5</f>
        <v>31.452702702702705</v>
      </c>
      <c r="AJ54" s="45">
        <f>'2024'!AB5</f>
        <v>0.27071823204419887</v>
      </c>
      <c r="AK54" s="45">
        <f>'2024'!AC5</f>
        <v>5.4</v>
      </c>
      <c r="AL54" s="45">
        <f t="shared" si="3"/>
        <v>5.591836734693878</v>
      </c>
      <c r="AM54" s="45">
        <f t="shared" si="10"/>
        <v>0.13397129186602871</v>
      </c>
      <c r="AN54" s="45">
        <f>'2024'!AD5</f>
        <v>109.1</v>
      </c>
      <c r="AO54" s="45">
        <f>'2024'!AE5</f>
        <v>4.4800000000000004</v>
      </c>
      <c r="AP54" s="46">
        <f>'2024'!AF5</f>
        <v>47.9</v>
      </c>
      <c r="AQ54" s="47">
        <f>'2024'!AG5</f>
        <v>8</v>
      </c>
      <c r="AR54" s="48">
        <f>'2024'!AH5</f>
        <v>6</v>
      </c>
      <c r="AS54" s="48">
        <f>'2024'!AI5</f>
        <v>10</v>
      </c>
      <c r="AT54" s="48">
        <f>'2024'!AJ5</f>
        <v>9</v>
      </c>
      <c r="AU54" s="48">
        <f>'2024'!AK5</f>
        <v>7</v>
      </c>
      <c r="AV54" s="48">
        <f>'2024'!AL5</f>
        <v>2</v>
      </c>
      <c r="AW54" s="48">
        <f>'2024'!AM5</f>
        <v>5</v>
      </c>
      <c r="AX54" s="48">
        <f>'2024'!AN5</f>
        <v>7</v>
      </c>
      <c r="AY54" s="49">
        <f>'2024'!AO5</f>
        <v>4</v>
      </c>
      <c r="AZ54" s="50">
        <f>'2024'!AP5</f>
        <v>0.25</v>
      </c>
      <c r="BA54" s="56">
        <f>'2024'!AQ5</f>
        <v>0</v>
      </c>
      <c r="BB54" s="57">
        <f>'2024'!AR5</f>
        <v>1</v>
      </c>
      <c r="BC54" s="57">
        <f>'2024'!AS5</f>
        <v>0</v>
      </c>
      <c r="BD54" s="57">
        <f>'2024'!AT5</f>
        <v>0</v>
      </c>
      <c r="BE54" s="57">
        <f>'2024'!AU5</f>
        <v>0</v>
      </c>
      <c r="BF54" s="57">
        <f>'2024'!AV5</f>
        <v>0</v>
      </c>
      <c r="BG54" s="58">
        <f>'2024'!AW5</f>
        <v>0</v>
      </c>
      <c r="BH54" s="58">
        <f>'2024'!AX5</f>
        <v>0</v>
      </c>
      <c r="BI54" s="58">
        <f>'2024'!AY5</f>
        <v>0</v>
      </c>
      <c r="BJ54" s="58">
        <f>'2024'!AZ5</f>
        <v>0</v>
      </c>
      <c r="BK54" s="57">
        <f>'2024'!BA5</f>
        <v>0</v>
      </c>
      <c r="BL54" s="57">
        <f>'2024'!BB5</f>
        <v>1</v>
      </c>
      <c r="BM54" s="57">
        <f>'2024'!BC5</f>
        <v>0</v>
      </c>
      <c r="BN54" s="57">
        <f>'2024'!BD5</f>
        <v>0</v>
      </c>
      <c r="BO54" s="59">
        <f>'2024'!BE5</f>
        <v>0</v>
      </c>
      <c r="BP54" s="56">
        <f>'2024'!BF5</f>
        <v>0</v>
      </c>
      <c r="BQ54" s="57">
        <f>'2024'!BG5</f>
        <v>1</v>
      </c>
      <c r="BR54" s="57">
        <f>'2024'!BH5</f>
        <v>0</v>
      </c>
      <c r="BS54" s="57">
        <f>'2024'!BI5</f>
        <v>0</v>
      </c>
      <c r="BT54" s="57">
        <f>'2024'!BJ5</f>
        <v>0</v>
      </c>
      <c r="BU54" s="57">
        <f>'2024'!BK5</f>
        <v>0</v>
      </c>
      <c r="BV54" s="58">
        <f>'2024'!BL5</f>
        <v>0</v>
      </c>
      <c r="BW54" s="58">
        <f>'2024'!BM5</f>
        <v>0</v>
      </c>
      <c r="BX54" s="58">
        <f>'2024'!BN5</f>
        <v>0</v>
      </c>
      <c r="BY54" s="58">
        <f>'2024'!BO5</f>
        <v>0</v>
      </c>
      <c r="BZ54" s="57">
        <f>'2024'!BP5</f>
        <v>0</v>
      </c>
      <c r="CA54" s="57">
        <f>'2024'!BQ5</f>
        <v>1</v>
      </c>
      <c r="CB54" s="57">
        <f>'2024'!BR5</f>
        <v>0</v>
      </c>
      <c r="CC54" s="57">
        <f>'2024'!BS5</f>
        <v>0</v>
      </c>
      <c r="CD54" s="59">
        <f>'2024'!BT5</f>
        <v>0</v>
      </c>
      <c r="CE54" s="56">
        <f>'2024'!BU5</f>
        <v>1258</v>
      </c>
      <c r="CF54" s="57">
        <f>'2024'!BV5</f>
        <v>2533.1999999999998</v>
      </c>
      <c r="CG54" s="57">
        <f>'2024'!BW5</f>
        <v>12</v>
      </c>
      <c r="CH54" s="57">
        <f>'2024'!BX5</f>
        <v>24</v>
      </c>
      <c r="CI54" s="57">
        <f>'2024'!BY5</f>
        <v>185</v>
      </c>
      <c r="CJ54" s="57">
        <f>'2024'!BZ5</f>
        <v>45</v>
      </c>
      <c r="CK54" s="58">
        <f>'2024'!CA5</f>
        <v>6.8</v>
      </c>
      <c r="CL54" s="58">
        <f>'2024'!CB5</f>
        <v>109.1</v>
      </c>
      <c r="CM54" s="58">
        <f>'2024'!CC5</f>
        <v>4.4800000000000004</v>
      </c>
      <c r="CN54" s="58">
        <f>'2024'!CD5</f>
        <v>47.9</v>
      </c>
      <c r="CO54" s="57">
        <f>'2024'!CE5</f>
        <v>39</v>
      </c>
      <c r="CP54" s="57">
        <f>'2024'!CF5</f>
        <v>1922.3999999999999</v>
      </c>
      <c r="CQ54" s="57">
        <f>'2024'!CG5</f>
        <v>8</v>
      </c>
      <c r="CR54" s="57">
        <f>'2024'!CH5</f>
        <v>0</v>
      </c>
      <c r="CS54" s="59">
        <f>'2024'!CI5</f>
        <v>9.6000000000000014</v>
      </c>
      <c r="CT54" s="56">
        <f>'2024'!CJ5</f>
        <v>1242</v>
      </c>
      <c r="CU54" s="57">
        <f>'2024'!CK5</f>
        <v>2157.6000000000004</v>
      </c>
      <c r="CV54" s="57">
        <f>'2024'!CL5</f>
        <v>11</v>
      </c>
      <c r="CW54" s="57">
        <f>'2024'!CM5</f>
        <v>19.200000000000003</v>
      </c>
      <c r="CX54" s="57">
        <f>'2024'!CN5</f>
        <v>230</v>
      </c>
      <c r="CY54" s="57">
        <f>'2024'!CO5</f>
        <v>51</v>
      </c>
      <c r="CZ54" s="58">
        <f>'2024'!CP5</f>
        <v>5.4</v>
      </c>
      <c r="DA54" s="58">
        <f>'2024'!CQ5</f>
        <v>64.8</v>
      </c>
      <c r="DB54" s="58">
        <f>'2024'!CR5</f>
        <v>2.92</v>
      </c>
      <c r="DC54" s="58">
        <f>'2024'!CS5</f>
        <v>40.299999999999997</v>
      </c>
      <c r="DD54" s="57">
        <f>'2024'!CT5</f>
        <v>104</v>
      </c>
      <c r="DE54" s="57">
        <f>'2024'!CU5</f>
        <v>2205.6000000000004</v>
      </c>
      <c r="DF54" s="57">
        <f>'2024'!CV5</f>
        <v>13</v>
      </c>
      <c r="DG54" s="57">
        <f>'2024'!CW5</f>
        <v>0</v>
      </c>
      <c r="DH54" s="59">
        <f>'2024'!CX5</f>
        <v>19.200000000000003</v>
      </c>
      <c r="DI54" s="56">
        <f>'2024'!CY5</f>
        <v>982</v>
      </c>
      <c r="DJ54" s="57">
        <f>'2024'!CZ5</f>
        <v>1771</v>
      </c>
      <c r="DK54" s="57">
        <f>'2024'!DA5</f>
        <v>12</v>
      </c>
      <c r="DL54" s="57">
        <f>'2024'!DB5</f>
        <v>18.7</v>
      </c>
      <c r="DM54" s="57">
        <f>'2024'!DC5</f>
        <v>181</v>
      </c>
      <c r="DN54" s="57">
        <f>'2024'!DD5</f>
        <v>49</v>
      </c>
      <c r="DO54" s="58">
        <f>'2024'!DE5</f>
        <v>5.4</v>
      </c>
      <c r="DP54" s="58">
        <f>'2024'!DF5</f>
        <v>99.2</v>
      </c>
      <c r="DQ54" s="58">
        <f>'2024'!DG5</f>
        <v>3.77</v>
      </c>
      <c r="DR54" s="58">
        <f>'2024'!DH5</f>
        <v>40.4</v>
      </c>
      <c r="DS54" s="57">
        <f>'2024'!DI5</f>
        <v>131</v>
      </c>
      <c r="DT54" s="57">
        <f>'2024'!DJ5</f>
        <v>2422.1999999999998</v>
      </c>
      <c r="DU54" s="57">
        <f>'2024'!DK5</f>
        <v>28</v>
      </c>
      <c r="DV54" s="57">
        <f>'2024'!DL5</f>
        <v>0</v>
      </c>
      <c r="DW54" s="59">
        <f>'2024'!DM5</f>
        <v>12.100000000000001</v>
      </c>
    </row>
    <row r="55" spans="1:127" ht="15.75" customHeight="1" x14ac:dyDescent="0.2">
      <c r="A55" s="33">
        <f t="shared" si="0"/>
        <v>53</v>
      </c>
      <c r="B55" s="11">
        <f>'2025'!A10</f>
        <v>7</v>
      </c>
      <c r="C55" s="11">
        <v>2025</v>
      </c>
      <c r="D55" s="34" t="str">
        <f>'2025'!B10</f>
        <v>Cam Skattebo</v>
      </c>
      <c r="E55" s="224" t="str" cm="1">
        <f t="array" ref="E55">_xlfn.IFS(F55&gt;=13,"Cornerstone",AND(F55&gt;=12,F55&lt;13),"Elite",AND(F55&gt;=11,F55&lt;12),"Elite Upside",AND(F55&gt;=9,F55&lt;11),"Upside",AND(F55&gt;=7,F55&lt;9),"Upside Lite",AND(F55&gt;=6,F55&lt;7),"Outlier",AND(F55&gt;=5,F55&lt;6),"Outlier Lite",F55&lt;5,"Purgatory")</f>
        <v>Upside</v>
      </c>
      <c r="F55" s="14">
        <f>'2025'!C10</f>
        <v>9.9277777777777771</v>
      </c>
      <c r="G55" s="14">
        <f t="shared" si="7"/>
        <v>83.399999999999991</v>
      </c>
      <c r="H55" s="35">
        <f t="shared" si="1"/>
        <v>0.81486370323035662</v>
      </c>
      <c r="I55" s="36" t="str">
        <f>'2025'!D10</f>
        <v>Arizona State</v>
      </c>
      <c r="J55" s="37">
        <f>'2025'!E10</f>
        <v>3</v>
      </c>
      <c r="K55" s="38">
        <f>'2025'!F10</f>
        <v>37292</v>
      </c>
      <c r="L55" s="39">
        <f>'2025'!G10</f>
        <v>23.657534246575342</v>
      </c>
      <c r="M55" s="39" t="str">
        <f>'2025'!H10</f>
        <v>SR</v>
      </c>
      <c r="N55" s="39">
        <f>'2025'!I10</f>
        <v>23.238356164383561</v>
      </c>
      <c r="O55" s="39" t="str">
        <f t="shared" si="2"/>
        <v>BELL CALF</v>
      </c>
      <c r="P55" s="39" t="str">
        <f t="shared" si="11"/>
        <v>3DOWN</v>
      </c>
      <c r="Q55" s="37">
        <f>'2025'!J10</f>
        <v>69</v>
      </c>
      <c r="R55" s="37">
        <f>'2025'!K10</f>
        <v>219</v>
      </c>
      <c r="S55" s="39">
        <f t="shared" si="5"/>
        <v>32.340288247054126</v>
      </c>
      <c r="T55" s="37">
        <f>'2025'!L10</f>
        <v>4.57</v>
      </c>
      <c r="U55" s="40">
        <f>'2025'!M10</f>
        <v>4</v>
      </c>
      <c r="V55" s="41">
        <f>'2025'!N10</f>
        <v>0</v>
      </c>
      <c r="W55" s="42">
        <f>'2025'!O10</f>
        <v>0.16255503823709103</v>
      </c>
      <c r="X55" s="42">
        <f>'2025'!P10</f>
        <v>0.26395631067961167</v>
      </c>
      <c r="Y55" s="42">
        <f>'2025'!Q10</f>
        <v>0.2660709853561678</v>
      </c>
      <c r="Z55" s="42">
        <f>'2025'!R10</f>
        <v>0.40396259539249751</v>
      </c>
      <c r="AA55" s="42">
        <f>'2025'!S10</f>
        <v>0.40396259539249751</v>
      </c>
      <c r="AB55" s="42">
        <f>'2025'!T10</f>
        <v>0.36356633585324777</v>
      </c>
      <c r="AC55" s="42">
        <f>'2025'!U10</f>
        <v>0.1133122028526149</v>
      </c>
      <c r="AD55" s="42">
        <f>'2025'!V10</f>
        <v>0.18200100553041729</v>
      </c>
      <c r="AE55" s="42">
        <f>'2025'!W10</f>
        <v>0.18200100553041729</v>
      </c>
      <c r="AF55" s="43">
        <f>'2025'!X10</f>
        <v>0.16380090497737557</v>
      </c>
      <c r="AG55" s="44">
        <f>'2025'!Y10</f>
        <v>19.580821917808219</v>
      </c>
      <c r="AH55" s="45">
        <f>'2025'!Z10</f>
        <v>100.41747809719602</v>
      </c>
      <c r="AI55" s="45">
        <f>'2025'!AA10</f>
        <v>32.337114051669815</v>
      </c>
      <c r="AJ55" s="45">
        <f>'2025'!AB10</f>
        <v>0.35714285714285715</v>
      </c>
      <c r="AK55" s="45">
        <f>'2025'!AC10</f>
        <v>5.8231292517006805</v>
      </c>
      <c r="AL55" s="45">
        <f t="shared" si="3"/>
        <v>11.918918918918919</v>
      </c>
      <c r="AM55" s="45">
        <f t="shared" si="10"/>
        <v>0.13017751479289941</v>
      </c>
      <c r="AN55" s="45">
        <f>'2025'!AD10</f>
        <v>164.2</v>
      </c>
      <c r="AO55" s="45">
        <f>'2025'!AE10</f>
        <v>4.09</v>
      </c>
      <c r="AP55" s="46">
        <f>'2025'!AF10</f>
        <v>40.799999999999997</v>
      </c>
      <c r="AQ55" s="47">
        <f>'2025'!AG10</f>
        <v>10</v>
      </c>
      <c r="AR55" s="48">
        <f>'2025'!AH10</f>
        <v>10</v>
      </c>
      <c r="AS55" s="48">
        <f>'2025'!AI10</f>
        <v>6</v>
      </c>
      <c r="AT55" s="48">
        <f>'2025'!AJ10</f>
        <v>5</v>
      </c>
      <c r="AU55" s="48">
        <f>'2025'!AK10</f>
        <v>9</v>
      </c>
      <c r="AV55" s="48">
        <f>'2025'!AL10</f>
        <v>4</v>
      </c>
      <c r="AW55" s="48">
        <f>'2025'!AM10</f>
        <v>8</v>
      </c>
      <c r="AX55" s="48">
        <f>'2025'!AN10</f>
        <v>5</v>
      </c>
      <c r="AY55" s="49">
        <f>'2025'!AO10</f>
        <v>4</v>
      </c>
      <c r="AZ55" s="50">
        <f>'2025'!AP10</f>
        <v>0</v>
      </c>
      <c r="BA55" s="56">
        <f>'2025'!AQ10</f>
        <v>0</v>
      </c>
      <c r="BB55" s="57">
        <f>'2025'!AR10</f>
        <v>1</v>
      </c>
      <c r="BC55" s="57">
        <f>'2025'!AS10</f>
        <v>0</v>
      </c>
      <c r="BD55" s="57">
        <f>'2025'!AT10</f>
        <v>0</v>
      </c>
      <c r="BE55" s="57">
        <f>'2025'!AU10</f>
        <v>0</v>
      </c>
      <c r="BF55" s="57">
        <f>'2025'!AV10</f>
        <v>0</v>
      </c>
      <c r="BG55" s="58">
        <f>'2025'!AW10</f>
        <v>0</v>
      </c>
      <c r="BH55" s="58">
        <f>'2025'!AX10</f>
        <v>0</v>
      </c>
      <c r="BI55" s="58">
        <f>'2025'!AY10</f>
        <v>0</v>
      </c>
      <c r="BJ55" s="58">
        <f>'2025'!AZ10</f>
        <v>0</v>
      </c>
      <c r="BK55" s="57">
        <f>'2025'!BA10</f>
        <v>0</v>
      </c>
      <c r="BL55" s="57">
        <f>'2025'!BB10</f>
        <v>0</v>
      </c>
      <c r="BM55" s="57">
        <f>'2025'!BC10</f>
        <v>0</v>
      </c>
      <c r="BN55" s="57">
        <f>'2025'!BD10</f>
        <v>0</v>
      </c>
      <c r="BO55" s="59">
        <f>'2025'!BE10</f>
        <v>0</v>
      </c>
      <c r="BP55" s="56">
        <f>'2025'!BF10</f>
        <v>520</v>
      </c>
      <c r="BQ55" s="57">
        <f>'2025'!BG10</f>
        <v>1628.25</v>
      </c>
      <c r="BR55" s="57">
        <f>'2025'!BH10</f>
        <v>6</v>
      </c>
      <c r="BS55" s="57">
        <f>'2025'!BI10</f>
        <v>15.75</v>
      </c>
      <c r="BT55" s="57">
        <f>'2025'!BJ10</f>
        <v>57</v>
      </c>
      <c r="BU55" s="57">
        <f>'2025'!BK10</f>
        <v>34</v>
      </c>
      <c r="BV55" s="58">
        <f>'2025'!BL10</f>
        <v>9.1228070175438596</v>
      </c>
      <c r="BW55" s="58">
        <f>'2025'!BM10</f>
        <v>356</v>
      </c>
      <c r="BX55" s="58">
        <f>'2025'!BN10</f>
        <v>6.14</v>
      </c>
      <c r="BY55" s="58">
        <f>'2025'!BO10</f>
        <v>40.4</v>
      </c>
      <c r="BZ55" s="57">
        <f>'2025'!BP10</f>
        <v>123</v>
      </c>
      <c r="CA55" s="57">
        <f>'2025'!BQ10</f>
        <v>2327.3333333333335</v>
      </c>
      <c r="CB55" s="57">
        <f>'2025'!BR10</f>
        <v>12</v>
      </c>
      <c r="CC55" s="57">
        <f>'2025'!BS10</f>
        <v>1</v>
      </c>
      <c r="CD55" s="59">
        <f>'2025'!BT10</f>
        <v>13.333333333333334</v>
      </c>
      <c r="CE55" s="56">
        <f>'2025'!BU10</f>
        <v>1369</v>
      </c>
      <c r="CF55" s="57">
        <f>'2025'!BV10</f>
        <v>3253</v>
      </c>
      <c r="CG55" s="57">
        <f>'2025'!BW10</f>
        <v>7</v>
      </c>
      <c r="CH55" s="57">
        <f>'2025'!BX10</f>
        <v>18</v>
      </c>
      <c r="CI55" s="57">
        <f>'2025'!BY10</f>
        <v>196</v>
      </c>
      <c r="CJ55" s="57">
        <f>'2025'!BZ10</f>
        <v>70</v>
      </c>
      <c r="CK55" s="58">
        <f>'2025'!CA10</f>
        <v>6.9846938775510203</v>
      </c>
      <c r="CL55" s="58">
        <f>'2025'!CB10</f>
        <v>164.2</v>
      </c>
      <c r="CM55" s="58">
        <f>'2025'!CC10</f>
        <v>3.88</v>
      </c>
      <c r="CN55" s="58">
        <f>'2025'!CD10</f>
        <v>40.799999999999997</v>
      </c>
      <c r="CO55" s="57">
        <f>'2025'!CE10</f>
        <v>371</v>
      </c>
      <c r="CP55" s="57">
        <f>'2025'!CF10</f>
        <v>3339.0000000000005</v>
      </c>
      <c r="CQ55" s="57">
        <f>'2025'!CG10</f>
        <v>31</v>
      </c>
      <c r="CR55" s="57">
        <f>'2025'!CH10</f>
        <v>3</v>
      </c>
      <c r="CS55" s="59">
        <f>'2025'!CI10</f>
        <v>31</v>
      </c>
      <c r="CT55" s="56">
        <f>'2025'!CJ10</f>
        <v>786</v>
      </c>
      <c r="CU55" s="57">
        <f>'2025'!CK10</f>
        <v>1505</v>
      </c>
      <c r="CV55" s="57">
        <f>'2025'!CL10</f>
        <v>9</v>
      </c>
      <c r="CW55" s="57">
        <f>'2025'!CM10</f>
        <v>17</v>
      </c>
      <c r="CX55" s="57">
        <f>'2025'!CN10</f>
        <v>164</v>
      </c>
      <c r="CY55" s="57">
        <f>'2025'!CO10</f>
        <v>55</v>
      </c>
      <c r="CZ55" s="58">
        <f>'2025'!CP10</f>
        <v>4.7926829268292686</v>
      </c>
      <c r="DA55" s="58">
        <f>'2025'!CQ10</f>
        <v>107.3</v>
      </c>
      <c r="DB55" s="58">
        <f>'2025'!CR10</f>
        <v>3.01</v>
      </c>
      <c r="DC55" s="58">
        <f>'2025'!CS10</f>
        <v>18.600000000000001</v>
      </c>
      <c r="DD55" s="57">
        <f>'2025'!CT10</f>
        <v>286</v>
      </c>
      <c r="DE55" s="57">
        <f>'2025'!CU10</f>
        <v>2524</v>
      </c>
      <c r="DF55" s="57">
        <f>'2025'!CV10</f>
        <v>24</v>
      </c>
      <c r="DG55" s="57">
        <f>'2025'!CW10</f>
        <v>1</v>
      </c>
      <c r="DH55" s="59">
        <f>'2025'!CX10</f>
        <v>8</v>
      </c>
      <c r="DI55" s="56">
        <f>'2025'!CY10</f>
        <v>1712</v>
      </c>
      <c r="DJ55" s="57">
        <f>'2025'!CZ10</f>
        <v>2598.7000000000003</v>
      </c>
      <c r="DK55" s="57">
        <f>'2025'!DA10</f>
        <v>21</v>
      </c>
      <c r="DL55" s="57">
        <f>'2025'!DB10</f>
        <v>23.1</v>
      </c>
      <c r="DM55" s="57">
        <f>'2025'!DC10</f>
        <v>294</v>
      </c>
      <c r="DN55" s="57">
        <f>'2025'!DD10</f>
        <v>102</v>
      </c>
      <c r="DO55" s="58">
        <f>'2025'!DE10</f>
        <v>5.8231292517006805</v>
      </c>
      <c r="DP55" s="58">
        <f>'2025'!DF10</f>
        <v>139.1</v>
      </c>
      <c r="DQ55" s="58">
        <f>'2025'!DG10</f>
        <v>4.09</v>
      </c>
      <c r="DR55" s="58">
        <f>'2025'!DH10</f>
        <v>34.9</v>
      </c>
      <c r="DS55" s="57">
        <f>'2025'!DI10</f>
        <v>543</v>
      </c>
      <c r="DT55" s="57">
        <f>'2025'!DJ10</f>
        <v>2983.5</v>
      </c>
      <c r="DU55" s="57">
        <f>'2025'!DK10</f>
        <v>44</v>
      </c>
      <c r="DV55" s="57">
        <f>'2025'!DL10</f>
        <v>3</v>
      </c>
      <c r="DW55" s="59">
        <f>'2025'!DM10</f>
        <v>19.8</v>
      </c>
    </row>
    <row r="56" spans="1:127" ht="15.75" customHeight="1" x14ac:dyDescent="0.2">
      <c r="A56" s="33">
        <f t="shared" si="0"/>
        <v>53</v>
      </c>
      <c r="B56" s="11">
        <f>'2025'!A9</f>
        <v>7</v>
      </c>
      <c r="C56" s="11">
        <v>2025</v>
      </c>
      <c r="D56" s="34" t="str">
        <f>'2025'!B9</f>
        <v>Bhayshul Tuten</v>
      </c>
      <c r="E56" s="224" t="str" cm="1">
        <f t="array" ref="E56">_xlfn.IFS(F56&gt;=13,"Cornerstone",AND(F56&gt;=12,F56&lt;13),"Elite",AND(F56&gt;=11,F56&lt;12),"Elite Upside",AND(F56&gt;=9,F56&lt;11),"Upside",AND(F56&gt;=7,F56&lt;9),"Upside Lite",AND(F56&gt;=6,F56&lt;7),"Outlier",AND(F56&gt;=5,F56&lt;6),"Outlier Lite",F56&lt;5,"Purgatory")</f>
        <v>Upside</v>
      </c>
      <c r="F56" s="14">
        <f>'2025'!C9</f>
        <v>9.9277777777777771</v>
      </c>
      <c r="G56" s="14">
        <f t="shared" si="7"/>
        <v>83.399999999999991</v>
      </c>
      <c r="H56" s="35">
        <f t="shared" si="1"/>
        <v>0.81486370323035662</v>
      </c>
      <c r="I56" s="36" t="str">
        <f>'2025'!D9</f>
        <v>Virginia Tech</v>
      </c>
      <c r="J56" s="37">
        <f>'2025'!E9</f>
        <v>3</v>
      </c>
      <c r="K56" s="38">
        <f>'2025'!F9</f>
        <v>37666</v>
      </c>
      <c r="L56" s="39">
        <f>'2025'!G9</f>
        <v>22.632876712328766</v>
      </c>
      <c r="M56" s="39" t="str">
        <f>'2025'!H9</f>
        <v>SR</v>
      </c>
      <c r="N56" s="39">
        <f>'2025'!I9</f>
        <v>22.213698630136985</v>
      </c>
      <c r="O56" s="39" t="str">
        <f t="shared" si="2"/>
        <v>JITTERBUG</v>
      </c>
      <c r="P56" s="39" t="str">
        <f t="shared" si="11"/>
        <v>+RECEIVER</v>
      </c>
      <c r="Q56" s="37">
        <f>'2025'!J9</f>
        <v>69</v>
      </c>
      <c r="R56" s="37">
        <f>'2025'!K9</f>
        <v>200</v>
      </c>
      <c r="S56" s="39">
        <f t="shared" si="5"/>
        <v>29.534509814661302</v>
      </c>
      <c r="T56" s="37">
        <f>'2025'!L9</f>
        <v>4.32</v>
      </c>
      <c r="U56" s="40">
        <f>'2025'!M9</f>
        <v>4</v>
      </c>
      <c r="V56" s="41">
        <f>'2025'!N9</f>
        <v>0</v>
      </c>
      <c r="W56" s="42">
        <f>'2025'!O9</f>
        <v>0.109375</v>
      </c>
      <c r="X56" s="42">
        <f>'2025'!P9</f>
        <v>0.38098434004474274</v>
      </c>
      <c r="Y56" s="42">
        <f>'2025'!Q9</f>
        <v>0.21652421652421652</v>
      </c>
      <c r="Z56" s="42">
        <f>'2025'!R9</f>
        <v>0.30426615255326511</v>
      </c>
      <c r="AA56" s="42">
        <f>'2025'!S9</f>
        <v>0.34262524629900393</v>
      </c>
      <c r="AB56" s="42">
        <f>'2025'!T9</f>
        <v>0.30836272166910356</v>
      </c>
      <c r="AC56" s="42">
        <f>'2025'!U9</f>
        <v>8.6571831737919991E-2</v>
      </c>
      <c r="AD56" s="42">
        <f>'2025'!V9</f>
        <v>3.8878755879811842E-2</v>
      </c>
      <c r="AE56" s="42">
        <f>'2025'!W9</f>
        <v>6.272529380886592E-2</v>
      </c>
      <c r="AF56" s="43">
        <f>'2025'!X9</f>
        <v>5.6452764427979328E-2</v>
      </c>
      <c r="AG56" s="44">
        <f>'2025'!Y9</f>
        <v>19.56986301369863</v>
      </c>
      <c r="AH56" s="45">
        <f>'2025'!Z9</f>
        <v>114.84841449944582</v>
      </c>
      <c r="AI56" s="45">
        <f>'2025'!AA9</f>
        <v>29.531611006091154</v>
      </c>
      <c r="AJ56" s="45">
        <f>'2025'!AB9</f>
        <v>0.39428571428571429</v>
      </c>
      <c r="AK56" s="45">
        <f>'2025'!AC9</f>
        <v>6.2841530054644812</v>
      </c>
      <c r="AL56" s="45">
        <f t="shared" si="3"/>
        <v>9.9425287356321839</v>
      </c>
      <c r="AM56" s="45">
        <f t="shared" si="10"/>
        <v>0.11165048543689321</v>
      </c>
      <c r="AN56" s="45">
        <f>'2025'!AD9</f>
        <v>157</v>
      </c>
      <c r="AO56" s="45">
        <f>'2025'!AE9</f>
        <v>4.4000000000000004</v>
      </c>
      <c r="AP56" s="46">
        <f>'2025'!AF9</f>
        <v>54</v>
      </c>
      <c r="AQ56" s="47">
        <f>'2025'!AG9</f>
        <v>8</v>
      </c>
      <c r="AR56" s="48">
        <f>'2025'!AH9</f>
        <v>6</v>
      </c>
      <c r="AS56" s="48">
        <f>'2025'!AI9</f>
        <v>6</v>
      </c>
      <c r="AT56" s="48">
        <f>'2025'!AJ9</f>
        <v>10</v>
      </c>
      <c r="AU56" s="48">
        <f>'2025'!AK9</f>
        <v>10</v>
      </c>
      <c r="AV56" s="48">
        <f>'2025'!AL9</f>
        <v>5</v>
      </c>
      <c r="AW56" s="48">
        <f>'2025'!AM9</f>
        <v>8</v>
      </c>
      <c r="AX56" s="48">
        <f>'2025'!AN9</f>
        <v>6</v>
      </c>
      <c r="AY56" s="49">
        <f>'2025'!AO9</f>
        <v>4</v>
      </c>
      <c r="AZ56" s="50">
        <f>'2025'!AP9</f>
        <v>0</v>
      </c>
      <c r="BA56" s="56">
        <f>'2025'!AQ9</f>
        <v>0</v>
      </c>
      <c r="BB56" s="57">
        <f>'2025'!AR9</f>
        <v>1</v>
      </c>
      <c r="BC56" s="57">
        <f>'2025'!AS9</f>
        <v>0</v>
      </c>
      <c r="BD56" s="57">
        <f>'2025'!AT9</f>
        <v>0</v>
      </c>
      <c r="BE56" s="57">
        <f>'2025'!AU9</f>
        <v>0</v>
      </c>
      <c r="BF56" s="57">
        <f>'2025'!AV9</f>
        <v>0</v>
      </c>
      <c r="BG56" s="58">
        <f>'2025'!AW9</f>
        <v>0</v>
      </c>
      <c r="BH56" s="58">
        <f>'2025'!AX9</f>
        <v>0</v>
      </c>
      <c r="BI56" s="58">
        <f>'2025'!AY9</f>
        <v>0</v>
      </c>
      <c r="BJ56" s="58">
        <f>'2025'!AZ9</f>
        <v>0</v>
      </c>
      <c r="BK56" s="57">
        <f>'2025'!BA9</f>
        <v>0</v>
      </c>
      <c r="BL56" s="57">
        <f>'2025'!BB9</f>
        <v>1</v>
      </c>
      <c r="BM56" s="57">
        <f>'2025'!BC9</f>
        <v>0</v>
      </c>
      <c r="BN56" s="57">
        <f>'2025'!BD9</f>
        <v>0</v>
      </c>
      <c r="BO56" s="59">
        <f>'2025'!BE9</f>
        <v>0</v>
      </c>
      <c r="BP56" s="56">
        <f>'2025'!BF9</f>
        <v>189</v>
      </c>
      <c r="BQ56" s="57">
        <f>'2025'!BG9</f>
        <v>1709</v>
      </c>
      <c r="BR56" s="57">
        <f>'2025'!BH9</f>
        <v>2</v>
      </c>
      <c r="BS56" s="57">
        <f>'2025'!BI9</f>
        <v>14</v>
      </c>
      <c r="BT56" s="57">
        <f>'2025'!BJ9</f>
        <v>34</v>
      </c>
      <c r="BU56" s="57">
        <f>'2025'!BK9</f>
        <v>11</v>
      </c>
      <c r="BV56" s="58">
        <f>'2025'!BL9</f>
        <v>5.56</v>
      </c>
      <c r="BW56" s="58">
        <f>'2025'!BM9</f>
        <v>173.6</v>
      </c>
      <c r="BX56" s="58">
        <f>'2025'!BN9</f>
        <v>4.1500000000000004</v>
      </c>
      <c r="BY56" s="58">
        <f>'2025'!BO9</f>
        <v>41.8</v>
      </c>
      <c r="BZ56" s="57">
        <f>'2025'!BP9</f>
        <v>224</v>
      </c>
      <c r="CA56" s="57">
        <f>'2025'!BQ9</f>
        <v>2067</v>
      </c>
      <c r="CB56" s="57">
        <f>'2025'!BR9</f>
        <v>9</v>
      </c>
      <c r="CC56" s="57">
        <f>'2025'!BS9</f>
        <v>1</v>
      </c>
      <c r="CD56" s="59">
        <f>'2025'!BT9</f>
        <v>12</v>
      </c>
      <c r="CE56" s="56">
        <f>'2025'!BU9</f>
        <v>1370</v>
      </c>
      <c r="CF56" s="57">
        <f>'2025'!BV9</f>
        <v>2302</v>
      </c>
      <c r="CG56" s="57">
        <f>'2025'!BW9</f>
        <v>13</v>
      </c>
      <c r="CH56" s="57">
        <f>'2025'!BX9</f>
        <v>19</v>
      </c>
      <c r="CI56" s="57">
        <f>'2025'!BY9</f>
        <v>208</v>
      </c>
      <c r="CJ56" s="57">
        <f>'2025'!BZ9</f>
        <v>76</v>
      </c>
      <c r="CK56" s="58">
        <f>'2025'!CA9</f>
        <v>6.59</v>
      </c>
      <c r="CL56" s="58">
        <f>'2025'!CB9</f>
        <v>157</v>
      </c>
      <c r="CM56" s="58">
        <f>'2025'!CC9</f>
        <v>4.3499999999999996</v>
      </c>
      <c r="CN56" s="58">
        <f>'2025'!CD9</f>
        <v>48.5</v>
      </c>
      <c r="CO56" s="57">
        <f>'2025'!CE9</f>
        <v>333</v>
      </c>
      <c r="CP56" s="57">
        <f>'2025'!CF9</f>
        <v>2168</v>
      </c>
      <c r="CQ56" s="57">
        <f>'2025'!CG9</f>
        <v>30</v>
      </c>
      <c r="CR56" s="57">
        <f>'2025'!CH9</f>
        <v>4</v>
      </c>
      <c r="CS56" s="59">
        <f>'2025'!CI9</f>
        <v>17</v>
      </c>
      <c r="CT56" s="56">
        <f>'2025'!CJ9</f>
        <v>875</v>
      </c>
      <c r="CU56" s="57">
        <f>'2025'!CK9</f>
        <v>2467.4</v>
      </c>
      <c r="CV56" s="57">
        <f>'2025'!CL9</f>
        <v>10</v>
      </c>
      <c r="CW56" s="57">
        <f>'2025'!CM9</f>
        <v>19.5</v>
      </c>
      <c r="CX56" s="57">
        <f>'2025'!CN9</f>
        <v>175</v>
      </c>
      <c r="CY56" s="57">
        <f>'2025'!CO9</f>
        <v>69</v>
      </c>
      <c r="CZ56" s="58">
        <f>'2025'!CP9</f>
        <v>5</v>
      </c>
      <c r="DA56" s="58">
        <f>'2025'!CQ9</f>
        <v>140.1</v>
      </c>
      <c r="DB56" s="58">
        <f>'2025'!CR9</f>
        <v>3.74</v>
      </c>
      <c r="DC56" s="58">
        <f>'2025'!CS9</f>
        <v>34.9</v>
      </c>
      <c r="DD56" s="57">
        <f>'2025'!CT9</f>
        <v>227</v>
      </c>
      <c r="DE56" s="57">
        <f>'2025'!CU9</f>
        <v>2622.1</v>
      </c>
      <c r="DF56" s="57">
        <f>'2025'!CV9</f>
        <v>25</v>
      </c>
      <c r="DG56" s="57">
        <f>'2025'!CW9</f>
        <v>2</v>
      </c>
      <c r="DH56" s="59">
        <f>'2025'!CX9</f>
        <v>23.4</v>
      </c>
      <c r="DI56" s="56">
        <f>'2025'!CY9</f>
        <v>1150</v>
      </c>
      <c r="DJ56" s="57">
        <f>'2025'!CZ9</f>
        <v>1962.4</v>
      </c>
      <c r="DK56" s="57">
        <f>'2025'!DA9</f>
        <v>15</v>
      </c>
      <c r="DL56" s="57">
        <f>'2025'!DB9</f>
        <v>25.3</v>
      </c>
      <c r="DM56" s="57">
        <f>'2025'!DC9</f>
        <v>183</v>
      </c>
      <c r="DN56" s="57">
        <f>'2025'!DD9</f>
        <v>62</v>
      </c>
      <c r="DO56" s="58">
        <f>'2025'!DE9</f>
        <v>6.2841530054644812</v>
      </c>
      <c r="DP56" s="58">
        <f>'2025'!DF9</f>
        <v>143.19999999999999</v>
      </c>
      <c r="DQ56" s="58">
        <f>'2025'!DG9</f>
        <v>4.4000000000000004</v>
      </c>
      <c r="DR56" s="58">
        <f>'2025'!DH9</f>
        <v>54</v>
      </c>
      <c r="DS56" s="57">
        <f>'2025'!DI9</f>
        <v>81</v>
      </c>
      <c r="DT56" s="57">
        <f>'2025'!DJ9</f>
        <v>2083.4</v>
      </c>
      <c r="DU56" s="57">
        <f>'2025'!DK9</f>
        <v>23</v>
      </c>
      <c r="DV56" s="57">
        <f>'2025'!DL9</f>
        <v>2</v>
      </c>
      <c r="DW56" s="59">
        <f>'2025'!DM9</f>
        <v>14.3</v>
      </c>
    </row>
    <row r="57" spans="1:127" ht="15.75" customHeight="1" x14ac:dyDescent="0.2">
      <c r="A57" s="33">
        <f t="shared" si="0"/>
        <v>55</v>
      </c>
      <c r="B57" s="11">
        <f>'2017'!A10</f>
        <v>8</v>
      </c>
      <c r="C57" s="11">
        <v>2017</v>
      </c>
      <c r="D57" s="34" t="str">
        <f>'2017'!B10</f>
        <v>D'Onta Foreman</v>
      </c>
      <c r="E57" s="224" t="str" cm="1">
        <f t="array" ref="E57">_xlfn.IFS(F57&gt;=13,"Cornerstone",AND(F57&gt;=12,F57&lt;13),"Elite",AND(F57&gt;=11,F57&lt;12),"Elite Upside",AND(F57&gt;=9,F57&lt;11),"Upside",AND(F57&gt;=7,F57&lt;9),"Upside Lite",AND(F57&gt;=6,F57&lt;7),"Outlier",AND(F57&gt;=5,F57&lt;6),"Outlier Lite",F57&lt;5,"Purgatory")</f>
        <v>Upside</v>
      </c>
      <c r="F57" s="14">
        <f>'2017'!C10</f>
        <v>9.8666666666666671</v>
      </c>
      <c r="G57" s="14">
        <f t="shared" si="7"/>
        <v>83.1</v>
      </c>
      <c r="H57" s="35">
        <f t="shared" si="1"/>
        <v>0.78899994930460138</v>
      </c>
      <c r="I57" s="36" t="str">
        <f>'2017'!D10</f>
        <v>Texas</v>
      </c>
      <c r="J57" s="37">
        <f>'2017'!E10</f>
        <v>3</v>
      </c>
      <c r="K57" s="38">
        <f>'2017'!F10</f>
        <v>35179</v>
      </c>
      <c r="L57" s="39">
        <f>'2017'!G10</f>
        <v>29.446575342465753</v>
      </c>
      <c r="M57" s="39" t="str">
        <f>'2017'!H10</f>
        <v>JR</v>
      </c>
      <c r="N57" s="39">
        <f>'2017'!I10</f>
        <v>21.021917808219179</v>
      </c>
      <c r="O57" s="39" t="str">
        <f t="shared" si="2"/>
        <v>FREAK</v>
      </c>
      <c r="P57" s="39" t="str">
        <f t="shared" si="11"/>
        <v>SLASHER</v>
      </c>
      <c r="Q57" s="37">
        <f>'2017'!J10</f>
        <v>72</v>
      </c>
      <c r="R57" s="37">
        <f>'2017'!K10</f>
        <v>233</v>
      </c>
      <c r="S57" s="39">
        <f t="shared" si="5"/>
        <v>31.600130870014826</v>
      </c>
      <c r="T57" s="37">
        <f>'2017'!L10</f>
        <v>4.45</v>
      </c>
      <c r="U57" s="55">
        <f>'2017'!M10</f>
        <v>3</v>
      </c>
      <c r="V57" s="41">
        <f>'2017'!N10</f>
        <v>0</v>
      </c>
      <c r="W57" s="42">
        <f>'2017'!O10</f>
        <v>0</v>
      </c>
      <c r="X57" s="42">
        <f>'2017'!P10</f>
        <v>1.8472063854047892E-2</v>
      </c>
      <c r="Y57" s="42">
        <f>'2017'!Q10</f>
        <v>0.1672285906945381</v>
      </c>
      <c r="Z57" s="42">
        <f>'2017'!R10</f>
        <v>0.35470737913486006</v>
      </c>
      <c r="AA57" s="42">
        <f>'2017'!S10</f>
        <v>0.35470737913486006</v>
      </c>
      <c r="AB57" s="42">
        <f>'2017'!T10</f>
        <v>0.31923664122137407</v>
      </c>
      <c r="AC57" s="42">
        <f>'2017'!U10</f>
        <v>3.6550542547115934E-2</v>
      </c>
      <c r="AD57" s="42">
        <f>'2017'!V10</f>
        <v>2.48015873015873E-2</v>
      </c>
      <c r="AE57" s="42">
        <f>'2017'!W10</f>
        <v>3.0676064924351619E-2</v>
      </c>
      <c r="AF57" s="43">
        <f>'2017'!X10</f>
        <v>2.7608458431916456E-2</v>
      </c>
      <c r="AG57" s="44">
        <f>'2017'!Y10</f>
        <v>19.364383561643837</v>
      </c>
      <c r="AH57" s="45">
        <f>'2017'!Z10</f>
        <v>118.83541105903436</v>
      </c>
      <c r="AI57" s="45">
        <f>'2017'!AA10</f>
        <v>31.597029320987652</v>
      </c>
      <c r="AJ57" s="45">
        <f>'2017'!AB10</f>
        <v>0.25531914893617019</v>
      </c>
      <c r="AK57" s="45">
        <f>'2017'!AC10</f>
        <v>7.2</v>
      </c>
      <c r="AL57" s="45">
        <f t="shared" si="3"/>
        <v>11.23076923076923</v>
      </c>
      <c r="AM57" s="45">
        <f t="shared" si="10"/>
        <v>2.1212121212121213E-2</v>
      </c>
      <c r="AN57" s="45">
        <f>'2017'!AD10</f>
        <v>77.099999999999994</v>
      </c>
      <c r="AO57" s="45">
        <f>'2017'!AE10</f>
        <v>3.54</v>
      </c>
      <c r="AP57" s="46">
        <f>'2017'!AF10</f>
        <v>53.5</v>
      </c>
      <c r="AQ57" s="47">
        <f>'2017'!AG10</f>
        <v>8</v>
      </c>
      <c r="AR57" s="48">
        <f>'2017'!AH10</f>
        <v>3</v>
      </c>
      <c r="AS57" s="48">
        <f>'2017'!AI10</f>
        <v>7</v>
      </c>
      <c r="AT57" s="48">
        <f>IF(AH57&gt;113.25,10,IF(AH57&gt;=107.84,9,IF(AH57&gt;=105.37,8,IF(AH57&gt;=103.25,7,IF(AH57&gt;=100.55,6,IF(AH57&gt;=98.75,5,IF(AH57&gt;=96.08,4,IF(AH57&gt;=94.39,3,IF(AH57&gt;=88.43,2,IF(AH57&gt;=85.16,1,IF(AH57&lt;85.16,0,FALSE)))))))))))</f>
        <v>10</v>
      </c>
      <c r="AU57" s="48">
        <f>'2017'!AK10</f>
        <v>6</v>
      </c>
      <c r="AV57" s="48">
        <f>'2017'!AL10</f>
        <v>8</v>
      </c>
      <c r="AW57" s="48">
        <f>'2017'!AM10</f>
        <v>4</v>
      </c>
      <c r="AX57" s="48">
        <f>'2017'!AN10</f>
        <v>4</v>
      </c>
      <c r="AY57" s="49">
        <f>IF(U57=1,10,IF(U57=2,7,IF(U57=3,6,IF(U57=4,4,IF(U57=5,3,IF(U57=6,2,IF(U57=7,1,IF(U57=0,0,"-"))))))))</f>
        <v>6</v>
      </c>
      <c r="AZ57" s="50">
        <f>'2017'!AP10</f>
        <v>0</v>
      </c>
      <c r="BA57" s="56">
        <f>'2017'!AQ10</f>
        <v>0</v>
      </c>
      <c r="BB57" s="57">
        <f>'2017'!AR10</f>
        <v>2229</v>
      </c>
      <c r="BC57" s="57">
        <f>'2017'!AS10</f>
        <v>0</v>
      </c>
      <c r="BD57" s="57">
        <f>'2017'!AT10</f>
        <v>0</v>
      </c>
      <c r="BE57" s="57">
        <f>'2017'!AU10</f>
        <v>0</v>
      </c>
      <c r="BF57" s="57">
        <f>'2017'!AV10</f>
        <v>0</v>
      </c>
      <c r="BG57" s="58">
        <f>'2017'!AW10</f>
        <v>0</v>
      </c>
      <c r="BH57" s="58">
        <f>'2017'!AX10</f>
        <v>0</v>
      </c>
      <c r="BI57" s="58">
        <f>'2017'!AY10</f>
        <v>0</v>
      </c>
      <c r="BJ57" s="58">
        <f>'2017'!AZ10</f>
        <v>0</v>
      </c>
      <c r="BK57" s="57">
        <f>'2017'!BA10</f>
        <v>0</v>
      </c>
      <c r="BL57" s="57">
        <f>'2017'!BB10</f>
        <v>3421</v>
      </c>
      <c r="BM57" s="57">
        <f>'2017'!BC10</f>
        <v>0</v>
      </c>
      <c r="BN57" s="57">
        <f>'2017'!BD10</f>
        <v>0</v>
      </c>
      <c r="BO57" s="59">
        <f>'2017'!BE10</f>
        <v>0</v>
      </c>
      <c r="BP57" s="56">
        <f>'2017'!BF10</f>
        <v>0</v>
      </c>
      <c r="BQ57" s="57">
        <f>'2017'!BG10</f>
        <v>2551</v>
      </c>
      <c r="BR57" s="57">
        <f>'2017'!BH10</f>
        <v>0</v>
      </c>
      <c r="BS57" s="57">
        <f>'2017'!BI10</f>
        <v>0</v>
      </c>
      <c r="BT57" s="57">
        <f>'2017'!BJ10</f>
        <v>0</v>
      </c>
      <c r="BU57" s="57">
        <f>'2017'!BK10</f>
        <v>0</v>
      </c>
      <c r="BV57" s="58">
        <f>'2017'!BL10</f>
        <v>0</v>
      </c>
      <c r="BW57" s="58">
        <f>'2017'!BM10</f>
        <v>0</v>
      </c>
      <c r="BX57" s="58">
        <f>'2017'!BN10</f>
        <v>0</v>
      </c>
      <c r="BY57" s="58">
        <f>'2017'!BO10</f>
        <v>0</v>
      </c>
      <c r="BZ57" s="57">
        <f>'2017'!BP10</f>
        <v>0</v>
      </c>
      <c r="CA57" s="57">
        <f>'2017'!BQ10</f>
        <v>2762</v>
      </c>
      <c r="CB57" s="57">
        <f>'2017'!BR10</f>
        <v>0</v>
      </c>
      <c r="CC57" s="57">
        <f>'2017'!BS10</f>
        <v>0</v>
      </c>
      <c r="CD57" s="59">
        <f>'2017'!BT10</f>
        <v>0</v>
      </c>
      <c r="CE57" s="56">
        <f>'2017'!BU10</f>
        <v>74</v>
      </c>
      <c r="CF57" s="57">
        <f>'2017'!BV10</f>
        <v>1786</v>
      </c>
      <c r="CG57" s="57">
        <f>'2017'!BW10</f>
        <v>0</v>
      </c>
      <c r="CH57" s="57">
        <f>'2017'!BX10</f>
        <v>0</v>
      </c>
      <c r="CI57" s="57">
        <f>'2017'!BY10</f>
        <v>16</v>
      </c>
      <c r="CJ57" s="57">
        <f>'2017'!BZ10</f>
        <v>5</v>
      </c>
      <c r="CK57" s="58">
        <f>'2017'!CA10</f>
        <v>4.5999999999999996</v>
      </c>
      <c r="CL57" s="58">
        <f>'2017'!CB10</f>
        <v>80.900000000000006</v>
      </c>
      <c r="CM57" s="58">
        <f>'2017'!CC10</f>
        <v>2.75</v>
      </c>
      <c r="CN57" s="58">
        <f>'2017'!CD10</f>
        <v>67.599999999999994</v>
      </c>
      <c r="CO57" s="57">
        <f>'2017'!CE10</f>
        <v>7</v>
      </c>
      <c r="CP57" s="57">
        <f>'2017'!CF10</f>
        <v>2599</v>
      </c>
      <c r="CQ57" s="57">
        <f>'2017'!CG10</f>
        <v>1</v>
      </c>
      <c r="CR57" s="57">
        <f>'2017'!CH10</f>
        <v>0</v>
      </c>
      <c r="CS57" s="59">
        <f>'2017'!CI10</f>
        <v>0</v>
      </c>
      <c r="CT57" s="56">
        <f>'2017'!CJ10</f>
        <v>680</v>
      </c>
      <c r="CU57" s="57">
        <f>'2017'!CK10</f>
        <v>2698</v>
      </c>
      <c r="CV57" s="57">
        <f>'2017'!CL10</f>
        <v>5</v>
      </c>
      <c r="CW57" s="57">
        <f>'2017'!CM10</f>
        <v>0</v>
      </c>
      <c r="CX57" s="57">
        <f>'2017'!CN10</f>
        <v>94</v>
      </c>
      <c r="CY57" s="57">
        <f>'2017'!CO10</f>
        <v>24</v>
      </c>
      <c r="CZ57" s="58">
        <f>'2017'!CP10</f>
        <v>7.2</v>
      </c>
      <c r="DA57" s="58">
        <f>'2017'!CQ10</f>
        <v>77.099999999999994</v>
      </c>
      <c r="DB57" s="58">
        <f>'2017'!CR10</f>
        <v>3.05</v>
      </c>
      <c r="DC57" s="58">
        <f>'2017'!CS10</f>
        <v>53.5</v>
      </c>
      <c r="DD57" s="57">
        <f>'2017'!CT10</f>
        <v>64</v>
      </c>
      <c r="DE57" s="57">
        <f>'2017'!CU10</f>
        <v>1751</v>
      </c>
      <c r="DF57" s="57">
        <f>'2017'!CV10</f>
        <v>5</v>
      </c>
      <c r="DG57" s="57">
        <f>'2017'!CW10</f>
        <v>0</v>
      </c>
      <c r="DH57" s="59">
        <f>'2017'!CX10</f>
        <v>0</v>
      </c>
      <c r="DI57" s="56">
        <f>'2017'!CY10</f>
        <v>2016</v>
      </c>
      <c r="DJ57" s="57">
        <f>'2017'!CZ10</f>
        <v>2871</v>
      </c>
      <c r="DK57" s="57">
        <f>'2017'!DA10</f>
        <v>15</v>
      </c>
      <c r="DL57" s="57">
        <f>'2017'!DB10</f>
        <v>0</v>
      </c>
      <c r="DM57" s="57">
        <f>'2017'!DC10</f>
        <v>323</v>
      </c>
      <c r="DN57" s="57">
        <f>'2017'!DD10</f>
        <v>64</v>
      </c>
      <c r="DO57" s="58">
        <f>'2017'!DE10</f>
        <v>6.2</v>
      </c>
      <c r="DP57" s="58">
        <f>'2017'!DF10</f>
        <v>69.599999999999994</v>
      </c>
      <c r="DQ57" s="58">
        <f>'2017'!DG10</f>
        <v>3.54</v>
      </c>
      <c r="DR57" s="58">
        <f>'2017'!DH10</f>
        <v>40.700000000000003</v>
      </c>
      <c r="DS57" s="57">
        <f>'2017'!DI10</f>
        <v>75</v>
      </c>
      <c r="DT57" s="57">
        <f>'2017'!DJ10</f>
        <v>3024</v>
      </c>
      <c r="DU57" s="57">
        <f>'2017'!DK10</f>
        <v>7</v>
      </c>
      <c r="DV57" s="57">
        <f>'2017'!DL10</f>
        <v>0</v>
      </c>
      <c r="DW57" s="59">
        <f>'2017'!DM10</f>
        <v>0</v>
      </c>
    </row>
    <row r="58" spans="1:127" ht="15.75" customHeight="1" x14ac:dyDescent="0.2">
      <c r="A58" s="33">
        <f t="shared" si="0"/>
        <v>56</v>
      </c>
      <c r="B58" s="11">
        <f>'2024'!A6</f>
        <v>4</v>
      </c>
      <c r="C58" s="11">
        <v>2024</v>
      </c>
      <c r="D58" s="34" t="str">
        <f>'2024'!B6</f>
        <v>Bucky Irving</v>
      </c>
      <c r="E58" s="224" t="str" cm="1">
        <f t="array" ref="E58">_xlfn.IFS(F58&gt;=13,"Cornerstone",AND(F58&gt;=12,F58&lt;13),"Elite",AND(F58&gt;=11,F58&lt;12),"Elite Upside",AND(F58&gt;=9,F58&lt;11),"Upside",AND(F58&gt;=7,F58&lt;9),"Upside Lite",AND(F58&gt;=6,F58&lt;7),"Outlier",AND(F58&gt;=5,F58&lt;6),"Outlier Lite",F58&lt;5,"Purgatory")</f>
        <v>Upside</v>
      </c>
      <c r="F58" s="14">
        <f>'2024'!C6</f>
        <v>9.7722222222222221</v>
      </c>
      <c r="G58" s="14">
        <f t="shared" si="7"/>
        <v>82.8</v>
      </c>
      <c r="H58" s="35">
        <f t="shared" si="1"/>
        <v>0.74902869323752408</v>
      </c>
      <c r="I58" s="36" t="str">
        <f>'2024'!D6</f>
        <v>Oregon</v>
      </c>
      <c r="J58" s="37">
        <f>'2024'!E6</f>
        <v>5</v>
      </c>
      <c r="K58" s="38">
        <f>'2024'!F6</f>
        <v>37487</v>
      </c>
      <c r="L58" s="39">
        <f>'2024'!G6</f>
        <v>23.123287671232877</v>
      </c>
      <c r="M58" s="39" t="str">
        <f>'2024'!H6</f>
        <v>JR</v>
      </c>
      <c r="N58" s="39">
        <f>'2024'!I6</f>
        <v>21.704109589041096</v>
      </c>
      <c r="O58" s="39" t="str">
        <f t="shared" si="2"/>
        <v>DYNAMIC</v>
      </c>
      <c r="P58" s="39" t="str">
        <f t="shared" si="11"/>
        <v>+RECEIVER</v>
      </c>
      <c r="Q58" s="37">
        <f>'2024'!J6</f>
        <v>69</v>
      </c>
      <c r="R58" s="37">
        <f>'2024'!K6</f>
        <v>192</v>
      </c>
      <c r="S58" s="39">
        <f t="shared" si="5"/>
        <v>28.353129422074851</v>
      </c>
      <c r="T58" s="37">
        <f>'2024'!L6</f>
        <v>4.55</v>
      </c>
      <c r="U58" s="40">
        <f>'2024'!M6</f>
        <v>4</v>
      </c>
      <c r="V58" s="41">
        <f>'2024'!N6</f>
        <v>0</v>
      </c>
      <c r="W58" s="42">
        <f>'2024'!O6</f>
        <v>0</v>
      </c>
      <c r="X58" s="42">
        <f>'2024'!P6</f>
        <v>0.17806070670726079</v>
      </c>
      <c r="Y58" s="42">
        <f>'2024'!Q6</f>
        <v>0.20913365499861702</v>
      </c>
      <c r="Z58" s="42">
        <f>'2024'!R6</f>
        <v>0.21331792031829669</v>
      </c>
      <c r="AA58" s="42">
        <f>'2024'!S6</f>
        <v>0.21331792031829669</v>
      </c>
      <c r="AB58" s="42">
        <f>'2024'!T6</f>
        <v>0.18132023227055219</v>
      </c>
      <c r="AC58" s="42">
        <f>'2024'!U6</f>
        <v>8.0218236819360411E-2</v>
      </c>
      <c r="AD58" s="42">
        <f>'2024'!V6</f>
        <v>8.0508998064489565E-2</v>
      </c>
      <c r="AE58" s="42">
        <f>'2024'!W6</f>
        <v>8.0508998064489565E-2</v>
      </c>
      <c r="AF58" s="43">
        <f>'2024'!X6</f>
        <v>6.8432648354816134E-2</v>
      </c>
      <c r="AG58" s="44">
        <f>'2024'!Y6</f>
        <v>19.046575342465754</v>
      </c>
      <c r="AH58" s="45">
        <f>'2024'!Z6</f>
        <v>89.595384531097309</v>
      </c>
      <c r="AI58" s="45">
        <f>'2024'!AA6</f>
        <v>28.350346565847513</v>
      </c>
      <c r="AJ58" s="45">
        <f>'2024'!AB6</f>
        <v>0.42038216560509556</v>
      </c>
      <c r="AK58" s="45">
        <f>'2024'!AC6</f>
        <v>6.7770700636942678</v>
      </c>
      <c r="AL58" s="45">
        <f t="shared" si="3"/>
        <v>8.21505376344086</v>
      </c>
      <c r="AM58" s="45">
        <f t="shared" si="10"/>
        <v>0.22406639004149378</v>
      </c>
      <c r="AN58" s="45">
        <f>'2024'!AD6</f>
        <v>170.1</v>
      </c>
      <c r="AO58" s="45">
        <f>'2024'!AE6</f>
        <v>4.3600000000000003</v>
      </c>
      <c r="AP58" s="46">
        <f>'2024'!AF6</f>
        <v>39.299999999999997</v>
      </c>
      <c r="AQ58" s="47">
        <f>'2024'!AG6</f>
        <v>3</v>
      </c>
      <c r="AR58" s="48">
        <f>'2024'!AH6</f>
        <v>7</v>
      </c>
      <c r="AS58" s="48">
        <f>'2024'!AI6</f>
        <v>8</v>
      </c>
      <c r="AT58" s="48">
        <f>'2024'!AJ6</f>
        <v>2</v>
      </c>
      <c r="AU58" s="48">
        <f>'2024'!AK6</f>
        <v>10</v>
      </c>
      <c r="AV58" s="48">
        <f>'2024'!AL6</f>
        <v>7</v>
      </c>
      <c r="AW58" s="48">
        <f>'2024'!AM6</f>
        <v>8</v>
      </c>
      <c r="AX58" s="48">
        <f>'2024'!AN6</f>
        <v>6</v>
      </c>
      <c r="AY58" s="49">
        <f>'2024'!AO6</f>
        <v>4</v>
      </c>
      <c r="AZ58" s="50">
        <f>'2024'!AP6</f>
        <v>1</v>
      </c>
      <c r="BA58" s="56">
        <f>'2024'!AQ6</f>
        <v>0</v>
      </c>
      <c r="BB58" s="57">
        <f>'2024'!AR6</f>
        <v>1</v>
      </c>
      <c r="BC58" s="57">
        <f>'2024'!AS6</f>
        <v>0</v>
      </c>
      <c r="BD58" s="57">
        <f>'2024'!AT6</f>
        <v>0</v>
      </c>
      <c r="BE58" s="57">
        <f>'2024'!AU6</f>
        <v>0</v>
      </c>
      <c r="BF58" s="57">
        <f>'2024'!AV6</f>
        <v>0</v>
      </c>
      <c r="BG58" s="58">
        <f>'2024'!AW6</f>
        <v>0</v>
      </c>
      <c r="BH58" s="58">
        <f>'2024'!AX6</f>
        <v>0</v>
      </c>
      <c r="BI58" s="58">
        <f>'2024'!AY6</f>
        <v>0</v>
      </c>
      <c r="BJ58" s="58">
        <f>'2024'!AZ6</f>
        <v>0</v>
      </c>
      <c r="BK58" s="57">
        <f>'2024'!BA6</f>
        <v>0</v>
      </c>
      <c r="BL58" s="57">
        <f>'2024'!BB6</f>
        <v>1</v>
      </c>
      <c r="BM58" s="57">
        <f>'2024'!BC6</f>
        <v>0</v>
      </c>
      <c r="BN58" s="57">
        <f>'2024'!BD6</f>
        <v>0</v>
      </c>
      <c r="BO58" s="59">
        <f>'2024'!BE6</f>
        <v>0</v>
      </c>
      <c r="BP58" s="56">
        <f>'2024'!BF6</f>
        <v>0</v>
      </c>
      <c r="BQ58" s="57">
        <f>'2024'!BG6</f>
        <v>1</v>
      </c>
      <c r="BR58" s="57">
        <f>'2024'!BH6</f>
        <v>0</v>
      </c>
      <c r="BS58" s="57">
        <f>'2024'!BI6</f>
        <v>0</v>
      </c>
      <c r="BT58" s="57">
        <f>'2024'!BJ6</f>
        <v>0</v>
      </c>
      <c r="BU58" s="57">
        <f>'2024'!BK6</f>
        <v>0</v>
      </c>
      <c r="BV58" s="58">
        <f>'2024'!BL6</f>
        <v>0</v>
      </c>
      <c r="BW58" s="58">
        <f>'2024'!BM6</f>
        <v>0</v>
      </c>
      <c r="BX58" s="58">
        <f>'2024'!BN6</f>
        <v>0</v>
      </c>
      <c r="BY58" s="58">
        <f>'2024'!BO6</f>
        <v>0</v>
      </c>
      <c r="BZ58" s="57">
        <f>'2024'!BP6</f>
        <v>0</v>
      </c>
      <c r="CA58" s="57">
        <f>'2024'!BQ6</f>
        <v>1</v>
      </c>
      <c r="CB58" s="57">
        <f>'2024'!BR6</f>
        <v>0</v>
      </c>
      <c r="CC58" s="57">
        <f>'2024'!BS6</f>
        <v>0</v>
      </c>
      <c r="CD58" s="59">
        <f>'2024'!BT6</f>
        <v>0</v>
      </c>
      <c r="CE58" s="56">
        <f>'2024'!BU6</f>
        <v>696</v>
      </c>
      <c r="CF58" s="57">
        <f>'2024'!BV6</f>
        <v>2391.6000000000004</v>
      </c>
      <c r="CG58" s="57">
        <f>'2024'!BW6</f>
        <v>4</v>
      </c>
      <c r="CH58" s="57">
        <f>'2024'!BX6</f>
        <v>25.200000000000003</v>
      </c>
      <c r="CI58" s="57">
        <f>'2024'!BY6</f>
        <v>132</v>
      </c>
      <c r="CJ58" s="57">
        <f>'2024'!BZ6</f>
        <v>36</v>
      </c>
      <c r="CK58" s="58">
        <f>'2024'!CA6</f>
        <v>5.2727272727272725</v>
      </c>
      <c r="CL58" s="58">
        <f>'2024'!CB6</f>
        <v>82.5</v>
      </c>
      <c r="CM58" s="58">
        <f>'2024'!CC6</f>
        <v>2.91</v>
      </c>
      <c r="CN58" s="58">
        <f>'2024'!CD6</f>
        <v>32</v>
      </c>
      <c r="CO58" s="57">
        <f>'2024'!CE6</f>
        <v>76</v>
      </c>
      <c r="CP58" s="57">
        <f>'2024'!CF6</f>
        <v>1944</v>
      </c>
      <c r="CQ58" s="57">
        <f>'2024'!CG6</f>
        <v>9</v>
      </c>
      <c r="CR58" s="57">
        <f>'2024'!CH6</f>
        <v>0</v>
      </c>
      <c r="CS58" s="59">
        <f>'2024'!CI6</f>
        <v>10.8</v>
      </c>
      <c r="CT58" s="56">
        <f>'2024'!CJ6</f>
        <v>1064</v>
      </c>
      <c r="CU58" s="57">
        <f>'2024'!CK6</f>
        <v>2805.4</v>
      </c>
      <c r="CV58" s="57">
        <f>'2024'!CL6</f>
        <v>5</v>
      </c>
      <c r="CW58" s="57">
        <f>'2024'!CM6</f>
        <v>33.800000000000004</v>
      </c>
      <c r="CX58" s="57">
        <f>'2024'!CN6</f>
        <v>157</v>
      </c>
      <c r="CY58" s="57">
        <f>'2024'!CO6</f>
        <v>66</v>
      </c>
      <c r="CZ58" s="58">
        <f>'2024'!CP6</f>
        <v>6.7770700636942678</v>
      </c>
      <c r="DA58" s="58">
        <f>'2024'!CQ6</f>
        <v>170.1</v>
      </c>
      <c r="DB58" s="58">
        <f>'2024'!CR6</f>
        <v>4.3600000000000003</v>
      </c>
      <c r="DC58" s="58">
        <f>'2024'!CS6</f>
        <v>38.1</v>
      </c>
      <c r="DD58" s="57">
        <f>'2024'!CT6</f>
        <v>297</v>
      </c>
      <c r="DE58" s="57">
        <f>'2024'!CU6</f>
        <v>3702.4</v>
      </c>
      <c r="DF58" s="57">
        <f>'2024'!CV6</f>
        <v>30</v>
      </c>
      <c r="DG58" s="57">
        <f>'2024'!CW6</f>
        <v>3</v>
      </c>
      <c r="DH58" s="59">
        <f>'2024'!CX6</f>
        <v>29.9</v>
      </c>
      <c r="DI58" s="56">
        <f>'2024'!CY6</f>
        <v>1196</v>
      </c>
      <c r="DJ58" s="57">
        <f>'2024'!CZ6</f>
        <v>2583</v>
      </c>
      <c r="DK58" s="57">
        <f>'2024'!DA6</f>
        <v>11</v>
      </c>
      <c r="DL58" s="57">
        <f>'2024'!DB6</f>
        <v>33.6</v>
      </c>
      <c r="DM58" s="57">
        <f>'2024'!DC6</f>
        <v>187</v>
      </c>
      <c r="DN58" s="57">
        <f>'2024'!DD6</f>
        <v>69</v>
      </c>
      <c r="DO58" s="58">
        <f>'2024'!DE6</f>
        <v>6.4</v>
      </c>
      <c r="DP58" s="58">
        <f>'2024'!DF6</f>
        <v>148.80000000000001</v>
      </c>
      <c r="DQ58" s="58">
        <f>'2024'!DG6</f>
        <v>3.98</v>
      </c>
      <c r="DR58" s="58">
        <f>'2024'!DH6</f>
        <v>39.299999999999997</v>
      </c>
      <c r="DS58" s="57">
        <f>'2024'!DI6</f>
        <v>391</v>
      </c>
      <c r="DT58" s="57">
        <f>'2024'!DJ6</f>
        <v>4856.5999999999995</v>
      </c>
      <c r="DU58" s="57">
        <f>'2024'!DK6</f>
        <v>54</v>
      </c>
      <c r="DV58" s="57">
        <f>'2024'!DL6</f>
        <v>2</v>
      </c>
      <c r="DW58" s="59">
        <f>'2024'!DM6</f>
        <v>49</v>
      </c>
    </row>
    <row r="59" spans="1:127" ht="15.75" customHeight="1" x14ac:dyDescent="0.2">
      <c r="A59" s="33">
        <f t="shared" si="0"/>
        <v>57</v>
      </c>
      <c r="B59" s="11">
        <f>'2018'!A8</f>
        <v>6</v>
      </c>
      <c r="C59" s="11">
        <v>2018</v>
      </c>
      <c r="D59" s="34" t="str">
        <f>'2018'!B8</f>
        <v>Royce Freeman</v>
      </c>
      <c r="E59" s="224" t="str" cm="1">
        <f t="array" ref="E59">_xlfn.IFS(F59&gt;=13,"Cornerstone",AND(F59&gt;=12,F59&lt;13),"Elite",AND(F59&gt;=11,F59&lt;12),"Elite Upside",AND(F59&gt;=9,F59&lt;11),"Upside",AND(F59&gt;=7,F59&lt;9),"Upside Lite",AND(F59&gt;=6,F59&lt;7),"Outlier",AND(F59&gt;=5,F59&lt;6),"Outlier Lite",F59&lt;5,"Purgatory")</f>
        <v>Upside</v>
      </c>
      <c r="F59" s="14">
        <f>'2018'!C8</f>
        <v>9.7666666666666675</v>
      </c>
      <c r="G59" s="14">
        <f t="shared" si="7"/>
        <v>82.5</v>
      </c>
      <c r="H59" s="35">
        <f t="shared" si="1"/>
        <v>0.74667744288063753</v>
      </c>
      <c r="I59" s="36" t="str">
        <f>'2018'!D8</f>
        <v>Oregon</v>
      </c>
      <c r="J59" s="37">
        <f>'2018'!E8</f>
        <v>5</v>
      </c>
      <c r="K59" s="38">
        <f>'2018'!F8</f>
        <v>35099</v>
      </c>
      <c r="L59" s="39">
        <f>'2018'!G8</f>
        <v>29.665753424657535</v>
      </c>
      <c r="M59" s="39" t="str">
        <f>'2018'!H8</f>
        <v>SR</v>
      </c>
      <c r="N59" s="39">
        <f>'2018'!I8</f>
        <v>22.238356164383561</v>
      </c>
      <c r="O59" s="39" t="str">
        <f t="shared" si="2"/>
        <v>BRUISER</v>
      </c>
      <c r="P59" s="39" t="str">
        <f t="shared" si="11"/>
        <v>3DOWN</v>
      </c>
      <c r="Q59" s="37">
        <f>'2018'!J8</f>
        <v>71</v>
      </c>
      <c r="R59" s="37">
        <f>'2018'!K8</f>
        <v>229</v>
      </c>
      <c r="S59" s="39">
        <f t="shared" si="5"/>
        <v>31.938663440905543</v>
      </c>
      <c r="T59" s="37">
        <f>'2018'!L8</f>
        <v>4.54</v>
      </c>
      <c r="U59" s="40">
        <f>'2018'!M8</f>
        <v>3</v>
      </c>
      <c r="V59" s="41">
        <f>'2018'!N8</f>
        <v>0</v>
      </c>
      <c r="W59" s="42">
        <f>'2018'!O8</f>
        <v>0.18647166361974407</v>
      </c>
      <c r="X59" s="42">
        <f>'2018'!P8</f>
        <v>0.31213377161640704</v>
      </c>
      <c r="Y59" s="42">
        <f>'2018'!Q8</f>
        <v>0.18508474576271186</v>
      </c>
      <c r="Z59" s="42">
        <f>'2018'!R8</f>
        <v>0.28558967201674806</v>
      </c>
      <c r="AA59" s="42">
        <f>'2018'!S8</f>
        <v>0.29886172181657755</v>
      </c>
      <c r="AB59" s="42">
        <f>'2018'!T8</f>
        <v>0.25403246354409093</v>
      </c>
      <c r="AC59" s="42">
        <f>'2018'!U8</f>
        <v>4.5240339302544771E-2</v>
      </c>
      <c r="AD59" s="42">
        <f>'2018'!V8</f>
        <v>6.6828675577156743E-2</v>
      </c>
      <c r="AE59" s="42">
        <f>'2018'!W8</f>
        <v>6.6828675577156743E-2</v>
      </c>
      <c r="AF59" s="43">
        <f>'2018'!X8</f>
        <v>5.6804374240583232E-2</v>
      </c>
      <c r="AG59" s="44">
        <f>'2018'!Y8</f>
        <v>18.583561643835615</v>
      </c>
      <c r="AH59" s="45">
        <f>'2018'!Z8</f>
        <v>107.80578507128922</v>
      </c>
      <c r="AI59" s="45">
        <f>'2018'!AA8</f>
        <v>31.93552866494743</v>
      </c>
      <c r="AJ59" s="45">
        <f>'2018'!AB8</f>
        <v>0.28268551236749118</v>
      </c>
      <c r="AK59" s="45">
        <f>'2018'!AC8</f>
        <v>6.5</v>
      </c>
      <c r="AL59" s="45">
        <f t="shared" si="3"/>
        <v>10.0875</v>
      </c>
      <c r="AM59" s="45">
        <f t="shared" si="10"/>
        <v>5.8139534883720929E-2</v>
      </c>
      <c r="AN59" s="45">
        <f>'2018'!AD8</f>
        <v>111.6</v>
      </c>
      <c r="AO59" s="45">
        <f>'2018'!AE8</f>
        <v>4.08</v>
      </c>
      <c r="AP59" s="46">
        <f>'2018'!AF8</f>
        <v>50.7</v>
      </c>
      <c r="AQ59" s="47">
        <f>'2018'!AG8</f>
        <v>6</v>
      </c>
      <c r="AR59" s="48">
        <f>'2018'!AH8</f>
        <v>6</v>
      </c>
      <c r="AS59" s="48">
        <f>'2018'!AI8</f>
        <v>9</v>
      </c>
      <c r="AT59" s="48">
        <f>IF(AH59&gt;113.25,10,IF(AH59&gt;=107.84,9,IF(AH59&gt;=105.37,8,IF(AH59&gt;=103.25,7,IF(AH59&gt;=100.55,6,IF(AH59&gt;=98.75,5,IF(AH59&gt;=96.08,4,IF(AH59&gt;=94.39,3,IF(AH59&gt;=88.43,2,IF(AH59&gt;=85.16,1,IF(AH59&lt;85.16,0,FALSE)))))))))))</f>
        <v>8</v>
      </c>
      <c r="AU59" s="48">
        <f>'2018'!AK8</f>
        <v>8</v>
      </c>
      <c r="AV59" s="48">
        <f>'2018'!AL8</f>
        <v>6</v>
      </c>
      <c r="AW59" s="48">
        <f>'2018'!AM8</f>
        <v>5</v>
      </c>
      <c r="AX59" s="48">
        <f>'2018'!AN8</f>
        <v>5</v>
      </c>
      <c r="AY59" s="49">
        <f>IF(U59=1,10,IF(U59=2,7,IF(U59=3,6,IF(U59=4,4,IF(U59=5,3,IF(U59=6,2,IF(U59=7,1,IF(U59=0,0,"-"))))))))</f>
        <v>6</v>
      </c>
      <c r="AZ59" s="50">
        <f>'2018'!AP8</f>
        <v>0</v>
      </c>
      <c r="BA59" s="56">
        <f>'2018'!AQ8</f>
        <v>0</v>
      </c>
      <c r="BB59" s="57">
        <f>'2018'!AR8</f>
        <v>3556</v>
      </c>
      <c r="BC59" s="57">
        <f>'2018'!AS8</f>
        <v>0</v>
      </c>
      <c r="BD59" s="57">
        <f>'2018'!AT8</f>
        <v>0</v>
      </c>
      <c r="BE59" s="57">
        <f>'2018'!AU8</f>
        <v>0</v>
      </c>
      <c r="BF59" s="57">
        <f>'2018'!AV8</f>
        <v>0</v>
      </c>
      <c r="BG59" s="58">
        <f>'2018'!AW8</f>
        <v>0</v>
      </c>
      <c r="BH59" s="58">
        <f>'2018'!AX8</f>
        <v>0</v>
      </c>
      <c r="BI59" s="58">
        <f>'2018'!AY8</f>
        <v>0</v>
      </c>
      <c r="BJ59" s="58">
        <f>'2018'!AZ8</f>
        <v>0</v>
      </c>
      <c r="BK59" s="57">
        <f>'2018'!BA8</f>
        <v>0</v>
      </c>
      <c r="BL59" s="57">
        <f>'2018'!BB8</f>
        <v>3789</v>
      </c>
      <c r="BM59" s="57">
        <f>'2018'!BC8</f>
        <v>0</v>
      </c>
      <c r="BN59" s="57">
        <f>'2018'!BD8</f>
        <v>0</v>
      </c>
      <c r="BO59" s="59">
        <f>'2018'!BE8</f>
        <v>0</v>
      </c>
      <c r="BP59" s="56">
        <f>'2018'!BF8</f>
        <v>1372</v>
      </c>
      <c r="BQ59" s="57">
        <f>'2018'!BG8</f>
        <v>3518</v>
      </c>
      <c r="BR59" s="57">
        <f>'2018'!BH8</f>
        <v>18</v>
      </c>
      <c r="BS59" s="57">
        <f>'2018'!BI8</f>
        <v>0</v>
      </c>
      <c r="BT59" s="57">
        <f>'2018'!BJ8</f>
        <v>253</v>
      </c>
      <c r="BU59" s="57">
        <f>'2018'!BK8</f>
        <v>44</v>
      </c>
      <c r="BV59" s="58">
        <f>'2018'!BL8</f>
        <v>5.4</v>
      </c>
      <c r="BW59" s="58">
        <f>'2018'!BM8</f>
        <v>42.6</v>
      </c>
      <c r="BX59" s="58">
        <f>'2018'!BN8</f>
        <v>2.4900000000000002</v>
      </c>
      <c r="BY59" s="58">
        <f>'2018'!BO8</f>
        <v>30</v>
      </c>
      <c r="BZ59" s="57">
        <f>'2018'!BP8</f>
        <v>158</v>
      </c>
      <c r="CA59" s="57">
        <f>'2018'!BQ8</f>
        <v>4687</v>
      </c>
      <c r="CB59" s="57">
        <f>'2018'!BR8</f>
        <v>16</v>
      </c>
      <c r="CC59" s="57">
        <f>'2018'!BS8</f>
        <v>0</v>
      </c>
      <c r="CD59" s="59">
        <f>'2018'!BT8</f>
        <v>0</v>
      </c>
      <c r="CE59" s="56">
        <f>'2018'!BU8</f>
        <v>1844</v>
      </c>
      <c r="CF59" s="57">
        <f>'2018'!BV8</f>
        <v>3639</v>
      </c>
      <c r="CG59" s="57">
        <f>'2018'!BW8</f>
        <v>17</v>
      </c>
      <c r="CH59" s="57">
        <f>'2018'!BX8</f>
        <v>0</v>
      </c>
      <c r="CI59" s="57">
        <f>'2018'!BY8</f>
        <v>283</v>
      </c>
      <c r="CJ59" s="57">
        <f>'2018'!BZ8</f>
        <v>80</v>
      </c>
      <c r="CK59" s="58">
        <f>'2018'!CA8</f>
        <v>6.5</v>
      </c>
      <c r="CL59" s="58">
        <f>'2018'!CB8</f>
        <v>108.6</v>
      </c>
      <c r="CM59" s="58">
        <f>'2018'!CC8</f>
        <v>3.77</v>
      </c>
      <c r="CN59" s="58">
        <f>'2018'!CD8</f>
        <v>46.6</v>
      </c>
      <c r="CO59" s="57">
        <f>'2018'!CE8</f>
        <v>340</v>
      </c>
      <c r="CP59" s="57">
        <f>'2018'!CF8</f>
        <v>3358</v>
      </c>
      <c r="CQ59" s="57">
        <f>'2018'!CG8</f>
        <v>26</v>
      </c>
      <c r="CR59" s="57">
        <f>'2018'!CH8</f>
        <v>0</v>
      </c>
      <c r="CS59" s="59">
        <f>'2018'!CI8</f>
        <v>0</v>
      </c>
      <c r="CT59" s="56">
        <f>'2018'!CJ8</f>
        <v>948</v>
      </c>
      <c r="CU59" s="57">
        <f>'2018'!CK8</f>
        <v>2717</v>
      </c>
      <c r="CV59" s="57">
        <f>'2018'!CL8</f>
        <v>9</v>
      </c>
      <c r="CW59" s="57">
        <f>'2018'!CM8</f>
        <v>0</v>
      </c>
      <c r="CX59" s="57">
        <f>'2018'!CN8</f>
        <v>167</v>
      </c>
      <c r="CY59" s="57">
        <f>'2018'!CO8</f>
        <v>47</v>
      </c>
      <c r="CZ59" s="58">
        <f>'2018'!CP8</f>
        <v>5.7</v>
      </c>
      <c r="DA59" s="58">
        <f>'2018'!CQ8</f>
        <v>111.6</v>
      </c>
      <c r="DB59" s="58">
        <f>'2018'!CR8</f>
        <v>4.08</v>
      </c>
      <c r="DC59" s="58">
        <f>'2018'!CS8</f>
        <v>50.7</v>
      </c>
      <c r="DD59" s="57">
        <f>'2018'!CT8</f>
        <v>144</v>
      </c>
      <c r="DE59" s="57">
        <f>'2018'!CU8</f>
        <v>3183</v>
      </c>
      <c r="DF59" s="57">
        <f>'2018'!CV8</f>
        <v>23</v>
      </c>
      <c r="DG59" s="57">
        <f>'2018'!CW8</f>
        <v>0</v>
      </c>
      <c r="DH59" s="59">
        <f>'2018'!CX8</f>
        <v>0</v>
      </c>
      <c r="DI59" s="56">
        <f>'2018'!CY8</f>
        <v>1472</v>
      </c>
      <c r="DJ59" s="57">
        <f>'2018'!CZ8</f>
        <v>3263</v>
      </c>
      <c r="DK59" s="57">
        <f>'2018'!DA8</f>
        <v>16</v>
      </c>
      <c r="DL59" s="57">
        <f>'2018'!DB8</f>
        <v>0</v>
      </c>
      <c r="DM59" s="57">
        <f>'2018'!DC8</f>
        <v>243</v>
      </c>
      <c r="DN59" s="57">
        <f>'2018'!DD8</f>
        <v>53</v>
      </c>
      <c r="DO59" s="58">
        <f>'2018'!DE8</f>
        <v>6.1</v>
      </c>
      <c r="DP59" s="58">
        <f>'2018'!DF8</f>
        <v>78.8</v>
      </c>
      <c r="DQ59" s="58">
        <f>'2018'!DG8</f>
        <v>3.39</v>
      </c>
      <c r="DR59" s="58">
        <f>'2018'!DH8</f>
        <v>37.200000000000003</v>
      </c>
      <c r="DS59" s="57">
        <f>'2018'!DI8</f>
        <v>165</v>
      </c>
      <c r="DT59" s="57">
        <f>'2018'!DJ8</f>
        <v>2469</v>
      </c>
      <c r="DU59" s="57">
        <f>'2018'!DK8</f>
        <v>15</v>
      </c>
      <c r="DV59" s="57">
        <f>'2018'!DL8</f>
        <v>0</v>
      </c>
      <c r="DW59" s="59">
        <f>'2018'!DM8</f>
        <v>0</v>
      </c>
    </row>
    <row r="60" spans="1:127" ht="15.75" customHeight="1" x14ac:dyDescent="0.2">
      <c r="A60" s="33">
        <f t="shared" si="0"/>
        <v>58</v>
      </c>
      <c r="B60" s="11">
        <f>'2026 - WIP'!A6</f>
        <v>4</v>
      </c>
      <c r="C60" s="11">
        <v>2026</v>
      </c>
      <c r="D60" s="34" t="str">
        <f>'2026 - WIP'!B6</f>
        <v>Darius Taylor</v>
      </c>
      <c r="E60" s="224" t="str" cm="1">
        <f t="array" ref="E60">_xlfn.IFS(F60&gt;=13,"Cornerstone",AND(F60&gt;=12,F60&lt;13),"Elite",AND(F60&gt;=11,F60&lt;12),"Elite Upside",AND(F60&gt;=9,F60&lt;11),"Upside",AND(F60&gt;=7,F60&lt;9),"Upside Lite",AND(F60&gt;=6,F60&lt;7),"Outlier",AND(F60&gt;=5,F60&lt;6),"Outlier Lite",F60&lt;5,"Purgatory")</f>
        <v>Upside</v>
      </c>
      <c r="F60" s="14">
        <f>'2026 - WIP'!C6</f>
        <v>9.7333333333333325</v>
      </c>
      <c r="G60" s="14">
        <f t="shared" si="7"/>
        <v>82.199999999999989</v>
      </c>
      <c r="H60" s="35">
        <f t="shared" si="1"/>
        <v>0.73256994073931558</v>
      </c>
      <c r="I60" s="36" t="str">
        <f>'2026 - WIP'!D6</f>
        <v>Minnesota</v>
      </c>
      <c r="J60" s="37">
        <f>'2026 - WIP'!E6</f>
        <v>2</v>
      </c>
      <c r="K60" s="38">
        <f>'2026 - WIP'!F6</f>
        <v>38533</v>
      </c>
      <c r="L60" s="39">
        <f>'2026 - WIP'!G6</f>
        <v>20.257534246575343</v>
      </c>
      <c r="M60" s="39" t="str">
        <f>'2026 - WIP'!H6</f>
        <v>JR</v>
      </c>
      <c r="N60" s="39">
        <f>'2026 - WIP'!I6</f>
        <v>20.838356164383562</v>
      </c>
      <c r="O60" s="39" t="str">
        <f t="shared" si="2"/>
        <v>BELL COW</v>
      </c>
      <c r="P60" s="39" t="str">
        <f>IF(OR(AND($AA60&lt;0.25,$AO60&gt;=0.133,AE60&gt;4%),(AND($O60="JITTERBUG",$AO60&gt;0.11)),(AND($O60="JITTERBUG",$AE60&gt;9.5%))),"+RECEIVER",IF(AND($AJ60&gt;=0.25,$AQ60&gt;=3.81),"3DOWN",IF($AQ60&gt;=3.81,"HORSE",IF(OR(AJ60&gt;0.28,AK60&gt;7,AR60&gt;47),"SLASHER",IF(AO60&gt;0.19,"+RECEIVER","PLODDER")))))</f>
        <v>3DOWN</v>
      </c>
      <c r="Q60" s="37">
        <f>'2026 - WIP'!J6</f>
        <v>72</v>
      </c>
      <c r="R60" s="37">
        <f>'2026 - WIP'!K6</f>
        <v>215</v>
      </c>
      <c r="S60" s="39">
        <f t="shared" si="5"/>
        <v>29.158919043146728</v>
      </c>
      <c r="T60" s="39">
        <f>'2026 - WIP'!L6</f>
        <v>4.54</v>
      </c>
      <c r="U60" s="55">
        <f>'2026 - WIP'!M6</f>
        <v>4</v>
      </c>
      <c r="V60" s="41">
        <f>'2026 - WIP'!N6</f>
        <v>0</v>
      </c>
      <c r="W60" s="42">
        <f>'2026 - WIP'!O6</f>
        <v>0</v>
      </c>
      <c r="X60" s="42">
        <f>'2026 - WIP'!P6</f>
        <v>0.49407333554890881</v>
      </c>
      <c r="Y60" s="42">
        <f>'2026 - WIP'!Q6</f>
        <v>0.32958358002762983</v>
      </c>
      <c r="Z60" s="42">
        <f>'2026 - WIP'!R6</f>
        <v>0.21593291404612158</v>
      </c>
      <c r="AA60" s="42">
        <f>'2026 - WIP'!S6</f>
        <v>0.35500312479751517</v>
      </c>
      <c r="AB60" s="42">
        <f>'2026 - WIP'!T6</f>
        <v>0.35500312479751517</v>
      </c>
      <c r="AC60" s="42">
        <f>'2026 - WIP'!U6</f>
        <v>0.13088808880888089</v>
      </c>
      <c r="AD60" s="42">
        <f>'2026 - WIP'!V6</f>
        <v>8.7040618955512572E-2</v>
      </c>
      <c r="AE60" s="42">
        <f>'2026 - WIP'!W6</f>
        <v>0.10896435388219673</v>
      </c>
      <c r="AF60" s="43">
        <f>'2026 - WIP'!X6</f>
        <v>0.10896435388219673</v>
      </c>
      <c r="AG60" s="44">
        <f>'2026 - WIP'!Y6</f>
        <v>18.19178082191781</v>
      </c>
      <c r="AH60" s="45">
        <f>'2026 - WIP'!Z6</f>
        <v>101.21503838570821</v>
      </c>
      <c r="AI60" s="45">
        <f>'2026 - WIP'!AA6</f>
        <v>29.15605709876543</v>
      </c>
      <c r="AJ60" s="45">
        <f>'2026 - WIP'!AB6</f>
        <v>0.25362318840579712</v>
      </c>
      <c r="AK60" s="45">
        <f>'2026 - WIP'!AC6</f>
        <v>5.7971014492753623</v>
      </c>
      <c r="AL60" s="45">
        <f t="shared" si="3"/>
        <v>6.9428571428571431</v>
      </c>
      <c r="AM60" s="45">
        <f t="shared" si="10"/>
        <v>0.13157894736842105</v>
      </c>
      <c r="AN60" s="45">
        <f>'2026 - WIP'!AD6</f>
        <v>95.9</v>
      </c>
      <c r="AO60" s="45">
        <f>'2026 - WIP'!AE6</f>
        <v>3.91</v>
      </c>
      <c r="AP60" s="46">
        <f>'2026 - WIP'!AF6</f>
        <v>40.200000000000003</v>
      </c>
      <c r="AQ60" s="47">
        <f>'2026 - WIP'!AG6</f>
        <v>10</v>
      </c>
      <c r="AR60" s="48">
        <f>'2026 - WIP'!AH6</f>
        <v>9</v>
      </c>
      <c r="AS60" s="48">
        <f>'2026 - WIP'!AI6</f>
        <v>10</v>
      </c>
      <c r="AT60" s="48">
        <f>'2026 - WIP'!AJ6</f>
        <v>6</v>
      </c>
      <c r="AU60" s="48">
        <f>'2026 - WIP'!AK6</f>
        <v>6</v>
      </c>
      <c r="AV60" s="48">
        <f>'2026 - WIP'!AL6</f>
        <v>3</v>
      </c>
      <c r="AW60" s="48">
        <f>'2026 - WIP'!AM6</f>
        <v>4</v>
      </c>
      <c r="AX60" s="48">
        <f>'2026 - WIP'!AN6</f>
        <v>4</v>
      </c>
      <c r="AY60" s="49">
        <f>'2026 - WIP'!AO6</f>
        <v>4</v>
      </c>
      <c r="AZ60" s="50">
        <f>'2026 - WIP'!AP6</f>
        <v>0</v>
      </c>
      <c r="BA60" s="56">
        <f>'2026 - WIP'!AQ6</f>
        <v>0</v>
      </c>
      <c r="BB60" s="57">
        <f>'2026 - WIP'!AR6</f>
        <v>1</v>
      </c>
      <c r="BC60" s="57">
        <f>'2026 - WIP'!AS6</f>
        <v>0</v>
      </c>
      <c r="BD60" s="57">
        <f>'2026 - WIP'!AT6</f>
        <v>0</v>
      </c>
      <c r="BE60" s="57">
        <f>'2026 - WIP'!AU6</f>
        <v>0</v>
      </c>
      <c r="BF60" s="57">
        <f>'2026 - WIP'!AV6</f>
        <v>0</v>
      </c>
      <c r="BG60" s="58">
        <f>'2026 - WIP'!AW6</f>
        <v>0</v>
      </c>
      <c r="BH60" s="58">
        <f>'2026 - WIP'!AX6</f>
        <v>0</v>
      </c>
      <c r="BI60" s="58">
        <f>'2026 - WIP'!AY6</f>
        <v>0</v>
      </c>
      <c r="BJ60" s="58">
        <f>'2026 - WIP'!AZ6</f>
        <v>0</v>
      </c>
      <c r="BK60" s="57">
        <f>'2026 - WIP'!BA6</f>
        <v>0</v>
      </c>
      <c r="BL60" s="57">
        <f>'2026 - WIP'!BB6</f>
        <v>1</v>
      </c>
      <c r="BM60" s="57">
        <f>'2026 - WIP'!BC6</f>
        <v>0</v>
      </c>
      <c r="BN60" s="57">
        <f>'2026 - WIP'!BD6</f>
        <v>0</v>
      </c>
      <c r="BO60" s="59">
        <f>'2026 - WIP'!BE6</f>
        <v>0</v>
      </c>
      <c r="BP60" s="56">
        <f>'2026 - WIP'!BF6</f>
        <v>0</v>
      </c>
      <c r="BQ60" s="57">
        <f>'2026 - WIP'!BG6</f>
        <v>1</v>
      </c>
      <c r="BR60" s="57">
        <f>'2026 - WIP'!BH6</f>
        <v>0</v>
      </c>
      <c r="BS60" s="57">
        <f>'2026 - WIP'!BI6</f>
        <v>0</v>
      </c>
      <c r="BT60" s="57">
        <f>'2026 - WIP'!BJ6</f>
        <v>0</v>
      </c>
      <c r="BU60" s="57">
        <f>'2026 - WIP'!BK6</f>
        <v>0</v>
      </c>
      <c r="BV60" s="58">
        <f>'2026 - WIP'!BL6</f>
        <v>0</v>
      </c>
      <c r="BW60" s="58">
        <f>'2026 - WIP'!BM6</f>
        <v>0</v>
      </c>
      <c r="BX60" s="58">
        <f>'2026 - WIP'!BN6</f>
        <v>0</v>
      </c>
      <c r="BY60" s="58">
        <f>'2026 - WIP'!BO6</f>
        <v>0</v>
      </c>
      <c r="BZ60" s="57">
        <f>'2026 - WIP'!BP6</f>
        <v>0</v>
      </c>
      <c r="CA60" s="57">
        <f>'2026 - WIP'!BQ6</f>
        <v>1</v>
      </c>
      <c r="CB60" s="57">
        <f>'2026 - WIP'!BR6</f>
        <v>0</v>
      </c>
      <c r="CC60" s="57">
        <f>'2026 - WIP'!BS6</f>
        <v>0</v>
      </c>
      <c r="CD60" s="59">
        <f>'2026 - WIP'!BT6</f>
        <v>0</v>
      </c>
      <c r="CE60" s="56">
        <f>'2026 - WIP'!BU6</f>
        <v>800</v>
      </c>
      <c r="CF60" s="57">
        <f>'2026 - WIP'!BV6</f>
        <v>945</v>
      </c>
      <c r="CG60" s="57">
        <f>'2026 - WIP'!BW6</f>
        <v>5</v>
      </c>
      <c r="CH60" s="57">
        <f>'2026 - WIP'!BX6</f>
        <v>6</v>
      </c>
      <c r="CI60" s="57">
        <f>'2026 - WIP'!BY6</f>
        <v>138</v>
      </c>
      <c r="CJ60" s="57">
        <f>'2026 - WIP'!BZ6</f>
        <v>35</v>
      </c>
      <c r="CK60" s="58">
        <f>'2026 - WIP'!CA6</f>
        <v>5.7971014492753623</v>
      </c>
      <c r="CL60" s="58">
        <f>'2026 - WIP'!CB6</f>
        <v>95.9</v>
      </c>
      <c r="CM60" s="58">
        <f>'2026 - WIP'!CC6</f>
        <v>3.76</v>
      </c>
      <c r="CN60" s="58">
        <f>'2026 - WIP'!CD6</f>
        <v>35.1</v>
      </c>
      <c r="CO60" s="57">
        <f>'2026 - WIP'!CE6</f>
        <v>92</v>
      </c>
      <c r="CP60" s="57">
        <f>'2026 - WIP'!CF6</f>
        <v>860.40000000000009</v>
      </c>
      <c r="CQ60" s="57">
        <f>'2026 - WIP'!CG6</f>
        <v>11</v>
      </c>
      <c r="CR60" s="57">
        <f>'2026 - WIP'!CH6</f>
        <v>0</v>
      </c>
      <c r="CS60" s="59">
        <f>'2026 - WIP'!CI6</f>
        <v>7.1999999999999993</v>
      </c>
      <c r="CT60" s="56">
        <f>'2026 - WIP'!CJ6</f>
        <v>987</v>
      </c>
      <c r="CU60" s="57">
        <f>'2026 - WIP'!CK6</f>
        <v>1387.1999999999998</v>
      </c>
      <c r="CV60" s="57">
        <f>'2026 - WIP'!CL6</f>
        <v>10</v>
      </c>
      <c r="CW60" s="57">
        <f>'2026 - WIP'!CM6</f>
        <v>16.799999999999997</v>
      </c>
      <c r="CX60" s="57">
        <f>'2026 - WIP'!CN6</f>
        <v>204</v>
      </c>
      <c r="CY60" s="57">
        <f>'2026 - WIP'!CO6</f>
        <v>46</v>
      </c>
      <c r="CZ60" s="58">
        <f>'2026 - WIP'!CP6</f>
        <v>4.8382352941176467</v>
      </c>
      <c r="DA60" s="58">
        <f>'2026 - WIP'!CQ6</f>
        <v>86.4</v>
      </c>
      <c r="DB60" s="58">
        <f>'2026 - WIP'!CR6</f>
        <v>3.91</v>
      </c>
      <c r="DC60" s="58">
        <f>'2026 - WIP'!CS6</f>
        <v>40.200000000000003</v>
      </c>
      <c r="DD60" s="57">
        <f>'2026 - WIP'!CT6</f>
        <v>349</v>
      </c>
      <c r="DE60" s="57">
        <f>'2026 - WIP'!CU6</f>
        <v>2666.3999999999996</v>
      </c>
      <c r="DF60" s="57">
        <f>'2026 - WIP'!CV6</f>
        <v>54</v>
      </c>
      <c r="DG60" s="57">
        <f>'2026 - WIP'!CW6</f>
        <v>2</v>
      </c>
      <c r="DH60" s="59">
        <f>'2026 - WIP'!CX6</f>
        <v>18</v>
      </c>
      <c r="DI60" s="56">
        <f>'2026 - WIP'!CY6</f>
        <v>161</v>
      </c>
      <c r="DJ60" s="57">
        <f>'2026 - WIP'!CZ6</f>
        <v>437</v>
      </c>
      <c r="DK60" s="57">
        <f>'2026 - WIP'!DA6</f>
        <v>0</v>
      </c>
      <c r="DL60" s="57">
        <f>'2026 - WIP'!DB6</f>
        <v>0</v>
      </c>
      <c r="DM60" s="57">
        <f>'2026 - WIP'!DC6</f>
        <v>33</v>
      </c>
      <c r="DN60" s="57">
        <f>'2026 - WIP'!DD6</f>
        <v>7</v>
      </c>
      <c r="DO60" s="58">
        <f>'2026 - WIP'!DE6</f>
        <v>4.8787878787878789</v>
      </c>
      <c r="DP60" s="58">
        <f>'2026 - WIP'!DF6</f>
        <v>78.099999999999994</v>
      </c>
      <c r="DQ60" s="58">
        <f>'2026 - WIP'!DG6</f>
        <v>2.7</v>
      </c>
      <c r="DR60" s="58">
        <f>'2026 - WIP'!DH6</f>
        <v>21.7</v>
      </c>
      <c r="DS60" s="57">
        <f>'2026 - WIP'!DI6</f>
        <v>45</v>
      </c>
      <c r="DT60" s="57">
        <f>'2026 - WIP'!DJ6</f>
        <v>517</v>
      </c>
      <c r="DU60" s="57">
        <f>'2026 - WIP'!DK6</f>
        <v>5</v>
      </c>
      <c r="DV60" s="57">
        <f>'2026 - WIP'!DL6</f>
        <v>0</v>
      </c>
      <c r="DW60" s="59">
        <f>'2026 - WIP'!DM6</f>
        <v>0</v>
      </c>
    </row>
    <row r="61" spans="1:127" ht="15.75" customHeight="1" x14ac:dyDescent="0.2">
      <c r="A61" s="33">
        <f t="shared" si="0"/>
        <v>59</v>
      </c>
      <c r="B61" s="11">
        <f>'2015'!A6</f>
        <v>4</v>
      </c>
      <c r="C61" s="11">
        <v>2015</v>
      </c>
      <c r="D61" s="34" t="str">
        <f>'2015'!B6</f>
        <v>Duke Johnson</v>
      </c>
      <c r="E61" s="224" t="str" cm="1">
        <f t="array" ref="E61">_xlfn.IFS(F61&gt;=13,"Cornerstone",AND(F61&gt;=12,F61&lt;13),"Elite",AND(F61&gt;=11,F61&lt;12),"Elite Upside",AND(F61&gt;=9,F61&lt;11),"Upside",AND(F61&gt;=7,F61&lt;9),"Upside Lite",AND(F61&gt;=6,F61&lt;7),"Outlier",AND(F61&gt;=5,F61&lt;6),"Outlier Lite",F61&lt;5,"Purgatory")</f>
        <v>Upside</v>
      </c>
      <c r="F61" s="14">
        <f>'2015'!C6</f>
        <v>9.6722222222222243</v>
      </c>
      <c r="G61" s="14">
        <f t="shared" si="7"/>
        <v>81.899999999999991</v>
      </c>
      <c r="H61" s="35">
        <f t="shared" si="1"/>
        <v>0.70670618681356101</v>
      </c>
      <c r="I61" s="36" t="str">
        <f>'2015'!D6</f>
        <v>Miami</v>
      </c>
      <c r="J61" s="37">
        <f>'2015'!E6</f>
        <v>4</v>
      </c>
      <c r="K61" s="38">
        <f>'2015'!F6</f>
        <v>34235</v>
      </c>
      <c r="L61" s="39">
        <f>'2015'!G6</f>
        <v>32.032876712328765</v>
      </c>
      <c r="M61" s="39" t="str">
        <f>'2015'!H6</f>
        <v>JR</v>
      </c>
      <c r="N61" s="39">
        <f>'2015'!I6</f>
        <v>21.605479452054794</v>
      </c>
      <c r="O61" s="39" t="str">
        <f t="shared" si="2"/>
        <v>BELL CALF</v>
      </c>
      <c r="P61" s="39" t="str">
        <f>IF(OR(AND($AA61&lt;0.25,$AM61&gt;=0.133,AE61&gt;4%),(AND($O61="JITTERBUG",$AM61&gt;0.11)),(AND($O61="JITTERBUG",$AE61&gt;9.5%))),"+RECEIVER",IF(AND($AJ61&gt;=0.25,$AO61&gt;=3.81),"3DOWN",IF($AO61&gt;=3.81,"HORSE",IF(OR(AJ61&gt;0.28,AK61&gt;7,AP61&gt;47),"SLASHER",IF(AM61&gt;0.19,"+RECEIVER","PLODDER")))))</f>
        <v>SLASHER</v>
      </c>
      <c r="Q61" s="37">
        <f>'2015'!J6</f>
        <v>69</v>
      </c>
      <c r="R61" s="37">
        <f>'2015'!K6</f>
        <v>207</v>
      </c>
      <c r="S61" s="39">
        <f t="shared" si="5"/>
        <v>30.568217658174451</v>
      </c>
      <c r="T61" s="39">
        <f>'2015'!L6</f>
        <v>4.54</v>
      </c>
      <c r="U61" s="55">
        <f>'2015'!M6</f>
        <v>3</v>
      </c>
      <c r="V61" s="41">
        <f>'2015'!N6</f>
        <v>0</v>
      </c>
      <c r="W61" s="42">
        <f>'2015'!O6</f>
        <v>0</v>
      </c>
      <c r="X61" s="42">
        <f>'2015'!P6</f>
        <v>0.22112836046951911</v>
      </c>
      <c r="Y61" s="42">
        <f>'2015'!Q6</f>
        <v>0.29268435885392202</v>
      </c>
      <c r="Z61" s="42">
        <f>'2015'!R6</f>
        <v>0.36861581365415896</v>
      </c>
      <c r="AA61" s="42">
        <f>'2015'!S6</f>
        <v>0.36861581365415896</v>
      </c>
      <c r="AB61" s="42">
        <f>'2015'!T6</f>
        <v>0.33175423228874307</v>
      </c>
      <c r="AC61" s="42">
        <f>'2015'!U6</f>
        <v>3.6252354048964215E-2</v>
      </c>
      <c r="AD61" s="42">
        <f>'2015'!V6</f>
        <v>0.12959029765752453</v>
      </c>
      <c r="AE61" s="42">
        <f>'2015'!W6</f>
        <v>0.12959029765752453</v>
      </c>
      <c r="AF61" s="43">
        <f>'2015'!X6</f>
        <v>0.11663126789177208</v>
      </c>
      <c r="AG61" s="44">
        <f>'2015'!Y6</f>
        <v>18.953424657534246</v>
      </c>
      <c r="AH61" s="45">
        <f>'2015'!Z6</f>
        <v>97.448897422519067</v>
      </c>
      <c r="AI61" s="45">
        <f>'2015'!AA6</f>
        <v>30.565217391304348</v>
      </c>
      <c r="AJ61" s="45">
        <f>'2015'!AB6</f>
        <v>0.16182572614107885</v>
      </c>
      <c r="AK61" s="45">
        <f>'2015'!AC6</f>
        <v>6.8129496402877701</v>
      </c>
      <c r="AL61" s="45">
        <f t="shared" si="3"/>
        <v>10.271428571428572</v>
      </c>
      <c r="AM61" s="45">
        <f t="shared" si="10"/>
        <v>0.13928571428571429</v>
      </c>
      <c r="AN61" s="45">
        <f>'2015'!AD6</f>
        <v>67.900000000000006</v>
      </c>
      <c r="AO61" s="45">
        <f>'2015'!AE6</f>
        <v>3.52</v>
      </c>
      <c r="AP61" s="46">
        <f>'2015'!AF6</f>
        <v>50.3</v>
      </c>
      <c r="AQ61" s="47">
        <f>'2015'!AG6</f>
        <v>9</v>
      </c>
      <c r="AR61" s="48">
        <f>'2015'!AH6</f>
        <v>9</v>
      </c>
      <c r="AS61" s="48">
        <f>'2015'!AI6</f>
        <v>8</v>
      </c>
      <c r="AT61" s="48">
        <f>'2015'!AJ6</f>
        <v>4</v>
      </c>
      <c r="AU61" s="48">
        <f>'2015'!AK6</f>
        <v>2</v>
      </c>
      <c r="AV61" s="48">
        <f>'2015'!AL6</f>
        <v>7</v>
      </c>
      <c r="AW61" s="48">
        <f>'2015'!AM6</f>
        <v>3</v>
      </c>
      <c r="AX61" s="48">
        <f>'2015'!AN6</f>
        <v>4</v>
      </c>
      <c r="AY61" s="49">
        <f>'2015'!AO6</f>
        <v>6</v>
      </c>
      <c r="AZ61" s="50">
        <f>'2015'!AP6</f>
        <v>0</v>
      </c>
      <c r="BA61" s="56">
        <f>'2015'!AQ6</f>
        <v>0</v>
      </c>
      <c r="BB61" s="57">
        <f>'2015'!AR6</f>
        <v>1</v>
      </c>
      <c r="BC61" s="57">
        <f>'2015'!AS6</f>
        <v>0</v>
      </c>
      <c r="BD61" s="57">
        <f>'2015'!AT6</f>
        <v>0</v>
      </c>
      <c r="BE61" s="57">
        <f>'2015'!AU6</f>
        <v>0</v>
      </c>
      <c r="BF61" s="57">
        <f>'2015'!AV6</f>
        <v>0</v>
      </c>
      <c r="BG61" s="58">
        <f>'2015'!AW6</f>
        <v>0</v>
      </c>
      <c r="BH61" s="58">
        <f>'2015'!AX6</f>
        <v>0</v>
      </c>
      <c r="BI61" s="58">
        <f>'2015'!AY6</f>
        <v>0</v>
      </c>
      <c r="BJ61" s="58">
        <f>'2015'!AZ6</f>
        <v>0</v>
      </c>
      <c r="BK61" s="57">
        <f>'2015'!BA6</f>
        <v>0</v>
      </c>
      <c r="BL61" s="57">
        <f>'2015'!BB6</f>
        <v>1</v>
      </c>
      <c r="BM61" s="57">
        <f>'2015'!BC6</f>
        <v>0</v>
      </c>
      <c r="BN61" s="57">
        <f>'2015'!BD6</f>
        <v>0</v>
      </c>
      <c r="BO61" s="59">
        <f>'2015'!BE6</f>
        <v>0</v>
      </c>
      <c r="BP61" s="56">
        <f>'2015'!BF6</f>
        <v>0</v>
      </c>
      <c r="BQ61" s="57">
        <f>'2015'!BG6</f>
        <v>1</v>
      </c>
      <c r="BR61" s="57">
        <f>'2015'!BH6</f>
        <v>0</v>
      </c>
      <c r="BS61" s="57">
        <f>'2015'!BI6</f>
        <v>0</v>
      </c>
      <c r="BT61" s="57">
        <f>'2015'!BJ6</f>
        <v>0</v>
      </c>
      <c r="BU61" s="57">
        <f>'2015'!BK6</f>
        <v>0</v>
      </c>
      <c r="BV61" s="58">
        <f>'2015'!BL6</f>
        <v>0</v>
      </c>
      <c r="BW61" s="58">
        <f>'2015'!BM6</f>
        <v>0</v>
      </c>
      <c r="BX61" s="58">
        <f>'2015'!BN6</f>
        <v>0</v>
      </c>
      <c r="BY61" s="58">
        <f>'2015'!BO6</f>
        <v>0</v>
      </c>
      <c r="BZ61" s="57">
        <f>'2015'!BP6</f>
        <v>0</v>
      </c>
      <c r="CA61" s="57">
        <f>'2015'!BQ6</f>
        <v>1</v>
      </c>
      <c r="CB61" s="57">
        <f>'2015'!BR6</f>
        <v>0</v>
      </c>
      <c r="CC61" s="57">
        <f>'2015'!BS6</f>
        <v>0</v>
      </c>
      <c r="CD61" s="59">
        <f>'2015'!BT6</f>
        <v>0</v>
      </c>
      <c r="CE61" s="56">
        <f>'2015'!BU6</f>
        <v>947</v>
      </c>
      <c r="CF61" s="57">
        <f>'2015'!BV6</f>
        <v>3545</v>
      </c>
      <c r="CG61" s="57">
        <f>'2015'!BW6</f>
        <v>10</v>
      </c>
      <c r="CH61" s="57">
        <f>'2015'!BX6</f>
        <v>0</v>
      </c>
      <c r="CI61" s="57">
        <f>'2015'!BY6</f>
        <v>139</v>
      </c>
      <c r="CJ61" s="57">
        <f>'2015'!BZ6</f>
        <v>0</v>
      </c>
      <c r="CK61" s="58">
        <f>'2015'!CA6</f>
        <v>6.8129496402877701</v>
      </c>
      <c r="CL61" s="58">
        <f>'2015'!CB6</f>
        <v>0</v>
      </c>
      <c r="CM61" s="58">
        <f>'2015'!CC6</f>
        <v>0</v>
      </c>
      <c r="CN61" s="58">
        <f>'2015'!CD6</f>
        <v>0</v>
      </c>
      <c r="CO61" s="57">
        <f>'2015'!CE6</f>
        <v>221</v>
      </c>
      <c r="CP61" s="57">
        <f>'2015'!CF6</f>
        <v>1737</v>
      </c>
      <c r="CQ61" s="57">
        <f>'2015'!CG6</f>
        <v>27</v>
      </c>
      <c r="CR61" s="57">
        <f>'2015'!CH6</f>
        <v>1</v>
      </c>
      <c r="CS61" s="59">
        <f>'2015'!CI6</f>
        <v>0</v>
      </c>
      <c r="CT61" s="56">
        <f>'2015'!CJ6</f>
        <v>920</v>
      </c>
      <c r="CU61" s="57">
        <f>'2015'!CK6</f>
        <v>1282.4000000000001</v>
      </c>
      <c r="CV61" s="57">
        <f>'2015'!CL6</f>
        <v>6</v>
      </c>
      <c r="CW61" s="57">
        <f>'2015'!CM6</f>
        <v>0</v>
      </c>
      <c r="CX61" s="57">
        <f>'2015'!CN6</f>
        <v>145</v>
      </c>
      <c r="CY61" s="57">
        <f>'2015'!CO6</f>
        <v>0</v>
      </c>
      <c r="CZ61" s="58">
        <f>'2015'!CP6</f>
        <v>6.3448275862068968</v>
      </c>
      <c r="DA61" s="58">
        <f>'2015'!CQ6</f>
        <v>0</v>
      </c>
      <c r="DB61" s="58">
        <f>'2015'!CR6</f>
        <v>0</v>
      </c>
      <c r="DC61" s="58">
        <f>'2015'!CS6</f>
        <v>0</v>
      </c>
      <c r="DD61" s="57">
        <f>'2015'!CT6</f>
        <v>77</v>
      </c>
      <c r="DE61" s="57">
        <f>'2015'!CU6</f>
        <v>2124</v>
      </c>
      <c r="DF61" s="57">
        <f>'2015'!CV6</f>
        <v>4</v>
      </c>
      <c r="DG61" s="57">
        <f>'2015'!CW6</f>
        <v>0</v>
      </c>
      <c r="DH61" s="59">
        <f>'2015'!CX6</f>
        <v>0</v>
      </c>
      <c r="DI61" s="56">
        <f>'2015'!CY6</f>
        <v>1641</v>
      </c>
      <c r="DJ61" s="57">
        <f>'2015'!CZ6</f>
        <v>2345.2000000000003</v>
      </c>
      <c r="DK61" s="57">
        <f>'2015'!DA6</f>
        <v>10</v>
      </c>
      <c r="DL61" s="57">
        <f>'2015'!DB6</f>
        <v>19.5</v>
      </c>
      <c r="DM61" s="57">
        <f>'2015'!DC6</f>
        <v>241</v>
      </c>
      <c r="DN61" s="57">
        <f>'2015'!DD6</f>
        <v>39</v>
      </c>
      <c r="DO61" s="58">
        <f>'2015'!DE6</f>
        <v>6.809128630705394</v>
      </c>
      <c r="DP61" s="58">
        <f>'2015'!DF6</f>
        <v>67.900000000000006</v>
      </c>
      <c r="DQ61" s="58">
        <f>'2015'!DG6</f>
        <v>3.52</v>
      </c>
      <c r="DR61" s="58">
        <f>'2015'!DH6</f>
        <v>50.3</v>
      </c>
      <c r="DS61" s="57">
        <f>'2015'!DI6</f>
        <v>421</v>
      </c>
      <c r="DT61" s="57">
        <f>'2015'!DJ6</f>
        <v>3248.7000000000003</v>
      </c>
      <c r="DU61" s="57">
        <f>'2015'!DK6</f>
        <v>39</v>
      </c>
      <c r="DV61" s="57">
        <f>'2015'!DL6</f>
        <v>3</v>
      </c>
      <c r="DW61" s="59">
        <f>'2015'!DM6</f>
        <v>26</v>
      </c>
    </row>
    <row r="62" spans="1:127" ht="15.75" customHeight="1" x14ac:dyDescent="0.2">
      <c r="A62" s="33">
        <f t="shared" si="0"/>
        <v>60</v>
      </c>
      <c r="B62" s="11">
        <f>'2026 - WIP'!A7</f>
        <v>5</v>
      </c>
      <c r="C62" s="11">
        <v>2026</v>
      </c>
      <c r="D62" s="34" t="str">
        <f>'2026 - WIP'!B7</f>
        <v>Kaytron Allen</v>
      </c>
      <c r="E62" s="224" t="str" cm="1">
        <f t="array" ref="E62">_xlfn.IFS(F62&gt;=13,"Cornerstone",AND(F62&gt;=12,F62&lt;13),"Elite",AND(F62&gt;=11,F62&lt;12),"Elite Upside",AND(F62&gt;=9,F62&lt;11),"Upside",AND(F62&gt;=7,F62&lt;9),"Upside Lite",AND(F62&gt;=6,F62&lt;7),"Outlier",AND(F62&gt;=5,F62&lt;6),"Outlier Lite",F62&lt;5,"Purgatory")</f>
        <v>Upside</v>
      </c>
      <c r="F62" s="14">
        <f>'2026 - WIP'!C7</f>
        <v>9.6499999999999986</v>
      </c>
      <c r="G62" s="14">
        <f t="shared" si="7"/>
        <v>81.599999999999994</v>
      </c>
      <c r="H62" s="35">
        <f t="shared" si="1"/>
        <v>0.69730118538601205</v>
      </c>
      <c r="I62" s="36" t="str">
        <f>'2026 - WIP'!D7</f>
        <v>Penn State</v>
      </c>
      <c r="J62" s="37">
        <f>'2026 - WIP'!E7</f>
        <v>2</v>
      </c>
      <c r="K62" s="38">
        <f>'2026 - WIP'!F7</f>
        <v>37629</v>
      </c>
      <c r="L62" s="39">
        <f>'2026 - WIP'!G7</f>
        <v>22.734246575342464</v>
      </c>
      <c r="M62" s="39" t="str">
        <f>'2026 - WIP'!H7</f>
        <v>SR</v>
      </c>
      <c r="N62" s="39">
        <f>'2026 - WIP'!I7</f>
        <v>23.315068493150687</v>
      </c>
      <c r="O62" s="39" t="str">
        <f t="shared" si="2"/>
        <v>BRUISER</v>
      </c>
      <c r="P62" s="39" t="str">
        <f>IF(OR(AND($AA62&lt;0.25,$AO62&gt;=0.133,AE62&gt;4%),(AND($O62="JITTERBUG",$AO62&gt;0.11)),(AND($O62="JITTERBUG",$AE62&gt;9.5%))),"+RECEIVER",IF(AND($AJ62&gt;=0.25,$AQ62&gt;=3.81),"3DOWN",IF($AQ62&gt;=3.81,"HORSE",IF(OR(AJ62&gt;0.28,AK62&gt;7,AR62&gt;47),"SLASHER",IF(AO62&gt;0.19,"+RECEIVER","PLODDER")))))</f>
        <v>3DOWN</v>
      </c>
      <c r="Q62" s="37">
        <f>'2026 - WIP'!J7</f>
        <v>71</v>
      </c>
      <c r="R62" s="37">
        <f>'2026 - WIP'!K7</f>
        <v>225</v>
      </c>
      <c r="S62" s="39">
        <f t="shared" si="5"/>
        <v>31.380782856784922</v>
      </c>
      <c r="T62" s="39">
        <f>'2026 - WIP'!L7</f>
        <v>4.55</v>
      </c>
      <c r="U62" s="55">
        <f>'2026 - WIP'!M7</f>
        <v>5</v>
      </c>
      <c r="V62" s="41">
        <f>'2026 - WIP'!N7</f>
        <v>0</v>
      </c>
      <c r="W62" s="42">
        <f>'2026 - WIP'!O7</f>
        <v>0.18675992827850665</v>
      </c>
      <c r="X62" s="42">
        <f>'2026 - WIP'!P7</f>
        <v>0.18855581636972335</v>
      </c>
      <c r="Y62" s="42">
        <f>'2026 - WIP'!Q7</f>
        <v>0.14958229848724319</v>
      </c>
      <c r="Z62" s="42">
        <f>'2026 - WIP'!R7</f>
        <v>0.20839580209895053</v>
      </c>
      <c r="AA62" s="42">
        <f>'2026 - WIP'!S7</f>
        <v>0.20839580209895053</v>
      </c>
      <c r="AB62" s="42">
        <f>'2026 - WIP'!T7</f>
        <v>0.20839580209895053</v>
      </c>
      <c r="AC62" s="42">
        <f>'2026 - WIP'!U7</f>
        <v>3.4918076819769009E-2</v>
      </c>
      <c r="AD62" s="42">
        <f>'2026 - WIP'!V7</f>
        <v>6.8399452804377564E-3</v>
      </c>
      <c r="AE62" s="42">
        <f>'2026 - WIP'!W7</f>
        <v>2.0879011050103383E-2</v>
      </c>
      <c r="AF62" s="43">
        <f>'2026 - WIP'!X7</f>
        <v>2.0879011050103383E-2</v>
      </c>
      <c r="AG62" s="44">
        <f>'2026 - WIP'!Y7</f>
        <v>19.671232876712327</v>
      </c>
      <c r="AH62" s="45">
        <f>'2026 - WIP'!Z7</f>
        <v>104.99459124737966</v>
      </c>
      <c r="AI62" s="45">
        <f>'2026 - WIP'!AA7</f>
        <v>31.377702836738742</v>
      </c>
      <c r="AJ62" s="45">
        <f>'2026 - WIP'!AB7</f>
        <v>0.41176470588235292</v>
      </c>
      <c r="AK62" s="45">
        <f>'2026 - WIP'!AC7</f>
        <v>8.0294117647058822</v>
      </c>
      <c r="AL62" s="45">
        <f t="shared" si="3"/>
        <v>7.7142857142857144</v>
      </c>
      <c r="AM62" s="45">
        <f t="shared" si="10"/>
        <v>8.1081081081081086E-2</v>
      </c>
      <c r="AN62" s="45">
        <f>'2026 - WIP'!AD7</f>
        <v>236.6</v>
      </c>
      <c r="AO62" s="45">
        <f>'2026 - WIP'!AE7</f>
        <v>5.47</v>
      </c>
      <c r="AP62" s="46">
        <f>'2026 - WIP'!AF7</f>
        <v>50.2</v>
      </c>
      <c r="AQ62" s="47">
        <f>'2026 - WIP'!AG7</f>
        <v>4</v>
      </c>
      <c r="AR62" s="48">
        <f>'2026 - WIP'!AH7</f>
        <v>2</v>
      </c>
      <c r="AS62" s="48">
        <f>'2026 - WIP'!AI7</f>
        <v>6</v>
      </c>
      <c r="AT62" s="48">
        <f>'2026 - WIP'!AJ7</f>
        <v>7</v>
      </c>
      <c r="AU62" s="48">
        <f>'2026 - WIP'!AK7</f>
        <v>10</v>
      </c>
      <c r="AV62" s="48">
        <f>'2026 - WIP'!AL7</f>
        <v>9</v>
      </c>
      <c r="AW62" s="48">
        <f>'2026 - WIP'!AM7</f>
        <v>10</v>
      </c>
      <c r="AX62" s="48">
        <f>'2026 - WIP'!AN7</f>
        <v>9</v>
      </c>
      <c r="AY62" s="49">
        <f>'2026 - WIP'!AO7</f>
        <v>3</v>
      </c>
      <c r="AZ62" s="50">
        <f>'2026 - WIP'!AP7</f>
        <v>1</v>
      </c>
      <c r="BA62" s="56">
        <f>'2026 - WIP'!AQ7</f>
        <v>0</v>
      </c>
      <c r="BB62" s="57">
        <f>'2026 - WIP'!AR7</f>
        <v>1</v>
      </c>
      <c r="BC62" s="57">
        <f>'2026 - WIP'!AS7</f>
        <v>0</v>
      </c>
      <c r="BD62" s="57">
        <f>'2026 - WIP'!AT7</f>
        <v>0</v>
      </c>
      <c r="BE62" s="57">
        <f>'2026 - WIP'!AU7</f>
        <v>0</v>
      </c>
      <c r="BF62" s="57">
        <f>'2026 - WIP'!AV7</f>
        <v>0</v>
      </c>
      <c r="BG62" s="58">
        <f>'2026 - WIP'!AW7</f>
        <v>0</v>
      </c>
      <c r="BH62" s="58">
        <f>'2026 - WIP'!AX7</f>
        <v>0</v>
      </c>
      <c r="BI62" s="58">
        <f>'2026 - WIP'!AY7</f>
        <v>0</v>
      </c>
      <c r="BJ62" s="58">
        <f>'2026 - WIP'!AZ7</f>
        <v>0</v>
      </c>
      <c r="BK62" s="57">
        <f>'2026 - WIP'!BA7</f>
        <v>0</v>
      </c>
      <c r="BL62" s="57">
        <f>'2026 - WIP'!BB7</f>
        <v>1</v>
      </c>
      <c r="BM62" s="57">
        <f>'2026 - WIP'!BC7</f>
        <v>0</v>
      </c>
      <c r="BN62" s="57">
        <f>'2026 - WIP'!BD7</f>
        <v>0</v>
      </c>
      <c r="BO62" s="59">
        <f>'2026 - WIP'!BE7</f>
        <v>0</v>
      </c>
      <c r="BP62" s="56">
        <f>'2026 - WIP'!BF7</f>
        <v>864</v>
      </c>
      <c r="BQ62" s="57">
        <f>'2026 - WIP'!BG7</f>
        <v>2354.2999999999997</v>
      </c>
      <c r="BR62" s="57">
        <f>'2026 - WIP'!BH7</f>
        <v>10</v>
      </c>
      <c r="BS62" s="57">
        <f>'2026 - WIP'!BI7</f>
        <v>28.6</v>
      </c>
      <c r="BT62" s="57">
        <f>'2026 - WIP'!BJ7</f>
        <v>167</v>
      </c>
      <c r="BU62" s="57">
        <f>'2026 - WIP'!BK7</f>
        <v>45</v>
      </c>
      <c r="BV62" s="58">
        <f>'2026 - WIP'!BL7</f>
        <v>5.1736526946107784</v>
      </c>
      <c r="BW62" s="58">
        <f>'2026 - WIP'!BM7</f>
        <v>81</v>
      </c>
      <c r="BX62" s="58">
        <f>'2026 - WIP'!BN7</f>
        <v>3.03</v>
      </c>
      <c r="BY62" s="58">
        <f>'2026 - WIP'!BO7</f>
        <v>25.7</v>
      </c>
      <c r="BZ62" s="57">
        <f>'2026 - WIP'!BP7</f>
        <v>188</v>
      </c>
      <c r="CA62" s="57">
        <f>'2026 - WIP'!BQ7</f>
        <v>3278.6</v>
      </c>
      <c r="CB62" s="57">
        <f>'2026 - WIP'!BR7</f>
        <v>20</v>
      </c>
      <c r="CC62" s="57">
        <f>'2026 - WIP'!BS7</f>
        <v>1</v>
      </c>
      <c r="CD62" s="59">
        <f>'2026 - WIP'!BT7</f>
        <v>28.6</v>
      </c>
      <c r="CE62" s="56">
        <f>'2026 - WIP'!BU7</f>
        <v>899</v>
      </c>
      <c r="CF62" s="57">
        <f>'2026 - WIP'!BV7</f>
        <v>2402.4</v>
      </c>
      <c r="CG62" s="57">
        <f>'2026 - WIP'!BW7</f>
        <v>6</v>
      </c>
      <c r="CH62" s="57">
        <f>'2026 - WIP'!BX7</f>
        <v>26</v>
      </c>
      <c r="CI62" s="57">
        <f>'2026 - WIP'!BY7</f>
        <v>172</v>
      </c>
      <c r="CJ62" s="57">
        <f>'2026 - WIP'!BZ7</f>
        <v>37</v>
      </c>
      <c r="CK62" s="58">
        <f>'2026 - WIP'!CA7</f>
        <v>5.2267441860465116</v>
      </c>
      <c r="CL62" s="58">
        <f>'2026 - WIP'!CB7</f>
        <v>76.5</v>
      </c>
      <c r="CM62" s="58">
        <f>'2026 - WIP'!CC7</f>
        <v>3.23</v>
      </c>
      <c r="CN62" s="58">
        <f>'2026 - WIP'!CD7</f>
        <v>30.4</v>
      </c>
      <c r="CO62" s="57">
        <f>'2026 - WIP'!CE7</f>
        <v>81</v>
      </c>
      <c r="CP62" s="57">
        <f>'2026 - WIP'!CF7</f>
        <v>2795</v>
      </c>
      <c r="CQ62" s="57">
        <f>'2026 - WIP'!CG7</f>
        <v>14</v>
      </c>
      <c r="CR62" s="57">
        <f>'2026 - WIP'!CH7</f>
        <v>1</v>
      </c>
      <c r="CS62" s="59">
        <f>'2026 - WIP'!CI7</f>
        <v>29.9</v>
      </c>
      <c r="CT62" s="56">
        <f>'2026 - WIP'!CJ7</f>
        <v>691</v>
      </c>
      <c r="CU62" s="57">
        <f>'2026 - WIP'!CK7</f>
        <v>2336.3999999999996</v>
      </c>
      <c r="CV62" s="57">
        <f>'2026 - WIP'!CL7</f>
        <v>5</v>
      </c>
      <c r="CW62" s="57">
        <f>'2026 - WIP'!CM7</f>
        <v>26.400000000000002</v>
      </c>
      <c r="CX62" s="57">
        <f>'2026 - WIP'!CN7</f>
        <v>158</v>
      </c>
      <c r="CY62" s="57">
        <f>'2026 - WIP'!CO7</f>
        <v>26</v>
      </c>
      <c r="CZ62" s="58">
        <f>'2026 - WIP'!CP7</f>
        <v>4.3734177215189876</v>
      </c>
      <c r="DA62" s="58">
        <f>'2026 - WIP'!CQ7</f>
        <v>46.5</v>
      </c>
      <c r="DB62" s="58">
        <f>'2026 - WIP'!CR7</f>
        <v>2.73</v>
      </c>
      <c r="DC62" s="58">
        <f>'2026 - WIP'!CS7</f>
        <v>16.2</v>
      </c>
      <c r="DD62" s="57">
        <f>'2026 - WIP'!CT7</f>
        <v>104</v>
      </c>
      <c r="DE62" s="57">
        <f>'2026 - WIP'!CU7</f>
        <v>2978.3999999999996</v>
      </c>
      <c r="DF62" s="57">
        <f>'2026 - WIP'!CV7</f>
        <v>12</v>
      </c>
      <c r="DG62" s="57">
        <f>'2026 - WIP'!CW7</f>
        <v>2</v>
      </c>
      <c r="DH62" s="59">
        <f>'2026 - WIP'!CX7</f>
        <v>24</v>
      </c>
      <c r="DI62" s="56">
        <f>'2026 - WIP'!CY7</f>
        <v>273</v>
      </c>
      <c r="DJ62" s="57">
        <f>'2026 - WIP'!CZ7</f>
        <v>603</v>
      </c>
      <c r="DK62" s="57">
        <f>'2026 - WIP'!DA7</f>
        <v>0</v>
      </c>
      <c r="DL62" s="57">
        <f>'2026 - WIP'!DB7</f>
        <v>0</v>
      </c>
      <c r="DM62" s="57">
        <f>'2026 - WIP'!DC7</f>
        <v>34</v>
      </c>
      <c r="DN62" s="57">
        <f>'2026 - WIP'!DD7</f>
        <v>14</v>
      </c>
      <c r="DO62" s="58">
        <f>'2026 - WIP'!DE7</f>
        <v>8.0294117647058822</v>
      </c>
      <c r="DP62" s="58">
        <f>'2026 - WIP'!DF7</f>
        <v>236.6</v>
      </c>
      <c r="DQ62" s="58">
        <f>'2026 - WIP'!DG7</f>
        <v>5.47</v>
      </c>
      <c r="DR62" s="58">
        <f>'2026 - WIP'!DH7</f>
        <v>50.2</v>
      </c>
      <c r="DS62" s="57">
        <f>'2026 - WIP'!DI7</f>
        <v>5</v>
      </c>
      <c r="DT62" s="57">
        <f>'2026 - WIP'!DJ7</f>
        <v>731</v>
      </c>
      <c r="DU62" s="57">
        <f>'2026 - WIP'!DK7</f>
        <v>3</v>
      </c>
      <c r="DV62" s="57">
        <f>'2026 - WIP'!DL7</f>
        <v>0</v>
      </c>
      <c r="DW62" s="59">
        <f>'2026 - WIP'!DM7</f>
        <v>0</v>
      </c>
    </row>
    <row r="63" spans="1:127" ht="15.75" customHeight="1" x14ac:dyDescent="0.2">
      <c r="A63" s="33">
        <f t="shared" si="0"/>
        <v>61</v>
      </c>
      <c r="B63" s="11">
        <f>'2017'!A11</f>
        <v>9</v>
      </c>
      <c r="C63" s="11">
        <v>2017</v>
      </c>
      <c r="D63" s="34" t="str">
        <f>'2017'!B11</f>
        <v>Aaron Jones</v>
      </c>
      <c r="E63" s="224" t="str" cm="1">
        <f t="array" ref="E63">_xlfn.IFS(F63&gt;=13,"Cornerstone",AND(F63&gt;=12,F63&lt;13),"Elite",AND(F63&gt;=11,F63&lt;12),"Elite Upside",AND(F63&gt;=9,F63&lt;11),"Upside",AND(F63&gt;=7,F63&lt;9),"Upside Lite",AND(F63&gt;=6,F63&lt;7),"Outlier",AND(F63&gt;=5,F63&lt;6),"Outlier Lite",F63&lt;5,"Purgatory")</f>
        <v>Upside</v>
      </c>
      <c r="F63" s="14">
        <f>'2017'!C11</f>
        <v>9.6166666666666671</v>
      </c>
      <c r="G63" s="14">
        <f t="shared" si="7"/>
        <v>81.3</v>
      </c>
      <c r="H63" s="35">
        <f t="shared" si="1"/>
        <v>0.68319368324469143</v>
      </c>
      <c r="I63" s="36" t="str">
        <f>'2017'!D11</f>
        <v>UTEP</v>
      </c>
      <c r="J63" s="37">
        <f>'2017'!E11</f>
        <v>10</v>
      </c>
      <c r="K63" s="38">
        <f>'2017'!F11</f>
        <v>34670</v>
      </c>
      <c r="L63" s="39">
        <f>'2017'!G11</f>
        <v>30.841095890410958</v>
      </c>
      <c r="M63" s="39" t="str">
        <f>'2017'!H11</f>
        <v>SR</v>
      </c>
      <c r="N63" s="39">
        <f>'2017'!I11</f>
        <v>22.416438356164385</v>
      </c>
      <c r="O63" s="39" t="str">
        <f t="shared" si="2"/>
        <v>DYNAMIC</v>
      </c>
      <c r="P63" s="39" t="str">
        <f>IF(OR(AND($AA63&lt;0.25,$AM63&gt;=0.133,AE63&gt;4%),(AND($O63="JITTERBUG",$AM63&gt;0.11)),(AND($O63="JITTERBUG",$AE63&gt;9.5%))),"+RECEIVER",IF(AND($AJ63&gt;=0.25,$AO63&gt;=3.81),"3DOWN",IF($AO63&gt;=3.81,"HORSE",IF(OR(AJ63&gt;0.28,AK63&gt;7,AP63&gt;47),"SLASHER",IF(AM63&gt;0.19,"+RECEIVER","PLODDER")))))</f>
        <v>HORSE</v>
      </c>
      <c r="Q63" s="37">
        <f>'2017'!J11</f>
        <v>69</v>
      </c>
      <c r="R63" s="37">
        <f>'2017'!K11</f>
        <v>208</v>
      </c>
      <c r="S63" s="39">
        <f t="shared" si="5"/>
        <v>30.715890207247757</v>
      </c>
      <c r="T63" s="37">
        <f>'2017'!L11</f>
        <v>4.5</v>
      </c>
      <c r="U63" s="55">
        <f>'2017'!M11</f>
        <v>5</v>
      </c>
      <c r="V63" s="41">
        <f>'2017'!N11</f>
        <v>0</v>
      </c>
      <c r="W63" s="42">
        <f>'2017'!O11</f>
        <v>0.19760479041916168</v>
      </c>
      <c r="X63" s="42">
        <f>'2017'!P11</f>
        <v>0.35512173722307522</v>
      </c>
      <c r="Y63" s="42">
        <f>'2017'!Q11</f>
        <v>7.6923076923076927E-2</v>
      </c>
      <c r="Z63" s="42">
        <f>'2017'!R11</f>
        <v>0.45124153498871333</v>
      </c>
      <c r="AA63" s="42">
        <f>'2017'!S11</f>
        <v>0.45124153498871333</v>
      </c>
      <c r="AB63" s="42">
        <f>'2017'!T11</f>
        <v>0.270744920993228</v>
      </c>
      <c r="AC63" s="42">
        <f>'2017'!U11</f>
        <v>4.5183290707587385E-2</v>
      </c>
      <c r="AD63" s="42">
        <f>'2017'!V11</f>
        <v>0.10571687840290381</v>
      </c>
      <c r="AE63" s="42">
        <f>'2017'!W11</f>
        <v>0.10571687840290381</v>
      </c>
      <c r="AF63" s="43">
        <f>'2017'!X11</f>
        <v>6.3430127041742279E-2</v>
      </c>
      <c r="AG63" s="44">
        <f>'2017'!Y11</f>
        <v>18.758904109589039</v>
      </c>
      <c r="AH63" s="45">
        <f>'2017'!Z11</f>
        <v>101.44795000762079</v>
      </c>
      <c r="AI63" s="45">
        <f>'2017'!AA11</f>
        <v>30.712875446334802</v>
      </c>
      <c r="AJ63" s="45">
        <f>'2017'!AB11</f>
        <v>0.21875</v>
      </c>
      <c r="AK63" s="45">
        <f>'2017'!AC11</f>
        <v>7.7</v>
      </c>
      <c r="AL63" s="45">
        <f t="shared" si="3"/>
        <v>8.9722222222222214</v>
      </c>
      <c r="AM63" s="45">
        <f t="shared" si="10"/>
        <v>0.109375</v>
      </c>
      <c r="AN63" s="45">
        <f>'2017'!AD11</f>
        <v>151.80000000000001</v>
      </c>
      <c r="AO63" s="45">
        <f>'2017'!AE11</f>
        <v>5.19</v>
      </c>
      <c r="AP63" s="46">
        <f>'2017'!AF11</f>
        <v>56.4</v>
      </c>
      <c r="AQ63" s="47">
        <f>'2017'!AG11</f>
        <v>7</v>
      </c>
      <c r="AR63" s="48">
        <f>'2017'!AH11</f>
        <v>7</v>
      </c>
      <c r="AS63" s="48">
        <f>'2017'!AI11</f>
        <v>9</v>
      </c>
      <c r="AT63" s="48">
        <f>IF(AH63&gt;113.25,10,IF(AH63&gt;=107.84,9,IF(AH63&gt;=105.37,8,IF(AH63&gt;=103.25,7,IF(AH63&gt;=100.55,6,IF(AH63&gt;=98.75,5,IF(AH63&gt;=96.08,4,IF(AH63&gt;=94.39,3,IF(AH63&gt;=88.43,2,IF(AH63&gt;=85.16,1,IF(AH63&lt;85.16,0,FALSE)))))))))))</f>
        <v>6</v>
      </c>
      <c r="AU63" s="48">
        <f>'2017'!AK11</f>
        <v>4</v>
      </c>
      <c r="AV63" s="48">
        <f>'2017'!AL11</f>
        <v>9</v>
      </c>
      <c r="AW63" s="48">
        <f>'2017'!AM11</f>
        <v>10</v>
      </c>
      <c r="AX63" s="48">
        <f>'2017'!AN11</f>
        <v>10</v>
      </c>
      <c r="AY63" s="49">
        <f>IF(U63=1,10,IF(U63=2,7,IF(U63=3,6,IF(U63=4,4,IF(U63=5,3,IF(U63=6,2,IF(U63=7,1,IF(U63=0,0,"-"))))))))</f>
        <v>3</v>
      </c>
      <c r="AZ63" s="50">
        <f>'2017'!AP11</f>
        <v>0</v>
      </c>
      <c r="BA63" s="56">
        <f>'2017'!AQ11</f>
        <v>0</v>
      </c>
      <c r="BB63" s="57">
        <f>'2017'!AR11</f>
        <v>1782</v>
      </c>
      <c r="BC63" s="57">
        <f>'2017'!AS11</f>
        <v>0</v>
      </c>
      <c r="BD63" s="57">
        <f>'2017'!AT11</f>
        <v>0</v>
      </c>
      <c r="BE63" s="57">
        <f>'2017'!AU11</f>
        <v>0</v>
      </c>
      <c r="BF63" s="57">
        <f>'2017'!AV11</f>
        <v>0</v>
      </c>
      <c r="BG63" s="58">
        <f>'2017'!AW11</f>
        <v>0</v>
      </c>
      <c r="BH63" s="58">
        <f>'2017'!AX11</f>
        <v>0</v>
      </c>
      <c r="BI63" s="58">
        <f>'2017'!AY11</f>
        <v>0</v>
      </c>
      <c r="BJ63" s="58">
        <f>'2017'!AZ11</f>
        <v>0</v>
      </c>
      <c r="BK63" s="57">
        <f>'2017'!BA11</f>
        <v>0</v>
      </c>
      <c r="BL63" s="57">
        <f>'2017'!BB11</f>
        <v>2688</v>
      </c>
      <c r="BM63" s="57">
        <f>'2017'!BC11</f>
        <v>0</v>
      </c>
      <c r="BN63" s="57">
        <f>'2017'!BD11</f>
        <v>0</v>
      </c>
      <c r="BO63" s="59">
        <f>'2017'!BE11</f>
        <v>0</v>
      </c>
      <c r="BP63" s="56">
        <f>'2017'!BF11</f>
        <v>811</v>
      </c>
      <c r="BQ63" s="57">
        <f>'2017'!BG11</f>
        <v>2216</v>
      </c>
      <c r="BR63" s="57">
        <f>'2017'!BH11</f>
        <v>0</v>
      </c>
      <c r="BS63" s="57">
        <f>'2017'!BI11</f>
        <v>0</v>
      </c>
      <c r="BT63" s="57">
        <f>'2017'!BJ11</f>
        <v>0</v>
      </c>
      <c r="BU63" s="57">
        <f>'2017'!BK11</f>
        <v>0</v>
      </c>
      <c r="BV63" s="58">
        <f>'2017'!BL11</f>
        <v>0</v>
      </c>
      <c r="BW63" s="58">
        <f>'2017'!BM11</f>
        <v>0</v>
      </c>
      <c r="BX63" s="58">
        <f>'2017'!BN11</f>
        <v>0</v>
      </c>
      <c r="BY63" s="58">
        <f>'2017'!BO11</f>
        <v>0</v>
      </c>
      <c r="BZ63" s="57">
        <f>'2017'!BP11</f>
        <v>14</v>
      </c>
      <c r="CA63" s="57">
        <f>'2017'!BQ11</f>
        <v>1959</v>
      </c>
      <c r="CB63" s="57">
        <f>'2017'!BR11</f>
        <v>4</v>
      </c>
      <c r="CC63" s="57">
        <f>'2017'!BS11</f>
        <v>0</v>
      </c>
      <c r="CD63" s="59">
        <f>'2017'!BT11</f>
        <v>0</v>
      </c>
      <c r="CE63" s="56">
        <f>'2017'!BU11</f>
        <v>1326</v>
      </c>
      <c r="CF63" s="57">
        <f>'2017'!BV11</f>
        <v>2701</v>
      </c>
      <c r="CG63" s="57">
        <f>'2017'!BW11</f>
        <v>11</v>
      </c>
      <c r="CH63" s="57">
        <f>'2017'!BX11</f>
        <v>0</v>
      </c>
      <c r="CI63" s="57">
        <f>'2017'!BY11</f>
        <v>242</v>
      </c>
      <c r="CJ63" s="57">
        <f>'2017'!BZ11</f>
        <v>44</v>
      </c>
      <c r="CK63" s="58">
        <f>'2017'!CA11</f>
        <v>5.5</v>
      </c>
      <c r="CL63" s="58">
        <f>'2017'!CB11</f>
        <v>63.9</v>
      </c>
      <c r="CM63" s="58">
        <f>'2017'!CC11</f>
        <v>3.49</v>
      </c>
      <c r="CN63" s="58">
        <f>'2017'!CD11</f>
        <v>39.700000000000003</v>
      </c>
      <c r="CO63" s="57">
        <f>'2017'!CE11</f>
        <v>293</v>
      </c>
      <c r="CP63" s="57">
        <f>'2017'!CF11</f>
        <v>1858</v>
      </c>
      <c r="CQ63" s="57">
        <f>'2017'!CG11</f>
        <v>31</v>
      </c>
      <c r="CR63" s="57">
        <f>'2017'!CH11</f>
        <v>0</v>
      </c>
      <c r="CS63" s="59">
        <f>'2017'!CI11</f>
        <v>0</v>
      </c>
      <c r="CT63" s="56">
        <f>'2017'!CJ11</f>
        <v>209</v>
      </c>
      <c r="CU63" s="57">
        <f>'2017'!CK11</f>
        <v>1749</v>
      </c>
      <c r="CV63" s="57">
        <f>'2017'!CL11</f>
        <v>1</v>
      </c>
      <c r="CW63" s="57">
        <f>'2017'!CM11</f>
        <v>0</v>
      </c>
      <c r="CX63" s="57">
        <f>'2017'!CN11</f>
        <v>32</v>
      </c>
      <c r="CY63" s="57">
        <f>'2017'!CO11</f>
        <v>7</v>
      </c>
      <c r="CZ63" s="58">
        <f>'2017'!CP11</f>
        <v>6.5</v>
      </c>
      <c r="DA63" s="58">
        <f>'2017'!CQ11</f>
        <v>151.80000000000001</v>
      </c>
      <c r="DB63" s="58">
        <f>'2017'!CR11</f>
        <v>5.19</v>
      </c>
      <c r="DC63" s="58">
        <f>'2017'!CS11</f>
        <v>53.1</v>
      </c>
      <c r="DD63" s="57">
        <f>'2017'!CT11</f>
        <v>106</v>
      </c>
      <c r="DE63" s="57">
        <f>'2017'!CU11</f>
        <v>2346</v>
      </c>
      <c r="DF63" s="57">
        <f>'2017'!CV11</f>
        <v>9</v>
      </c>
      <c r="DG63" s="57">
        <f>'2017'!CW11</f>
        <v>0</v>
      </c>
      <c r="DH63" s="59">
        <f>'2017'!CX11</f>
        <v>0</v>
      </c>
      <c r="DI63" s="56">
        <f>'2017'!CY11</f>
        <v>1766</v>
      </c>
      <c r="DJ63" s="57">
        <f>'2017'!CZ11</f>
        <v>2226</v>
      </c>
      <c r="DK63" s="57">
        <f>'2017'!DA11</f>
        <v>17</v>
      </c>
      <c r="DL63" s="57">
        <f>'2017'!DB11</f>
        <v>0</v>
      </c>
      <c r="DM63" s="57">
        <f>'2017'!DC11</f>
        <v>228</v>
      </c>
      <c r="DN63" s="57">
        <f>'2017'!DD11</f>
        <v>41</v>
      </c>
      <c r="DO63" s="58">
        <f>'2017'!DE11</f>
        <v>7.7</v>
      </c>
      <c r="DP63" s="58">
        <f>'2017'!DF11</f>
        <v>73</v>
      </c>
      <c r="DQ63" s="58">
        <f>'2017'!DG11</f>
        <v>3.98</v>
      </c>
      <c r="DR63" s="58">
        <f>'2017'!DH11</f>
        <v>56.4</v>
      </c>
      <c r="DS63" s="57">
        <f>'2017'!DI11</f>
        <v>233</v>
      </c>
      <c r="DT63" s="57">
        <f>'2017'!DJ11</f>
        <v>2204</v>
      </c>
      <c r="DU63" s="57">
        <f>'2017'!DK11</f>
        <v>28</v>
      </c>
      <c r="DV63" s="57">
        <f>'2017'!DL11</f>
        <v>0</v>
      </c>
      <c r="DW63" s="59">
        <f>'2017'!DM11</f>
        <v>0</v>
      </c>
    </row>
    <row r="64" spans="1:127" ht="15.75" customHeight="1" x14ac:dyDescent="0.2">
      <c r="A64" s="33">
        <f t="shared" si="0"/>
        <v>62</v>
      </c>
      <c r="B64" s="11">
        <f>'2019'!A6</f>
        <v>4</v>
      </c>
      <c r="C64" s="11">
        <v>2019</v>
      </c>
      <c r="D64" s="34" t="str">
        <f>'2019'!B6</f>
        <v>David Montgomery</v>
      </c>
      <c r="E64" s="224" t="str" cm="1">
        <f t="array" ref="E64">_xlfn.IFS(F64&gt;=13,"Cornerstone",AND(F64&gt;=12,F64&lt;13),"Elite",AND(F64&gt;=11,F64&lt;12),"Elite Upside",AND(F64&gt;=9,F64&lt;11),"Upside",AND(F64&gt;=7,F64&lt;9),"Upside Lite",AND(F64&gt;=6,F64&lt;7),"Outlier",AND(F64&gt;=5,F64&lt;6),"Outlier Lite",F64&lt;5,"Purgatory")</f>
        <v>Upside</v>
      </c>
      <c r="F64" s="14">
        <f>'2019'!C6</f>
        <v>9.6111111111111107</v>
      </c>
      <c r="G64" s="14">
        <f t="shared" si="7"/>
        <v>81</v>
      </c>
      <c r="H64" s="35">
        <f t="shared" si="1"/>
        <v>0.68084243288780422</v>
      </c>
      <c r="I64" s="36" t="str">
        <f>'2019'!D6</f>
        <v>Iowa State</v>
      </c>
      <c r="J64" s="37">
        <f>'2019'!E6</f>
        <v>3</v>
      </c>
      <c r="K64" s="38">
        <f>'2019'!F6</f>
        <v>35588</v>
      </c>
      <c r="L64" s="39">
        <f>'2019'!G6</f>
        <v>28.326027397260273</v>
      </c>
      <c r="M64" s="39" t="str">
        <f>'2019'!H6</f>
        <v>JR</v>
      </c>
      <c r="N64" s="39">
        <f>'2019'!I6</f>
        <v>21.895890410958906</v>
      </c>
      <c r="O64" s="39" t="str">
        <f t="shared" si="2"/>
        <v>BELL CALF</v>
      </c>
      <c r="P64" s="39" t="str">
        <f>IF(OR(AND($AA64&lt;0.25,$AM64&gt;=0.133,AE64&gt;4%),(AND($O64="JITTERBUG",$AM64&gt;0.11)),(AND($O64="JITTERBUG",$AE64&gt;9.5%))),"+RECEIVER",IF(AND($AJ64&gt;=0.25,$AO64&gt;=3.81),"3DOWN",IF($AO64&gt;=3.81,"HORSE",IF(OR(AJ64&gt;0.28,AK64&gt;7,AP64&gt;47),"SLASHER",IF(AM64&gt;0.19,"+RECEIVER","PLODDER")))))</f>
        <v>SLASHER</v>
      </c>
      <c r="Q64" s="37">
        <f>'2019'!J6</f>
        <v>70</v>
      </c>
      <c r="R64" s="37">
        <f>'2019'!K6</f>
        <v>222</v>
      </c>
      <c r="S64" s="39">
        <f t="shared" si="5"/>
        <v>31.853330482171167</v>
      </c>
      <c r="T64" s="37">
        <f>'2019'!L6</f>
        <v>4.57</v>
      </c>
      <c r="U64" s="40">
        <f>'2019'!M6</f>
        <v>3</v>
      </c>
      <c r="V64" s="41">
        <f>'2019'!N6</f>
        <v>0</v>
      </c>
      <c r="W64" s="42">
        <f>'2019'!O6</f>
        <v>0</v>
      </c>
      <c r="X64" s="42">
        <f>'2019'!P6</f>
        <v>0.13579758845621664</v>
      </c>
      <c r="Y64" s="42">
        <f>'2019'!Q6</f>
        <v>0.28716620167397372</v>
      </c>
      <c r="Z64" s="42">
        <f>'2019'!R6</f>
        <v>0.28467758656437903</v>
      </c>
      <c r="AA64" s="42">
        <f>'2019'!S6</f>
        <v>0.28592189411917635</v>
      </c>
      <c r="AB64" s="42">
        <f>'2019'!T6</f>
        <v>0.25732970470725874</v>
      </c>
      <c r="AC64" s="42">
        <f>'2019'!U6</f>
        <v>8.3427282976324693E-2</v>
      </c>
      <c r="AD64" s="42">
        <f>'2019'!V6</f>
        <v>5.0127713920817371E-2</v>
      </c>
      <c r="AE64" s="42">
        <f>'2019'!W6</f>
        <v>6.6777498448571032E-2</v>
      </c>
      <c r="AF64" s="43">
        <f>'2019'!X6</f>
        <v>6.0099748603713928E-2</v>
      </c>
      <c r="AG64" s="44">
        <f>'2019'!Y6</f>
        <v>20.246575342465754</v>
      </c>
      <c r="AH64" s="45">
        <f>'2019'!Z6</f>
        <v>101.79305998893844</v>
      </c>
      <c r="AI64" s="45">
        <f>'2019'!AA6</f>
        <v>31.850204081632654</v>
      </c>
      <c r="AJ64" s="45">
        <f>'2019'!AB6</f>
        <v>0.38671875</v>
      </c>
      <c r="AK64" s="45">
        <f>'2019'!AC6</f>
        <v>5.0999999999999996</v>
      </c>
      <c r="AL64" s="45">
        <f t="shared" si="3"/>
        <v>8.242857142857142</v>
      </c>
      <c r="AM64" s="45">
        <f t="shared" si="10"/>
        <v>7.9136690647482008E-2</v>
      </c>
      <c r="AN64" s="45">
        <f>'2019'!AD6</f>
        <v>127.8</v>
      </c>
      <c r="AO64" s="45">
        <f>'2019'!AE6</f>
        <v>3.48</v>
      </c>
      <c r="AP64" s="46">
        <f>'2019'!AF6</f>
        <v>31.2</v>
      </c>
      <c r="AQ64" s="47">
        <f>'2019'!AG6</f>
        <v>6</v>
      </c>
      <c r="AR64" s="48">
        <f>'2019'!AH6</f>
        <v>6</v>
      </c>
      <c r="AS64" s="48">
        <f>'2019'!AI6</f>
        <v>4</v>
      </c>
      <c r="AT64" s="48">
        <f>IF(AH64&gt;113.25,10,IF(AH64&gt;=107.84,9,IF(AH64&gt;=105.37,8,IF(AH64&gt;=103.25,7,IF(AH64&gt;=100.55,6,IF(AH64&gt;=98.75,5,IF(AH64&gt;=96.08,4,IF(AH64&gt;=94.39,3,IF(AH64&gt;=88.43,2,IF(AH64&gt;=85.16,1,IF(AH64&lt;85.16,0,FALSE)))))))))))</f>
        <v>6</v>
      </c>
      <c r="AU64" s="48">
        <f>'2019'!AK6</f>
        <v>10</v>
      </c>
      <c r="AV64" s="48">
        <f>'2019'!AL6</f>
        <v>1</v>
      </c>
      <c r="AW64" s="48">
        <f>'2019'!AM6</f>
        <v>6</v>
      </c>
      <c r="AX64" s="48">
        <f>'2019'!AN6</f>
        <v>2</v>
      </c>
      <c r="AY64" s="49">
        <f>IF(U64=1,10,IF(U64=2,7,IF(U64=3,6,IF(U64=4,4,IF(U64=5,3,IF(U64=6,2,IF(U64=7,1,IF(U64=0,0,"-"))))))))</f>
        <v>6</v>
      </c>
      <c r="AZ64" s="50">
        <f>'2019'!AP6</f>
        <v>1</v>
      </c>
      <c r="BA64" s="56">
        <f>'2019'!AQ6</f>
        <v>0</v>
      </c>
      <c r="BB64" s="57">
        <f>'2019'!AR6</f>
        <v>1489</v>
      </c>
      <c r="BC64" s="57">
        <f>'2019'!AS6</f>
        <v>0</v>
      </c>
      <c r="BD64" s="57">
        <f>'2019'!AT6</f>
        <v>12</v>
      </c>
      <c r="BE64" s="57">
        <f>'2019'!AU6</f>
        <v>0</v>
      </c>
      <c r="BF64" s="57">
        <f>'2019'!AV6</f>
        <v>0</v>
      </c>
      <c r="BG64" s="58">
        <f>'2019'!AW6</f>
        <v>0</v>
      </c>
      <c r="BH64" s="58">
        <f>'2019'!AX6</f>
        <v>0</v>
      </c>
      <c r="BI64" s="58">
        <f>'2019'!AY6</f>
        <v>0</v>
      </c>
      <c r="BJ64" s="58">
        <f>'2019'!AZ6</f>
        <v>0</v>
      </c>
      <c r="BK64" s="57">
        <f>'2019'!BA6</f>
        <v>0</v>
      </c>
      <c r="BL64" s="57">
        <f>'2019'!BB6</f>
        <v>2981</v>
      </c>
      <c r="BM64" s="57">
        <f>'2019'!BC6</f>
        <v>0</v>
      </c>
      <c r="BN64" s="57">
        <f>'2019'!BD6</f>
        <v>0</v>
      </c>
      <c r="BO64" s="59">
        <f>'2019'!BE6</f>
        <v>21</v>
      </c>
      <c r="BP64" s="56">
        <f>'2019'!BF6</f>
        <v>0</v>
      </c>
      <c r="BQ64" s="57">
        <f>'2019'!BG6</f>
        <v>2184</v>
      </c>
      <c r="BR64" s="57">
        <f>'2019'!BH6</f>
        <v>0</v>
      </c>
      <c r="BS64" s="57">
        <f>'2019'!BI6</f>
        <v>18</v>
      </c>
      <c r="BT64" s="57">
        <f>'2019'!BJ6</f>
        <v>0</v>
      </c>
      <c r="BU64" s="57">
        <f>'2019'!BK6</f>
        <v>0</v>
      </c>
      <c r="BV64" s="58">
        <f>'2019'!BL6</f>
        <v>0</v>
      </c>
      <c r="BW64" s="58">
        <f>'2019'!BM6</f>
        <v>0</v>
      </c>
      <c r="BX64" s="58">
        <f>'2019'!BN6</f>
        <v>0</v>
      </c>
      <c r="BY64" s="58">
        <f>'2019'!BO6</f>
        <v>0</v>
      </c>
      <c r="BZ64" s="57">
        <f>'2019'!BP6</f>
        <v>0</v>
      </c>
      <c r="CA64" s="57">
        <f>'2019'!BQ6</f>
        <v>2716</v>
      </c>
      <c r="CB64" s="57">
        <f>'2019'!BR6</f>
        <v>0</v>
      </c>
      <c r="CC64" s="57">
        <f>'2019'!BS6</f>
        <v>0</v>
      </c>
      <c r="CD64" s="59">
        <f>'2019'!BT6</f>
        <v>18</v>
      </c>
      <c r="CE64" s="56">
        <f>'2019'!BU6</f>
        <v>563</v>
      </c>
      <c r="CF64" s="57">
        <f>'2019'!BV6</f>
        <v>1953</v>
      </c>
      <c r="CG64" s="57">
        <f>'2019'!BW6</f>
        <v>2</v>
      </c>
      <c r="CH64" s="57">
        <f>'2019'!BX6</f>
        <v>18</v>
      </c>
      <c r="CI64" s="57">
        <f>'2019'!BY6</f>
        <v>110</v>
      </c>
      <c r="CJ64" s="57">
        <f>'2019'!BZ6</f>
        <v>22</v>
      </c>
      <c r="CK64" s="58">
        <f>'2019'!CA6</f>
        <v>5.0999999999999996</v>
      </c>
      <c r="CL64" s="58">
        <f>'2019'!CB6</f>
        <v>87.3</v>
      </c>
      <c r="CM64" s="58">
        <f>'2019'!CC6</f>
        <v>3.67</v>
      </c>
      <c r="CN64" s="58">
        <f>'2019'!CD6</f>
        <v>30.6</v>
      </c>
      <c r="CO64" s="57">
        <f>'2019'!CE6</f>
        <v>124</v>
      </c>
      <c r="CP64" s="57">
        <f>'2019'!CF6</f>
        <v>3106</v>
      </c>
      <c r="CQ64" s="57">
        <f>'2019'!CG6</f>
        <v>12</v>
      </c>
      <c r="CR64" s="57">
        <f>'2019'!CH6</f>
        <v>0</v>
      </c>
      <c r="CS64" s="59">
        <f>'2019'!CI6</f>
        <v>21</v>
      </c>
      <c r="CT64" s="56">
        <f>'2019'!CJ6</f>
        <v>1145</v>
      </c>
      <c r="CU64" s="57">
        <f>'2019'!CK6</f>
        <v>1470</v>
      </c>
      <c r="CV64" s="57">
        <f>'2019'!CL6</f>
        <v>11</v>
      </c>
      <c r="CW64" s="57">
        <f>'2019'!CM6</f>
        <v>16</v>
      </c>
      <c r="CX64" s="57">
        <f>'2019'!CN6</f>
        <v>258</v>
      </c>
      <c r="CY64" s="57">
        <f>'2019'!CO6</f>
        <v>86</v>
      </c>
      <c r="CZ64" s="58">
        <f>'2019'!CP6</f>
        <v>4.4000000000000004</v>
      </c>
      <c r="DA64" s="58">
        <f>'2019'!CQ6</f>
        <v>127.2</v>
      </c>
      <c r="DB64" s="58">
        <f>'2019'!CR6</f>
        <v>3.43</v>
      </c>
      <c r="DC64" s="58">
        <f>'2019'!CS6</f>
        <v>30.7</v>
      </c>
      <c r="DD64" s="57">
        <f>'2019'!CT6</f>
        <v>296</v>
      </c>
      <c r="DE64" s="57">
        <f>'2019'!CU6</f>
        <v>3548</v>
      </c>
      <c r="DF64" s="57">
        <f>'2019'!CV6</f>
        <v>36</v>
      </c>
      <c r="DG64" s="57">
        <f>'2019'!CW6</f>
        <v>0</v>
      </c>
      <c r="DH64" s="59">
        <f>'2019'!CX6</f>
        <v>27</v>
      </c>
      <c r="DI64" s="56">
        <f>'2019'!CY6</f>
        <v>1216</v>
      </c>
      <c r="DJ64" s="57">
        <f>'2019'!CZ6</f>
        <v>1691</v>
      </c>
      <c r="DK64" s="57">
        <f>'2019'!DA6</f>
        <v>13</v>
      </c>
      <c r="DL64" s="57">
        <f>'2019'!DB6</f>
        <v>20</v>
      </c>
      <c r="DM64" s="57">
        <f>'2019'!DC6</f>
        <v>256</v>
      </c>
      <c r="DN64" s="57">
        <f>'2019'!DD6</f>
        <v>99</v>
      </c>
      <c r="DO64" s="58">
        <f>'2019'!DE6</f>
        <v>4.8</v>
      </c>
      <c r="DP64" s="58">
        <f>'2019'!DF6</f>
        <v>127.8</v>
      </c>
      <c r="DQ64" s="58">
        <f>'2019'!DG6</f>
        <v>3.48</v>
      </c>
      <c r="DR64" s="58">
        <f>'2019'!DH6</f>
        <v>31.2</v>
      </c>
      <c r="DS64" s="57">
        <f>'2019'!DI6</f>
        <v>157</v>
      </c>
      <c r="DT64" s="57">
        <f>'2019'!DJ6</f>
        <v>3132</v>
      </c>
      <c r="DU64" s="57">
        <f>'2019'!DK6</f>
        <v>22</v>
      </c>
      <c r="DV64" s="57">
        <f>'2019'!DL6</f>
        <v>0</v>
      </c>
      <c r="DW64" s="59">
        <f>'2019'!DM6</f>
        <v>20</v>
      </c>
    </row>
    <row r="65" spans="1:127" ht="15.75" customHeight="1" x14ac:dyDescent="0.2">
      <c r="A65" s="33">
        <f t="shared" si="0"/>
        <v>63</v>
      </c>
      <c r="B65" s="11">
        <f>'2015'!A7</f>
        <v>5</v>
      </c>
      <c r="C65" s="11">
        <v>2015</v>
      </c>
      <c r="D65" s="34" t="str">
        <f>'2015'!B7</f>
        <v>TJ Yeldon</v>
      </c>
      <c r="E65" s="224" t="str" cm="1">
        <f t="array" ref="E65">_xlfn.IFS(F65&gt;=13,"Cornerstone",AND(F65&gt;=12,F65&lt;13),"Elite",AND(F65&gt;=11,F65&lt;12),"Elite Upside",AND(F65&gt;=9,F65&lt;11),"Upside",AND(F65&gt;=7,F65&lt;9),"Upside Lite",AND(F65&gt;=6,F65&lt;7),"Outlier",AND(F65&gt;=5,F65&lt;6),"Outlier Lite",F65&lt;5,"Purgatory")</f>
        <v>Upside</v>
      </c>
      <c r="F65" s="14">
        <f>'2015'!C7</f>
        <v>9.5666666666666664</v>
      </c>
      <c r="G65" s="14">
        <f t="shared" si="7"/>
        <v>80.7</v>
      </c>
      <c r="H65" s="35">
        <f t="shared" si="1"/>
        <v>0.66203243003270917</v>
      </c>
      <c r="I65" s="36" t="str">
        <f>'2015'!D7</f>
        <v>Alabama</v>
      </c>
      <c r="J65" s="37">
        <f>'2015'!E7</f>
        <v>1</v>
      </c>
      <c r="K65" s="38">
        <f>'2015'!F7</f>
        <v>34244</v>
      </c>
      <c r="L65" s="39">
        <f>'2015'!G7</f>
        <v>32.008219178082193</v>
      </c>
      <c r="M65" s="39" t="str">
        <f>'2015'!H7</f>
        <v>JR</v>
      </c>
      <c r="N65" s="39">
        <f>'2015'!I7</f>
        <v>21.580821917808219</v>
      </c>
      <c r="O65" s="39" t="str">
        <f t="shared" si="2"/>
        <v>BRUISER</v>
      </c>
      <c r="P65" s="39" t="str">
        <f>IF(OR(AND($AA65&lt;0.25,$AM65&gt;=0.133,AE65&gt;4%),(AND($O65="JITTERBUG",$AM65&gt;0.11)),(AND($O65="JITTERBUG",$AE65&gt;9.5%))),"+RECEIVER",IF(AND($AJ65&gt;=0.25,$AO65&gt;=3.81),"3DOWN",IF($AO65&gt;=3.81,"HORSE",IF(OR(AJ65&gt;0.28,AK65&gt;7,AP65&gt;47),"SLASHER",IF(AM65&gt;0.19,"+RECEIVER","PLODDER")))))</f>
        <v>PLODDER</v>
      </c>
      <c r="Q65" s="37">
        <f>'2015'!J7</f>
        <v>73</v>
      </c>
      <c r="R65" s="37">
        <f>'2015'!K7</f>
        <v>226</v>
      </c>
      <c r="S65" s="39">
        <f t="shared" si="5"/>
        <v>29.816775265001088</v>
      </c>
      <c r="T65" s="39">
        <f>'2015'!L7</f>
        <v>4.6100000000000003</v>
      </c>
      <c r="U65" s="55">
        <f>'2015'!M7</f>
        <v>2</v>
      </c>
      <c r="V65" s="41">
        <f>'2015'!N7</f>
        <v>0</v>
      </c>
      <c r="W65" s="42">
        <f>'2015'!O7</f>
        <v>0</v>
      </c>
      <c r="X65" s="42">
        <f>'2015'!P7</f>
        <v>0.19865319865319866</v>
      </c>
      <c r="Y65" s="42">
        <f>'2015'!Q7</f>
        <v>0.26022168391690526</v>
      </c>
      <c r="Z65" s="42">
        <f>'2015'!R7</f>
        <v>0.18401206636500755</v>
      </c>
      <c r="AA65" s="42">
        <f>'2015'!S7</f>
        <v>0.2221168751409564</v>
      </c>
      <c r="AB65" s="42">
        <f>'2015'!T7</f>
        <v>0.2221168751409564</v>
      </c>
      <c r="AC65" s="42">
        <f>'2015'!U7</f>
        <v>6.1368209255533199E-2</v>
      </c>
      <c r="AD65" s="42">
        <f>'2015'!V7</f>
        <v>4.9824231184432695E-2</v>
      </c>
      <c r="AE65" s="42">
        <f>'2015'!W7</f>
        <v>5.559622021998295E-2</v>
      </c>
      <c r="AF65" s="43">
        <f>'2015'!X7</f>
        <v>5.559622021998295E-2</v>
      </c>
      <c r="AG65" s="44">
        <f>'2015'!Y7</f>
        <v>18.92876712328767</v>
      </c>
      <c r="AH65" s="45">
        <f>'2015'!Z7</f>
        <v>100.07710489034962</v>
      </c>
      <c r="AI65" s="45">
        <f>'2015'!AA7</f>
        <v>29.813848752111092</v>
      </c>
      <c r="AJ65" s="45">
        <f>'2015'!AB7</f>
        <v>0.24742268041237114</v>
      </c>
      <c r="AK65" s="45">
        <f>'2015'!AC7</f>
        <v>6.3314285714285718</v>
      </c>
      <c r="AL65" s="45">
        <f t="shared" si="3"/>
        <v>10.739130434782609</v>
      </c>
      <c r="AM65" s="45">
        <f t="shared" si="10"/>
        <v>7.1770334928229665E-2</v>
      </c>
      <c r="AN65" s="45">
        <f>'2015'!AD7</f>
        <v>69.3</v>
      </c>
      <c r="AO65" s="45">
        <f>'2015'!AE7</f>
        <v>2.59</v>
      </c>
      <c r="AP65" s="46">
        <f>'2015'!AF7</f>
        <v>24.8</v>
      </c>
      <c r="AQ65" s="47">
        <f>'2015'!AG7</f>
        <v>4</v>
      </c>
      <c r="AR65" s="48">
        <f>'2015'!AH7</f>
        <v>6</v>
      </c>
      <c r="AS65" s="48">
        <f>'2015'!AI7</f>
        <v>8</v>
      </c>
      <c r="AT65" s="48">
        <f>'2015'!AJ7</f>
        <v>5</v>
      </c>
      <c r="AU65" s="48">
        <f>'2015'!AK7</f>
        <v>6</v>
      </c>
      <c r="AV65" s="48">
        <f>'2015'!AL7</f>
        <v>5</v>
      </c>
      <c r="AW65" s="48">
        <f>'2015'!AM7</f>
        <v>3</v>
      </c>
      <c r="AX65" s="48">
        <f>'2015'!AN7</f>
        <v>0</v>
      </c>
      <c r="AY65" s="49">
        <f>'2015'!AO7</f>
        <v>7</v>
      </c>
      <c r="AZ65" s="50">
        <f>'2015'!AP7</f>
        <v>1</v>
      </c>
      <c r="BA65" s="56">
        <f>'2015'!AQ7</f>
        <v>0</v>
      </c>
      <c r="BB65" s="57">
        <f>'2015'!AR7</f>
        <v>1</v>
      </c>
      <c r="BC65" s="57">
        <f>'2015'!AS7</f>
        <v>0</v>
      </c>
      <c r="BD65" s="57">
        <f>'2015'!AT7</f>
        <v>0</v>
      </c>
      <c r="BE65" s="57">
        <f>'2015'!AU7</f>
        <v>0</v>
      </c>
      <c r="BF65" s="57">
        <f>'2015'!AV7</f>
        <v>0</v>
      </c>
      <c r="BG65" s="58">
        <f>'2015'!AW7</f>
        <v>0</v>
      </c>
      <c r="BH65" s="58">
        <f>'2015'!AX7</f>
        <v>0</v>
      </c>
      <c r="BI65" s="58">
        <f>'2015'!AY7</f>
        <v>0</v>
      </c>
      <c r="BJ65" s="58">
        <f>'2015'!AZ7</f>
        <v>0</v>
      </c>
      <c r="BK65" s="57">
        <f>'2015'!BA7</f>
        <v>0</v>
      </c>
      <c r="BL65" s="57">
        <f>'2015'!BB7</f>
        <v>1</v>
      </c>
      <c r="BM65" s="57">
        <f>'2015'!BC7</f>
        <v>0</v>
      </c>
      <c r="BN65" s="57">
        <f>'2015'!BD7</f>
        <v>0</v>
      </c>
      <c r="BO65" s="59">
        <f>'2015'!BE7</f>
        <v>0</v>
      </c>
      <c r="BP65" s="56">
        <f>'2015'!BF7</f>
        <v>0</v>
      </c>
      <c r="BQ65" s="57">
        <f>'2015'!BG7</f>
        <v>1</v>
      </c>
      <c r="BR65" s="57">
        <f>'2015'!BH7</f>
        <v>0</v>
      </c>
      <c r="BS65" s="57">
        <f>'2015'!BI7</f>
        <v>0</v>
      </c>
      <c r="BT65" s="57">
        <f>'2015'!BJ7</f>
        <v>0</v>
      </c>
      <c r="BU65" s="57">
        <f>'2015'!BK7</f>
        <v>0</v>
      </c>
      <c r="BV65" s="58">
        <f>'2015'!BL7</f>
        <v>0</v>
      </c>
      <c r="BW65" s="58">
        <f>'2015'!BM7</f>
        <v>0</v>
      </c>
      <c r="BX65" s="58">
        <f>'2015'!BN7</f>
        <v>0</v>
      </c>
      <c r="BY65" s="58">
        <f>'2015'!BO7</f>
        <v>0</v>
      </c>
      <c r="BZ65" s="57">
        <f>'2015'!BP7</f>
        <v>0</v>
      </c>
      <c r="CA65" s="57">
        <f>'2015'!BQ7</f>
        <v>1</v>
      </c>
      <c r="CB65" s="57">
        <f>'2015'!BR7</f>
        <v>0</v>
      </c>
      <c r="CC65" s="57">
        <f>'2015'!BS7</f>
        <v>0</v>
      </c>
      <c r="CD65" s="59">
        <f>'2015'!BT7</f>
        <v>0</v>
      </c>
      <c r="CE65" s="56">
        <f>'2015'!BU7</f>
        <v>1108</v>
      </c>
      <c r="CF65" s="57">
        <f>'2015'!BV7</f>
        <v>3052</v>
      </c>
      <c r="CG65" s="57">
        <f>'2015'!BW7</f>
        <v>12</v>
      </c>
      <c r="CH65" s="57">
        <f>'2015'!BX7</f>
        <v>0</v>
      </c>
      <c r="CI65" s="57">
        <f>'2015'!BY7</f>
        <v>175</v>
      </c>
      <c r="CJ65" s="57">
        <f>'2015'!BZ7</f>
        <v>0</v>
      </c>
      <c r="CK65" s="58">
        <f>'2015'!CA7</f>
        <v>6.3314285714285718</v>
      </c>
      <c r="CL65" s="58">
        <f>'2015'!CB7</f>
        <v>0</v>
      </c>
      <c r="CM65" s="58">
        <f>'2015'!CC7</f>
        <v>0</v>
      </c>
      <c r="CN65" s="58">
        <f>'2015'!CD7</f>
        <v>0</v>
      </c>
      <c r="CO65" s="57">
        <f>'2015'!CE7</f>
        <v>131</v>
      </c>
      <c r="CP65" s="57">
        <f>'2015'!CF7</f>
        <v>3185</v>
      </c>
      <c r="CQ65" s="57">
        <f>'2015'!CG7</f>
        <v>11</v>
      </c>
      <c r="CR65" s="57">
        <f>'2015'!CH7</f>
        <v>1</v>
      </c>
      <c r="CS65" s="59">
        <f>'2015'!CI7</f>
        <v>0</v>
      </c>
      <c r="CT65" s="56">
        <f>'2015'!CJ7</f>
        <v>1235</v>
      </c>
      <c r="CU65" s="57">
        <f>'2015'!CK7</f>
        <v>2467.1999999999998</v>
      </c>
      <c r="CV65" s="57">
        <f>'2015'!CL7</f>
        <v>14</v>
      </c>
      <c r="CW65" s="57">
        <f>'2015'!CM7</f>
        <v>0</v>
      </c>
      <c r="CX65" s="57">
        <f>'2015'!CN7</f>
        <v>207</v>
      </c>
      <c r="CY65" s="57">
        <f>'2015'!CO7</f>
        <v>0</v>
      </c>
      <c r="CZ65" s="58">
        <f>'2015'!CP7</f>
        <v>5.9661835748792269</v>
      </c>
      <c r="DA65" s="58">
        <f>'2015'!CQ7</f>
        <v>0</v>
      </c>
      <c r="DB65" s="58">
        <f>'2015'!CR7</f>
        <v>0</v>
      </c>
      <c r="DC65" s="58">
        <f>'2015'!CS7</f>
        <v>0</v>
      </c>
      <c r="DD65" s="57">
        <f>'2015'!CT7</f>
        <v>183</v>
      </c>
      <c r="DE65" s="57">
        <f>'2015'!CU7</f>
        <v>2982</v>
      </c>
      <c r="DF65" s="57">
        <f>'2015'!CV7</f>
        <v>20</v>
      </c>
      <c r="DG65" s="57">
        <f>'2015'!CW7</f>
        <v>0</v>
      </c>
      <c r="DH65" s="59">
        <f>'2015'!CX7</f>
        <v>0</v>
      </c>
      <c r="DI65" s="56">
        <f>'2015'!CY7</f>
        <v>979</v>
      </c>
      <c r="DJ65" s="57">
        <f>'2015'!CZ7</f>
        <v>2685.7999999999997</v>
      </c>
      <c r="DK65" s="57">
        <f>'2015'!DA7</f>
        <v>11</v>
      </c>
      <c r="DL65" s="57">
        <f>'2015'!DB7</f>
        <v>32.5</v>
      </c>
      <c r="DM65" s="57">
        <f>'2015'!DC7</f>
        <v>194</v>
      </c>
      <c r="DN65" s="57">
        <f>'2015'!DD7</f>
        <v>48</v>
      </c>
      <c r="DO65" s="58">
        <f>'2015'!DE7</f>
        <v>5.0463917525773194</v>
      </c>
      <c r="DP65" s="58">
        <f>'2015'!DF7</f>
        <v>69.3</v>
      </c>
      <c r="DQ65" s="58">
        <f>'2015'!DG7</f>
        <v>2.59</v>
      </c>
      <c r="DR65" s="58">
        <f>'2015'!DH7</f>
        <v>24.8</v>
      </c>
      <c r="DS65" s="57">
        <f>'2015'!DI7</f>
        <v>180</v>
      </c>
      <c r="DT65" s="57">
        <f>'2015'!DJ7</f>
        <v>3612.7</v>
      </c>
      <c r="DU65" s="57">
        <f>'2015'!DK7</f>
        <v>15</v>
      </c>
      <c r="DV65" s="57">
        <f>'2015'!DL7</f>
        <v>1</v>
      </c>
      <c r="DW65" s="59">
        <f>'2015'!DM7</f>
        <v>29.9</v>
      </c>
    </row>
    <row r="66" spans="1:127" ht="15.75" customHeight="1" x14ac:dyDescent="0.2">
      <c r="A66" s="33">
        <f t="shared" si="0"/>
        <v>64</v>
      </c>
      <c r="B66" s="11">
        <f>'2015'!A8</f>
        <v>6</v>
      </c>
      <c r="C66" s="11">
        <v>2015</v>
      </c>
      <c r="D66" s="34" t="str">
        <f>'2015'!B8</f>
        <v>David Johnson</v>
      </c>
      <c r="E66" s="224" t="str" cm="1">
        <f t="array" ref="E66">_xlfn.IFS(F66&gt;=13,"Cornerstone",AND(F66&gt;=12,F66&lt;13),"Elite",AND(F66&gt;=11,F66&lt;12),"Elite Upside",AND(F66&gt;=9,F66&lt;11),"Upside",AND(F66&gt;=7,F66&lt;9),"Upside Lite",AND(F66&gt;=6,F66&lt;7),"Outlier",AND(F66&gt;=5,F66&lt;6),"Outlier Lite",F66&lt;5,"Purgatory")</f>
        <v>Upside</v>
      </c>
      <c r="F66" s="14">
        <f>'2015'!C8</f>
        <v>9.5555555555555554</v>
      </c>
      <c r="G66" s="14">
        <f t="shared" si="7"/>
        <v>80.400000000000006</v>
      </c>
      <c r="H66" s="35">
        <f t="shared" si="1"/>
        <v>0.65732992931893541</v>
      </c>
      <c r="I66" s="36" t="str">
        <f>'2015'!D8</f>
        <v>Northern Iowa</v>
      </c>
      <c r="J66" s="37">
        <f>'2015'!E8</f>
        <v>10</v>
      </c>
      <c r="K66" s="38">
        <f>'2015'!F8</f>
        <v>33588</v>
      </c>
      <c r="L66" s="39">
        <f>'2015'!G8</f>
        <v>33.805479452054797</v>
      </c>
      <c r="M66" s="39" t="str">
        <f>'2015'!H8</f>
        <v>SR</v>
      </c>
      <c r="N66" s="39">
        <f>'2015'!I8</f>
        <v>23.378082191780823</v>
      </c>
      <c r="O66" s="39" t="str">
        <f t="shared" si="2"/>
        <v>FREAK</v>
      </c>
      <c r="P66" s="39" t="str">
        <f>IF(OR(AND($AA66&lt;0.25,$AM66&gt;=0.133,AE66&gt;4%),(AND($O66="JITTERBUG",$AM66&gt;0.11)),(AND($O66="JITTERBUG",$AE66&gt;9.5%))),"+RECEIVER",IF(AND($AJ66&gt;=0.25,$AO66&gt;=3.81),"3DOWN",IF($AO66&gt;=3.81,"HORSE",IF(OR(AJ66&gt;0.28,AK66&gt;7,AP66&gt;47),"SLASHER",IF(AM66&gt;0.19,"+RECEIVER","PLODDER")))))</f>
        <v>3DOWN</v>
      </c>
      <c r="Q66" s="37">
        <f>'2015'!J8</f>
        <v>73</v>
      </c>
      <c r="R66" s="37">
        <f>'2015'!K8</f>
        <v>224</v>
      </c>
      <c r="S66" s="39">
        <f t="shared" si="5"/>
        <v>29.55290999716922</v>
      </c>
      <c r="T66" s="39">
        <f>'2015'!L8</f>
        <v>4.5</v>
      </c>
      <c r="U66" s="55">
        <f>'2015'!M8</f>
        <v>3</v>
      </c>
      <c r="V66" s="41">
        <f>'2015'!N8</f>
        <v>0</v>
      </c>
      <c r="W66" s="42">
        <f>'2015'!O8</f>
        <v>0.2860427684525178</v>
      </c>
      <c r="X66" s="42">
        <f>'2015'!P8</f>
        <v>0.33183644528480266</v>
      </c>
      <c r="Y66" s="42">
        <f>'2015'!Q8</f>
        <v>0.39642184557438792</v>
      </c>
      <c r="Z66" s="42">
        <f>'2015'!R8</f>
        <v>0.40351554954606916</v>
      </c>
      <c r="AA66" s="42">
        <f>'2015'!S8</f>
        <v>0.40351554954606916</v>
      </c>
      <c r="AB66" s="42">
        <f>'2015'!T8</f>
        <v>0.24210932972764149</v>
      </c>
      <c r="AC66" s="42">
        <f>'2015'!U8</f>
        <v>0.17229285401139852</v>
      </c>
      <c r="AD66" s="42">
        <f>'2015'!V8</f>
        <v>0.18980169971671387</v>
      </c>
      <c r="AE66" s="42">
        <f>'2015'!W8</f>
        <v>0.18980169971671387</v>
      </c>
      <c r="AF66" s="43">
        <f>'2015'!X8</f>
        <v>0.11388101983002832</v>
      </c>
      <c r="AG66" s="44">
        <f>'2015'!Y8</f>
        <v>19.723287671232878</v>
      </c>
      <c r="AH66" s="45">
        <f>'2015'!Z8</f>
        <v>109.25163846974547</v>
      </c>
      <c r="AI66" s="45">
        <f>'2015'!AA8</f>
        <v>29.550009382623379</v>
      </c>
      <c r="AJ66" s="45">
        <f>'2015'!AB8</f>
        <v>0.25</v>
      </c>
      <c r="AK66" s="45">
        <f>'2015'!AC8</f>
        <v>5.8153153153153152</v>
      </c>
      <c r="AL66" s="45">
        <f t="shared" si="3"/>
        <v>12.297872340425531</v>
      </c>
      <c r="AM66" s="45">
        <f t="shared" si="10"/>
        <v>0.11692307692307692</v>
      </c>
      <c r="AN66" s="45">
        <f>'2015'!AD8</f>
        <v>85</v>
      </c>
      <c r="AO66" s="45">
        <f>'2015'!AE8</f>
        <v>4.1500000000000004</v>
      </c>
      <c r="AP66" s="46">
        <f>'2015'!AF8</f>
        <v>35.270833333333336</v>
      </c>
      <c r="AQ66" s="47">
        <f>'2015'!AG8</f>
        <v>6</v>
      </c>
      <c r="AR66" s="48">
        <f>'2015'!AH8</f>
        <v>9</v>
      </c>
      <c r="AS66" s="48">
        <f>'2015'!AI8</f>
        <v>6</v>
      </c>
      <c r="AT66" s="48">
        <f>'2015'!AJ8</f>
        <v>9</v>
      </c>
      <c r="AU66" s="48">
        <f>'2015'!AK8</f>
        <v>6</v>
      </c>
      <c r="AV66" s="48">
        <f>'2015'!AL8</f>
        <v>4</v>
      </c>
      <c r="AW66" s="48">
        <f>'2015'!AM8</f>
        <v>4</v>
      </c>
      <c r="AX66" s="48">
        <f>'2015'!AN8</f>
        <v>7</v>
      </c>
      <c r="AY66" s="49">
        <f>'2015'!AO8</f>
        <v>6</v>
      </c>
      <c r="AZ66" s="50">
        <f>'2015'!AP8</f>
        <v>0</v>
      </c>
      <c r="BA66" s="56">
        <f>'2015'!AQ8</f>
        <v>0</v>
      </c>
      <c r="BB66" s="57">
        <f>'2015'!AR8</f>
        <v>1</v>
      </c>
      <c r="BC66" s="57">
        <f>'2015'!AS8</f>
        <v>0</v>
      </c>
      <c r="BD66" s="57">
        <f>'2015'!AT8</f>
        <v>0</v>
      </c>
      <c r="BE66" s="57">
        <f>'2015'!AU8</f>
        <v>0</v>
      </c>
      <c r="BF66" s="57">
        <f>'2015'!AV8</f>
        <v>0</v>
      </c>
      <c r="BG66" s="58">
        <f>'2015'!AW8</f>
        <v>0</v>
      </c>
      <c r="BH66" s="58">
        <f>'2015'!AX8</f>
        <v>0</v>
      </c>
      <c r="BI66" s="58">
        <f>'2015'!AY8</f>
        <v>0</v>
      </c>
      <c r="BJ66" s="58">
        <f>'2015'!AZ8</f>
        <v>0</v>
      </c>
      <c r="BK66" s="57">
        <f>'2015'!BA8</f>
        <v>0</v>
      </c>
      <c r="BL66" s="57">
        <f>'2015'!BB8</f>
        <v>1</v>
      </c>
      <c r="BM66" s="57">
        <f>'2015'!BC8</f>
        <v>0</v>
      </c>
      <c r="BN66" s="57">
        <f>'2015'!BD8</f>
        <v>0</v>
      </c>
      <c r="BO66" s="59">
        <f>'2015'!BE8</f>
        <v>0</v>
      </c>
      <c r="BP66" s="56">
        <f>'2015'!BF8</f>
        <v>822</v>
      </c>
      <c r="BQ66" s="57">
        <f>'2015'!BG8</f>
        <v>2182</v>
      </c>
      <c r="BR66" s="57">
        <f>'2015'!BH8</f>
        <v>9</v>
      </c>
      <c r="BS66" s="57">
        <f>'2015'!BI8</f>
        <v>0</v>
      </c>
      <c r="BT66" s="57">
        <f>'2015'!BJ8</f>
        <v>179</v>
      </c>
      <c r="BU66" s="57">
        <f>'2015'!BK8</f>
        <v>0</v>
      </c>
      <c r="BV66" s="58">
        <f>'2015'!BL8</f>
        <v>4.5921787709497206</v>
      </c>
      <c r="BW66" s="58">
        <f>'2015'!BM8</f>
        <v>0</v>
      </c>
      <c r="BX66" s="58">
        <f>'2015'!BN8</f>
        <v>0</v>
      </c>
      <c r="BY66" s="58">
        <f>'2015'!BO8</f>
        <v>0</v>
      </c>
      <c r="BZ66" s="57">
        <f>'2015'!BP8</f>
        <v>422</v>
      </c>
      <c r="CA66" s="57">
        <f>'2015'!BQ8</f>
        <v>2167</v>
      </c>
      <c r="CB66" s="57">
        <f>'2015'!BR8</f>
        <v>33</v>
      </c>
      <c r="CC66" s="57">
        <f>'2015'!BS8</f>
        <v>3</v>
      </c>
      <c r="CD66" s="59">
        <f>'2015'!BT8</f>
        <v>0</v>
      </c>
      <c r="CE66" s="56">
        <f>'2015'!BU8</f>
        <v>1021</v>
      </c>
      <c r="CF66" s="57">
        <f>'2015'!BV8</f>
        <v>1637</v>
      </c>
      <c r="CG66" s="57">
        <f>'2015'!BW8</f>
        <v>13</v>
      </c>
      <c r="CH66" s="57">
        <f>'2015'!BX8</f>
        <v>0</v>
      </c>
      <c r="CI66" s="57">
        <f>'2015'!BY8</f>
        <v>178</v>
      </c>
      <c r="CJ66" s="57">
        <f>'2015'!BZ8</f>
        <v>0</v>
      </c>
      <c r="CK66" s="58">
        <f>'2015'!CA8</f>
        <v>5.7359550561797752</v>
      </c>
      <c r="CL66" s="58">
        <f>'2015'!CB8</f>
        <v>0</v>
      </c>
      <c r="CM66" s="58">
        <f>'2015'!CC8</f>
        <v>0</v>
      </c>
      <c r="CN66" s="58">
        <f>'2015'!CD8</f>
        <v>0</v>
      </c>
      <c r="CO66" s="57">
        <f>'2015'!CE8</f>
        <v>383</v>
      </c>
      <c r="CP66" s="57">
        <f>'2015'!CF8</f>
        <v>2594</v>
      </c>
      <c r="CQ66" s="57">
        <f>'2015'!CG8</f>
        <v>32</v>
      </c>
      <c r="CR66" s="57">
        <f>'2015'!CH8</f>
        <v>5</v>
      </c>
      <c r="CS66" s="59">
        <f>'2015'!CI8</f>
        <v>0</v>
      </c>
      <c r="CT66" s="56">
        <f>'2015'!CJ8</f>
        <v>1291</v>
      </c>
      <c r="CU66" s="57">
        <f>'2015'!CK8</f>
        <v>1967</v>
      </c>
      <c r="CV66" s="57">
        <f>'2015'!CL8</f>
        <v>10</v>
      </c>
      <c r="CW66" s="57">
        <f>'2015'!CM8</f>
        <v>0</v>
      </c>
      <c r="CX66" s="57">
        <f>'2015'!CN8</f>
        <v>222</v>
      </c>
      <c r="CY66" s="57">
        <f>'2015'!CO8</f>
        <v>0</v>
      </c>
      <c r="CZ66" s="58">
        <f>'2015'!CP8</f>
        <v>5.8153153153153152</v>
      </c>
      <c r="DA66" s="58">
        <f>'2015'!CQ8</f>
        <v>0</v>
      </c>
      <c r="DB66" s="58">
        <f>'2015'!CR8</f>
        <v>0</v>
      </c>
      <c r="DC66" s="58">
        <f>'2015'!CS8</f>
        <v>0</v>
      </c>
      <c r="DD66" s="57">
        <f>'2015'!CT8</f>
        <v>393</v>
      </c>
      <c r="DE66" s="57">
        <f>'2015'!CU8</f>
        <v>2281</v>
      </c>
      <c r="DF66" s="57">
        <f>'2015'!CV8</f>
        <v>38</v>
      </c>
      <c r="DG66" s="57">
        <f>'2015'!CW8</f>
        <v>4</v>
      </c>
      <c r="DH66" s="59">
        <f>'2015'!CX8</f>
        <v>0</v>
      </c>
      <c r="DI66" s="56">
        <f>'2015'!CY8</f>
        <v>1553</v>
      </c>
      <c r="DJ66" s="57">
        <f>'2015'!CZ8</f>
        <v>2353</v>
      </c>
      <c r="DK66" s="57">
        <f>'2015'!DA8</f>
        <v>17</v>
      </c>
      <c r="DL66" s="57">
        <f>'2015'!DB8</f>
        <v>28</v>
      </c>
      <c r="DM66" s="57">
        <f>'2015'!DC8</f>
        <v>287</v>
      </c>
      <c r="DN66" s="57">
        <f>'2015'!DD8</f>
        <v>35.25</v>
      </c>
      <c r="DO66" s="58">
        <f>'2015'!DE8</f>
        <v>5.4111498257839719</v>
      </c>
      <c r="DP66" s="58">
        <f>'2015'!DF8</f>
        <v>85</v>
      </c>
      <c r="DQ66" s="58">
        <f>'2015'!DG8</f>
        <v>4.1500000000000004</v>
      </c>
      <c r="DR66" s="58">
        <f>'2015'!DH8</f>
        <v>35.270833333333336</v>
      </c>
      <c r="DS66" s="57">
        <f>'2015'!DI8</f>
        <v>536</v>
      </c>
      <c r="DT66" s="57">
        <f>'2015'!DJ8</f>
        <v>2824</v>
      </c>
      <c r="DU66" s="57">
        <f>'2015'!DK8</f>
        <v>38</v>
      </c>
      <c r="DV66" s="57">
        <f>'2015'!DL8</f>
        <v>2</v>
      </c>
      <c r="DW66" s="59">
        <f>'2015'!DM8</f>
        <v>18</v>
      </c>
    </row>
    <row r="67" spans="1:127" ht="15.75" customHeight="1" x14ac:dyDescent="0.2">
      <c r="A67" s="33">
        <f t="shared" ref="A67:A130" si="12">_xlfn.RANK.EQ(F67,F$3:F$328)</f>
        <v>65</v>
      </c>
      <c r="B67" s="11">
        <f>'2026 - WIP'!A8</f>
        <v>6</v>
      </c>
      <c r="C67" s="11">
        <v>2026</v>
      </c>
      <c r="D67" s="34" t="str">
        <f>'2026 - WIP'!B8</f>
        <v>Justice Haynes</v>
      </c>
      <c r="E67" s="224" t="str" cm="1">
        <f t="array" ref="E67">_xlfn.IFS(F67&gt;=13,"Cornerstone",AND(F67&gt;=12,F67&lt;13),"Elite",AND(F67&gt;=11,F67&lt;12),"Elite Upside",AND(F67&gt;=9,F67&lt;11),"Upside",AND(F67&gt;=7,F67&lt;9),"Upside Lite",AND(F67&gt;=6,F67&lt;7),"Outlier",AND(F67&gt;=5,F67&lt;6),"Outlier Lite",F67&lt;5,"Purgatory")</f>
        <v>Upside</v>
      </c>
      <c r="F67" s="14">
        <f>'2026 - WIP'!C8</f>
        <v>9.5333333333333332</v>
      </c>
      <c r="G67" s="14">
        <f t="shared" si="7"/>
        <v>80.100000000000009</v>
      </c>
      <c r="H67" s="35">
        <f t="shared" ref="H67:H130" si="13">STANDARDIZE(F67,(AVERAGE($F$3:$F$244)),(_xlfn.STDEV.P($F$3:$F$244)))</f>
        <v>0.64792492789138789</v>
      </c>
      <c r="I67" s="36" t="str">
        <f>'2026 - WIP'!D8</f>
        <v>Michigan</v>
      </c>
      <c r="J67" s="37">
        <f>'2026 - WIP'!E8</f>
        <v>2</v>
      </c>
      <c r="K67" s="38">
        <f>'2026 - WIP'!F8</f>
        <v>38222</v>
      </c>
      <c r="L67" s="39">
        <f>'2026 - WIP'!G8</f>
        <v>21.109589041095891</v>
      </c>
      <c r="M67" s="39" t="str">
        <f>'2026 - WIP'!H8</f>
        <v>JR</v>
      </c>
      <c r="N67" s="39">
        <f>'2026 - WIP'!I8</f>
        <v>21.69041095890411</v>
      </c>
      <c r="O67" s="39" t="str">
        <f t="shared" ref="O67:O130" si="14">IF(AND(R67&gt;=225,T67&gt;=4.51),"BRUISER",IF(AND(R67&gt;=215,T67&lt;=4.51),"FREAK",IF(AND(R67&gt;=200,T67&gt;=4.51,Q67&gt;70),"BELL COW",IF(AND(R67&gt;=200,T67&gt;=4.51,Q67&lt;=70),"BELL CALF",IF(OR(AND(R67&lt;200,T67&lt;4.5),AND(R67&gt;=200,T67&lt;=4.35)),"JITTERBUG","DYNAMIC")))))</f>
        <v>DYNAMIC</v>
      </c>
      <c r="P67" s="39" t="str">
        <f>IF(OR(AND($AA67&lt;0.25,$AO67&gt;=0.133,AE67&gt;4%),(AND($O67="JITTERBUG",$AO67&gt;0.11)),(AND($O67="JITTERBUG",$AE67&gt;9.5%))),"+RECEIVER",IF(AND($AJ67&gt;=0.25,$AQ67&gt;=3.81),"3DOWN",IF($AQ67&gt;=3.81,"HORSE",IF(OR(AJ67&gt;0.28,AK67&gt;7,AR67&gt;47),"SLASHER",IF(AO67&gt;0.19,"+RECEIVER","PLODDER")))))</f>
        <v>HORSE</v>
      </c>
      <c r="Q67" s="37">
        <f>'2026 - WIP'!J8</f>
        <v>71</v>
      </c>
      <c r="R67" s="37">
        <f>'2026 - WIP'!K8</f>
        <v>210</v>
      </c>
      <c r="S67" s="39">
        <f t="shared" si="5"/>
        <v>29.28873066633259</v>
      </c>
      <c r="T67" s="39">
        <f>'2026 - WIP'!L8</f>
        <v>4.49</v>
      </c>
      <c r="U67" s="55">
        <f>'2026 - WIP'!M8</f>
        <v>3</v>
      </c>
      <c r="V67" s="41">
        <f>'2026 - WIP'!N8</f>
        <v>0</v>
      </c>
      <c r="W67" s="42">
        <f>'2026 - WIP'!O8</f>
        <v>0</v>
      </c>
      <c r="X67" s="42">
        <f>'2026 - WIP'!P8</f>
        <v>3.2883147386964177E-2</v>
      </c>
      <c r="Y67" s="42">
        <f>'2026 - WIP'!Q8</f>
        <v>0.10949943117178611</v>
      </c>
      <c r="Z67" s="42">
        <f>'2026 - WIP'!R8</f>
        <v>0.32250712250712249</v>
      </c>
      <c r="AA67" s="42">
        <f>'2026 - WIP'!S8</f>
        <v>0.32250712250712249</v>
      </c>
      <c r="AB67" s="42">
        <f>'2026 - WIP'!T8</f>
        <v>0.32250712250712249</v>
      </c>
      <c r="AC67" s="42">
        <f>'2026 - WIP'!U8</f>
        <v>3.4898477157360407E-2</v>
      </c>
      <c r="AD67" s="42">
        <f>'2026 - WIP'!V8</f>
        <v>3.9563437926330151E-2</v>
      </c>
      <c r="AE67" s="42">
        <f>'2026 - WIP'!W8</f>
        <v>3.9563437926330151E-2</v>
      </c>
      <c r="AF67" s="43">
        <f>'2026 - WIP'!X8</f>
        <v>3.9563437926330151E-2</v>
      </c>
      <c r="AG67" s="44">
        <f>'2026 - WIP'!Y8</f>
        <v>21.038356164383561</v>
      </c>
      <c r="AH67" s="45">
        <f>'2026 - WIP'!Z8</f>
        <v>103.33892189968716</v>
      </c>
      <c r="AI67" s="45">
        <f>'2026 - WIP'!AA8</f>
        <v>29.28585598095616</v>
      </c>
      <c r="AJ67" s="45">
        <f>'2026 - WIP'!AB8</f>
        <v>0.22727272727272727</v>
      </c>
      <c r="AK67" s="45">
        <f>'2026 - WIP'!AC8</f>
        <v>8.1363636363636367</v>
      </c>
      <c r="AL67" s="45">
        <f t="shared" ref="AL67:AL130" si="15">SUM(BK67,BZ67,CO67,DD67,DS67)/SUM(BM67,CB67,CQ67,DF67,DU67)</f>
        <v>4.5714285714285712</v>
      </c>
      <c r="AM67" s="45">
        <f t="shared" ref="AM67:AM101" si="16">DU67/SUM(DM67,DU67)</f>
        <v>0.14285714285714285</v>
      </c>
      <c r="AN67" s="45">
        <f>'2026 - WIP'!AD8</f>
        <v>125.7</v>
      </c>
      <c r="AO67" s="45">
        <f>'2026 - WIP'!AE8</f>
        <v>4.71</v>
      </c>
      <c r="AP67" s="46">
        <f>'2026 - WIP'!AF8</f>
        <v>59.4</v>
      </c>
      <c r="AQ67" s="47">
        <f>'2026 - WIP'!AG8</f>
        <v>8</v>
      </c>
      <c r="AR67" s="48">
        <f>'2026 - WIP'!AH8</f>
        <v>4</v>
      </c>
      <c r="AS67" s="48">
        <f>'2026 - WIP'!AI8</f>
        <v>3</v>
      </c>
      <c r="AT67" s="48">
        <f>'2026 - WIP'!AJ8</f>
        <v>7</v>
      </c>
      <c r="AU67" s="48">
        <f>'2026 - WIP'!AK8</f>
        <v>5</v>
      </c>
      <c r="AV67" s="48">
        <f>'2026 - WIP'!AL8</f>
        <v>9</v>
      </c>
      <c r="AW67" s="48">
        <f>'2026 - WIP'!AM8</f>
        <v>6</v>
      </c>
      <c r="AX67" s="48">
        <f>'2026 - WIP'!AN8</f>
        <v>7</v>
      </c>
      <c r="AY67" s="49">
        <f>'2026 - WIP'!AO8</f>
        <v>6</v>
      </c>
      <c r="AZ67" s="50">
        <f>'2026 - WIP'!AP8</f>
        <v>0</v>
      </c>
      <c r="BA67" s="56">
        <f>'2026 - WIP'!AQ8</f>
        <v>0</v>
      </c>
      <c r="BB67" s="57">
        <f>'2026 - WIP'!AR8</f>
        <v>1</v>
      </c>
      <c r="BC67" s="57">
        <f>'2026 - WIP'!AS8</f>
        <v>0</v>
      </c>
      <c r="BD67" s="57">
        <f>'2026 - WIP'!AT8</f>
        <v>0</v>
      </c>
      <c r="BE67" s="57">
        <f>'2026 - WIP'!AU8</f>
        <v>0</v>
      </c>
      <c r="BF67" s="57">
        <f>'2026 - WIP'!AV8</f>
        <v>0</v>
      </c>
      <c r="BG67" s="58">
        <f>'2026 - WIP'!AW8</f>
        <v>0</v>
      </c>
      <c r="BH67" s="58">
        <f>'2026 - WIP'!AX8</f>
        <v>0</v>
      </c>
      <c r="BI67" s="58">
        <f>'2026 - WIP'!AY8</f>
        <v>0</v>
      </c>
      <c r="BJ67" s="58">
        <f>'2026 - WIP'!AZ8</f>
        <v>0</v>
      </c>
      <c r="BK67" s="57">
        <f>'2026 - WIP'!BA8</f>
        <v>0</v>
      </c>
      <c r="BL67" s="57">
        <f>'2026 - WIP'!BB8</f>
        <v>1</v>
      </c>
      <c r="BM67" s="57">
        <f>'2026 - WIP'!BC8</f>
        <v>0</v>
      </c>
      <c r="BN67" s="57">
        <f>'2026 - WIP'!BD8</f>
        <v>0</v>
      </c>
      <c r="BO67" s="59">
        <f>'2026 - WIP'!BE8</f>
        <v>0</v>
      </c>
      <c r="BP67" s="56">
        <f>'2026 - WIP'!BF8</f>
        <v>0</v>
      </c>
      <c r="BQ67" s="57">
        <f>'2026 - WIP'!BG8</f>
        <v>1</v>
      </c>
      <c r="BR67" s="57">
        <f>'2026 - WIP'!BH8</f>
        <v>0</v>
      </c>
      <c r="BS67" s="57">
        <f>'2026 - WIP'!BI8</f>
        <v>0</v>
      </c>
      <c r="BT67" s="57">
        <f>'2026 - WIP'!BJ8</f>
        <v>0</v>
      </c>
      <c r="BU67" s="57">
        <f>'2026 - WIP'!BK8</f>
        <v>0</v>
      </c>
      <c r="BV67" s="58">
        <f>'2026 - WIP'!BL8</f>
        <v>0</v>
      </c>
      <c r="BW67" s="58">
        <f>'2026 - WIP'!BM8</f>
        <v>0</v>
      </c>
      <c r="BX67" s="58">
        <f>'2026 - WIP'!BN8</f>
        <v>0</v>
      </c>
      <c r="BY67" s="58">
        <f>'2026 - WIP'!BO8</f>
        <v>0</v>
      </c>
      <c r="BZ67" s="57">
        <f>'2026 - WIP'!BP8</f>
        <v>0</v>
      </c>
      <c r="CA67" s="57">
        <f>'2026 - WIP'!BQ8</f>
        <v>1</v>
      </c>
      <c r="CB67" s="57">
        <f>'2026 - WIP'!BR8</f>
        <v>0</v>
      </c>
      <c r="CC67" s="57">
        <f>'2026 - WIP'!BS8</f>
        <v>0</v>
      </c>
      <c r="CD67" s="59">
        <f>'2026 - WIP'!BT8</f>
        <v>0</v>
      </c>
      <c r="CE67" s="56">
        <f>'2026 - WIP'!BU8</f>
        <v>168</v>
      </c>
      <c r="CF67" s="57">
        <f>'2026 - WIP'!BV8</f>
        <v>2243.7999999999997</v>
      </c>
      <c r="CG67" s="57">
        <f>'2026 - WIP'!BW8</f>
        <v>2</v>
      </c>
      <c r="CH67" s="57">
        <f>'2026 - WIP'!BX8</f>
        <v>29.9</v>
      </c>
      <c r="CI67" s="57">
        <f>'2026 - WIP'!BY8</f>
        <v>25</v>
      </c>
      <c r="CJ67" s="57">
        <f>'2026 - WIP'!BZ8</f>
        <v>6</v>
      </c>
      <c r="CK67" s="58">
        <f>'2026 - WIP'!CA8</f>
        <v>6.72</v>
      </c>
      <c r="CL67" s="58">
        <f>'2026 - WIP'!CB8</f>
        <v>91.2</v>
      </c>
      <c r="CM67" s="58">
        <f>'2026 - WIP'!CC8</f>
        <v>3.8</v>
      </c>
      <c r="CN67" s="58">
        <f>'2026 - WIP'!CD8</f>
        <v>38.1</v>
      </c>
      <c r="CO67" s="57">
        <f>'2026 - WIP'!CE8</f>
        <v>0</v>
      </c>
      <c r="CP67" s="57">
        <f>'2026 - WIP'!CF8</f>
        <v>2865.2000000000003</v>
      </c>
      <c r="CQ67" s="57">
        <f>'2026 - WIP'!CG8</f>
        <v>0</v>
      </c>
      <c r="CR67" s="57">
        <f>'2026 - WIP'!CH8</f>
        <v>0</v>
      </c>
      <c r="CS67" s="59">
        <f>'2026 - WIP'!CI8</f>
        <v>0</v>
      </c>
      <c r="CT67" s="56">
        <f>'2026 - WIP'!CJ8</f>
        <v>440</v>
      </c>
      <c r="CU67" s="57">
        <f>'2026 - WIP'!CK8</f>
        <v>2085.6000000000004</v>
      </c>
      <c r="CV67" s="57">
        <f>'2026 - WIP'!CL8</f>
        <v>7</v>
      </c>
      <c r="CW67" s="57">
        <f>'2026 - WIP'!CM8</f>
        <v>38.400000000000006</v>
      </c>
      <c r="CX67" s="57">
        <f>'2026 - WIP'!CN8</f>
        <v>78</v>
      </c>
      <c r="CY67" s="57">
        <f>'2026 - WIP'!CO8</f>
        <v>14</v>
      </c>
      <c r="CZ67" s="58">
        <f>'2026 - WIP'!CP8</f>
        <v>5.6410256410256414</v>
      </c>
      <c r="DA67" s="58">
        <f>'2026 - WIP'!CQ8</f>
        <v>60.7</v>
      </c>
      <c r="DB67" s="58">
        <f>'2026 - WIP'!CR8</f>
        <v>3.21</v>
      </c>
      <c r="DC67" s="58">
        <f>'2026 - WIP'!CS8</f>
        <v>45.5</v>
      </c>
      <c r="DD67" s="57">
        <f>'2026 - WIP'!CT8</f>
        <v>99</v>
      </c>
      <c r="DE67" s="57">
        <f>'2026 - WIP'!CU8</f>
        <v>2836.8</v>
      </c>
      <c r="DF67" s="57">
        <f>'2026 - WIP'!CV8</f>
        <v>17</v>
      </c>
      <c r="DG67" s="57">
        <f>'2026 - WIP'!CW8</f>
        <v>0</v>
      </c>
      <c r="DH67" s="59">
        <f>'2026 - WIP'!CX8</f>
        <v>15.600000000000001</v>
      </c>
      <c r="DI67" s="56">
        <f>'2026 - WIP'!CY8</f>
        <v>537</v>
      </c>
      <c r="DJ67" s="57">
        <f>'2026 - WIP'!CZ8</f>
        <v>1022</v>
      </c>
      <c r="DK67" s="57">
        <f>'2026 - WIP'!DA8</f>
        <v>0</v>
      </c>
      <c r="DL67" s="57">
        <f>'2026 - WIP'!DB8</f>
        <v>0</v>
      </c>
      <c r="DM67" s="57">
        <f>'2026 - WIP'!DC8</f>
        <v>66</v>
      </c>
      <c r="DN67" s="57">
        <f>'2026 - WIP'!DD8</f>
        <v>15</v>
      </c>
      <c r="DO67" s="58">
        <f>'2026 - WIP'!DE8</f>
        <v>8.1363636363636367</v>
      </c>
      <c r="DP67" s="58">
        <f>'2026 - WIP'!DF8</f>
        <v>125.7</v>
      </c>
      <c r="DQ67" s="58">
        <f>'2026 - WIP'!DG8</f>
        <v>4.71</v>
      </c>
      <c r="DR67" s="58">
        <f>'2026 - WIP'!DH8</f>
        <v>59.4</v>
      </c>
      <c r="DS67" s="57">
        <f>'2026 - WIP'!DI8</f>
        <v>29</v>
      </c>
      <c r="DT67" s="57">
        <f>'2026 - WIP'!DJ8</f>
        <v>733</v>
      </c>
      <c r="DU67" s="57">
        <f>'2026 - WIP'!DK8</f>
        <v>11</v>
      </c>
      <c r="DV67" s="57">
        <f>'2026 - WIP'!DL8</f>
        <v>0</v>
      </c>
      <c r="DW67" s="59">
        <f>'2026 - WIP'!DM8</f>
        <v>0</v>
      </c>
    </row>
    <row r="68" spans="1:127" ht="15.75" customHeight="1" x14ac:dyDescent="0.2">
      <c r="A68" s="33">
        <f t="shared" si="12"/>
        <v>66</v>
      </c>
      <c r="B68" s="11">
        <f>'2016'!A6</f>
        <v>4</v>
      </c>
      <c r="C68" s="11">
        <v>2016</v>
      </c>
      <c r="D68" s="34" t="str">
        <f>'2016'!B6</f>
        <v>CJ Prosise</v>
      </c>
      <c r="E68" s="224" t="str" cm="1">
        <f t="array" ref="E68">_xlfn.IFS(F68&gt;=13,"Cornerstone",AND(F68&gt;=12,F68&lt;13),"Elite",AND(F68&gt;=11,F68&lt;12),"Elite Upside",AND(F68&gt;=9,F68&lt;11),"Upside",AND(F68&gt;=7,F68&lt;9),"Upside Lite",AND(F68&gt;=6,F68&lt;7),"Outlier",AND(F68&gt;=5,F68&lt;6),"Outlier Lite",F68&lt;5,"Purgatory")</f>
        <v>Upside</v>
      </c>
      <c r="F68" s="14">
        <f>'2016'!C6</f>
        <v>9.5222222222222221</v>
      </c>
      <c r="G68" s="14">
        <f t="shared" si="7"/>
        <v>79.800000000000011</v>
      </c>
      <c r="H68" s="35">
        <f t="shared" si="13"/>
        <v>0.64322242717761413</v>
      </c>
      <c r="I68" s="36" t="str">
        <f>'2016'!D6</f>
        <v>Notre Dame</v>
      </c>
      <c r="J68" s="37">
        <f>'2016'!E6</f>
        <v>2</v>
      </c>
      <c r="K68" s="38">
        <f>'2016'!F6</f>
        <v>34474</v>
      </c>
      <c r="L68" s="39">
        <f>'2016'!G6</f>
        <v>31.378082191780823</v>
      </c>
      <c r="M68" s="39" t="str">
        <f>'2016'!H6</f>
        <v>SR</v>
      </c>
      <c r="N68" s="39">
        <f>'2016'!I6</f>
        <v>21.953424657534246</v>
      </c>
      <c r="O68" s="39" t="str">
        <f t="shared" si="14"/>
        <v>FREAK</v>
      </c>
      <c r="P68" s="39" t="str">
        <f t="shared" ref="P68:P109" si="17">IF(OR(AND($AA68&lt;0.25,$AM68&gt;=0.133,AE68&gt;4%),(AND($O68="JITTERBUG",$AM68&gt;0.11)),(AND($O68="JITTERBUG",$AE68&gt;9.5%))),"+RECEIVER",IF(AND($AJ68&gt;=0.25,$AO68&gt;=3.81),"3DOWN",IF($AO68&gt;=3.81,"HORSE",IF(OR(AJ68&gt;0.28,AK68&gt;7,AP68&gt;47),"SLASHER",IF(AM68&gt;0.19,"+RECEIVER","PLODDER")))))</f>
        <v>SLASHER</v>
      </c>
      <c r="Q68" s="37">
        <f>'2016'!J6</f>
        <v>73</v>
      </c>
      <c r="R68" s="37">
        <f>'2016'!K6</f>
        <v>220</v>
      </c>
      <c r="S68" s="39">
        <f t="shared" ref="S68:S131" si="18">R68*0.453592/(Q68*0.0254)^2</f>
        <v>29.025179461505484</v>
      </c>
      <c r="T68" s="37">
        <f>'2016'!L6</f>
        <v>4.4800000000000004</v>
      </c>
      <c r="U68" s="55">
        <f>'2016'!M6</f>
        <v>3</v>
      </c>
      <c r="V68" s="41">
        <f>'2016'!N6</f>
        <v>0</v>
      </c>
      <c r="W68" s="42">
        <f>'2016'!O6</f>
        <v>0</v>
      </c>
      <c r="X68" s="42">
        <f>'2016'!P6</f>
        <v>1.9733596447952636E-2</v>
      </c>
      <c r="Y68" s="42">
        <f>'2016'!Q6</f>
        <v>0.11097666378565255</v>
      </c>
      <c r="Z68" s="42">
        <f>'2016'!R6</f>
        <v>0.25921165381319622</v>
      </c>
      <c r="AA68" s="42">
        <f>'2016'!S6</f>
        <v>0.25921165381319622</v>
      </c>
      <c r="AB68" s="42">
        <f>'2016'!T6</f>
        <v>0.25921165381319622</v>
      </c>
      <c r="AC68" s="42">
        <f>'2016'!U6</f>
        <v>0.13902734743365217</v>
      </c>
      <c r="AD68" s="42">
        <f>'2016'!V6</f>
        <v>0.10831721470019343</v>
      </c>
      <c r="AE68" s="42">
        <f>'2016'!W6</f>
        <v>0.1236722810669228</v>
      </c>
      <c r="AF68" s="43">
        <f>'2016'!X6</f>
        <v>0.1236722810669228</v>
      </c>
      <c r="AG68" s="44">
        <f>'2016'!Y6</f>
        <v>21.298630136986301</v>
      </c>
      <c r="AH68" s="45">
        <f>'2016'!Z6</f>
        <v>109.22966972583036</v>
      </c>
      <c r="AI68" s="45">
        <f>'2016'!AA6</f>
        <v>29.022330643647965</v>
      </c>
      <c r="AJ68" s="45">
        <f>'2016'!AB6</f>
        <v>0.27564102564102566</v>
      </c>
      <c r="AK68" s="45">
        <f>'2016'!AC6</f>
        <v>6.5576923076923075</v>
      </c>
      <c r="AL68" s="45">
        <f t="shared" si="15"/>
        <v>14.451612903225806</v>
      </c>
      <c r="AM68" s="45">
        <f t="shared" si="16"/>
        <v>0.14285714285714285</v>
      </c>
      <c r="AN68" s="45">
        <f>'2016'!AD6</f>
        <v>74.7</v>
      </c>
      <c r="AO68" s="45">
        <f>'2016'!AE6</f>
        <v>2.83</v>
      </c>
      <c r="AP68" s="46">
        <f>'2016'!AF6</f>
        <v>49.7</v>
      </c>
      <c r="AQ68" s="47">
        <f>'2016'!AG6</f>
        <v>6</v>
      </c>
      <c r="AR68" s="48">
        <f>'2016'!AH6</f>
        <v>9</v>
      </c>
      <c r="AS68" s="48">
        <f>'2016'!AI6</f>
        <v>2</v>
      </c>
      <c r="AT68" s="48">
        <f>'2016'!AJ6</f>
        <v>9</v>
      </c>
      <c r="AU68" s="48">
        <f>'2016'!AK6</f>
        <v>9</v>
      </c>
      <c r="AV68" s="48">
        <f>'2016'!AL6</f>
        <v>6</v>
      </c>
      <c r="AW68" s="48">
        <f>'2016'!AM6</f>
        <v>5</v>
      </c>
      <c r="AX68" s="48">
        <f>'2016'!AN6</f>
        <v>2</v>
      </c>
      <c r="AY68" s="49">
        <f>'2016'!AO6</f>
        <v>6</v>
      </c>
      <c r="AZ68" s="50">
        <f>'2016'!AP6</f>
        <v>0.5</v>
      </c>
      <c r="BA68" s="56">
        <f>'2016'!AQ6</f>
        <v>0</v>
      </c>
      <c r="BB68" s="57">
        <f>'2016'!AR6</f>
        <v>1</v>
      </c>
      <c r="BC68" s="57">
        <f>'2016'!AS6</f>
        <v>0</v>
      </c>
      <c r="BD68" s="57">
        <f>'2016'!AT6</f>
        <v>0</v>
      </c>
      <c r="BE68" s="57">
        <f>'2016'!AU6</f>
        <v>0</v>
      </c>
      <c r="BF68" s="57">
        <f>'2016'!AV6</f>
        <v>0</v>
      </c>
      <c r="BG68" s="58">
        <f>'2016'!AW6</f>
        <v>0</v>
      </c>
      <c r="BH68" s="58">
        <f>'2016'!AX6</f>
        <v>0</v>
      </c>
      <c r="BI68" s="58">
        <f>'2016'!AY6</f>
        <v>0</v>
      </c>
      <c r="BJ68" s="58">
        <f>'2016'!AZ6</f>
        <v>0</v>
      </c>
      <c r="BK68" s="57">
        <f>'2016'!BA6</f>
        <v>0</v>
      </c>
      <c r="BL68" s="57">
        <f>'2016'!BB6</f>
        <v>1</v>
      </c>
      <c r="BM68" s="57">
        <f>'2016'!BC6</f>
        <v>0</v>
      </c>
      <c r="BN68" s="57">
        <f>'2016'!BD6</f>
        <v>0</v>
      </c>
      <c r="BO68" s="59">
        <f>'2016'!BE6</f>
        <v>0</v>
      </c>
      <c r="BP68" s="56">
        <f>'2016'!BF6</f>
        <v>0</v>
      </c>
      <c r="BQ68" s="57">
        <f>'2016'!BG6</f>
        <v>1</v>
      </c>
      <c r="BR68" s="57">
        <f>'2016'!BH6</f>
        <v>0</v>
      </c>
      <c r="BS68" s="57">
        <f>'2016'!BI6</f>
        <v>0</v>
      </c>
      <c r="BT68" s="57">
        <f>'2016'!BJ6</f>
        <v>0</v>
      </c>
      <c r="BU68" s="57">
        <f>'2016'!BK6</f>
        <v>0</v>
      </c>
      <c r="BV68" s="58">
        <f>'2016'!BL6</f>
        <v>0</v>
      </c>
      <c r="BW68" s="58">
        <f>'2016'!BM6</f>
        <v>0</v>
      </c>
      <c r="BX68" s="58">
        <f>'2016'!BN6</f>
        <v>0</v>
      </c>
      <c r="BY68" s="58">
        <f>'2016'!BO6</f>
        <v>0</v>
      </c>
      <c r="BZ68" s="57">
        <f>'2016'!BP6</f>
        <v>0</v>
      </c>
      <c r="CA68" s="57">
        <f>'2016'!BQ6</f>
        <v>1</v>
      </c>
      <c r="CB68" s="57">
        <f>'2016'!BR6</f>
        <v>0</v>
      </c>
      <c r="CC68" s="57">
        <f>'2016'!BS6</f>
        <v>0</v>
      </c>
      <c r="CD68" s="59">
        <f>'2016'!BT6</f>
        <v>0</v>
      </c>
      <c r="CE68" s="56">
        <f>'2016'!BU6</f>
        <v>0</v>
      </c>
      <c r="CF68" s="57">
        <f>'2016'!BV6</f>
        <v>1355.3999999999999</v>
      </c>
      <c r="CG68" s="57">
        <f>'2016'!BW6</f>
        <v>0</v>
      </c>
      <c r="CH68" s="57">
        <f>'2016'!BX6</f>
        <v>8.1</v>
      </c>
      <c r="CI68" s="57">
        <f>'2016'!BY6</f>
        <v>0</v>
      </c>
      <c r="CJ68" s="57">
        <f>'2016'!BZ6</f>
        <v>0</v>
      </c>
      <c r="CK68" s="58">
        <f>'2016'!CA6</f>
        <v>0</v>
      </c>
      <c r="CL68" s="58">
        <f>'2016'!CB6</f>
        <v>0</v>
      </c>
      <c r="CM68" s="58">
        <f>'2016'!CC6</f>
        <v>0</v>
      </c>
      <c r="CN68" s="58">
        <f>'2016'!CD6</f>
        <v>0</v>
      </c>
      <c r="CO68" s="57">
        <f>'2016'!CE6</f>
        <v>72</v>
      </c>
      <c r="CP68" s="57">
        <f>'2016'!CF6</f>
        <v>2293.2000000000003</v>
      </c>
      <c r="CQ68" s="57">
        <f>'2016'!CG6</f>
        <v>7</v>
      </c>
      <c r="CR68" s="57">
        <f>'2016'!CH6</f>
        <v>0</v>
      </c>
      <c r="CS68" s="59">
        <f>'2016'!CI6</f>
        <v>18.900000000000002</v>
      </c>
      <c r="CT68" s="56">
        <f>'2016'!CJ6</f>
        <v>126</v>
      </c>
      <c r="CU68" s="57">
        <f>'2016'!CK6</f>
        <v>2073.5</v>
      </c>
      <c r="CV68" s="57">
        <f>'2016'!CL6</f>
        <v>1</v>
      </c>
      <c r="CW68" s="57">
        <f>'2016'!CM6</f>
        <v>23.400000000000002</v>
      </c>
      <c r="CX68" s="57">
        <f>'2016'!CN6</f>
        <v>10</v>
      </c>
      <c r="CY68" s="57">
        <f>'2016'!CO6</f>
        <v>2</v>
      </c>
      <c r="CZ68" s="58">
        <f>'2016'!CP6</f>
        <v>12.6</v>
      </c>
      <c r="DA68" s="58">
        <f>'2016'!CQ6</f>
        <v>262.60000000000002</v>
      </c>
      <c r="DB68" s="58">
        <f>'2016'!CR6</f>
        <v>6.4</v>
      </c>
      <c r="DC68" s="58">
        <f>'2016'!CS6</f>
        <v>81.7</v>
      </c>
      <c r="DD68" s="57">
        <f>'2016'!CT6</f>
        <v>516</v>
      </c>
      <c r="DE68" s="57">
        <f>'2016'!CU6</f>
        <v>3711.5</v>
      </c>
      <c r="DF68" s="57">
        <f>'2016'!CV6</f>
        <v>29</v>
      </c>
      <c r="DG68" s="57">
        <f>'2016'!CW6</f>
        <v>2</v>
      </c>
      <c r="DH68" s="59">
        <f>'2016'!CX6</f>
        <v>29.9</v>
      </c>
      <c r="DI68" s="56">
        <f>'2016'!CY6</f>
        <v>1023</v>
      </c>
      <c r="DJ68" s="57">
        <f>'2016'!CZ6</f>
        <v>2291.3000000000002</v>
      </c>
      <c r="DK68" s="57">
        <f>'2016'!DA6</f>
        <v>11</v>
      </c>
      <c r="DL68" s="57">
        <f>'2016'!DB6</f>
        <v>24.200000000000003</v>
      </c>
      <c r="DM68" s="57">
        <f>'2016'!DC6</f>
        <v>156</v>
      </c>
      <c r="DN68" s="57">
        <f>'2016'!DD6</f>
        <v>43</v>
      </c>
      <c r="DO68" s="58">
        <f>'2016'!DE6</f>
        <v>6.5576923076923075</v>
      </c>
      <c r="DP68" s="58">
        <f>'2016'!DF6</f>
        <v>74.7</v>
      </c>
      <c r="DQ68" s="58">
        <f>'2016'!DG6</f>
        <v>2.83</v>
      </c>
      <c r="DR68" s="58">
        <f>'2016'!DH6</f>
        <v>49.7</v>
      </c>
      <c r="DS68" s="57">
        <f>'2016'!DI6</f>
        <v>308</v>
      </c>
      <c r="DT68" s="57">
        <f>'2016'!DJ6</f>
        <v>2843.5</v>
      </c>
      <c r="DU68" s="57">
        <f>'2016'!DK6</f>
        <v>26</v>
      </c>
      <c r="DV68" s="57">
        <f>'2016'!DL6</f>
        <v>1</v>
      </c>
      <c r="DW68" s="59">
        <f>'2016'!DM6</f>
        <v>20.9</v>
      </c>
    </row>
    <row r="69" spans="1:127" ht="15.75" customHeight="1" x14ac:dyDescent="0.2">
      <c r="A69" s="33">
        <f t="shared" si="12"/>
        <v>67</v>
      </c>
      <c r="B69" s="11">
        <f>'2024'!A7</f>
        <v>5</v>
      </c>
      <c r="C69" s="11">
        <v>2024</v>
      </c>
      <c r="D69" s="34" t="str">
        <f>'2024'!B7</f>
        <v>MarShawn Lloyd</v>
      </c>
      <c r="E69" s="224" t="str" cm="1">
        <f t="array" ref="E69">_xlfn.IFS(F69&gt;=13,"Cornerstone",AND(F69&gt;=12,F69&lt;13),"Elite",AND(F69&gt;=11,F69&lt;12),"Elite Upside",AND(F69&gt;=9,F69&lt;11),"Upside",AND(F69&gt;=7,F69&lt;9),"Upside Lite",AND(F69&gt;=6,F69&lt;7),"Outlier",AND(F69&gt;=5,F69&lt;6),"Outlier Lite",F69&lt;5,"Purgatory")</f>
        <v>Upside</v>
      </c>
      <c r="F69" s="14">
        <f>'2024'!C7</f>
        <v>9.5055555555555564</v>
      </c>
      <c r="G69" s="14">
        <f t="shared" si="7"/>
        <v>79.5</v>
      </c>
      <c r="H69" s="35">
        <f t="shared" si="13"/>
        <v>0.63616867610695393</v>
      </c>
      <c r="I69" s="36" t="str">
        <f>'2024'!D7</f>
        <v>USC</v>
      </c>
      <c r="J69" s="37">
        <f>'2024'!E7</f>
        <v>5</v>
      </c>
      <c r="K69" s="38">
        <f>'2024'!F7</f>
        <v>36896</v>
      </c>
      <c r="L69" s="39">
        <f>'2024'!G7</f>
        <v>24.742465753424657</v>
      </c>
      <c r="M69" s="39" t="str">
        <f>'2024'!H7</f>
        <v>RS JR</v>
      </c>
      <c r="N69" s="39">
        <f>'2024'!I7</f>
        <v>23.323287671232876</v>
      </c>
      <c r="O69" s="39" t="str">
        <f t="shared" si="14"/>
        <v>FREAK</v>
      </c>
      <c r="P69" s="39" t="str">
        <f t="shared" si="17"/>
        <v>3DOWN</v>
      </c>
      <c r="Q69" s="37">
        <f>'2024'!J7</f>
        <v>69</v>
      </c>
      <c r="R69" s="37">
        <f>'2024'!K7</f>
        <v>220</v>
      </c>
      <c r="S69" s="39">
        <f t="shared" si="18"/>
        <v>32.487960796127432</v>
      </c>
      <c r="T69" s="37">
        <f>'2024'!L7</f>
        <v>4.46</v>
      </c>
      <c r="U69" s="40">
        <f>'2024'!M7</f>
        <v>3</v>
      </c>
      <c r="V69" s="41">
        <f>'2024'!N7</f>
        <v>0</v>
      </c>
      <c r="W69" s="42">
        <f>'2024'!O7</f>
        <v>0</v>
      </c>
      <c r="X69" s="42">
        <f>'2024'!P7</f>
        <v>7.3071136900924136E-2</v>
      </c>
      <c r="Y69" s="42">
        <f>'2024'!Q7</f>
        <v>0.21647307286166845</v>
      </c>
      <c r="Z69" s="42">
        <f>'2024'!R7</f>
        <v>0.2037483474609223</v>
      </c>
      <c r="AA69" s="42">
        <f>'2024'!S7</f>
        <v>0.21011071016129537</v>
      </c>
      <c r="AB69" s="42">
        <f>'2024'!T7</f>
        <v>0.17859410363710107</v>
      </c>
      <c r="AC69" s="42">
        <f>'2024'!U7</f>
        <v>7.3931623931623933E-2</v>
      </c>
      <c r="AD69" s="42">
        <f>'2024'!V7</f>
        <v>6.3336063336063342E-2</v>
      </c>
      <c r="AE69" s="42">
        <f>'2024'!W7</f>
        <v>6.8633843633843644E-2</v>
      </c>
      <c r="AF69" s="43">
        <f>'2024'!X7</f>
        <v>5.8338767088767098E-2</v>
      </c>
      <c r="AG69" s="44">
        <f>'2024'!Y7</f>
        <v>21.67945205479452</v>
      </c>
      <c r="AH69" s="45">
        <f>'2024'!Z7</f>
        <v>111.20216474658046</v>
      </c>
      <c r="AI69" s="45">
        <f>'2024'!AA7</f>
        <v>32.484772106700277</v>
      </c>
      <c r="AJ69" s="45">
        <f>'2024'!AB7</f>
        <v>0.40869565217391307</v>
      </c>
      <c r="AK69" s="45">
        <f>'2024'!AC7</f>
        <v>7.1</v>
      </c>
      <c r="AL69" s="45">
        <f t="shared" si="15"/>
        <v>13.205882352941176</v>
      </c>
      <c r="AM69" s="45">
        <f t="shared" si="16"/>
        <v>0.1015625</v>
      </c>
      <c r="AN69" s="45">
        <f>'2024'!AD7</f>
        <v>177</v>
      </c>
      <c r="AO69" s="45">
        <f>'2024'!AE7</f>
        <v>4.05</v>
      </c>
      <c r="AP69" s="46">
        <f>'2024'!AF7</f>
        <v>56.7</v>
      </c>
      <c r="AQ69" s="47">
        <f>'2024'!AG7</f>
        <v>3</v>
      </c>
      <c r="AR69" s="48">
        <f>'2024'!AH7</f>
        <v>6</v>
      </c>
      <c r="AS69" s="48">
        <f>'2024'!AI7</f>
        <v>2</v>
      </c>
      <c r="AT69" s="48">
        <f>'2024'!AJ7</f>
        <v>9</v>
      </c>
      <c r="AU69" s="48">
        <f>'2024'!AK7</f>
        <v>10</v>
      </c>
      <c r="AV69" s="48">
        <f>'2024'!AL7</f>
        <v>8</v>
      </c>
      <c r="AW69" s="48">
        <f>'2024'!AM7</f>
        <v>8</v>
      </c>
      <c r="AX69" s="48">
        <f>'2024'!AN7</f>
        <v>5</v>
      </c>
      <c r="AY69" s="49">
        <f>'2024'!AO7</f>
        <v>6</v>
      </c>
      <c r="AZ69" s="50">
        <f>'2024'!AP7</f>
        <v>0</v>
      </c>
      <c r="BA69" s="56">
        <f>'2024'!AQ7</f>
        <v>0</v>
      </c>
      <c r="BB69" s="57">
        <f>'2024'!AR7</f>
        <v>1</v>
      </c>
      <c r="BC69" s="57">
        <f>'2024'!AS7</f>
        <v>0</v>
      </c>
      <c r="BD69" s="57">
        <f>'2024'!AT7</f>
        <v>0</v>
      </c>
      <c r="BE69" s="57">
        <f>'2024'!AU7</f>
        <v>0</v>
      </c>
      <c r="BF69" s="57">
        <f>'2024'!AV7</f>
        <v>0</v>
      </c>
      <c r="BG69" s="58">
        <f>'2024'!AW7</f>
        <v>0</v>
      </c>
      <c r="BH69" s="58">
        <f>'2024'!AX7</f>
        <v>0</v>
      </c>
      <c r="BI69" s="58">
        <f>'2024'!AY7</f>
        <v>0</v>
      </c>
      <c r="BJ69" s="58">
        <f>'2024'!AZ7</f>
        <v>0</v>
      </c>
      <c r="BK69" s="57">
        <f>'2024'!BA7</f>
        <v>0</v>
      </c>
      <c r="BL69" s="57">
        <f>'2024'!BB7</f>
        <v>1</v>
      </c>
      <c r="BM69" s="57">
        <f>'2024'!BC7</f>
        <v>0</v>
      </c>
      <c r="BN69" s="57">
        <f>'2024'!BD7</f>
        <v>0</v>
      </c>
      <c r="BO69" s="59">
        <f>'2024'!BE7</f>
        <v>0</v>
      </c>
      <c r="BP69" s="56">
        <f>'2024'!BF7</f>
        <v>0</v>
      </c>
      <c r="BQ69" s="57">
        <f>'2024'!BG7</f>
        <v>1</v>
      </c>
      <c r="BR69" s="57">
        <f>'2024'!BH7</f>
        <v>0</v>
      </c>
      <c r="BS69" s="57">
        <f>'2024'!BI7</f>
        <v>0</v>
      </c>
      <c r="BT69" s="57">
        <f>'2024'!BJ7</f>
        <v>0</v>
      </c>
      <c r="BU69" s="57">
        <f>'2024'!BK7</f>
        <v>0</v>
      </c>
      <c r="BV69" s="58">
        <f>'2024'!BL7</f>
        <v>0</v>
      </c>
      <c r="BW69" s="58">
        <f>'2024'!BM7</f>
        <v>0</v>
      </c>
      <c r="BX69" s="58">
        <f>'2024'!BN7</f>
        <v>0</v>
      </c>
      <c r="BY69" s="58">
        <f>'2024'!BO7</f>
        <v>0</v>
      </c>
      <c r="BZ69" s="57">
        <f>'2024'!BP7</f>
        <v>0</v>
      </c>
      <c r="CA69" s="57">
        <f>'2024'!BQ7</f>
        <v>1</v>
      </c>
      <c r="CB69" s="57">
        <f>'2024'!BR7</f>
        <v>0</v>
      </c>
      <c r="CC69" s="57">
        <f>'2024'!BS7</f>
        <v>0</v>
      </c>
      <c r="CD69" s="59">
        <f>'2024'!BT7</f>
        <v>0</v>
      </c>
      <c r="CE69" s="56">
        <f>'2024'!BU7</f>
        <v>228</v>
      </c>
      <c r="CF69" s="57">
        <f>'2024'!BV7</f>
        <v>1509.1999999999998</v>
      </c>
      <c r="CG69" s="57">
        <f>'2024'!BW7</f>
        <v>1</v>
      </c>
      <c r="CH69" s="57">
        <f>'2024'!BX7</f>
        <v>7.6999999999999993</v>
      </c>
      <c r="CI69" s="57">
        <f>'2024'!BY7</f>
        <v>64</v>
      </c>
      <c r="CJ69" s="57">
        <f>'2024'!BZ7</f>
        <v>9</v>
      </c>
      <c r="CK69" s="58">
        <f>'2024'!CA7</f>
        <v>3.5625</v>
      </c>
      <c r="CL69" s="58">
        <f>'2024'!CB7</f>
        <v>36.700000000000003</v>
      </c>
      <c r="CM69" s="58">
        <f>'2024'!CC7</f>
        <v>2.23</v>
      </c>
      <c r="CN69" s="58">
        <f>'2024'!CD7</f>
        <v>45.2</v>
      </c>
      <c r="CO69" s="57">
        <f>'2024'!CE7</f>
        <v>44</v>
      </c>
      <c r="CP69" s="57">
        <f>'2024'!CF7</f>
        <v>2213.1999999999998</v>
      </c>
      <c r="CQ69" s="57">
        <f>'2024'!CG7</f>
        <v>3</v>
      </c>
      <c r="CR69" s="57">
        <f>'2024'!CH7</f>
        <v>0</v>
      </c>
      <c r="CS69" s="59">
        <f>'2024'!CI7</f>
        <v>18.7</v>
      </c>
      <c r="CT69" s="56">
        <f>'2024'!CJ7</f>
        <v>565</v>
      </c>
      <c r="CU69" s="57">
        <f>'2024'!CK7</f>
        <v>1069.2</v>
      </c>
      <c r="CV69" s="57">
        <f>'2024'!CL7</f>
        <v>9</v>
      </c>
      <c r="CW69" s="57">
        <f>'2024'!CM7</f>
        <v>18.900000000000002</v>
      </c>
      <c r="CX69" s="57">
        <f>'2024'!CN7</f>
        <v>110</v>
      </c>
      <c r="CY69" s="57">
        <f>'2024'!CO7</f>
        <v>39</v>
      </c>
      <c r="CZ69" s="58">
        <f>'2024'!CP7</f>
        <v>5.1363636363636367</v>
      </c>
      <c r="DA69" s="58">
        <f>'2024'!CQ7</f>
        <v>135.9</v>
      </c>
      <c r="DB69" s="58">
        <f>'2024'!CR7</f>
        <v>4.05</v>
      </c>
      <c r="DC69" s="58">
        <f>'2024'!CS7</f>
        <v>48.1</v>
      </c>
      <c r="DD69" s="57">
        <f>'2024'!CT7</f>
        <v>173</v>
      </c>
      <c r="DE69" s="57">
        <f>'2024'!CU7</f>
        <v>2340</v>
      </c>
      <c r="DF69" s="57">
        <f>'2024'!CV7</f>
        <v>18</v>
      </c>
      <c r="DG69" s="57">
        <f>'2024'!CW7</f>
        <v>2</v>
      </c>
      <c r="DH69" s="59">
        <f>'2024'!CX7</f>
        <v>16.2</v>
      </c>
      <c r="DI69" s="56">
        <f>'2024'!CY7</f>
        <v>816</v>
      </c>
      <c r="DJ69" s="57">
        <f>'2024'!CZ7</f>
        <v>1480.6</v>
      </c>
      <c r="DK69" s="57">
        <f>'2024'!DA7</f>
        <v>9</v>
      </c>
      <c r="DL69" s="57">
        <f>'2024'!DB7</f>
        <v>27.5</v>
      </c>
      <c r="DM69" s="57">
        <f>'2024'!DC7</f>
        <v>115</v>
      </c>
      <c r="DN69" s="57">
        <f>'2024'!DD7</f>
        <v>47</v>
      </c>
      <c r="DO69" s="58">
        <f>'2024'!DE7</f>
        <v>7.1</v>
      </c>
      <c r="DP69" s="58">
        <f>'2024'!DF7</f>
        <v>177</v>
      </c>
      <c r="DQ69" s="58">
        <f>'2024'!DG7</f>
        <v>3.97</v>
      </c>
      <c r="DR69" s="58">
        <f>'2024'!DH7</f>
        <v>56.7</v>
      </c>
      <c r="DS69" s="57">
        <f>'2024'!DI7</f>
        <v>232</v>
      </c>
      <c r="DT69" s="57">
        <f>'2024'!DJ7</f>
        <v>3663</v>
      </c>
      <c r="DU69" s="57">
        <f>'2024'!DK7</f>
        <v>13</v>
      </c>
      <c r="DV69" s="57">
        <f>'2024'!DL7</f>
        <v>0</v>
      </c>
      <c r="DW69" s="59">
        <f>'2024'!DM7</f>
        <v>30.799999999999997</v>
      </c>
    </row>
    <row r="70" spans="1:127" ht="15.75" customHeight="1" x14ac:dyDescent="0.2">
      <c r="A70" s="33">
        <f t="shared" si="12"/>
        <v>68</v>
      </c>
      <c r="B70" s="11">
        <f>'2025'!A11</f>
        <v>9</v>
      </c>
      <c r="C70" s="11">
        <v>2025</v>
      </c>
      <c r="D70" s="34" t="str">
        <f>'2025'!B11</f>
        <v>Trevor Etienne</v>
      </c>
      <c r="E70" s="224" t="str" cm="1">
        <f t="array" ref="E70">_xlfn.IFS(F70&gt;=13,"Cornerstone",AND(F70&gt;=12,F70&lt;13),"Elite",AND(F70&gt;=11,F70&lt;12),"Elite Upside",AND(F70&gt;=9,F70&lt;11),"Upside",AND(F70&gt;=7,F70&lt;9),"Upside Lite",AND(F70&gt;=6,F70&lt;7),"Outlier",AND(F70&gt;=5,F70&lt;6),"Outlier Lite",F70&lt;5,"Purgatory")</f>
        <v>Upside</v>
      </c>
      <c r="F70" s="14">
        <f>'2025'!C11</f>
        <v>9.4777777777777779</v>
      </c>
      <c r="G70" s="14">
        <f t="shared" si="7"/>
        <v>79.2</v>
      </c>
      <c r="H70" s="35">
        <f t="shared" si="13"/>
        <v>0.62441242432251909</v>
      </c>
      <c r="I70" s="36" t="str">
        <f>'2025'!D11</f>
        <v>Georgia</v>
      </c>
      <c r="J70" s="37">
        <f>'2025'!E11</f>
        <v>1</v>
      </c>
      <c r="K70" s="38">
        <f>'2025'!F11</f>
        <v>38177</v>
      </c>
      <c r="L70" s="39">
        <f>'2025'!G11</f>
        <v>21.232876712328768</v>
      </c>
      <c r="M70" s="39" t="str">
        <f>'2025'!H11</f>
        <v>JR</v>
      </c>
      <c r="N70" s="39">
        <f>'2025'!I11</f>
        <v>20.813698630136987</v>
      </c>
      <c r="O70" s="39" t="str">
        <f t="shared" si="14"/>
        <v>JITTERBUG</v>
      </c>
      <c r="P70" s="39" t="str">
        <f t="shared" si="17"/>
        <v>+RECEIVER</v>
      </c>
      <c r="Q70" s="37">
        <f>'2025'!J11</f>
        <v>68</v>
      </c>
      <c r="R70" s="37">
        <f>'2025'!K11</f>
        <v>198</v>
      </c>
      <c r="S70" s="39">
        <f t="shared" si="18"/>
        <v>30.105463498124234</v>
      </c>
      <c r="T70" s="37">
        <f>'2025'!L11</f>
        <v>4.42</v>
      </c>
      <c r="U70" s="40">
        <f>'2025'!M11</f>
        <v>4</v>
      </c>
      <c r="V70" s="41">
        <f>'2025'!N11</f>
        <v>0</v>
      </c>
      <c r="W70" s="42">
        <f>'2025'!O11</f>
        <v>0</v>
      </c>
      <c r="X70" s="42">
        <f>'2025'!P11</f>
        <v>0.14241654571843251</v>
      </c>
      <c r="Y70" s="42">
        <f>'2025'!Q11</f>
        <v>0.20621763960800871</v>
      </c>
      <c r="Z70" s="42">
        <f>'2025'!R11</f>
        <v>0.19659595461272816</v>
      </c>
      <c r="AA70" s="42">
        <f>'2025'!S11</f>
        <v>0.20140679711036844</v>
      </c>
      <c r="AB70" s="42">
        <f>'2025'!T11</f>
        <v>0.20140679711036844</v>
      </c>
      <c r="AC70" s="42">
        <f>'2025'!U11</f>
        <v>6.0302212249763343E-2</v>
      </c>
      <c r="AD70" s="42">
        <f>'2025'!V11</f>
        <v>6.9039145907473315E-2</v>
      </c>
      <c r="AE70" s="42">
        <f>'2025'!W11</f>
        <v>6.9039145907473315E-2</v>
      </c>
      <c r="AF70" s="43">
        <f>'2025'!X11</f>
        <v>6.9039145907473315E-2</v>
      </c>
      <c r="AG70" s="44">
        <f>'2025'!Y11</f>
        <v>19.167123287671235</v>
      </c>
      <c r="AH70" s="45">
        <f>'2025'!Z11</f>
        <v>103.75430091812775</v>
      </c>
      <c r="AI70" s="45">
        <f>'2025'!AA11</f>
        <v>30.102508650519027</v>
      </c>
      <c r="AJ70" s="45">
        <f>'2025'!AB11</f>
        <v>0.26923076923076922</v>
      </c>
      <c r="AK70" s="45">
        <f>'2025'!AC11</f>
        <v>5.8153846153846152</v>
      </c>
      <c r="AL70" s="45">
        <f t="shared" si="15"/>
        <v>6.967741935483871</v>
      </c>
      <c r="AM70" s="45">
        <f t="shared" si="16"/>
        <v>0.20779220779220781</v>
      </c>
      <c r="AN70" s="45">
        <f>'2025'!AD11</f>
        <v>118.8</v>
      </c>
      <c r="AO70" s="45">
        <f>'2025'!AE11</f>
        <v>4.08</v>
      </c>
      <c r="AP70" s="46">
        <f>'2025'!AF11</f>
        <v>45.2</v>
      </c>
      <c r="AQ70" s="47">
        <f>'2025'!AG11</f>
        <v>4</v>
      </c>
      <c r="AR70" s="48">
        <f>'2025'!AH11</f>
        <v>7</v>
      </c>
      <c r="AS70" s="48">
        <f>'2025'!AI11</f>
        <v>7</v>
      </c>
      <c r="AT70" s="48">
        <f>'2025'!AJ11</f>
        <v>7</v>
      </c>
      <c r="AU70" s="48">
        <f>'2025'!AK11</f>
        <v>7</v>
      </c>
      <c r="AV70" s="48">
        <f>'2025'!AL11</f>
        <v>4</v>
      </c>
      <c r="AW70" s="48">
        <f>'2025'!AM11</f>
        <v>6</v>
      </c>
      <c r="AX70" s="48">
        <f>'2025'!AN11</f>
        <v>5</v>
      </c>
      <c r="AY70" s="49">
        <f>'2025'!AO11</f>
        <v>4</v>
      </c>
      <c r="AZ70" s="50">
        <f>'2025'!AP11</f>
        <v>1</v>
      </c>
      <c r="BA70" s="56">
        <f>'2025'!AQ11</f>
        <v>0</v>
      </c>
      <c r="BB70" s="57">
        <f>'2025'!AR11</f>
        <v>1</v>
      </c>
      <c r="BC70" s="57">
        <f>'2025'!AS11</f>
        <v>0</v>
      </c>
      <c r="BD70" s="57">
        <f>'2025'!AT11</f>
        <v>0</v>
      </c>
      <c r="BE70" s="57">
        <f>'2025'!AU11</f>
        <v>0</v>
      </c>
      <c r="BF70" s="57">
        <f>'2025'!AV11</f>
        <v>0</v>
      </c>
      <c r="BG70" s="58">
        <f>'2025'!AW11</f>
        <v>0</v>
      </c>
      <c r="BH70" s="58">
        <f>'2025'!AX11</f>
        <v>0</v>
      </c>
      <c r="BI70" s="58">
        <f>'2025'!AY11</f>
        <v>0</v>
      </c>
      <c r="BJ70" s="58">
        <f>'2025'!AZ11</f>
        <v>0</v>
      </c>
      <c r="BK70" s="57">
        <f>'2025'!BA11</f>
        <v>0</v>
      </c>
      <c r="BL70" s="57">
        <f>'2025'!BB11</f>
        <v>0</v>
      </c>
      <c r="BM70" s="57">
        <f>'2025'!BC11</f>
        <v>0</v>
      </c>
      <c r="BN70" s="57">
        <f>'2025'!BD11</f>
        <v>0</v>
      </c>
      <c r="BO70" s="59">
        <f>'2025'!BE11</f>
        <v>0</v>
      </c>
      <c r="BP70" s="56">
        <f>'2025'!BF11</f>
        <v>0</v>
      </c>
      <c r="BQ70" s="57">
        <f>'2025'!BG11</f>
        <v>1</v>
      </c>
      <c r="BR70" s="57">
        <f>'2025'!BH11</f>
        <v>0</v>
      </c>
      <c r="BS70" s="57">
        <f>'2025'!BI11</f>
        <v>0</v>
      </c>
      <c r="BT70" s="57">
        <f>'2025'!BJ11</f>
        <v>0</v>
      </c>
      <c r="BU70" s="57">
        <f>'2025'!BK11</f>
        <v>0</v>
      </c>
      <c r="BV70" s="58">
        <f>'2025'!BL11</f>
        <v>0</v>
      </c>
      <c r="BW70" s="58">
        <f>'2025'!BM11</f>
        <v>0</v>
      </c>
      <c r="BX70" s="58">
        <f>'2025'!BN11</f>
        <v>0</v>
      </c>
      <c r="BY70" s="58">
        <f>'2025'!BO11</f>
        <v>0</v>
      </c>
      <c r="BZ70" s="57">
        <f>'2025'!BP11</f>
        <v>0</v>
      </c>
      <c r="CA70" s="57">
        <f>'2025'!BQ11</f>
        <v>0</v>
      </c>
      <c r="CB70" s="57">
        <f>'2025'!BR11</f>
        <v>0</v>
      </c>
      <c r="CC70" s="57">
        <f>'2025'!BS11</f>
        <v>0</v>
      </c>
      <c r="CD70" s="59">
        <f>'2025'!BT11</f>
        <v>0</v>
      </c>
      <c r="CE70" s="56">
        <f>'2025'!BU11</f>
        <v>719</v>
      </c>
      <c r="CF70" s="57">
        <f>'2025'!BV11</f>
        <v>2602.6</v>
      </c>
      <c r="CG70" s="57">
        <f>'2025'!BW11</f>
        <v>6</v>
      </c>
      <c r="CH70" s="57">
        <f>'2025'!BX11</f>
        <v>28.6</v>
      </c>
      <c r="CI70" s="57">
        <f>'2025'!BY11</f>
        <v>118</v>
      </c>
      <c r="CJ70" s="57">
        <f>'2025'!BZ11</f>
        <v>35</v>
      </c>
      <c r="CK70" s="58">
        <f>'2025'!CA11</f>
        <v>6.093220338983051</v>
      </c>
      <c r="CL70" s="58">
        <f>'2025'!CB11</f>
        <v>118.9</v>
      </c>
      <c r="CM70" s="58">
        <f>'2025'!CC11</f>
        <v>3.87</v>
      </c>
      <c r="CN70" s="58">
        <f>'2025'!CD11</f>
        <v>47.1</v>
      </c>
      <c r="CO70" s="57">
        <f>'2025'!CE11</f>
        <v>66</v>
      </c>
      <c r="CP70" s="57">
        <f>'2025'!CF11</f>
        <v>2909.4</v>
      </c>
      <c r="CQ70" s="57">
        <f>'2025'!CG11</f>
        <v>9</v>
      </c>
      <c r="CR70" s="57">
        <f>'2025'!CH11</f>
        <v>0</v>
      </c>
      <c r="CS70" s="59">
        <f>'2025'!CI11</f>
        <v>18.2</v>
      </c>
      <c r="CT70" s="56">
        <f>'2025'!CJ11</f>
        <v>756</v>
      </c>
      <c r="CU70" s="57">
        <f>'2025'!CK11</f>
        <v>1647.8000000000002</v>
      </c>
      <c r="CV70" s="57">
        <f>'2025'!CL11</f>
        <v>8</v>
      </c>
      <c r="CW70" s="57">
        <f>'2025'!CM11</f>
        <v>19.8</v>
      </c>
      <c r="CX70" s="57">
        <f>'2025'!CN11</f>
        <v>130</v>
      </c>
      <c r="CY70" s="57">
        <f>'2025'!CO11</f>
        <v>35</v>
      </c>
      <c r="CZ70" s="58">
        <f>'2025'!CP11</f>
        <v>5.8153846153846152</v>
      </c>
      <c r="DA70" s="58">
        <f>'2025'!CQ11</f>
        <v>118.8</v>
      </c>
      <c r="DB70" s="58">
        <f>'2025'!CR11</f>
        <v>4.08</v>
      </c>
      <c r="DC70" s="58">
        <f>'2025'!CS11</f>
        <v>45.2</v>
      </c>
      <c r="DD70" s="57">
        <f>'2025'!CT11</f>
        <v>172</v>
      </c>
      <c r="DE70" s="57">
        <f>'2025'!CU11</f>
        <v>2852.3</v>
      </c>
      <c r="DF70" s="57">
        <f>'2025'!CV11</f>
        <v>21</v>
      </c>
      <c r="DG70" s="57">
        <f>'2025'!CW11</f>
        <v>1</v>
      </c>
      <c r="DH70" s="59">
        <f>'2025'!CX11</f>
        <v>18.7</v>
      </c>
      <c r="DI70" s="56">
        <f>'2025'!CY11</f>
        <v>603</v>
      </c>
      <c r="DJ70" s="57">
        <f>'2025'!CZ11</f>
        <v>1244</v>
      </c>
      <c r="DK70" s="57">
        <f>'2025'!DA11</f>
        <v>9</v>
      </c>
      <c r="DL70" s="57">
        <f>'2025'!DB11</f>
        <v>14.4</v>
      </c>
      <c r="DM70" s="57">
        <f>'2025'!DC11</f>
        <v>122</v>
      </c>
      <c r="DN70" s="57">
        <f>'2025'!DD11</f>
        <v>28</v>
      </c>
      <c r="DO70" s="58">
        <f>'2025'!DE11</f>
        <v>4.942622950819672</v>
      </c>
      <c r="DP70" s="58">
        <f>'2025'!DF11</f>
        <v>93.7</v>
      </c>
      <c r="DQ70" s="58">
        <f>'2025'!DG11</f>
        <v>3.43</v>
      </c>
      <c r="DR70" s="58">
        <f>'2025'!DH11</f>
        <v>31</v>
      </c>
      <c r="DS70" s="57">
        <f>'2025'!DI11</f>
        <v>194</v>
      </c>
      <c r="DT70" s="57">
        <f>'2025'!DJ11</f>
        <v>2810</v>
      </c>
      <c r="DU70" s="57">
        <f>'2025'!DK11</f>
        <v>32</v>
      </c>
      <c r="DV70" s="57">
        <f>'2025'!DL11</f>
        <v>0</v>
      </c>
      <c r="DW70" s="59">
        <f>'2025'!DM11</f>
        <v>18.399999999999999</v>
      </c>
    </row>
    <row r="71" spans="1:127" ht="15.75" customHeight="1" x14ac:dyDescent="0.2">
      <c r="A71" s="33">
        <f t="shared" si="12"/>
        <v>69</v>
      </c>
      <c r="B71" s="11">
        <f>'2022'!A5</f>
        <v>3</v>
      </c>
      <c r="C71" s="11">
        <v>2022</v>
      </c>
      <c r="D71" s="34" t="str">
        <f>'2022'!B5</f>
        <v>Rachaad White</v>
      </c>
      <c r="E71" s="224" t="str" cm="1">
        <f t="array" ref="E71">_xlfn.IFS(F71&gt;=13,"Cornerstone",AND(F71&gt;=12,F71&lt;13),"Elite",AND(F71&gt;=11,F71&lt;12),"Elite Upside",AND(F71&gt;=9,F71&lt;11),"Upside",AND(F71&gt;=7,F71&lt;9),"Upside Lite",AND(F71&gt;=6,F71&lt;7),"Outlier",AND(F71&gt;=5,F71&lt;6),"Outlier Lite",F71&lt;5,"Purgatory")</f>
        <v>Upside</v>
      </c>
      <c r="F71" s="14">
        <f>'2022'!C5</f>
        <v>9.466666666666665</v>
      </c>
      <c r="G71" s="14">
        <f t="shared" ref="G71:G134" si="19">(_xlfn.PERCENTRANK.EXC($F$3:$F$328,F71)*100)</f>
        <v>78.8</v>
      </c>
      <c r="H71" s="35">
        <f t="shared" si="13"/>
        <v>0.61970992360874466</v>
      </c>
      <c r="I71" s="36" t="str">
        <f>'2022'!D5</f>
        <v>Arizona State</v>
      </c>
      <c r="J71" s="37">
        <f>'2022'!E5</f>
        <v>5</v>
      </c>
      <c r="K71" s="38">
        <f>'2022'!F5</f>
        <v>36172</v>
      </c>
      <c r="L71" s="39">
        <f>'2022'!G5</f>
        <v>26.726027397260275</v>
      </c>
      <c r="M71" s="39" t="str">
        <f>'2022'!H5</f>
        <v>SR</v>
      </c>
      <c r="N71" s="39">
        <f>'2022'!I5</f>
        <v>23.306849315068494</v>
      </c>
      <c r="O71" s="39" t="str">
        <f t="shared" si="14"/>
        <v>DYNAMIC</v>
      </c>
      <c r="P71" s="39" t="str">
        <f t="shared" si="17"/>
        <v>HORSE</v>
      </c>
      <c r="Q71" s="37">
        <f>'2022'!J5</f>
        <v>72</v>
      </c>
      <c r="R71" s="37">
        <f>'2022'!K5</f>
        <v>214</v>
      </c>
      <c r="S71" s="39">
        <f t="shared" si="18"/>
        <v>29.023296163876278</v>
      </c>
      <c r="T71" s="37">
        <f>'2022'!L5</f>
        <v>4.4800000000000004</v>
      </c>
      <c r="U71" s="40">
        <f>'2022'!M5</f>
        <v>3</v>
      </c>
      <c r="V71" s="41">
        <f>'2022'!N5</f>
        <v>0</v>
      </c>
      <c r="W71" s="42">
        <f>'2022'!O5</f>
        <v>0</v>
      </c>
      <c r="X71" s="42">
        <f>'2022'!P5</f>
        <v>0</v>
      </c>
      <c r="Y71" s="42">
        <f>'2022'!Q5</f>
        <v>0.31134133042529988</v>
      </c>
      <c r="Z71" s="42">
        <f>'2022'!R5</f>
        <v>0.28865979381443296</v>
      </c>
      <c r="AA71" s="42">
        <f>'2022'!S5</f>
        <v>0.30000056211986642</v>
      </c>
      <c r="AB71" s="42">
        <f>'2022'!T5</f>
        <v>0.25500047780188645</v>
      </c>
      <c r="AC71" s="42">
        <f>'2022'!U5</f>
        <v>0.19433719433719435</v>
      </c>
      <c r="AD71" s="42">
        <f>'2022'!V5</f>
        <v>0.18023715415019761</v>
      </c>
      <c r="AE71" s="42">
        <f>'2022'!W5</f>
        <v>0.18728717424369598</v>
      </c>
      <c r="AF71" s="43">
        <f>'2022'!X5</f>
        <v>0.15919409810714158</v>
      </c>
      <c r="AG71" s="44">
        <f>'2022'!Y5</f>
        <v>21.663013698630138</v>
      </c>
      <c r="AH71" s="45">
        <f>'2022'!Z5</f>
        <v>106.25067873330771</v>
      </c>
      <c r="AI71" s="45">
        <f>'2022'!AA5</f>
        <v>29.0204475308642</v>
      </c>
      <c r="AJ71" s="45">
        <f>'2022'!AB5</f>
        <v>0.24043715846994534</v>
      </c>
      <c r="AK71" s="45">
        <f>'2022'!AC5</f>
        <v>10</v>
      </c>
      <c r="AL71" s="45">
        <f t="shared" si="15"/>
        <v>11.901960784313726</v>
      </c>
      <c r="AM71" s="45">
        <f t="shared" si="16"/>
        <v>0.19026548672566371</v>
      </c>
      <c r="AN71" s="45">
        <f>'2022'!AD5</f>
        <v>100</v>
      </c>
      <c r="AO71" s="45">
        <f>'2022'!AE5</f>
        <v>4.17</v>
      </c>
      <c r="AP71" s="46">
        <f>'2022'!AF5</f>
        <v>60.7</v>
      </c>
      <c r="AQ71" s="47">
        <f>'2022'!AG5</f>
        <v>6</v>
      </c>
      <c r="AR71" s="48">
        <f>'2022'!AH5</f>
        <v>10</v>
      </c>
      <c r="AS71" s="48">
        <f>'2022'!AI5</f>
        <v>2</v>
      </c>
      <c r="AT71" s="48">
        <f>IF(AH71&gt;113.25,10,IF(AH71&gt;=107.84,9,IF(AH71&gt;=105.37,8,IF(AH71&gt;=103.25,7,IF(AH71&gt;=100.55,6,IF(AH71&gt;=98.75,5,IF(AH71&gt;=96.08,4,IF(AH71&gt;=94.39,3,IF(AH71&gt;=88.43,2,IF(AH71&gt;=85.16,1,IF(AH71&lt;85.16,0,FALSE)))))))))))</f>
        <v>8</v>
      </c>
      <c r="AU71" s="48">
        <f>'2022'!AK5</f>
        <v>6</v>
      </c>
      <c r="AV71" s="48">
        <f>'2022'!AL5</f>
        <v>10</v>
      </c>
      <c r="AW71" s="48">
        <f>'2022'!AM5</f>
        <v>4</v>
      </c>
      <c r="AX71" s="48">
        <f>'2022'!AN5</f>
        <v>6</v>
      </c>
      <c r="AY71" s="49">
        <f>IF(U71=1,10,IF(U71=2,7,IF(U71=3,6,IF(U71=4,4,IF(U71=5,3,IF(U71=6,2,IF(U71=7,1,IF(U71=0,0,"-"))))))))</f>
        <v>6</v>
      </c>
      <c r="AZ71" s="50">
        <f>'2022'!AP5</f>
        <v>0</v>
      </c>
      <c r="BA71" s="56">
        <f>'2022'!AQ5</f>
        <v>0</v>
      </c>
      <c r="BB71" s="57">
        <f>'2022'!AR5</f>
        <v>2276</v>
      </c>
      <c r="BC71" s="57">
        <f>'2022'!AS5</f>
        <v>0</v>
      </c>
      <c r="BD71" s="57">
        <f>'2022'!AT5</f>
        <v>27</v>
      </c>
      <c r="BE71" s="57">
        <f>'2022'!AU5</f>
        <v>0</v>
      </c>
      <c r="BF71" s="57">
        <f>'2022'!AV5</f>
        <v>0</v>
      </c>
      <c r="BG71" s="58">
        <f>'2022'!AW5</f>
        <v>0</v>
      </c>
      <c r="BH71" s="58">
        <f>'2022'!AX5</f>
        <v>0</v>
      </c>
      <c r="BI71" s="58">
        <f>'2022'!AY5</f>
        <v>0</v>
      </c>
      <c r="BJ71" s="58">
        <f>'2022'!AZ5</f>
        <v>0</v>
      </c>
      <c r="BK71" s="57">
        <f>'2022'!BA5</f>
        <v>0</v>
      </c>
      <c r="BL71" s="57">
        <f>'2022'!BB5</f>
        <v>3324</v>
      </c>
      <c r="BM71" s="57">
        <f>'2022'!BC5</f>
        <v>0</v>
      </c>
      <c r="BN71" s="57">
        <f>'2022'!BD5</f>
        <v>0</v>
      </c>
      <c r="BO71" s="59">
        <f>'2022'!BE5</f>
        <v>21</v>
      </c>
      <c r="BP71" s="56">
        <f>'2022'!BF5</f>
        <v>0</v>
      </c>
      <c r="BQ71" s="57">
        <f>'2022'!BG5</f>
        <v>2392</v>
      </c>
      <c r="BR71" s="57">
        <f>'2022'!BH5</f>
        <v>0</v>
      </c>
      <c r="BS71" s="57">
        <f>'2022'!BI5</f>
        <v>26</v>
      </c>
      <c r="BT71" s="57">
        <f>'2022'!BJ5</f>
        <v>0</v>
      </c>
      <c r="BU71" s="57">
        <f>'2022'!BK5</f>
        <v>0</v>
      </c>
      <c r="BV71" s="58">
        <f>'2022'!BL5</f>
        <v>0</v>
      </c>
      <c r="BW71" s="58">
        <f>'2022'!BM5</f>
        <v>0</v>
      </c>
      <c r="BX71" s="58">
        <f>'2022'!BN5</f>
        <v>0</v>
      </c>
      <c r="BY71" s="58">
        <f>'2022'!BO5</f>
        <v>0</v>
      </c>
      <c r="BZ71" s="57">
        <f>'2022'!BP5</f>
        <v>0</v>
      </c>
      <c r="CA71" s="57">
        <f>'2022'!BQ5</f>
        <v>3025</v>
      </c>
      <c r="CB71" s="57">
        <f>'2022'!BR5</f>
        <v>0</v>
      </c>
      <c r="CC71" s="57">
        <f>'2022'!BS5</f>
        <v>0</v>
      </c>
      <c r="CD71" s="59">
        <f>'2022'!BT5</f>
        <v>20</v>
      </c>
      <c r="CE71" s="56">
        <f>'2022'!BU5</f>
        <v>0</v>
      </c>
      <c r="CF71" s="57">
        <f>'2022'!BV5</f>
        <v>1602</v>
      </c>
      <c r="CG71" s="57">
        <f>'2022'!BW5</f>
        <v>0</v>
      </c>
      <c r="CH71" s="57">
        <f>'2022'!BX5</f>
        <v>13</v>
      </c>
      <c r="CI71" s="57">
        <f>'2022'!BY5</f>
        <v>0</v>
      </c>
      <c r="CJ71" s="57">
        <f>'2022'!BZ5</f>
        <v>0</v>
      </c>
      <c r="CK71" s="58">
        <f>'2022'!CA5</f>
        <v>0</v>
      </c>
      <c r="CL71" s="58">
        <f>'2022'!CB5</f>
        <v>0</v>
      </c>
      <c r="CM71" s="58">
        <f>'2022'!CC5</f>
        <v>0</v>
      </c>
      <c r="CN71" s="58">
        <f>'2022'!CD5</f>
        <v>0</v>
      </c>
      <c r="CO71" s="57">
        <f>'2022'!CE5</f>
        <v>0</v>
      </c>
      <c r="CP71" s="57">
        <f>'2022'!CF5</f>
        <v>3235</v>
      </c>
      <c r="CQ71" s="57">
        <f>'2022'!CG5</f>
        <v>0</v>
      </c>
      <c r="CR71" s="57">
        <f>'2022'!CH5</f>
        <v>0</v>
      </c>
      <c r="CS71" s="59">
        <f>'2022'!CI5</f>
        <v>21</v>
      </c>
      <c r="CT71" s="56">
        <f>'2022'!CJ5</f>
        <v>420</v>
      </c>
      <c r="CU71" s="57">
        <f>'2022'!CK5</f>
        <v>1057</v>
      </c>
      <c r="CV71" s="57">
        <f>'2022'!CL5</f>
        <v>5</v>
      </c>
      <c r="CW71" s="57">
        <f>'2022'!CM5</f>
        <v>16</v>
      </c>
      <c r="CX71" s="57">
        <f>'2022'!CN5</f>
        <v>42</v>
      </c>
      <c r="CY71" s="57">
        <f>'2022'!CO5</f>
        <v>8</v>
      </c>
      <c r="CZ71" s="58">
        <f>'2022'!CP5</f>
        <v>10</v>
      </c>
      <c r="DA71" s="58">
        <f>'2022'!CQ5</f>
        <v>100</v>
      </c>
      <c r="DB71" s="58">
        <f>'2022'!CR5</f>
        <v>4.17</v>
      </c>
      <c r="DC71" s="58">
        <f>'2022'!CS5</f>
        <v>60.7</v>
      </c>
      <c r="DD71" s="57">
        <f>'2022'!CT5</f>
        <v>151</v>
      </c>
      <c r="DE71" s="57">
        <f>'2022'!CU5</f>
        <v>777</v>
      </c>
      <c r="DF71" s="57">
        <f>'2022'!CV5</f>
        <v>8</v>
      </c>
      <c r="DG71" s="57">
        <f>'2022'!CW5</f>
        <v>0</v>
      </c>
      <c r="DH71" s="59">
        <f>'2022'!CX5</f>
        <v>5</v>
      </c>
      <c r="DI71" s="56">
        <f>'2022'!CY5</f>
        <v>1000</v>
      </c>
      <c r="DJ71" s="57">
        <f>'2022'!CZ5</f>
        <v>2514</v>
      </c>
      <c r="DK71" s="57">
        <f>'2022'!DA5</f>
        <v>15</v>
      </c>
      <c r="DL71" s="57">
        <f>'2022'!DB5</f>
        <v>34</v>
      </c>
      <c r="DM71" s="57">
        <f>'2022'!DC5</f>
        <v>183</v>
      </c>
      <c r="DN71" s="57">
        <f>'2022'!DD5</f>
        <v>44</v>
      </c>
      <c r="DO71" s="58">
        <f>'2022'!DE5</f>
        <v>5.5</v>
      </c>
      <c r="DP71" s="58">
        <f>'2022'!DF5</f>
        <v>89.8</v>
      </c>
      <c r="DQ71" s="58">
        <f>'2022'!DG5</f>
        <v>3.38</v>
      </c>
      <c r="DR71" s="58">
        <f>'2022'!DH5</f>
        <v>31.2</v>
      </c>
      <c r="DS71" s="57">
        <f>'2022'!DI5</f>
        <v>456</v>
      </c>
      <c r="DT71" s="57">
        <f>'2022'!DJ5</f>
        <v>2530</v>
      </c>
      <c r="DU71" s="57">
        <f>'2022'!DK5</f>
        <v>43</v>
      </c>
      <c r="DV71" s="57">
        <f>'2022'!DL5</f>
        <v>0</v>
      </c>
      <c r="DW71" s="59">
        <f>'2022'!DM5</f>
        <v>12</v>
      </c>
    </row>
    <row r="72" spans="1:127" ht="15.75" customHeight="1" x14ac:dyDescent="0.2">
      <c r="A72" s="33">
        <f t="shared" si="12"/>
        <v>70</v>
      </c>
      <c r="B72" s="11">
        <f>'2025'!A13</f>
        <v>10</v>
      </c>
      <c r="C72" s="11">
        <v>2025</v>
      </c>
      <c r="D72" s="34" t="str">
        <f>'2025'!B13</f>
        <v>Jarquez Hunter</v>
      </c>
      <c r="E72" s="224" t="str" cm="1">
        <f t="array" ref="E72">_xlfn.IFS(F72&gt;=13,"Cornerstone",AND(F72&gt;=12,F72&lt;13),"Elite",AND(F72&gt;=11,F72&lt;12),"Elite Upside",AND(F72&gt;=9,F72&lt;11),"Upside",AND(F72&gt;=7,F72&lt;9),"Upside Lite",AND(F72&gt;=6,F72&lt;7),"Outlier",AND(F72&gt;=5,F72&lt;6),"Outlier Lite",F72&lt;5,"Purgatory")</f>
        <v>Upside</v>
      </c>
      <c r="F72" s="14">
        <f>'2025'!C13</f>
        <v>9.3833333333333329</v>
      </c>
      <c r="G72" s="14">
        <f t="shared" si="19"/>
        <v>78.2</v>
      </c>
      <c r="H72" s="35">
        <f t="shared" si="13"/>
        <v>0.58444116825544179</v>
      </c>
      <c r="I72" s="36" t="str">
        <f>'2025'!D13</f>
        <v>Auburn</v>
      </c>
      <c r="J72" s="37">
        <f>'2025'!E13</f>
        <v>1</v>
      </c>
      <c r="K72" s="38">
        <f>'2025'!F13</f>
        <v>37558</v>
      </c>
      <c r="L72" s="39">
        <f>'2025'!G13</f>
        <v>22.92876712328767</v>
      </c>
      <c r="M72" s="39" t="str">
        <f>'2025'!H13</f>
        <v>JR</v>
      </c>
      <c r="N72" s="39">
        <f>'2025'!I13</f>
        <v>22.509589041095889</v>
      </c>
      <c r="O72" s="39" t="str">
        <f t="shared" si="14"/>
        <v>DYNAMIC</v>
      </c>
      <c r="P72" s="39" t="str">
        <f t="shared" si="17"/>
        <v>3DOWN</v>
      </c>
      <c r="Q72" s="37">
        <f>'2025'!J13</f>
        <v>69</v>
      </c>
      <c r="R72" s="37">
        <f>'2025'!K13</f>
        <v>204</v>
      </c>
      <c r="S72" s="39">
        <f t="shared" si="18"/>
        <v>30.125200010954529</v>
      </c>
      <c r="T72" s="37">
        <f>'2025'!L13</f>
        <v>4.4400000000000004</v>
      </c>
      <c r="U72" s="40">
        <f>'2025'!M13</f>
        <v>4</v>
      </c>
      <c r="V72" s="41">
        <f>'2025'!N13</f>
        <v>0</v>
      </c>
      <c r="W72" s="42">
        <f>'2025'!O13</f>
        <v>0.12498805542283803</v>
      </c>
      <c r="X72" s="42">
        <f>'2025'!P13</f>
        <v>0.19133419133419133</v>
      </c>
      <c r="Y72" s="42">
        <f>'2025'!Q13</f>
        <v>0.24416287015945332</v>
      </c>
      <c r="Z72" s="42">
        <f>'2025'!R13</f>
        <v>0.26315789473684215</v>
      </c>
      <c r="AA72" s="42">
        <f>'2025'!S13</f>
        <v>0.26315789473684215</v>
      </c>
      <c r="AB72" s="42">
        <f>'2025'!T13</f>
        <v>0.26315789473684215</v>
      </c>
      <c r="AC72" s="42">
        <f>'2025'!U13</f>
        <v>6.0624743115495275E-2</v>
      </c>
      <c r="AD72" s="42">
        <f>'2025'!V13</f>
        <v>4.8945307565997229E-2</v>
      </c>
      <c r="AE72" s="42">
        <f>'2025'!W13</f>
        <v>5.4785025340746252E-2</v>
      </c>
      <c r="AF72" s="43">
        <f>'2025'!X13</f>
        <v>5.4785025340746252E-2</v>
      </c>
      <c r="AG72" s="44">
        <f>'2025'!Y13</f>
        <v>19.865753424657534</v>
      </c>
      <c r="AH72" s="45">
        <f>'2025'!Z13</f>
        <v>104.98524900435939</v>
      </c>
      <c r="AI72" s="45">
        <f>'2025'!AA13</f>
        <v>30.122243226212984</v>
      </c>
      <c r="AJ72" s="45">
        <f>'2025'!AB13</f>
        <v>0.38461538461538464</v>
      </c>
      <c r="AK72" s="45">
        <f>'2025'!AC13</f>
        <v>6.456989247311828</v>
      </c>
      <c r="AL72" s="45">
        <f t="shared" si="15"/>
        <v>8.2058823529411757</v>
      </c>
      <c r="AM72" s="45">
        <f t="shared" si="16"/>
        <v>0.10144927536231885</v>
      </c>
      <c r="AN72" s="45">
        <f>'2025'!AD13</f>
        <v>164.5</v>
      </c>
      <c r="AO72" s="45">
        <f>'2025'!AE13</f>
        <v>4.0999999999999996</v>
      </c>
      <c r="AP72" s="46">
        <f>'2025'!AF13</f>
        <v>48</v>
      </c>
      <c r="AQ72" s="47">
        <f>'2025'!AG13</f>
        <v>7</v>
      </c>
      <c r="AR72" s="48">
        <f>'2025'!AH13</f>
        <v>6</v>
      </c>
      <c r="AS72" s="48">
        <f>'2025'!AI13</f>
        <v>5</v>
      </c>
      <c r="AT72" s="48">
        <f>'2025'!AJ13</f>
        <v>7</v>
      </c>
      <c r="AU72" s="48">
        <f>'2025'!AK13</f>
        <v>10</v>
      </c>
      <c r="AV72" s="48">
        <f>'2025'!AL13</f>
        <v>6</v>
      </c>
      <c r="AW72" s="48">
        <f>'2025'!AM13</f>
        <v>8</v>
      </c>
      <c r="AX72" s="48">
        <f>'2025'!AN13</f>
        <v>5</v>
      </c>
      <c r="AY72" s="49">
        <f>'2025'!AO13</f>
        <v>4</v>
      </c>
      <c r="AZ72" s="50">
        <f>'2025'!AP13</f>
        <v>0</v>
      </c>
      <c r="BA72" s="56">
        <f>'2025'!AQ13</f>
        <v>0</v>
      </c>
      <c r="BB72" s="57">
        <f>'2025'!AR13</f>
        <v>1</v>
      </c>
      <c r="BC72" s="57">
        <f>'2025'!AS13</f>
        <v>0</v>
      </c>
      <c r="BD72" s="57">
        <f>'2025'!AT13</f>
        <v>0</v>
      </c>
      <c r="BE72" s="57">
        <f>'2025'!AU13</f>
        <v>0</v>
      </c>
      <c r="BF72" s="57">
        <f>'2025'!AV13</f>
        <v>0</v>
      </c>
      <c r="BG72" s="58">
        <f>'2025'!AW13</f>
        <v>0</v>
      </c>
      <c r="BH72" s="58">
        <f>'2025'!AX13</f>
        <v>0</v>
      </c>
      <c r="BI72" s="58">
        <f>'2025'!AY13</f>
        <v>0</v>
      </c>
      <c r="BJ72" s="58">
        <f>'2025'!AZ13</f>
        <v>0</v>
      </c>
      <c r="BK72" s="57">
        <f>'2025'!BA13</f>
        <v>0</v>
      </c>
      <c r="BL72" s="57">
        <f>'2025'!BB13</f>
        <v>1</v>
      </c>
      <c r="BM72" s="57">
        <f>'2025'!BC13</f>
        <v>0</v>
      </c>
      <c r="BN72" s="57">
        <f>'2025'!BD13</f>
        <v>0</v>
      </c>
      <c r="BO72" s="59">
        <f>'2025'!BE13</f>
        <v>0</v>
      </c>
      <c r="BP72" s="56">
        <f>'2025'!BF13</f>
        <v>593</v>
      </c>
      <c r="BQ72" s="57">
        <f>'2025'!BG13</f>
        <v>2111.2000000000003</v>
      </c>
      <c r="BR72" s="57">
        <f>'2025'!BH13</f>
        <v>3</v>
      </c>
      <c r="BS72" s="57">
        <f>'2025'!BI13</f>
        <v>22.099999999999998</v>
      </c>
      <c r="BT72" s="57">
        <f>'2025'!BJ13</f>
        <v>89</v>
      </c>
      <c r="BU72" s="57">
        <f>'2025'!BK13</f>
        <v>27</v>
      </c>
      <c r="BV72" s="58">
        <f>'2025'!BL13</f>
        <v>6.6629213483146064</v>
      </c>
      <c r="BW72" s="58">
        <f>'2025'!BM13</f>
        <v>104.5</v>
      </c>
      <c r="BX72" s="58">
        <f>'2025'!BN13</f>
        <v>3.64</v>
      </c>
      <c r="BY72" s="58">
        <f>'2025'!BO13</f>
        <v>48.7</v>
      </c>
      <c r="BZ72" s="57">
        <f>'2025'!BP13</f>
        <v>61</v>
      </c>
      <c r="CA72" s="57">
        <f>'2025'!BQ13</f>
        <v>3121.2999999999997</v>
      </c>
      <c r="CB72" s="57">
        <f>'2025'!BR13</f>
        <v>12</v>
      </c>
      <c r="CC72" s="57">
        <f>'2025'!BS13</f>
        <v>1</v>
      </c>
      <c r="CD72" s="59">
        <f>'2025'!BT13</f>
        <v>16.900000000000002</v>
      </c>
      <c r="CE72" s="56">
        <f>'2025'!BU13</f>
        <v>668</v>
      </c>
      <c r="CF72" s="57">
        <f>'2025'!BV13</f>
        <v>2589.6000000000004</v>
      </c>
      <c r="CG72" s="57">
        <f>'2025'!BW13</f>
        <v>7</v>
      </c>
      <c r="CH72" s="57">
        <f>'2025'!BX13</f>
        <v>25.200000000000003</v>
      </c>
      <c r="CI72" s="57">
        <f>'2025'!BY13</f>
        <v>104</v>
      </c>
      <c r="CJ72" s="57">
        <f>'2025'!BZ13</f>
        <v>40</v>
      </c>
      <c r="CK72" s="58">
        <f>'2025'!CA13</f>
        <v>6.4230769230769234</v>
      </c>
      <c r="CL72" s="58">
        <f>'2025'!CB13</f>
        <v>164.5</v>
      </c>
      <c r="CM72" s="58">
        <f>'2025'!CC13</f>
        <v>3.83</v>
      </c>
      <c r="CN72" s="58">
        <f>'2025'!CD13</f>
        <v>47.5</v>
      </c>
      <c r="CO72" s="57">
        <f>'2025'!CE13</f>
        <v>224</v>
      </c>
      <c r="CP72" s="57">
        <f>'2025'!CF13</f>
        <v>2072.3999999999996</v>
      </c>
      <c r="CQ72" s="57">
        <f>'2025'!CG13</f>
        <v>17</v>
      </c>
      <c r="CR72" s="57">
        <f>'2025'!CH13</f>
        <v>2</v>
      </c>
      <c r="CS72" s="59">
        <f>'2025'!CI13</f>
        <v>9.6000000000000014</v>
      </c>
      <c r="CT72" s="56">
        <f>'2025'!CJ13</f>
        <v>911</v>
      </c>
      <c r="CU72" s="57">
        <f>'2025'!CK13</f>
        <v>2268</v>
      </c>
      <c r="CV72" s="57">
        <f>'2025'!CL13</f>
        <v>7</v>
      </c>
      <c r="CW72" s="57">
        <f>'2025'!CM13</f>
        <v>20.399999999999999</v>
      </c>
      <c r="CX72" s="57">
        <f>'2025'!CN13</f>
        <v>160</v>
      </c>
      <c r="CY72" s="57">
        <f>'2025'!CO13</f>
        <v>39</v>
      </c>
      <c r="CZ72" s="58">
        <f>'2025'!CP13</f>
        <v>5.6937499999999996</v>
      </c>
      <c r="DA72" s="58">
        <f>'2025'!CQ13</f>
        <v>98.7</v>
      </c>
      <c r="DB72" s="58">
        <f>'2025'!CR13</f>
        <v>3.99</v>
      </c>
      <c r="DC72" s="58">
        <f>'2025'!CS13</f>
        <v>44.9</v>
      </c>
      <c r="DD72" s="57">
        <f>'2025'!CT13</f>
        <v>118</v>
      </c>
      <c r="DE72" s="57">
        <f>'2025'!CU13</f>
        <v>1946.3999999999999</v>
      </c>
      <c r="DF72" s="57">
        <f>'2025'!CV13</f>
        <v>18</v>
      </c>
      <c r="DG72" s="57">
        <f>'2025'!CW13</f>
        <v>0</v>
      </c>
      <c r="DH72" s="59">
        <f>'2025'!CX13</f>
        <v>16.799999999999997</v>
      </c>
      <c r="DI72" s="56">
        <f>'2025'!CY13</f>
        <v>1201</v>
      </c>
      <c r="DJ72" s="57">
        <f>'2025'!CZ13</f>
        <v>1986</v>
      </c>
      <c r="DK72" s="57">
        <f>'2025'!DA13</f>
        <v>8</v>
      </c>
      <c r="DL72" s="57">
        <f>'2025'!DB13</f>
        <v>13.200000000000001</v>
      </c>
      <c r="DM72" s="57">
        <f>'2025'!DC13</f>
        <v>186</v>
      </c>
      <c r="DN72" s="57">
        <f>'2025'!DD13</f>
        <v>58</v>
      </c>
      <c r="DO72" s="58">
        <f>'2025'!DE13</f>
        <v>6.456989247311828</v>
      </c>
      <c r="DP72" s="58">
        <f>'2025'!DF13</f>
        <v>140.5</v>
      </c>
      <c r="DQ72" s="58">
        <f>'2025'!DG13</f>
        <v>4.0999999999999996</v>
      </c>
      <c r="DR72" s="58">
        <f>'2025'!DH13</f>
        <v>48</v>
      </c>
      <c r="DS72" s="57">
        <f>'2025'!DI13</f>
        <v>155</v>
      </c>
      <c r="DT72" s="57">
        <f>'2025'!DJ13</f>
        <v>3166.7999999999997</v>
      </c>
      <c r="DU72" s="57">
        <f>'2025'!DK13</f>
        <v>21</v>
      </c>
      <c r="DV72" s="57">
        <f>'2025'!DL13</f>
        <v>1</v>
      </c>
      <c r="DW72" s="59">
        <f>'2025'!DM13</f>
        <v>27.599999999999998</v>
      </c>
    </row>
    <row r="73" spans="1:127" ht="15.75" customHeight="1" x14ac:dyDescent="0.2">
      <c r="A73" s="33">
        <f t="shared" si="12"/>
        <v>70</v>
      </c>
      <c r="B73" s="11">
        <f>'2025'!A12</f>
        <v>10</v>
      </c>
      <c r="C73" s="11">
        <v>2025</v>
      </c>
      <c r="D73" s="34" t="str">
        <f>'2025'!B12</f>
        <v>DJ Giddens</v>
      </c>
      <c r="E73" s="224" t="str" cm="1">
        <f t="array" ref="E73">_xlfn.IFS(F73&gt;=13,"Cornerstone",AND(F73&gt;=12,F73&lt;13),"Elite",AND(F73&gt;=11,F73&lt;12),"Elite Upside",AND(F73&gt;=9,F73&lt;11),"Upside",AND(F73&gt;=7,F73&lt;9),"Upside Lite",AND(F73&gt;=6,F73&lt;7),"Outlier",AND(F73&gt;=5,F73&lt;6),"Outlier Lite",F73&lt;5,"Purgatory")</f>
        <v>Upside</v>
      </c>
      <c r="F73" s="14">
        <f>'2025'!C12</f>
        <v>9.3833333333333329</v>
      </c>
      <c r="G73" s="14">
        <f t="shared" si="19"/>
        <v>78.2</v>
      </c>
      <c r="H73" s="35">
        <f t="shared" si="13"/>
        <v>0.58444116825544179</v>
      </c>
      <c r="I73" s="36" t="str">
        <f>'2025'!D12</f>
        <v>Kansas State</v>
      </c>
      <c r="J73" s="37">
        <f>'2025'!E12</f>
        <v>3</v>
      </c>
      <c r="K73" s="38">
        <f>'2025'!F12</f>
        <v>37859</v>
      </c>
      <c r="L73" s="39">
        <f>'2025'!G12</f>
        <v>22.104109589041094</v>
      </c>
      <c r="M73" s="39" t="str">
        <f>'2025'!H12</f>
        <v>JR</v>
      </c>
      <c r="N73" s="39">
        <f>'2025'!I12</f>
        <v>21.684931506849313</v>
      </c>
      <c r="O73" s="39" t="str">
        <f t="shared" si="14"/>
        <v>DYNAMIC</v>
      </c>
      <c r="P73" s="39" t="str">
        <f t="shared" si="17"/>
        <v>3DOWN</v>
      </c>
      <c r="Q73" s="37">
        <f>'2025'!J12</f>
        <v>72</v>
      </c>
      <c r="R73" s="37">
        <f>'2025'!K12</f>
        <v>212</v>
      </c>
      <c r="S73" s="39">
        <f t="shared" si="18"/>
        <v>28.752050405335378</v>
      </c>
      <c r="T73" s="37">
        <f>'2025'!L12</f>
        <v>4.43</v>
      </c>
      <c r="U73" s="40">
        <f>'2025'!M12</f>
        <v>5</v>
      </c>
      <c r="V73" s="41">
        <f>'2025'!N12</f>
        <v>0</v>
      </c>
      <c r="W73" s="42">
        <f>'2025'!O12</f>
        <v>0</v>
      </c>
      <c r="X73" s="42">
        <f>'2025'!P12</f>
        <v>0.10523263746759448</v>
      </c>
      <c r="Y73" s="42">
        <f>'2025'!Q12</f>
        <v>0.26809929347544442</v>
      </c>
      <c r="Z73" s="42">
        <f>'2025'!R12</f>
        <v>0.31252440071835713</v>
      </c>
      <c r="AA73" s="42">
        <f>'2025'!S12</f>
        <v>0.31252440071835713</v>
      </c>
      <c r="AB73" s="42">
        <f>'2025'!T12</f>
        <v>0.28127196064652144</v>
      </c>
      <c r="AC73" s="42">
        <f>'2025'!U12</f>
        <v>0.10396734277331293</v>
      </c>
      <c r="AD73" s="42">
        <f>'2025'!V12</f>
        <v>0.10170293282876064</v>
      </c>
      <c r="AE73" s="42">
        <f>'2025'!W12</f>
        <v>0.10283513780103679</v>
      </c>
      <c r="AF73" s="43">
        <f>'2025'!X12</f>
        <v>9.2551624020933115E-2</v>
      </c>
      <c r="AG73" s="44">
        <f>'2025'!Y12</f>
        <v>20.038356164383561</v>
      </c>
      <c r="AH73" s="45">
        <f>'2025'!Z12</f>
        <v>110.09078075109204</v>
      </c>
      <c r="AI73" s="45">
        <f>'2025'!AA12</f>
        <v>28.749228395061728</v>
      </c>
      <c r="AJ73" s="45">
        <f>'2025'!AB12</f>
        <v>0.3094170403587444</v>
      </c>
      <c r="AK73" s="45">
        <f>'2025'!AC12</f>
        <v>6.5194174757281553</v>
      </c>
      <c r="AL73" s="45">
        <f t="shared" si="15"/>
        <v>11.758620689655173</v>
      </c>
      <c r="AM73" s="45">
        <f t="shared" si="16"/>
        <v>8.8495575221238937E-2</v>
      </c>
      <c r="AN73" s="45">
        <f>'2025'!AD12</f>
        <v>114.1</v>
      </c>
      <c r="AO73" s="45">
        <f>'2025'!AE12</f>
        <v>4.16</v>
      </c>
      <c r="AP73" s="46">
        <f>'2025'!AF12</f>
        <v>54.9</v>
      </c>
      <c r="AQ73" s="47">
        <f>'2025'!AG12</f>
        <v>8</v>
      </c>
      <c r="AR73" s="48">
        <f>'2025'!AH12</f>
        <v>9</v>
      </c>
      <c r="AS73" s="48">
        <f>'2025'!AI12</f>
        <v>4</v>
      </c>
      <c r="AT73" s="48">
        <f>'2025'!AJ12</f>
        <v>9</v>
      </c>
      <c r="AU73" s="48">
        <f>'2025'!AK12</f>
        <v>8</v>
      </c>
      <c r="AV73" s="48">
        <f>'2025'!AL12</f>
        <v>6</v>
      </c>
      <c r="AW73" s="48">
        <f>'2025'!AM12</f>
        <v>5</v>
      </c>
      <c r="AX73" s="48">
        <f>'2025'!AN12</f>
        <v>5</v>
      </c>
      <c r="AY73" s="49">
        <f>'2025'!AO12</f>
        <v>3</v>
      </c>
      <c r="AZ73" s="50">
        <f>'2025'!AP12</f>
        <v>0.25</v>
      </c>
      <c r="BA73" s="56">
        <f>'2025'!AQ12</f>
        <v>0</v>
      </c>
      <c r="BB73" s="57">
        <f>'2025'!AR12</f>
        <v>1</v>
      </c>
      <c r="BC73" s="57">
        <f>'2025'!AS12</f>
        <v>0</v>
      </c>
      <c r="BD73" s="57">
        <f>'2025'!AT12</f>
        <v>0</v>
      </c>
      <c r="BE73" s="57">
        <f>'2025'!AU12</f>
        <v>0</v>
      </c>
      <c r="BF73" s="57">
        <f>'2025'!AV12</f>
        <v>0</v>
      </c>
      <c r="BG73" s="58">
        <f>'2025'!AW12</f>
        <v>0</v>
      </c>
      <c r="BH73" s="58">
        <f>'2025'!AX12</f>
        <v>0</v>
      </c>
      <c r="BI73" s="58">
        <f>'2025'!AY12</f>
        <v>0</v>
      </c>
      <c r="BJ73" s="58">
        <f>'2025'!AZ12</f>
        <v>0</v>
      </c>
      <c r="BK73" s="57">
        <f>'2025'!BA12</f>
        <v>0</v>
      </c>
      <c r="BL73" s="57">
        <f>'2025'!BB12</f>
        <v>1</v>
      </c>
      <c r="BM73" s="57">
        <f>'2025'!BC12</f>
        <v>0</v>
      </c>
      <c r="BN73" s="57">
        <f>'2025'!BD12</f>
        <v>0</v>
      </c>
      <c r="BO73" s="59">
        <f>'2025'!BE12</f>
        <v>0</v>
      </c>
      <c r="BP73" s="56">
        <f>'2025'!BF12</f>
        <v>0</v>
      </c>
      <c r="BQ73" s="57">
        <f>'2025'!BG12</f>
        <v>1</v>
      </c>
      <c r="BR73" s="57">
        <f>'2025'!BH12</f>
        <v>0</v>
      </c>
      <c r="BS73" s="57">
        <f>'2025'!BI12</f>
        <v>0</v>
      </c>
      <c r="BT73" s="57">
        <f>'2025'!BJ12</f>
        <v>0</v>
      </c>
      <c r="BU73" s="57">
        <f>'2025'!BK12</f>
        <v>0</v>
      </c>
      <c r="BV73" s="58">
        <f>'2025'!BL12</f>
        <v>0</v>
      </c>
      <c r="BW73" s="58">
        <f>'2025'!BM12</f>
        <v>0</v>
      </c>
      <c r="BX73" s="58">
        <f>'2025'!BN12</f>
        <v>0</v>
      </c>
      <c r="BY73" s="58">
        <f>'2025'!BO12</f>
        <v>0</v>
      </c>
      <c r="BZ73" s="57">
        <f>'2025'!BP12</f>
        <v>0</v>
      </c>
      <c r="CA73" s="57">
        <f>'2025'!BQ12</f>
        <v>1</v>
      </c>
      <c r="CB73" s="57">
        <f>'2025'!BR12</f>
        <v>0</v>
      </c>
      <c r="CC73" s="57">
        <f>'2025'!BS12</f>
        <v>0</v>
      </c>
      <c r="CD73" s="59">
        <f>'2025'!BT12</f>
        <v>0</v>
      </c>
      <c r="CE73" s="56">
        <f>'2025'!BU12</f>
        <v>519</v>
      </c>
      <c r="CF73" s="57">
        <f>'2025'!BV12</f>
        <v>2916.2000000000003</v>
      </c>
      <c r="CG73" s="57">
        <f>'2025'!BW12</f>
        <v>6</v>
      </c>
      <c r="CH73" s="57">
        <f>'2025'!BX12</f>
        <v>32.199999999999996</v>
      </c>
      <c r="CI73" s="57">
        <f>'2025'!BY12</f>
        <v>89</v>
      </c>
      <c r="CJ73" s="57">
        <f>'2025'!BZ12</f>
        <v>24</v>
      </c>
      <c r="CK73" s="58">
        <f>'2025'!CA12</f>
        <v>5.8314606741573032</v>
      </c>
      <c r="CL73" s="58">
        <f>'2025'!CB12</f>
        <v>95.9</v>
      </c>
      <c r="CM73" s="58">
        <f>'2025'!CC12</f>
        <v>3.88</v>
      </c>
      <c r="CN73" s="58">
        <f>'2025'!CD12</f>
        <v>30.3</v>
      </c>
      <c r="CO73" s="57">
        <f>'2025'!CE12</f>
        <v>98</v>
      </c>
      <c r="CP73" s="57">
        <f>'2025'!CF12</f>
        <v>2947</v>
      </c>
      <c r="CQ73" s="57">
        <f>'2025'!CG12</f>
        <v>8</v>
      </c>
      <c r="CR73" s="57">
        <f>'2025'!CH12</f>
        <v>0</v>
      </c>
      <c r="CS73" s="59">
        <f>'2025'!CI12</f>
        <v>21</v>
      </c>
      <c r="CT73" s="56">
        <f>'2025'!CJ12</f>
        <v>1226</v>
      </c>
      <c r="CU73" s="57">
        <f>'2025'!CK12</f>
        <v>2653.2999999999997</v>
      </c>
      <c r="CV73" s="57">
        <f>'2025'!CL12</f>
        <v>10</v>
      </c>
      <c r="CW73" s="57">
        <f>'2025'!CM12</f>
        <v>32.5</v>
      </c>
      <c r="CX73" s="57">
        <f>'2025'!CN12</f>
        <v>223</v>
      </c>
      <c r="CY73" s="57">
        <f>'2025'!CO12</f>
        <v>69</v>
      </c>
      <c r="CZ73" s="58">
        <f>'2025'!CP12</f>
        <v>5.4977578475336326</v>
      </c>
      <c r="DA73" s="58">
        <f>'2025'!CQ12</f>
        <v>96.6</v>
      </c>
      <c r="DB73" s="58">
        <f>'2025'!CR12</f>
        <v>3.26</v>
      </c>
      <c r="DC73" s="58">
        <f>'2025'!CS12</f>
        <v>29.5</v>
      </c>
      <c r="DD73" s="57">
        <f>'2025'!CT12</f>
        <v>326</v>
      </c>
      <c r="DE73" s="57">
        <f>'2025'!CU12</f>
        <v>3135.6</v>
      </c>
      <c r="DF73" s="57">
        <f>'2025'!CV12</f>
        <v>30</v>
      </c>
      <c r="DG73" s="57">
        <f>'2025'!CW12</f>
        <v>3</v>
      </c>
      <c r="DH73" s="59">
        <f>'2025'!CX12</f>
        <v>29.9</v>
      </c>
      <c r="DI73" s="56">
        <f>'2025'!CY12</f>
        <v>1343</v>
      </c>
      <c r="DJ73" s="57">
        <f>'2025'!CZ12</f>
        <v>2586</v>
      </c>
      <c r="DK73" s="57">
        <f>'2025'!DA12</f>
        <v>7</v>
      </c>
      <c r="DL73" s="57">
        <f>'2025'!DB12</f>
        <v>18</v>
      </c>
      <c r="DM73" s="57">
        <f>'2025'!DC12</f>
        <v>206</v>
      </c>
      <c r="DN73" s="57">
        <f>'2025'!DD12</f>
        <v>54</v>
      </c>
      <c r="DO73" s="58">
        <f>'2025'!DE12</f>
        <v>6.5194174757281553</v>
      </c>
      <c r="DP73" s="58">
        <f>'2025'!DF12</f>
        <v>114.1</v>
      </c>
      <c r="DQ73" s="58">
        <f>'2025'!DG12</f>
        <v>4.16</v>
      </c>
      <c r="DR73" s="58">
        <f>'2025'!DH12</f>
        <v>54.9</v>
      </c>
      <c r="DS73" s="57">
        <f>'2025'!DI12</f>
        <v>258</v>
      </c>
      <c r="DT73" s="57">
        <f>'2025'!DJ12</f>
        <v>2536.8000000000002</v>
      </c>
      <c r="DU73" s="57">
        <f>'2025'!DK12</f>
        <v>20</v>
      </c>
      <c r="DV73" s="57">
        <f>'2025'!DL12</f>
        <v>1</v>
      </c>
      <c r="DW73" s="59">
        <f>'2025'!DM12</f>
        <v>21.6</v>
      </c>
    </row>
    <row r="74" spans="1:127" ht="15.75" customHeight="1" x14ac:dyDescent="0.2">
      <c r="A74" s="33">
        <f t="shared" si="12"/>
        <v>72</v>
      </c>
      <c r="B74" s="11">
        <f>'2020'!A11</f>
        <v>9</v>
      </c>
      <c r="C74" s="11">
        <v>2020</v>
      </c>
      <c r="D74" s="34" t="str">
        <f>'2020'!B11</f>
        <v>Zack Moss</v>
      </c>
      <c r="E74" s="224" t="str" cm="1">
        <f t="array" ref="E74">_xlfn.IFS(F74&gt;=13,"Cornerstone",AND(F74&gt;=12,F74&lt;13),"Elite",AND(F74&gt;=11,F74&lt;12),"Elite Upside",AND(F74&gt;=9,F74&lt;11),"Upside",AND(F74&gt;=7,F74&lt;9),"Upside Lite",AND(F74&gt;=6,F74&lt;7),"Outlier",AND(F74&gt;=5,F74&lt;6),"Outlier Lite",F74&lt;5,"Purgatory")</f>
        <v>Upside</v>
      </c>
      <c r="F74" s="14">
        <f>'2020'!C11</f>
        <v>9.3777777777777782</v>
      </c>
      <c r="G74" s="14">
        <f t="shared" si="19"/>
        <v>77.900000000000006</v>
      </c>
      <c r="H74" s="35">
        <f t="shared" si="13"/>
        <v>0.58208991789855535</v>
      </c>
      <c r="I74" s="36" t="str">
        <f>'2020'!D11</f>
        <v>Utah</v>
      </c>
      <c r="J74" s="37">
        <f>'2020'!E11</f>
        <v>5</v>
      </c>
      <c r="K74" s="38">
        <f>'2020'!F11</f>
        <v>35779</v>
      </c>
      <c r="L74" s="39">
        <f>'2020'!G11</f>
        <v>27.802739726027397</v>
      </c>
      <c r="M74" s="39" t="str">
        <f>'2020'!H11</f>
        <v>SR</v>
      </c>
      <c r="N74" s="39">
        <f>'2020'!I11</f>
        <v>22.36986301369863</v>
      </c>
      <c r="O74" s="39" t="str">
        <f t="shared" si="14"/>
        <v>BELL CALF</v>
      </c>
      <c r="P74" s="39" t="str">
        <f t="shared" si="17"/>
        <v>3DOWN</v>
      </c>
      <c r="Q74" s="37">
        <f>'2020'!J11</f>
        <v>69</v>
      </c>
      <c r="R74" s="37">
        <f>'2020'!K11</f>
        <v>206</v>
      </c>
      <c r="S74" s="39">
        <f t="shared" si="18"/>
        <v>30.420545109101145</v>
      </c>
      <c r="T74" s="37">
        <f>'2020'!L11</f>
        <v>4.6500000000000004</v>
      </c>
      <c r="U74" s="40">
        <f>'2020'!M11</f>
        <v>3</v>
      </c>
      <c r="V74" s="41">
        <f>'2020'!N11</f>
        <v>0</v>
      </c>
      <c r="W74" s="42">
        <f>'2020'!O11</f>
        <v>6.8583675656367207E-2</v>
      </c>
      <c r="X74" s="42">
        <f>'2020'!P11</f>
        <v>0.26125790844808339</v>
      </c>
      <c r="Y74" s="42">
        <f>'2020'!Q11</f>
        <v>0.20591950911387835</v>
      </c>
      <c r="Z74" s="42">
        <f>'2020'!R11</f>
        <v>0.29953379953379955</v>
      </c>
      <c r="AA74" s="42">
        <f>'2020'!S11</f>
        <v>0.29953379953379955</v>
      </c>
      <c r="AB74" s="42">
        <f>'2020'!T11</f>
        <v>0.25460372960372962</v>
      </c>
      <c r="AC74" s="42">
        <f>'2020'!U11</f>
        <v>1.6550810989738499E-2</v>
      </c>
      <c r="AD74" s="42">
        <f>'2020'!V11</f>
        <v>0.12143081267649827</v>
      </c>
      <c r="AE74" s="42">
        <f>'2020'!W11</f>
        <v>0.12143081267649827</v>
      </c>
      <c r="AF74" s="43">
        <f>'2020'!X11</f>
        <v>0.10321619077502353</v>
      </c>
      <c r="AG74" s="44">
        <f>'2020'!Y11</f>
        <v>19.726027397260275</v>
      </c>
      <c r="AH74" s="45">
        <f>'2020'!Z11</f>
        <v>88.12221492460128</v>
      </c>
      <c r="AI74" s="45">
        <f>'2020'!AA11</f>
        <v>30.417559336273889</v>
      </c>
      <c r="AJ74" s="45">
        <f>'2020'!AB11</f>
        <v>0.38034188034188032</v>
      </c>
      <c r="AK74" s="45">
        <f>'2020'!AC11</f>
        <v>6.1</v>
      </c>
      <c r="AL74" s="45">
        <f t="shared" si="15"/>
        <v>10.523076923076923</v>
      </c>
      <c r="AM74" s="45">
        <f t="shared" si="16"/>
        <v>0.10687022900763359</v>
      </c>
      <c r="AN74" s="45">
        <f>'2020'!AD11</f>
        <v>176.8</v>
      </c>
      <c r="AO74" s="45">
        <f>'2020'!AE11</f>
        <v>4.45</v>
      </c>
      <c r="AP74" s="46">
        <f>'2020'!AF11</f>
        <v>44.5</v>
      </c>
      <c r="AQ74" s="47">
        <f>'2020'!AG11</f>
        <v>6</v>
      </c>
      <c r="AR74" s="48">
        <f>'2020'!AH11</f>
        <v>9</v>
      </c>
      <c r="AS74" s="48">
        <f>'2020'!AI11</f>
        <v>6</v>
      </c>
      <c r="AT74" s="48">
        <f t="shared" ref="AT74:AT79" si="20">IF(AH74&gt;113.25,10,IF(AH74&gt;=107.84,9,IF(AH74&gt;=105.37,8,IF(AH74&gt;=103.25,7,IF(AH74&gt;=100.55,6,IF(AH74&gt;=98.75,5,IF(AH74&gt;=96.08,4,IF(AH74&gt;=94.39,3,IF(AH74&gt;=88.43,2,IF(AH74&gt;=85.16,1,IF(AH74&lt;85.16,0,FALSE)))))))))))</f>
        <v>1</v>
      </c>
      <c r="AU74" s="48">
        <f>'2020'!AK11</f>
        <v>10</v>
      </c>
      <c r="AV74" s="48">
        <f>'2020'!AL11</f>
        <v>5</v>
      </c>
      <c r="AW74" s="48">
        <f>'2020'!AM11</f>
        <v>8</v>
      </c>
      <c r="AX74" s="48">
        <f>'2020'!AN11</f>
        <v>6</v>
      </c>
      <c r="AY74" s="49">
        <f>IF(U74=1,10,IF(U74=2,7,IF(U74=3,6,IF(U74=4,4,IF(U74=5,3,IF(U74=6,2,IF(U74=7,1,IF(U74=0,0,"-"))))))))</f>
        <v>6</v>
      </c>
      <c r="AZ74" s="50">
        <f>'2020'!AP11</f>
        <v>0</v>
      </c>
      <c r="BA74" s="56">
        <f>'2020'!AQ11</f>
        <v>0</v>
      </c>
      <c r="BB74" s="57">
        <f>'2020'!AR11</f>
        <v>2379</v>
      </c>
      <c r="BC74" s="57">
        <f>'2020'!AS11</f>
        <v>0</v>
      </c>
      <c r="BD74" s="57">
        <f>'2020'!AT11</f>
        <v>24</v>
      </c>
      <c r="BE74" s="57">
        <f>'2020'!AU11</f>
        <v>0</v>
      </c>
      <c r="BF74" s="57">
        <f>'2020'!AV11</f>
        <v>0</v>
      </c>
      <c r="BG74" s="58">
        <f>'2020'!AW11</f>
        <v>0</v>
      </c>
      <c r="BH74" s="58">
        <f>'2020'!AX11</f>
        <v>0</v>
      </c>
      <c r="BI74" s="58">
        <f>'2020'!AY11</f>
        <v>0</v>
      </c>
      <c r="BJ74" s="58">
        <f>'2020'!AZ11</f>
        <v>0</v>
      </c>
      <c r="BK74" s="57">
        <f>'2020'!BA11</f>
        <v>0</v>
      </c>
      <c r="BL74" s="57">
        <f>'2020'!BB11</f>
        <v>2340</v>
      </c>
      <c r="BM74" s="57">
        <f>'2020'!BC11</f>
        <v>0</v>
      </c>
      <c r="BN74" s="57">
        <f>'2020'!BD11</f>
        <v>0</v>
      </c>
      <c r="BO74" s="59">
        <f>'2020'!BE11</f>
        <v>15</v>
      </c>
      <c r="BP74" s="56">
        <f>'2020'!BF11</f>
        <v>380</v>
      </c>
      <c r="BQ74" s="57">
        <f>'2020'!BG11</f>
        <v>2782</v>
      </c>
      <c r="BR74" s="57">
        <f>'2020'!BH11</f>
        <v>2</v>
      </c>
      <c r="BS74" s="57">
        <f>'2020'!BI11</f>
        <v>26</v>
      </c>
      <c r="BT74" s="57">
        <f>'2020'!BJ11</f>
        <v>84</v>
      </c>
      <c r="BU74" s="57">
        <f>'2020'!BK11</f>
        <v>8</v>
      </c>
      <c r="BV74" s="58">
        <f>'2020'!BL11</f>
        <v>4.5</v>
      </c>
      <c r="BW74" s="58">
        <f>'2020'!BM11</f>
        <v>28.2</v>
      </c>
      <c r="BX74" s="58">
        <f>'2020'!BN11</f>
        <v>3</v>
      </c>
      <c r="BY74" s="58">
        <f>'2020'!BO11</f>
        <v>26.6</v>
      </c>
      <c r="BZ74" s="57">
        <f>'2020'!BP11</f>
        <v>4</v>
      </c>
      <c r="CA74" s="57">
        <f>'2020'!BQ11</f>
        <v>2817</v>
      </c>
      <c r="CB74" s="57">
        <f>'2020'!BR11</f>
        <v>1</v>
      </c>
      <c r="CC74" s="57">
        <f>'2020'!BS11</f>
        <v>0</v>
      </c>
      <c r="CD74" s="59">
        <f>'2020'!BT11</f>
        <v>15</v>
      </c>
      <c r="CE74" s="56">
        <f>'2020'!BU11</f>
        <v>1161</v>
      </c>
      <c r="CF74" s="57">
        <f>'2020'!BV11</f>
        <v>2132</v>
      </c>
      <c r="CG74" s="57">
        <f>'2020'!BW11</f>
        <v>10</v>
      </c>
      <c r="CH74" s="57">
        <f>'2020'!BX11</f>
        <v>22</v>
      </c>
      <c r="CI74" s="57">
        <f>'2020'!BY11</f>
        <v>213</v>
      </c>
      <c r="CJ74" s="57">
        <f>'2020'!BZ11</f>
        <v>64</v>
      </c>
      <c r="CK74" s="58">
        <f>'2020'!CA11</f>
        <v>5.5</v>
      </c>
      <c r="CL74" s="58">
        <f>'2020'!CB11</f>
        <v>109.6</v>
      </c>
      <c r="CM74" s="58">
        <f>'2020'!CC11</f>
        <v>3.54</v>
      </c>
      <c r="CN74" s="58">
        <f>'2020'!CD11</f>
        <v>36.200000000000003</v>
      </c>
      <c r="CO74" s="57">
        <f>'2020'!CE11</f>
        <v>243</v>
      </c>
      <c r="CP74" s="57">
        <f>'2020'!CF11</f>
        <v>3242</v>
      </c>
      <c r="CQ74" s="57">
        <f>'2020'!CG11</f>
        <v>29</v>
      </c>
      <c r="CR74" s="57">
        <f>'2020'!CH11</f>
        <v>0</v>
      </c>
      <c r="CS74" s="59">
        <f>'2020'!CI11</f>
        <v>18</v>
      </c>
      <c r="CT74" s="56">
        <f>'2020'!CJ11</f>
        <v>1091</v>
      </c>
      <c r="CU74" s="57">
        <f>'2020'!CK11</f>
        <v>2520</v>
      </c>
      <c r="CV74" s="57">
        <f>'2020'!CL11</f>
        <v>11</v>
      </c>
      <c r="CW74" s="57">
        <f>'2020'!CM11</f>
        <v>23</v>
      </c>
      <c r="CX74" s="57">
        <f>'2020'!CN11</f>
        <v>179</v>
      </c>
      <c r="CY74" s="57">
        <f>'2020'!CO11</f>
        <v>53</v>
      </c>
      <c r="CZ74" s="58">
        <f>'2020'!CP11</f>
        <v>6.1</v>
      </c>
      <c r="DA74" s="58">
        <f>'2020'!CQ11</f>
        <v>113.6</v>
      </c>
      <c r="DB74" s="58">
        <f>'2020'!CR11</f>
        <v>3.54</v>
      </c>
      <c r="DC74" s="58">
        <f>'2020'!CS11</f>
        <v>39.200000000000003</v>
      </c>
      <c r="DD74" s="57">
        <f>'2020'!CT11</f>
        <v>50</v>
      </c>
      <c r="DE74" s="57">
        <f>'2020'!CU11</f>
        <v>3021</v>
      </c>
      <c r="DF74" s="57">
        <f>'2020'!CV11</f>
        <v>7</v>
      </c>
      <c r="DG74" s="57">
        <f>'2020'!CW11</f>
        <v>0</v>
      </c>
      <c r="DH74" s="59">
        <f>'2020'!CX11</f>
        <v>19</v>
      </c>
      <c r="DI74" s="56">
        <f>'2020'!CY11</f>
        <v>1412</v>
      </c>
      <c r="DJ74" s="57">
        <f>'2020'!CZ11</f>
        <v>2819</v>
      </c>
      <c r="DK74" s="57">
        <f>'2020'!DA11</f>
        <v>15</v>
      </c>
      <c r="DL74" s="57">
        <f>'2020'!DB11</f>
        <v>34</v>
      </c>
      <c r="DM74" s="57">
        <f>'2020'!DC11</f>
        <v>234</v>
      </c>
      <c r="DN74" s="57">
        <f>'2020'!DD11</f>
        <v>89</v>
      </c>
      <c r="DO74" s="58">
        <f>'2020'!DE11</f>
        <v>6</v>
      </c>
      <c r="DP74" s="58">
        <f>'2020'!DF11</f>
        <v>176.8</v>
      </c>
      <c r="DQ74" s="58">
        <f>'2020'!DG11</f>
        <v>4.45</v>
      </c>
      <c r="DR74" s="58">
        <f>'2020'!DH11</f>
        <v>44.5</v>
      </c>
      <c r="DS74" s="57">
        <f>'2020'!DI11</f>
        <v>387</v>
      </c>
      <c r="DT74" s="57">
        <f>'2020'!DJ11</f>
        <v>3187</v>
      </c>
      <c r="DU74" s="57">
        <f>'2020'!DK11</f>
        <v>28</v>
      </c>
      <c r="DV74" s="57">
        <f>'2020'!DL11</f>
        <v>0</v>
      </c>
      <c r="DW74" s="59">
        <f>'2020'!DM11</f>
        <v>20</v>
      </c>
    </row>
    <row r="75" spans="1:127" ht="15.75" customHeight="1" x14ac:dyDescent="0.2">
      <c r="A75" s="33">
        <f t="shared" si="12"/>
        <v>73</v>
      </c>
      <c r="B75" s="11">
        <f>'2019'!A7</f>
        <v>5</v>
      </c>
      <c r="C75" s="11">
        <v>2019</v>
      </c>
      <c r="D75" s="34" t="str">
        <f>'2019'!B7</f>
        <v>Devin Singletary</v>
      </c>
      <c r="E75" s="224" t="str" cm="1">
        <f t="array" ref="E75">_xlfn.IFS(F75&gt;=13,"Cornerstone",AND(F75&gt;=12,F75&lt;13),"Elite",AND(F75&gt;=11,F75&lt;12),"Elite Upside",AND(F75&gt;=9,F75&lt;11),"Upside",AND(F75&gt;=7,F75&lt;9),"Upside Lite",AND(F75&gt;=6,F75&lt;7),"Outlier",AND(F75&gt;=5,F75&lt;6),"Outlier Lite",F75&lt;5,"Purgatory")</f>
        <v>Upside</v>
      </c>
      <c r="F75" s="14">
        <f>'2019'!C7</f>
        <v>9.3277777777777757</v>
      </c>
      <c r="G75" s="14">
        <f t="shared" si="19"/>
        <v>77.600000000000009</v>
      </c>
      <c r="H75" s="35">
        <f t="shared" si="13"/>
        <v>0.56092866468657232</v>
      </c>
      <c r="I75" s="36" t="str">
        <f>'2019'!D7</f>
        <v>FAU</v>
      </c>
      <c r="J75" s="37">
        <f>'2019'!E7</f>
        <v>1</v>
      </c>
      <c r="K75" s="38">
        <f>'2019'!F7</f>
        <v>35676</v>
      </c>
      <c r="L75" s="39">
        <f>'2019'!G7</f>
        <v>28.084931506849315</v>
      </c>
      <c r="M75" s="39" t="str">
        <f>'2019'!H7</f>
        <v>JR</v>
      </c>
      <c r="N75" s="39">
        <f>'2019'!I7</f>
        <v>21.654794520547945</v>
      </c>
      <c r="O75" s="39" t="str">
        <f t="shared" si="14"/>
        <v>BELL CALF</v>
      </c>
      <c r="P75" s="39" t="str">
        <f t="shared" si="17"/>
        <v>3DOWN</v>
      </c>
      <c r="Q75" s="37">
        <f>'2019'!J7</f>
        <v>67</v>
      </c>
      <c r="R75" s="37">
        <f>'2019'!K7</f>
        <v>203</v>
      </c>
      <c r="S75" s="39">
        <f t="shared" si="18"/>
        <v>31.793942580979394</v>
      </c>
      <c r="T75" s="37">
        <f>'2019'!L7</f>
        <v>4.66</v>
      </c>
      <c r="U75" s="40">
        <f>'2019'!M7</f>
        <v>3</v>
      </c>
      <c r="V75" s="41">
        <f>'2019'!N7</f>
        <v>0</v>
      </c>
      <c r="W75" s="42">
        <f>'2019'!O7</f>
        <v>0</v>
      </c>
      <c r="X75" s="42">
        <f>'2019'!P7</f>
        <v>0.24984306340238543</v>
      </c>
      <c r="Y75" s="42">
        <f>'2019'!Q7</f>
        <v>0.30113229181596674</v>
      </c>
      <c r="Z75" s="42">
        <f>'2019'!R7</f>
        <v>0.23860076575008701</v>
      </c>
      <c r="AA75" s="42">
        <f>'2019'!S7</f>
        <v>0.26986652878302686</v>
      </c>
      <c r="AB75" s="42">
        <f>'2019'!T7</f>
        <v>0.26986652878302686</v>
      </c>
      <c r="AC75" s="42">
        <f>'2019'!U7</f>
        <v>6.8052296345960439E-2</v>
      </c>
      <c r="AD75" s="42">
        <f>'2019'!V7</f>
        <v>1.2658227848101266E-2</v>
      </c>
      <c r="AE75" s="42">
        <f>'2019'!W7</f>
        <v>4.0355262097030851E-2</v>
      </c>
      <c r="AF75" s="43">
        <f>'2019'!X7</f>
        <v>4.0355262097030851E-2</v>
      </c>
      <c r="AG75" s="44">
        <f>'2019'!Y7</f>
        <v>19.008219178082193</v>
      </c>
      <c r="AH75" s="45">
        <f>'2019'!Z7</f>
        <v>86.095879490871027</v>
      </c>
      <c r="AI75" s="45">
        <f>'2019'!AA7</f>
        <v>31.790822009356202</v>
      </c>
      <c r="AJ75" s="45">
        <f>'2019'!AB7</f>
        <v>0.36363636363636365</v>
      </c>
      <c r="AK75" s="45">
        <f>'2019'!AC7</f>
        <v>6.7</v>
      </c>
      <c r="AL75" s="45">
        <f t="shared" si="15"/>
        <v>7.9607843137254903</v>
      </c>
      <c r="AM75" s="45">
        <f t="shared" si="16"/>
        <v>2.2222222222222223E-2</v>
      </c>
      <c r="AN75" s="45">
        <f>'2019'!AD7</f>
        <v>138.30000000000001</v>
      </c>
      <c r="AO75" s="45">
        <f>'2019'!AE7</f>
        <v>3.89</v>
      </c>
      <c r="AP75" s="46">
        <f>'2019'!AF7</f>
        <v>48.3</v>
      </c>
      <c r="AQ75" s="47">
        <f>'2019'!AG7</f>
        <v>7</v>
      </c>
      <c r="AR75" s="48">
        <f>'2019'!AH7</f>
        <v>4</v>
      </c>
      <c r="AS75" s="48">
        <f>'2019'!AI7</f>
        <v>8</v>
      </c>
      <c r="AT75" s="48">
        <f t="shared" si="20"/>
        <v>1</v>
      </c>
      <c r="AU75" s="48">
        <f>'2019'!AK7</f>
        <v>9</v>
      </c>
      <c r="AV75" s="48">
        <f>'2019'!AL7</f>
        <v>7</v>
      </c>
      <c r="AW75" s="48">
        <f>'2019'!AM7</f>
        <v>7</v>
      </c>
      <c r="AX75" s="48">
        <f>'2019'!AN7</f>
        <v>4</v>
      </c>
      <c r="AY75" s="49">
        <f>IF(U75=1,10,IF(U75=2,7,IF(U75=3,6,IF(U75=4,4,IF(U75=5,3,IF(U75=6,2,IF(U75=7,1,IF(U75=0,0,"-"))))))))</f>
        <v>6</v>
      </c>
      <c r="AZ75" s="50">
        <f>'2019'!AP7</f>
        <v>0</v>
      </c>
      <c r="BA75" s="56">
        <f>'2019'!AQ7</f>
        <v>0</v>
      </c>
      <c r="BB75" s="57">
        <f>'2019'!AR7</f>
        <v>1963</v>
      </c>
      <c r="BC75" s="57">
        <f>'2019'!AS7</f>
        <v>0</v>
      </c>
      <c r="BD75" s="57">
        <f>'2019'!AT7</f>
        <v>14</v>
      </c>
      <c r="BE75" s="57">
        <f>'2019'!AU7</f>
        <v>0</v>
      </c>
      <c r="BF75" s="57">
        <f>'2019'!AV7</f>
        <v>0</v>
      </c>
      <c r="BG75" s="58">
        <f>'2019'!AW7</f>
        <v>0</v>
      </c>
      <c r="BH75" s="58">
        <f>'2019'!AX7</f>
        <v>0</v>
      </c>
      <c r="BI75" s="58">
        <f>'2019'!AY7</f>
        <v>0</v>
      </c>
      <c r="BJ75" s="58">
        <f>'2019'!AZ7</f>
        <v>0</v>
      </c>
      <c r="BK75" s="57">
        <f>'2019'!BA7</f>
        <v>0</v>
      </c>
      <c r="BL75" s="57">
        <f>'2019'!BB7</f>
        <v>2394</v>
      </c>
      <c r="BM75" s="57">
        <f>'2019'!BC7</f>
        <v>0</v>
      </c>
      <c r="BN75" s="57">
        <f>'2019'!BD7</f>
        <v>0</v>
      </c>
      <c r="BO75" s="59">
        <f>'2019'!BE7</f>
        <v>18</v>
      </c>
      <c r="BP75" s="56">
        <f>'2019'!BF7</f>
        <v>0</v>
      </c>
      <c r="BQ75" s="57">
        <f>'2019'!BG7</f>
        <v>1961</v>
      </c>
      <c r="BR75" s="57">
        <f>'2019'!BH7</f>
        <v>0</v>
      </c>
      <c r="BS75" s="57">
        <f>'2019'!BI7</f>
        <v>15</v>
      </c>
      <c r="BT75" s="57">
        <f>'2019'!BJ7</f>
        <v>0</v>
      </c>
      <c r="BU75" s="57">
        <f>'2019'!BK7</f>
        <v>0</v>
      </c>
      <c r="BV75" s="58">
        <f>'2019'!BL7</f>
        <v>0</v>
      </c>
      <c r="BW75" s="58">
        <f>'2019'!BM7</f>
        <v>0</v>
      </c>
      <c r="BX75" s="58">
        <f>'2019'!BN7</f>
        <v>0</v>
      </c>
      <c r="BY75" s="58">
        <f>'2019'!BO7</f>
        <v>0</v>
      </c>
      <c r="BZ75" s="57">
        <f>'2019'!BP7</f>
        <v>0</v>
      </c>
      <c r="CA75" s="57">
        <f>'2019'!BQ7</f>
        <v>2557</v>
      </c>
      <c r="CB75" s="57">
        <f>'2019'!BR7</f>
        <v>0</v>
      </c>
      <c r="CC75" s="57">
        <f>'2019'!BS7</f>
        <v>0</v>
      </c>
      <c r="CD75" s="59">
        <f>'2019'!BT7</f>
        <v>12</v>
      </c>
      <c r="CE75" s="56">
        <f>'2019'!BU7</f>
        <v>1027</v>
      </c>
      <c r="CF75" s="57">
        <f>'2019'!BV7</f>
        <v>2258</v>
      </c>
      <c r="CG75" s="57">
        <f>'2019'!BW7</f>
        <v>12</v>
      </c>
      <c r="CH75" s="57">
        <f>'2019'!BX7</f>
        <v>31</v>
      </c>
      <c r="CI75" s="57">
        <f>'2019'!BY7</f>
        <v>154</v>
      </c>
      <c r="CJ75" s="57">
        <f>'2019'!BZ7</f>
        <v>24</v>
      </c>
      <c r="CK75" s="58">
        <f>'2019'!CA7</f>
        <v>6.7</v>
      </c>
      <c r="CL75" s="58">
        <f>'2019'!CB7</f>
        <v>87.7</v>
      </c>
      <c r="CM75" s="58">
        <f>'2019'!CC7</f>
        <v>4.62</v>
      </c>
      <c r="CN75" s="58">
        <f>'2019'!CD7</f>
        <v>43.3</v>
      </c>
      <c r="CO75" s="57">
        <f>'2019'!CE7</f>
        <v>167</v>
      </c>
      <c r="CP75" s="57">
        <f>'2019'!CF7</f>
        <v>2521</v>
      </c>
      <c r="CQ75" s="57">
        <f>'2019'!CG7</f>
        <v>25</v>
      </c>
      <c r="CR75" s="57">
        <f>'2019'!CH7</f>
        <v>0</v>
      </c>
      <c r="CS75" s="59">
        <f>'2019'!CI7</f>
        <v>9</v>
      </c>
      <c r="CT75" s="56">
        <f>'2019'!CJ7</f>
        <v>1898</v>
      </c>
      <c r="CU75" s="57">
        <f>'2019'!CK7</f>
        <v>3994</v>
      </c>
      <c r="CV75" s="57">
        <f>'2019'!CL7</f>
        <v>32</v>
      </c>
      <c r="CW75" s="57">
        <f>'2019'!CM7</f>
        <v>52</v>
      </c>
      <c r="CX75" s="57">
        <f>'2019'!CN7</f>
        <v>299</v>
      </c>
      <c r="CY75" s="57">
        <f>'2019'!CO7</f>
        <v>83</v>
      </c>
      <c r="CZ75" s="58">
        <f>'2019'!CP7</f>
        <v>6.3</v>
      </c>
      <c r="DA75" s="58">
        <f>'2019'!CQ7</f>
        <v>112.5</v>
      </c>
      <c r="DB75" s="58">
        <f>'2019'!CR7</f>
        <v>3.86</v>
      </c>
      <c r="DC75" s="58">
        <f>'2019'!CS7</f>
        <v>48.3</v>
      </c>
      <c r="DD75" s="57">
        <f>'2019'!CT7</f>
        <v>203</v>
      </c>
      <c r="DE75" s="57">
        <f>'2019'!CU7</f>
        <v>2983</v>
      </c>
      <c r="DF75" s="57">
        <f>'2019'!CV7</f>
        <v>20</v>
      </c>
      <c r="DG75" s="57">
        <f>'2019'!CW7</f>
        <v>0</v>
      </c>
      <c r="DH75" s="59">
        <f>'2019'!CX7</f>
        <v>21</v>
      </c>
      <c r="DI75" s="56">
        <f>'2019'!CY7</f>
        <v>1335</v>
      </c>
      <c r="DJ75" s="57">
        <f>'2019'!CZ7</f>
        <v>2902</v>
      </c>
      <c r="DK75" s="57">
        <f>'2019'!DA7</f>
        <v>22</v>
      </c>
      <c r="DL75" s="57">
        <f>'2019'!DB7</f>
        <v>35</v>
      </c>
      <c r="DM75" s="57">
        <f>'2019'!DC7</f>
        <v>264</v>
      </c>
      <c r="DN75" s="57">
        <f>'2019'!DD7</f>
        <v>96</v>
      </c>
      <c r="DO75" s="58">
        <f>'2019'!DE7</f>
        <v>5.0999999999999996</v>
      </c>
      <c r="DP75" s="58">
        <f>'2019'!DF7</f>
        <v>138.30000000000001</v>
      </c>
      <c r="DQ75" s="58">
        <f>'2019'!DG7</f>
        <v>3.89</v>
      </c>
      <c r="DR75" s="58">
        <f>'2019'!DH7</f>
        <v>47.2</v>
      </c>
      <c r="DS75" s="57">
        <f>'2019'!DI7</f>
        <v>36</v>
      </c>
      <c r="DT75" s="57">
        <f>'2019'!DJ7</f>
        <v>2844</v>
      </c>
      <c r="DU75" s="57">
        <f>'2019'!DK7</f>
        <v>6</v>
      </c>
      <c r="DV75" s="57">
        <f>'2019'!DL7</f>
        <v>0</v>
      </c>
      <c r="DW75" s="59">
        <f>'2019'!DM7</f>
        <v>14</v>
      </c>
    </row>
    <row r="76" spans="1:127" ht="15.75" customHeight="1" x14ac:dyDescent="0.2">
      <c r="A76" s="33">
        <f t="shared" si="12"/>
        <v>74</v>
      </c>
      <c r="B76" s="11">
        <f>'2021'!A6</f>
        <v>4</v>
      </c>
      <c r="C76" s="11">
        <v>2021</v>
      </c>
      <c r="D76" s="34" t="str">
        <f>'2021'!B6</f>
        <v>Rhamondre Stevenson</v>
      </c>
      <c r="E76" s="224" t="str" cm="1">
        <f t="array" ref="E76">_xlfn.IFS(F76&gt;=13,"Cornerstone",AND(F76&gt;=12,F76&lt;13),"Elite",AND(F76&gt;=11,F76&lt;12),"Elite Upside",AND(F76&gt;=9,F76&lt;11),"Upside",AND(F76&gt;=7,F76&lt;9),"Upside Lite",AND(F76&gt;=6,F76&lt;7),"Outlier",AND(F76&gt;=5,F76&lt;6),"Outlier Lite",F76&lt;5,"Purgatory")</f>
        <v>Upside</v>
      </c>
      <c r="F76" s="14">
        <f>'2021'!C6</f>
        <v>9.2666666666666675</v>
      </c>
      <c r="G76" s="14">
        <f t="shared" si="19"/>
        <v>77.3</v>
      </c>
      <c r="H76" s="35">
        <f t="shared" si="13"/>
        <v>0.53506491076081775</v>
      </c>
      <c r="I76" s="36" t="str">
        <f>'2021'!D6</f>
        <v>Oklahoma</v>
      </c>
      <c r="J76" s="37">
        <f>'2021'!E6</f>
        <v>3</v>
      </c>
      <c r="K76" s="38">
        <f>'2021'!F6</f>
        <v>35849</v>
      </c>
      <c r="L76" s="39">
        <f>'2021'!G6</f>
        <v>27.610958904109587</v>
      </c>
      <c r="M76" s="39" t="str">
        <f>'2021'!H6</f>
        <v>SR</v>
      </c>
      <c r="N76" s="39">
        <f>'2021'!I6</f>
        <v>23.194520547945206</v>
      </c>
      <c r="O76" s="39" t="str">
        <f t="shared" si="14"/>
        <v>BRUISER</v>
      </c>
      <c r="P76" s="39" t="str">
        <f t="shared" si="17"/>
        <v>+RECEIVER</v>
      </c>
      <c r="Q76" s="37">
        <f>'2021'!J6</f>
        <v>72</v>
      </c>
      <c r="R76" s="37">
        <f>'2021'!K6</f>
        <v>231</v>
      </c>
      <c r="S76" s="39">
        <f t="shared" si="18"/>
        <v>31.328885111473927</v>
      </c>
      <c r="T76" s="37">
        <f>'2021'!L6</f>
        <v>4.6399999999999997</v>
      </c>
      <c r="U76" s="40">
        <f>'2021'!M6</f>
        <v>4</v>
      </c>
      <c r="V76" s="41">
        <f>'2021'!N6</f>
        <v>0</v>
      </c>
      <c r="W76" s="42">
        <f>'2021'!O6</f>
        <v>0.16274154589371981</v>
      </c>
      <c r="X76" s="42">
        <f>'2021'!P6</f>
        <v>0.22500000000000001</v>
      </c>
      <c r="Y76" s="42">
        <f>'2021'!Q6</f>
        <v>7.9978743191178425E-2</v>
      </c>
      <c r="Z76" s="42">
        <f>'2021'!R6</f>
        <v>0.16097023153252479</v>
      </c>
      <c r="AA76" s="42">
        <f>'2021'!S6</f>
        <v>0.1929851157662624</v>
      </c>
      <c r="AB76" s="42">
        <f>'2021'!T6</f>
        <v>0.17368660418963616</v>
      </c>
      <c r="AC76" s="42">
        <f>'2021'!U6</f>
        <v>2.0893371757925071E-2</v>
      </c>
      <c r="AD76" s="42">
        <f>'2021'!V6</f>
        <v>6.0894660894660897E-2</v>
      </c>
      <c r="AE76" s="42">
        <f>'2021'!W6</f>
        <v>6.0894660894660897E-2</v>
      </c>
      <c r="AF76" s="43">
        <f>'2021'!X6</f>
        <v>5.4805194805194808E-2</v>
      </c>
      <c r="AG76" s="44">
        <f>'2021'!Y6</f>
        <v>19.531506849315068</v>
      </c>
      <c r="AH76" s="45">
        <f>'2021'!Z6</f>
        <v>99.671284070616935</v>
      </c>
      <c r="AI76" s="45">
        <f>'2021'!AA6</f>
        <v>31.325810185185183</v>
      </c>
      <c r="AJ76" s="45">
        <f>'2021'!AB6</f>
        <v>0.35643564356435642</v>
      </c>
      <c r="AK76" s="45">
        <f>'2021'!AC6</f>
        <v>8</v>
      </c>
      <c r="AL76" s="45">
        <f t="shared" si="15"/>
        <v>11.108695652173912</v>
      </c>
      <c r="AM76" s="45">
        <f t="shared" si="16"/>
        <v>0.15126050420168066</v>
      </c>
      <c r="AN76" s="45">
        <f>'2021'!AD6</f>
        <v>140.6</v>
      </c>
      <c r="AO76" s="45">
        <f>'2021'!AE6</f>
        <v>5.86</v>
      </c>
      <c r="AP76" s="46">
        <f>'2021'!AF6</f>
        <v>67.2</v>
      </c>
      <c r="AQ76" s="47">
        <f>'2021'!AG6</f>
        <v>3</v>
      </c>
      <c r="AR76" s="48">
        <f>'2021'!AH6</f>
        <v>6</v>
      </c>
      <c r="AS76" s="48">
        <f>'2021'!AI6</f>
        <v>6</v>
      </c>
      <c r="AT76" s="48">
        <f t="shared" si="20"/>
        <v>5</v>
      </c>
      <c r="AU76" s="48">
        <f>'2021'!AK6</f>
        <v>9</v>
      </c>
      <c r="AV76" s="48">
        <f>'2021'!AL6</f>
        <v>9</v>
      </c>
      <c r="AW76" s="48">
        <f>'2021'!AM6</f>
        <v>7</v>
      </c>
      <c r="AX76" s="48">
        <f>'2021'!AN6</f>
        <v>9</v>
      </c>
      <c r="AY76" s="49">
        <f>IF(U76=1,10,IF(U76=2,7,IF(U76=3,6,IF(U76=4,4,IF(U76=5,3,IF(U76=6,2,IF(U76=7,1,IF(U76=0,0,"-"))))))))</f>
        <v>4</v>
      </c>
      <c r="AZ76" s="50">
        <f>'2021'!AP6</f>
        <v>0.75</v>
      </c>
      <c r="BA76" s="56">
        <f>'2021'!AQ6</f>
        <v>0</v>
      </c>
      <c r="BB76" s="57">
        <f>'2021'!AR6</f>
        <v>3078</v>
      </c>
      <c r="BC76" s="57">
        <f>'2021'!AS6</f>
        <v>0</v>
      </c>
      <c r="BD76" s="57">
        <f>'2021'!AT6</f>
        <v>30</v>
      </c>
      <c r="BE76" s="57">
        <f>'2021'!AU6</f>
        <v>0</v>
      </c>
      <c r="BF76" s="57">
        <f>'2021'!AV6</f>
        <v>0</v>
      </c>
      <c r="BG76" s="58">
        <f>'2021'!AW6</f>
        <v>0</v>
      </c>
      <c r="BH76" s="58">
        <f>'2021'!AX6</f>
        <v>0</v>
      </c>
      <c r="BI76" s="58">
        <f>'2021'!AY6</f>
        <v>0</v>
      </c>
      <c r="BJ76" s="58">
        <f>'2021'!AZ6</f>
        <v>0</v>
      </c>
      <c r="BK76" s="57">
        <f>'2021'!BA6</f>
        <v>0</v>
      </c>
      <c r="BL76" s="57">
        <f>'2021'!BB6</f>
        <v>4134</v>
      </c>
      <c r="BM76" s="57">
        <f>'2021'!BC6</f>
        <v>0</v>
      </c>
      <c r="BN76" s="57">
        <f>'2021'!BD6</f>
        <v>0</v>
      </c>
      <c r="BO76" s="59">
        <f>'2021'!BE6</f>
        <v>43</v>
      </c>
      <c r="BP76" s="56">
        <f>'2021'!BF6</f>
        <v>501</v>
      </c>
      <c r="BQ76" s="57">
        <f>'2021'!BG6</f>
        <v>1521</v>
      </c>
      <c r="BR76" s="57">
        <f>'2021'!BH6</f>
        <v>0</v>
      </c>
      <c r="BS76" s="57">
        <f>'2021'!BI6</f>
        <v>33</v>
      </c>
      <c r="BT76" s="57">
        <f>'2021'!BJ6</f>
        <v>0</v>
      </c>
      <c r="BU76" s="57">
        <f>'2021'!BK6</f>
        <v>0</v>
      </c>
      <c r="BV76" s="58">
        <f>'2021'!BL6</f>
        <v>0</v>
      </c>
      <c r="BW76" s="58">
        <f>'2021'!BM6</f>
        <v>0</v>
      </c>
      <c r="BX76" s="58">
        <f>'2021'!BN6</f>
        <v>0</v>
      </c>
      <c r="BY76" s="58">
        <f>'2021'!BO6</f>
        <v>0</v>
      </c>
      <c r="BZ76" s="57">
        <f>'2021'!BP6</f>
        <v>38</v>
      </c>
      <c r="CA76" s="57">
        <f>'2021'!BQ6</f>
        <v>1791</v>
      </c>
      <c r="CB76" s="57">
        <f>'2021'!BR6</f>
        <v>5</v>
      </c>
      <c r="CC76" s="57">
        <f>'2021'!BS6</f>
        <v>0</v>
      </c>
      <c r="CD76" s="59">
        <f>'2021'!BT6</f>
        <v>47</v>
      </c>
      <c r="CE76" s="56">
        <f>'2021'!BU6</f>
        <v>2111</v>
      </c>
      <c r="CF76" s="57">
        <f>'2021'!BV6</f>
        <v>2856</v>
      </c>
      <c r="CG76" s="57">
        <f>'2021'!BW6</f>
        <v>0</v>
      </c>
      <c r="CH76" s="57">
        <f>'2021'!BX6</f>
        <v>42</v>
      </c>
      <c r="CI76" s="57">
        <f>'2021'!BY6</f>
        <v>0</v>
      </c>
      <c r="CJ76" s="57">
        <f>'2021'!BZ6</f>
        <v>0</v>
      </c>
      <c r="CK76" s="58">
        <f>'2021'!CA6</f>
        <v>0</v>
      </c>
      <c r="CL76" s="58">
        <f>'2021'!CB6</f>
        <v>0</v>
      </c>
      <c r="CM76" s="58">
        <f>'2021'!CC6</f>
        <v>0</v>
      </c>
      <c r="CN76" s="58">
        <f>'2021'!CD6</f>
        <v>0</v>
      </c>
      <c r="CO76" s="57">
        <f>'2021'!CE6</f>
        <v>175</v>
      </c>
      <c r="CP76" s="57">
        <f>'2021'!CF6</f>
        <v>2224</v>
      </c>
      <c r="CQ76" s="57">
        <f>'2021'!CG6</f>
        <v>13</v>
      </c>
      <c r="CR76" s="57">
        <f>'2021'!CH6</f>
        <v>0</v>
      </c>
      <c r="CS76" s="59">
        <f>'2021'!CI6</f>
        <v>43</v>
      </c>
      <c r="CT76" s="56">
        <f>'2021'!CJ6</f>
        <v>515</v>
      </c>
      <c r="CU76" s="57">
        <f>'2021'!CK6</f>
        <v>3363</v>
      </c>
      <c r="CV76" s="57">
        <f>'2021'!CL6</f>
        <v>6</v>
      </c>
      <c r="CW76" s="57">
        <f>'2021'!CM6</f>
        <v>38</v>
      </c>
      <c r="CX76" s="57">
        <f>'2021'!CN6</f>
        <v>64</v>
      </c>
      <c r="CY76" s="57">
        <f>'2021'!CO6</f>
        <v>15</v>
      </c>
      <c r="CZ76" s="58">
        <f>'2021'!CP6</f>
        <v>8</v>
      </c>
      <c r="DA76" s="58">
        <f>'2021'!CQ6</f>
        <v>134.6</v>
      </c>
      <c r="DB76" s="58">
        <f>'2021'!CR6</f>
        <v>5.86</v>
      </c>
      <c r="DC76" s="58">
        <f>'2021'!CS6</f>
        <v>67.2</v>
      </c>
      <c r="DD76" s="57">
        <f>'2021'!CT6</f>
        <v>87</v>
      </c>
      <c r="DE76" s="57">
        <f>'2021'!CU6</f>
        <v>4164</v>
      </c>
      <c r="DF76" s="57">
        <f>'2021'!CV6</f>
        <v>10</v>
      </c>
      <c r="DG76" s="57">
        <f>'2021'!CW6</f>
        <v>0</v>
      </c>
      <c r="DH76" s="59">
        <f>'2021'!CX6</f>
        <v>36</v>
      </c>
      <c r="DI76" s="56">
        <f>'2021'!CY6</f>
        <v>665</v>
      </c>
      <c r="DJ76" s="57">
        <f>'2021'!CZ6</f>
        <v>1977</v>
      </c>
      <c r="DK76" s="57">
        <f>'2021'!DA6</f>
        <v>7</v>
      </c>
      <c r="DL76" s="57">
        <f>'2021'!DB6</f>
        <v>27</v>
      </c>
      <c r="DM76" s="57">
        <f>'2021'!DC6</f>
        <v>101</v>
      </c>
      <c r="DN76" s="57">
        <f>'2021'!DD6</f>
        <v>36</v>
      </c>
      <c r="DO76" s="58">
        <f>'2021'!DE6</f>
        <v>6.6</v>
      </c>
      <c r="DP76" s="58">
        <f>'2021'!DF6</f>
        <v>140.6</v>
      </c>
      <c r="DQ76" s="58">
        <f>'2021'!DG6</f>
        <v>3.89</v>
      </c>
      <c r="DR76" s="58">
        <f>'2021'!DH6</f>
        <v>42.1</v>
      </c>
      <c r="DS76" s="57">
        <f>'2021'!DI6</f>
        <v>211</v>
      </c>
      <c r="DT76" s="57">
        <f>'2021'!DJ6</f>
        <v>3465</v>
      </c>
      <c r="DU76" s="57">
        <f>'2021'!DK6</f>
        <v>18</v>
      </c>
      <c r="DV76" s="57">
        <f>'2021'!DL6</f>
        <v>0</v>
      </c>
      <c r="DW76" s="59">
        <f>'2021'!DM6</f>
        <v>30</v>
      </c>
    </row>
    <row r="77" spans="1:127" ht="15.75" customHeight="1" x14ac:dyDescent="0.2">
      <c r="A77" s="33">
        <f t="shared" si="12"/>
        <v>75</v>
      </c>
      <c r="B77" s="11">
        <f>'2022'!A6</f>
        <v>4</v>
      </c>
      <c r="C77" s="11">
        <v>2022</v>
      </c>
      <c r="D77" s="34" t="str">
        <f>'2022'!B6</f>
        <v>Isaiah Spiller</v>
      </c>
      <c r="E77" s="224" t="str" cm="1">
        <f t="array" ref="E77">_xlfn.IFS(F77&gt;=13,"Cornerstone",AND(F77&gt;=12,F77&lt;13),"Elite",AND(F77&gt;=11,F77&lt;12),"Elite Upside",AND(F77&gt;=9,F77&lt;11),"Upside",AND(F77&gt;=7,F77&lt;9),"Upside Lite",AND(F77&gt;=6,F77&lt;7),"Outlier",AND(F77&gt;=5,F77&lt;6),"Outlier Lite",F77&lt;5,"Purgatory")</f>
        <v>Upside</v>
      </c>
      <c r="F77" s="14">
        <f>'2022'!C6</f>
        <v>9.2611111111111111</v>
      </c>
      <c r="G77" s="14">
        <f t="shared" si="19"/>
        <v>77</v>
      </c>
      <c r="H77" s="35">
        <f t="shared" si="13"/>
        <v>0.53271366040393053</v>
      </c>
      <c r="I77" s="36" t="str">
        <f>'2022'!D6</f>
        <v>Texas A&amp;M</v>
      </c>
      <c r="J77" s="37">
        <f>'2022'!E6</f>
        <v>1</v>
      </c>
      <c r="K77" s="38">
        <f>'2022'!F6</f>
        <v>37112</v>
      </c>
      <c r="L77" s="39">
        <f>'2022'!G6</f>
        <v>24.150684931506849</v>
      </c>
      <c r="M77" s="39" t="str">
        <f>'2022'!H6</f>
        <v>JR</v>
      </c>
      <c r="N77" s="39">
        <f>'2022'!I6</f>
        <v>20.731506849315068</v>
      </c>
      <c r="O77" s="39" t="str">
        <f t="shared" si="14"/>
        <v>BELL COW</v>
      </c>
      <c r="P77" s="39" t="str">
        <f t="shared" si="17"/>
        <v>3DOWN</v>
      </c>
      <c r="Q77" s="37">
        <f>'2022'!J6</f>
        <v>72</v>
      </c>
      <c r="R77" s="37">
        <f>'2022'!K6</f>
        <v>217</v>
      </c>
      <c r="S77" s="39">
        <f t="shared" si="18"/>
        <v>29.430164801687628</v>
      </c>
      <c r="T77" s="37">
        <f>'2022'!L6</f>
        <v>4.63</v>
      </c>
      <c r="U77" s="40">
        <f>'2022'!M6</f>
        <v>4</v>
      </c>
      <c r="V77" s="41">
        <f>'2022'!N6</f>
        <v>0</v>
      </c>
      <c r="W77" s="42">
        <f>'2022'!O6</f>
        <v>0</v>
      </c>
      <c r="X77" s="42">
        <f>'2022'!P6</f>
        <v>0.22620904836193448</v>
      </c>
      <c r="Y77" s="42">
        <f>'2022'!Q6</f>
        <v>0.2789162112932605</v>
      </c>
      <c r="Z77" s="42">
        <f>'2022'!R6</f>
        <v>0.25643753990210683</v>
      </c>
      <c r="AA77" s="42">
        <f>'2022'!S6</f>
        <v>0.26767687559768366</v>
      </c>
      <c r="AB77" s="42">
        <f>'2022'!T6</f>
        <v>0.26767687559768366</v>
      </c>
      <c r="AC77" s="42">
        <f>'2022'!U6</f>
        <v>8.2443400256300731E-2</v>
      </c>
      <c r="AD77" s="42">
        <f>'2022'!V6</f>
        <v>7.5509388733519769E-2</v>
      </c>
      <c r="AE77" s="42">
        <f>'2022'!W6</f>
        <v>7.8976394494910257E-2</v>
      </c>
      <c r="AF77" s="43">
        <f>'2022'!X6</f>
        <v>7.8976394494910257E-2</v>
      </c>
      <c r="AG77" s="44">
        <f>'2022'!Y6</f>
        <v>18.07123287671233</v>
      </c>
      <c r="AH77" s="45">
        <f>'2022'!Z6</f>
        <v>94.442128274581009</v>
      </c>
      <c r="AI77" s="45">
        <f>'2022'!AA6</f>
        <v>29.427276234567902</v>
      </c>
      <c r="AJ77" s="45">
        <f>'2022'!AB6</f>
        <v>0.3146067415730337</v>
      </c>
      <c r="AK77" s="45">
        <f>'2022'!AC6</f>
        <v>5.7</v>
      </c>
      <c r="AL77" s="45">
        <f t="shared" si="15"/>
        <v>7.9054054054054053</v>
      </c>
      <c r="AM77" s="45">
        <f t="shared" si="16"/>
        <v>0.12315270935960591</v>
      </c>
      <c r="AN77" s="45">
        <f>'2022'!AD6</f>
        <v>120</v>
      </c>
      <c r="AO77" s="45">
        <f>'2022'!AE6</f>
        <v>4.1900000000000004</v>
      </c>
      <c r="AP77" s="46">
        <f>'2022'!AF6</f>
        <v>45.6</v>
      </c>
      <c r="AQ77" s="47">
        <f>'2022'!AG6</f>
        <v>7</v>
      </c>
      <c r="AR77" s="48">
        <f>'2022'!AH6</f>
        <v>8</v>
      </c>
      <c r="AS77" s="48">
        <f>'2022'!AI6</f>
        <v>10</v>
      </c>
      <c r="AT77" s="48">
        <f t="shared" si="20"/>
        <v>3</v>
      </c>
      <c r="AU77" s="48">
        <f>'2022'!AK6</f>
        <v>8</v>
      </c>
      <c r="AV77" s="48">
        <f>'2022'!AL6</f>
        <v>3</v>
      </c>
      <c r="AW77" s="48">
        <f>'2022'!AM6</f>
        <v>6</v>
      </c>
      <c r="AX77" s="48">
        <f>'2022'!AN6</f>
        <v>6</v>
      </c>
      <c r="AY77" s="49">
        <f>IF(U77=1,10,IF(U77=2,7,IF(U77=3,6,IF(U77=4,4,IF(U77=5,3,IF(U77=6,2,IF(U77=7,1,IF(U77=0,0,"-"))))))))</f>
        <v>4</v>
      </c>
      <c r="AZ77" s="50">
        <f>'2022'!AP6</f>
        <v>0</v>
      </c>
      <c r="BA77" s="56">
        <f>'2022'!AQ6</f>
        <v>0</v>
      </c>
      <c r="BB77" s="57">
        <f>'2022'!AR6</f>
        <v>2023</v>
      </c>
      <c r="BC77" s="57">
        <f>'2022'!AS6</f>
        <v>0</v>
      </c>
      <c r="BD77" s="57">
        <f>'2022'!AT6</f>
        <v>26</v>
      </c>
      <c r="BE77" s="57">
        <f>'2022'!AU6</f>
        <v>0</v>
      </c>
      <c r="BF77" s="57">
        <f>'2022'!AV6</f>
        <v>0</v>
      </c>
      <c r="BG77" s="58">
        <f>'2022'!AW6</f>
        <v>0</v>
      </c>
      <c r="BH77" s="58">
        <f>'2022'!AX6</f>
        <v>0</v>
      </c>
      <c r="BI77" s="58">
        <f>'2022'!AY6</f>
        <v>0</v>
      </c>
      <c r="BJ77" s="58">
        <f>'2022'!AZ6</f>
        <v>0</v>
      </c>
      <c r="BK77" s="57">
        <f>'2022'!BA6</f>
        <v>0</v>
      </c>
      <c r="BL77" s="57">
        <f>'2022'!BB6</f>
        <v>3266</v>
      </c>
      <c r="BM77" s="57">
        <f>'2022'!BC6</f>
        <v>0</v>
      </c>
      <c r="BN77" s="57">
        <f>'2022'!BD6</f>
        <v>0</v>
      </c>
      <c r="BO77" s="59">
        <f>'2022'!BE6</f>
        <v>22</v>
      </c>
      <c r="BP77" s="56">
        <f>'2022'!BF6</f>
        <v>0</v>
      </c>
      <c r="BQ77" s="57">
        <f>'2022'!BG6</f>
        <v>2847</v>
      </c>
      <c r="BR77" s="57">
        <f>'2022'!BH6</f>
        <v>0</v>
      </c>
      <c r="BS77" s="57">
        <f>'2022'!BI6</f>
        <v>28</v>
      </c>
      <c r="BT77" s="57">
        <f>'2022'!BJ6</f>
        <v>0</v>
      </c>
      <c r="BU77" s="57">
        <f>'2022'!BK6</f>
        <v>0</v>
      </c>
      <c r="BV77" s="58">
        <f>'2022'!BL6</f>
        <v>0</v>
      </c>
      <c r="BW77" s="58">
        <f>'2022'!BM6</f>
        <v>0</v>
      </c>
      <c r="BX77" s="58">
        <f>'2022'!BN6</f>
        <v>0</v>
      </c>
      <c r="BY77" s="58">
        <f>'2022'!BO6</f>
        <v>0</v>
      </c>
      <c r="BZ77" s="57">
        <f>'2022'!BP6</f>
        <v>0</v>
      </c>
      <c r="CA77" s="57">
        <f>'2022'!BQ6</f>
        <v>3284</v>
      </c>
      <c r="CB77" s="57">
        <f>'2022'!BR6</f>
        <v>0</v>
      </c>
      <c r="CC77" s="57">
        <f>'2022'!BS6</f>
        <v>0</v>
      </c>
      <c r="CD77" s="59">
        <f>'2022'!BT6</f>
        <v>25</v>
      </c>
      <c r="CE77" s="56">
        <f>'2022'!BU6</f>
        <v>957</v>
      </c>
      <c r="CF77" s="57">
        <f>'2022'!BV6</f>
        <v>2068</v>
      </c>
      <c r="CG77" s="57">
        <f>'2022'!BW6</f>
        <v>10</v>
      </c>
      <c r="CH77" s="57">
        <f>'2022'!BX6</f>
        <v>24</v>
      </c>
      <c r="CI77" s="57">
        <f>'2022'!BY6</f>
        <v>173</v>
      </c>
      <c r="CJ77" s="57">
        <f>'2022'!BZ6</f>
        <v>28</v>
      </c>
      <c r="CK77" s="58">
        <f>'2022'!CA6</f>
        <v>5.5</v>
      </c>
      <c r="CL77" s="58">
        <f>'2022'!CB6</f>
        <v>66.400000000000006</v>
      </c>
      <c r="CM77" s="58">
        <f>'2022'!CC6</f>
        <v>4.1900000000000004</v>
      </c>
      <c r="CN77" s="58">
        <f>'2022'!CD6</f>
        <v>45.4</v>
      </c>
      <c r="CO77" s="57">
        <f>'2022'!CE6</f>
        <v>203</v>
      </c>
      <c r="CP77" s="57">
        <f>'2022'!CF6</f>
        <v>3060</v>
      </c>
      <c r="CQ77" s="57">
        <f>'2022'!CG6</f>
        <v>29</v>
      </c>
      <c r="CR77" s="57">
        <f>'2022'!CH6</f>
        <v>0</v>
      </c>
      <c r="CS77" s="59">
        <f>'2022'!CI6</f>
        <v>22</v>
      </c>
      <c r="CT77" s="56">
        <f>'2022'!CJ6</f>
        <v>1032</v>
      </c>
      <c r="CU77" s="57">
        <f>'2022'!CK6</f>
        <v>2051</v>
      </c>
      <c r="CV77" s="57">
        <f>'2022'!CL6</f>
        <v>9</v>
      </c>
      <c r="CW77" s="57">
        <f>'2022'!CM6</f>
        <v>21</v>
      </c>
      <c r="CX77" s="57">
        <f>'2022'!CN6</f>
        <v>188</v>
      </c>
      <c r="CY77" s="57">
        <f>'2022'!CO6</f>
        <v>44</v>
      </c>
      <c r="CZ77" s="58">
        <f>'2022'!CP6</f>
        <v>5.5</v>
      </c>
      <c r="DA77" s="58">
        <f>'2022'!CQ6</f>
        <v>78.400000000000006</v>
      </c>
      <c r="DB77" s="58">
        <f>'2022'!CR6</f>
        <v>3.4</v>
      </c>
      <c r="DC77" s="58">
        <f>'2022'!CS6</f>
        <v>39.700000000000003</v>
      </c>
      <c r="DD77" s="57">
        <f>'2022'!CT6</f>
        <v>193</v>
      </c>
      <c r="DE77" s="57">
        <f>'2022'!CU6</f>
        <v>2341</v>
      </c>
      <c r="DF77" s="57">
        <f>'2022'!CV6</f>
        <v>20</v>
      </c>
      <c r="DG77" s="57">
        <f>'2022'!CW6</f>
        <v>0</v>
      </c>
      <c r="DH77" s="59">
        <f>'2022'!CX6</f>
        <v>20</v>
      </c>
      <c r="DI77" s="56">
        <f>'2022'!CY6</f>
        <v>1016</v>
      </c>
      <c r="DJ77" s="57">
        <f>'2022'!CZ6</f>
        <v>2196</v>
      </c>
      <c r="DK77" s="57">
        <f>'2022'!DA6</f>
        <v>6</v>
      </c>
      <c r="DL77" s="57">
        <f>'2022'!DB6</f>
        <v>17</v>
      </c>
      <c r="DM77" s="57">
        <f>'2022'!DC6</f>
        <v>178</v>
      </c>
      <c r="DN77" s="57">
        <f>'2022'!DD6</f>
        <v>56</v>
      </c>
      <c r="DO77" s="58">
        <f>'2022'!DE6</f>
        <v>5.7</v>
      </c>
      <c r="DP77" s="58">
        <f>'2022'!DF6</f>
        <v>120</v>
      </c>
      <c r="DQ77" s="58">
        <f>'2022'!DG6</f>
        <v>3.63</v>
      </c>
      <c r="DR77" s="58">
        <f>'2022'!DH6</f>
        <v>45.6</v>
      </c>
      <c r="DS77" s="57">
        <f>'2022'!DI6</f>
        <v>189</v>
      </c>
      <c r="DT77" s="57">
        <f>'2022'!DJ6</f>
        <v>2503</v>
      </c>
      <c r="DU77" s="57">
        <f>'2022'!DK6</f>
        <v>25</v>
      </c>
      <c r="DV77" s="57">
        <f>'2022'!DL6</f>
        <v>0</v>
      </c>
      <c r="DW77" s="59">
        <f>'2022'!DM6</f>
        <v>19</v>
      </c>
    </row>
    <row r="78" spans="1:127" ht="15.75" customHeight="1" x14ac:dyDescent="0.2">
      <c r="A78" s="33">
        <f t="shared" si="12"/>
        <v>76</v>
      </c>
      <c r="B78" s="11">
        <f>'2019'!A8</f>
        <v>6</v>
      </c>
      <c r="C78" s="11">
        <v>2019</v>
      </c>
      <c r="D78" s="34" t="str">
        <f>'2019'!B8</f>
        <v>Damien Harris</v>
      </c>
      <c r="E78" s="224" t="str" cm="1">
        <f t="array" ref="E78">_xlfn.IFS(F78&gt;=13,"Cornerstone",AND(F78&gt;=12,F78&lt;13),"Elite",AND(F78&gt;=11,F78&lt;12),"Elite Upside",AND(F78&gt;=9,F78&lt;11),"Upside",AND(F78&gt;=7,F78&lt;9),"Upside Lite",AND(F78&gt;=6,F78&lt;7),"Outlier",AND(F78&gt;=5,F78&lt;6),"Outlier Lite",F78&lt;5,"Purgatory")</f>
        <v>Upside</v>
      </c>
      <c r="F78" s="14">
        <f>'2019'!C8</f>
        <v>9.18888888888889</v>
      </c>
      <c r="G78" s="14">
        <f t="shared" si="19"/>
        <v>76.7</v>
      </c>
      <c r="H78" s="35">
        <f t="shared" si="13"/>
        <v>0.50214740576440142</v>
      </c>
      <c r="I78" s="36" t="str">
        <f>'2019'!D8</f>
        <v>Alabama</v>
      </c>
      <c r="J78" s="37">
        <f>'2019'!E8</f>
        <v>1</v>
      </c>
      <c r="K78" s="38">
        <f>'2019'!F8</f>
        <v>35472</v>
      </c>
      <c r="L78" s="39">
        <f>'2019'!G8</f>
        <v>28.643835616438356</v>
      </c>
      <c r="M78" s="39" t="str">
        <f>'2019'!H8</f>
        <v>SR</v>
      </c>
      <c r="N78" s="39">
        <f>'2019'!I8</f>
        <v>22.213698630136985</v>
      </c>
      <c r="O78" s="39" t="str">
        <f t="shared" si="14"/>
        <v>BELL CALF</v>
      </c>
      <c r="P78" s="39" t="str">
        <f t="shared" si="17"/>
        <v>HORSE</v>
      </c>
      <c r="Q78" s="37">
        <f>'2019'!J8</f>
        <v>70</v>
      </c>
      <c r="R78" s="37">
        <f>'2019'!K8</f>
        <v>216</v>
      </c>
      <c r="S78" s="39">
        <f t="shared" si="18"/>
        <v>30.9924296583287</v>
      </c>
      <c r="T78" s="37">
        <f>'2019'!L8</f>
        <v>4.57</v>
      </c>
      <c r="U78" s="40">
        <f>'2019'!M8</f>
        <v>3</v>
      </c>
      <c r="V78" s="41">
        <f>'2019'!N8</f>
        <v>0</v>
      </c>
      <c r="W78" s="42">
        <f>'2019'!O8</f>
        <v>2.6693724633156415E-2</v>
      </c>
      <c r="X78" s="42">
        <f>'2019'!P8</f>
        <v>0.16620295797334894</v>
      </c>
      <c r="Y78" s="42">
        <f>'2019'!Q8</f>
        <v>0.1753257198005469</v>
      </c>
      <c r="Z78" s="42">
        <f>'2019'!R8</f>
        <v>0.13729246487867178</v>
      </c>
      <c r="AA78" s="42">
        <f>'2019'!S8</f>
        <v>0.15630909233960932</v>
      </c>
      <c r="AB78" s="42">
        <f>'2019'!T8</f>
        <v>0.15630909233960932</v>
      </c>
      <c r="AC78" s="42">
        <f>'2019'!U8</f>
        <v>3.3604135893648447E-2</v>
      </c>
      <c r="AD78" s="42">
        <f>'2019'!V8</f>
        <v>4.2027194066749075E-2</v>
      </c>
      <c r="AE78" s="42">
        <f>'2019'!W8</f>
        <v>4.2027194066749075E-2</v>
      </c>
      <c r="AF78" s="43">
        <f>'2019'!X8</f>
        <v>4.2027194066749075E-2</v>
      </c>
      <c r="AG78" s="44">
        <f>'2019'!Y8</f>
        <v>19.567123287671233</v>
      </c>
      <c r="AH78" s="45">
        <f>'2019'!Z8</f>
        <v>99.041896205453625</v>
      </c>
      <c r="AI78" s="45">
        <f>'2019'!AA8</f>
        <v>30.98938775510204</v>
      </c>
      <c r="AJ78" s="45">
        <f>'2019'!AB8</f>
        <v>0.24444444444444444</v>
      </c>
      <c r="AK78" s="45">
        <f>'2019'!AC8</f>
        <v>7.4</v>
      </c>
      <c r="AL78" s="45">
        <f t="shared" si="15"/>
        <v>7.8461538461538458</v>
      </c>
      <c r="AM78" s="45">
        <f t="shared" si="16"/>
        <v>0.12865497076023391</v>
      </c>
      <c r="AN78" s="45">
        <f>'2019'!AD8</f>
        <v>125.2</v>
      </c>
      <c r="AO78" s="45">
        <f>'2019'!AE8</f>
        <v>4.84</v>
      </c>
      <c r="AP78" s="46">
        <f>'2019'!AF8</f>
        <v>45.8</v>
      </c>
      <c r="AQ78" s="47">
        <f>'2019'!AG8</f>
        <v>2</v>
      </c>
      <c r="AR78" s="48">
        <f>'2019'!AH8</f>
        <v>4</v>
      </c>
      <c r="AS78" s="48">
        <f>'2019'!AI8</f>
        <v>6</v>
      </c>
      <c r="AT78" s="48">
        <f t="shared" si="20"/>
        <v>5</v>
      </c>
      <c r="AU78" s="48">
        <f>'2019'!AK8</f>
        <v>6</v>
      </c>
      <c r="AV78" s="48">
        <f>'2019'!AL8</f>
        <v>8</v>
      </c>
      <c r="AW78" s="48">
        <f>'2019'!AM8</f>
        <v>6</v>
      </c>
      <c r="AX78" s="48">
        <f>'2019'!AN8</f>
        <v>8</v>
      </c>
      <c r="AY78" s="49">
        <f>IF(U78=1,10,IF(U78=2,7,IF(U78=3,6,IF(U78=4,4,IF(U78=5,3,IF(U78=6,2,IF(U78=7,1,IF(U78=0,0,"-"))))))))</f>
        <v>6</v>
      </c>
      <c r="AZ78" s="50">
        <f>'2019'!AP8</f>
        <v>1</v>
      </c>
      <c r="BA78" s="56">
        <f>'2019'!AQ8</f>
        <v>0</v>
      </c>
      <c r="BB78" s="57">
        <f>'2019'!AR8</f>
        <v>2893</v>
      </c>
      <c r="BC78" s="57">
        <f>'2019'!AS8</f>
        <v>0</v>
      </c>
      <c r="BD78" s="57">
        <f>'2019'!AT8</f>
        <v>35</v>
      </c>
      <c r="BE78" s="57">
        <f>'2019'!AU8</f>
        <v>0</v>
      </c>
      <c r="BF78" s="57">
        <f>'2019'!AV8</f>
        <v>0</v>
      </c>
      <c r="BG78" s="58">
        <f>'2019'!AW8</f>
        <v>0</v>
      </c>
      <c r="BH78" s="58">
        <f>'2019'!AX8</f>
        <v>0</v>
      </c>
      <c r="BI78" s="58">
        <f>'2019'!AY8</f>
        <v>0</v>
      </c>
      <c r="BJ78" s="58">
        <f>'2019'!AZ8</f>
        <v>0</v>
      </c>
      <c r="BK78" s="57">
        <f>'2019'!BA8</f>
        <v>0</v>
      </c>
      <c r="BL78" s="57">
        <f>'2019'!BB8</f>
        <v>3890</v>
      </c>
      <c r="BM78" s="57">
        <f>'2019'!BC8</f>
        <v>0</v>
      </c>
      <c r="BN78" s="57">
        <f>'2019'!BD8</f>
        <v>0</v>
      </c>
      <c r="BO78" s="59">
        <f>'2019'!BE8</f>
        <v>32</v>
      </c>
      <c r="BP78" s="56">
        <f>'2019'!BF8</f>
        <v>157</v>
      </c>
      <c r="BQ78" s="57">
        <f>'2019'!BG8</f>
        <v>2999</v>
      </c>
      <c r="BR78" s="57">
        <f>'2019'!BH8</f>
        <v>1</v>
      </c>
      <c r="BS78" s="57">
        <f>'2019'!BI8</f>
        <v>33</v>
      </c>
      <c r="BT78" s="57">
        <f>'2019'!BJ8</f>
        <v>46</v>
      </c>
      <c r="BU78" s="57">
        <f>'2019'!BK8</f>
        <v>6</v>
      </c>
      <c r="BV78" s="58">
        <f>'2019'!BL8</f>
        <v>3.4</v>
      </c>
      <c r="BW78" s="58">
        <f>'2019'!BM8</f>
        <v>32.299999999999997</v>
      </c>
      <c r="BX78" s="58">
        <f>'2019'!BN8</f>
        <v>2.2999999999999998</v>
      </c>
      <c r="BY78" s="58">
        <f>'2019'!BO8</f>
        <v>26.1</v>
      </c>
      <c r="BZ78" s="57">
        <f>'2019'!BP8</f>
        <v>14</v>
      </c>
      <c r="CA78" s="57">
        <f>'2019'!BQ8</f>
        <v>3407</v>
      </c>
      <c r="CB78" s="57">
        <f>'2019'!BR8</f>
        <v>4</v>
      </c>
      <c r="CC78" s="57">
        <f>'2019'!BS8</f>
        <v>0</v>
      </c>
      <c r="CD78" s="59">
        <f>'2019'!BT8</f>
        <v>22</v>
      </c>
      <c r="CE78" s="56">
        <f>'2019'!BU8</f>
        <v>1036</v>
      </c>
      <c r="CF78" s="57">
        <f>'2019'!BV8</f>
        <v>3675</v>
      </c>
      <c r="CG78" s="57">
        <f>'2019'!BW8</f>
        <v>2</v>
      </c>
      <c r="CH78" s="57">
        <f>'2019'!BX8</f>
        <v>33</v>
      </c>
      <c r="CI78" s="57">
        <f>'2019'!BY8</f>
        <v>145</v>
      </c>
      <c r="CJ78" s="57">
        <f>'2019'!BZ8</f>
        <v>32</v>
      </c>
      <c r="CK78" s="58">
        <f>'2019'!CA8</f>
        <v>7.1</v>
      </c>
      <c r="CL78" s="58">
        <f>'2019'!CB8</f>
        <v>85.9</v>
      </c>
      <c r="CM78" s="58">
        <f>'2019'!CC8</f>
        <v>3.69</v>
      </c>
      <c r="CN78" s="58">
        <f>'2019'!CD8</f>
        <v>45.8</v>
      </c>
      <c r="CO78" s="57">
        <f>'2019'!CE8</f>
        <v>99</v>
      </c>
      <c r="CP78" s="57">
        <f>'2019'!CF8</f>
        <v>3154</v>
      </c>
      <c r="CQ78" s="57">
        <f>'2019'!CG8</f>
        <v>14</v>
      </c>
      <c r="CR78" s="57">
        <f>'2019'!CH8</f>
        <v>0</v>
      </c>
      <c r="CS78" s="59">
        <f>'2019'!CI8</f>
        <v>26</v>
      </c>
      <c r="CT78" s="56">
        <f>'2019'!CJ8</f>
        <v>999</v>
      </c>
      <c r="CU78" s="57">
        <f>'2019'!CK8</f>
        <v>3509</v>
      </c>
      <c r="CV78" s="57">
        <f>'2019'!CL8</f>
        <v>11</v>
      </c>
      <c r="CW78" s="57">
        <f>'2019'!CM8</f>
        <v>36</v>
      </c>
      <c r="CX78" s="57">
        <f>'2019'!CN8</f>
        <v>135</v>
      </c>
      <c r="CY78" s="57">
        <f>'2019'!CO8</f>
        <v>33</v>
      </c>
      <c r="CZ78" s="58">
        <f>'2019'!CP8</f>
        <v>7.4</v>
      </c>
      <c r="DA78" s="58">
        <f>'2019'!CQ8</f>
        <v>125.2</v>
      </c>
      <c r="DB78" s="58">
        <f>'2019'!CR8</f>
        <v>4.84</v>
      </c>
      <c r="DC78" s="58">
        <f>'2019'!CS8</f>
        <v>45.4</v>
      </c>
      <c r="DD78" s="57">
        <f>'2019'!CT8</f>
        <v>91</v>
      </c>
      <c r="DE78" s="57">
        <f>'2019'!CU8</f>
        <v>2708</v>
      </c>
      <c r="DF78" s="57">
        <f>'2019'!CV8</f>
        <v>12</v>
      </c>
      <c r="DG78" s="57">
        <f>'2019'!CW8</f>
        <v>0</v>
      </c>
      <c r="DH78" s="59">
        <f>'2019'!CX8</f>
        <v>28</v>
      </c>
      <c r="DI78" s="56">
        <f>'2019'!CY8</f>
        <v>871</v>
      </c>
      <c r="DJ78" s="57">
        <f>'2019'!CZ8</f>
        <v>2976</v>
      </c>
      <c r="DK78" s="57">
        <f>'2019'!DA8</f>
        <v>9</v>
      </c>
      <c r="DL78" s="57">
        <f>'2019'!DB8</f>
        <v>33</v>
      </c>
      <c r="DM78" s="57">
        <f>'2019'!DC8</f>
        <v>149</v>
      </c>
      <c r="DN78" s="57">
        <f>'2019'!DD8</f>
        <v>22</v>
      </c>
      <c r="DO78" s="58">
        <f>'2019'!DE8</f>
        <v>5.8</v>
      </c>
      <c r="DP78" s="58">
        <f>'2019'!DF8</f>
        <v>49.9</v>
      </c>
      <c r="DQ78" s="58">
        <f>'2019'!DG8</f>
        <v>3.16</v>
      </c>
      <c r="DR78" s="58">
        <f>'2019'!DH8</f>
        <v>39.5</v>
      </c>
      <c r="DS78" s="57">
        <f>'2019'!DI8</f>
        <v>204</v>
      </c>
      <c r="DT78" s="57">
        <f>'2019'!DJ8</f>
        <v>4854</v>
      </c>
      <c r="DU78" s="57">
        <f>'2019'!DK8</f>
        <v>22</v>
      </c>
      <c r="DV78" s="57">
        <f>'2019'!DL8</f>
        <v>0</v>
      </c>
      <c r="DW78" s="59">
        <f>'2019'!DM8</f>
        <v>52</v>
      </c>
    </row>
    <row r="79" spans="1:127" ht="15.75" customHeight="1" x14ac:dyDescent="0.2">
      <c r="A79" s="33">
        <f t="shared" si="12"/>
        <v>77</v>
      </c>
      <c r="B79" s="11">
        <f>'2023'!A9</f>
        <v>7</v>
      </c>
      <c r="C79" s="11">
        <v>2023</v>
      </c>
      <c r="D79" s="34" t="str">
        <f>'2023'!B9</f>
        <v>Kendre Miller</v>
      </c>
      <c r="E79" s="224" t="str" cm="1">
        <f t="array" ref="E79">_xlfn.IFS(F79&gt;=13,"Cornerstone",AND(F79&gt;=12,F79&lt;13),"Elite",AND(F79&gt;=11,F79&lt;12),"Elite Upside",AND(F79&gt;=9,F79&lt;11),"Upside",AND(F79&gt;=7,F79&lt;9),"Upside Lite",AND(F79&gt;=6,F79&lt;7),"Outlier",AND(F79&gt;=5,F79&lt;6),"Outlier Lite",F79&lt;5,"Purgatory")</f>
        <v>Upside</v>
      </c>
      <c r="F79" s="14">
        <f>'2023'!C9</f>
        <v>9.0888888888888903</v>
      </c>
      <c r="G79" s="14">
        <f t="shared" si="19"/>
        <v>76.400000000000006</v>
      </c>
      <c r="H79" s="35">
        <f t="shared" si="13"/>
        <v>0.45982489934043763</v>
      </c>
      <c r="I79" s="36" t="str">
        <f>'2023'!D9</f>
        <v>TCU</v>
      </c>
      <c r="J79" s="37">
        <f>'2023'!E9</f>
        <v>3</v>
      </c>
      <c r="K79" s="38">
        <f>'2023'!F9</f>
        <v>37418</v>
      </c>
      <c r="L79" s="39">
        <f>'2023'!G9</f>
        <v>23.312328767123287</v>
      </c>
      <c r="M79" s="39" t="str">
        <f>'2023'!H9</f>
        <v>JR</v>
      </c>
      <c r="N79" s="39">
        <f>'2023'!I9</f>
        <v>20.890410958904109</v>
      </c>
      <c r="O79" s="39" t="str">
        <f t="shared" si="14"/>
        <v>BELL COW</v>
      </c>
      <c r="P79" s="39" t="str">
        <f t="shared" si="17"/>
        <v>3DOWN</v>
      </c>
      <c r="Q79" s="37">
        <f>'2023'!J9</f>
        <v>71</v>
      </c>
      <c r="R79" s="37">
        <f>'2023'!K9</f>
        <v>215</v>
      </c>
      <c r="S79" s="39">
        <f t="shared" si="18"/>
        <v>29.986081396483367</v>
      </c>
      <c r="T79" s="37">
        <f>'2023'!L9</f>
        <v>4.58</v>
      </c>
      <c r="U79" s="40">
        <f>'2023'!M9</f>
        <v>3</v>
      </c>
      <c r="V79" s="41">
        <f>'2023'!N9</f>
        <v>0</v>
      </c>
      <c r="W79" s="42">
        <f>'2023'!O9</f>
        <v>0</v>
      </c>
      <c r="X79" s="42">
        <f>'2023'!P9</f>
        <v>9.4403892944038933E-2</v>
      </c>
      <c r="Y79" s="42">
        <f>'2023'!Q9</f>
        <v>0.14318885448916407</v>
      </c>
      <c r="Z79" s="42">
        <f>'2023'!R9</f>
        <v>0.22197802197802197</v>
      </c>
      <c r="AA79" s="42">
        <f>'2023'!S9</f>
        <v>0.22197802197802197</v>
      </c>
      <c r="AB79" s="42">
        <f>'2023'!T9</f>
        <v>0.19978021978021979</v>
      </c>
      <c r="AC79" s="42">
        <f>'2023'!U9</f>
        <v>4.1226215644820298E-2</v>
      </c>
      <c r="AD79" s="42">
        <f>'2023'!V9</f>
        <v>2.9546612328069283E-2</v>
      </c>
      <c r="AE79" s="42">
        <f>'2023'!W9</f>
        <v>3.5386413986444792E-2</v>
      </c>
      <c r="AF79" s="43">
        <f>'2023'!X9</f>
        <v>3.1847772587800312E-2</v>
      </c>
      <c r="AG79" s="44">
        <f>'2023'!Y9</f>
        <v>20.246575342465754</v>
      </c>
      <c r="AH79" s="45">
        <f>'2023'!Z9</f>
        <v>97.725194521054249</v>
      </c>
      <c r="AI79" s="45">
        <f>'2023'!AA9</f>
        <v>29.983138266217022</v>
      </c>
      <c r="AJ79" s="45">
        <f>'2023'!AB9</f>
        <v>0.33734939759036142</v>
      </c>
      <c r="AK79" s="45">
        <f>'2023'!AC9</f>
        <v>7.5</v>
      </c>
      <c r="AL79" s="45">
        <f t="shared" si="15"/>
        <v>7.8965517241379306</v>
      </c>
      <c r="AM79" s="45">
        <f t="shared" si="16"/>
        <v>6.6666666666666666E-2</v>
      </c>
      <c r="AN79" s="45">
        <f>'2023'!AD9</f>
        <v>181.1</v>
      </c>
      <c r="AO79" s="45">
        <f>'2023'!AE9</f>
        <v>5.0599999999999996</v>
      </c>
      <c r="AP79" s="46">
        <f>'2023'!AF9</f>
        <v>60.5</v>
      </c>
      <c r="AQ79" s="47">
        <f>'2023'!AG9</f>
        <v>3</v>
      </c>
      <c r="AR79" s="48">
        <f>'2023'!AH9</f>
        <v>3</v>
      </c>
      <c r="AS79" s="48">
        <f>'2023'!AI9</f>
        <v>4</v>
      </c>
      <c r="AT79" s="48">
        <f t="shared" si="20"/>
        <v>4</v>
      </c>
      <c r="AU79" s="48">
        <f>'2023'!AK9</f>
        <v>9</v>
      </c>
      <c r="AV79" s="48">
        <f>'2023'!AL9</f>
        <v>8</v>
      </c>
      <c r="AW79" s="48">
        <f>'2023'!AM9</f>
        <v>8</v>
      </c>
      <c r="AX79" s="48">
        <f>'2023'!AN9</f>
        <v>8</v>
      </c>
      <c r="AY79" s="49">
        <f>'2023'!AO9</f>
        <v>6</v>
      </c>
      <c r="AZ79" s="50">
        <f>'2023'!AP9</f>
        <v>0.25</v>
      </c>
      <c r="BA79" s="56">
        <f>'2023'!AQ9</f>
        <v>0</v>
      </c>
      <c r="BB79" s="57">
        <f>'2023'!AR9</f>
        <v>2036</v>
      </c>
      <c r="BC79" s="57">
        <f>'2023'!AS9</f>
        <v>0</v>
      </c>
      <c r="BD79" s="57">
        <f>'2023'!AT9</f>
        <v>14</v>
      </c>
      <c r="BE79" s="57">
        <f>'2023'!AU9</f>
        <v>0</v>
      </c>
      <c r="BF79" s="57">
        <f>'2023'!AV9</f>
        <v>0</v>
      </c>
      <c r="BG79" s="58">
        <f>'2023'!AW9</f>
        <v>0</v>
      </c>
      <c r="BH79" s="58">
        <f>'2023'!AX9</f>
        <v>0</v>
      </c>
      <c r="BI79" s="58">
        <f>'2023'!AY9</f>
        <v>0</v>
      </c>
      <c r="BJ79" s="58">
        <f>'2023'!AZ9</f>
        <v>0</v>
      </c>
      <c r="BK79" s="57">
        <f>'2023'!BA9</f>
        <v>0</v>
      </c>
      <c r="BL79" s="57">
        <f>'2023'!BB9</f>
        <v>2749</v>
      </c>
      <c r="BM79" s="57">
        <f>'2023'!BC9</f>
        <v>0</v>
      </c>
      <c r="BN79" s="57">
        <f>'2023'!BD9</f>
        <v>0</v>
      </c>
      <c r="BO79" s="59">
        <f>'2023'!BE9</f>
        <v>18</v>
      </c>
      <c r="BP79" s="56">
        <f>'2023'!BF9</f>
        <v>0</v>
      </c>
      <c r="BQ79" s="57">
        <f>'2023'!BG9</f>
        <v>2448</v>
      </c>
      <c r="BR79" s="57">
        <f>'2023'!BH9</f>
        <v>0</v>
      </c>
      <c r="BS79" s="57">
        <f>'2023'!BI9</f>
        <v>23</v>
      </c>
      <c r="BT79" s="57">
        <f>'2023'!BJ9</f>
        <v>0</v>
      </c>
      <c r="BU79" s="57">
        <f>'2023'!BK9</f>
        <v>0</v>
      </c>
      <c r="BV79" s="58">
        <f>'2023'!BL9</f>
        <v>0</v>
      </c>
      <c r="BW79" s="58">
        <f>'2023'!BM9</f>
        <v>0</v>
      </c>
      <c r="BX79" s="58">
        <f>'2023'!BN9</f>
        <v>0</v>
      </c>
      <c r="BY79" s="58">
        <f>'2023'!BO9</f>
        <v>0</v>
      </c>
      <c r="BZ79" s="57">
        <f>'2023'!BP9</f>
        <v>0</v>
      </c>
      <c r="CA79" s="57">
        <f>'2023'!BQ9</f>
        <v>2444</v>
      </c>
      <c r="CB79" s="57">
        <f>'2023'!BR9</f>
        <v>0</v>
      </c>
      <c r="CC79" s="57">
        <f>'2023'!BS9</f>
        <v>0</v>
      </c>
      <c r="CD79" s="59">
        <f>'2023'!BT9</f>
        <v>15</v>
      </c>
      <c r="CE79" s="56">
        <f>'2023'!BU9</f>
        <v>392</v>
      </c>
      <c r="CF79" s="57">
        <f>'2023'!BV9</f>
        <v>2147</v>
      </c>
      <c r="CG79" s="57">
        <f>'2023'!BW9</f>
        <v>2</v>
      </c>
      <c r="CH79" s="57">
        <f>'2023'!BX9</f>
        <v>23</v>
      </c>
      <c r="CI79" s="57">
        <f>'2023'!BY9</f>
        <v>54</v>
      </c>
      <c r="CJ79" s="57">
        <f>'2023'!BZ9</f>
        <v>14</v>
      </c>
      <c r="CK79" s="58">
        <f>'2023'!CA9</f>
        <v>7.3</v>
      </c>
      <c r="CL79" s="58">
        <f>'2023'!CB9</f>
        <v>68.400000000000006</v>
      </c>
      <c r="CM79" s="58">
        <f>'2023'!CC9</f>
        <v>2.69</v>
      </c>
      <c r="CN79" s="58">
        <f>'2023'!CD9</f>
        <v>48.2</v>
      </c>
      <c r="CO79" s="57">
        <f>'2023'!CE9</f>
        <v>-4</v>
      </c>
      <c r="CP79" s="57">
        <f>'2023'!CF9</f>
        <v>1963</v>
      </c>
      <c r="CQ79" s="57">
        <f>'2023'!CG9</f>
        <v>1</v>
      </c>
      <c r="CR79" s="57">
        <f>'2023'!CH9</f>
        <v>0</v>
      </c>
      <c r="CS79" s="59">
        <f>'2023'!CI9</f>
        <v>11</v>
      </c>
      <c r="CT79" s="56">
        <f>'2023'!CJ9</f>
        <v>623</v>
      </c>
      <c r="CU79" s="57">
        <f>'2023'!CK9</f>
        <v>2330</v>
      </c>
      <c r="CV79" s="57">
        <f>'2023'!CL9</f>
        <v>7</v>
      </c>
      <c r="CW79" s="57">
        <f>'2023'!CM9</f>
        <v>21</v>
      </c>
      <c r="CX79" s="57">
        <f>'2023'!CN9</f>
        <v>83</v>
      </c>
      <c r="CY79" s="57">
        <f>'2023'!CO9</f>
        <v>28</v>
      </c>
      <c r="CZ79" s="58">
        <f>'2023'!CP9</f>
        <v>7.5</v>
      </c>
      <c r="DA79" s="58">
        <f>'2023'!CQ9</f>
        <v>181.1</v>
      </c>
      <c r="DB79" s="58">
        <f>'2023'!CR9</f>
        <v>5.0599999999999996</v>
      </c>
      <c r="DC79" s="58">
        <f>'2023'!CS9</f>
        <v>60.5</v>
      </c>
      <c r="DD79" s="57">
        <f>'2023'!CT9</f>
        <v>117</v>
      </c>
      <c r="DE79" s="57">
        <f>'2023'!CU9</f>
        <v>2838</v>
      </c>
      <c r="DF79" s="57">
        <f>'2023'!CV9</f>
        <v>12</v>
      </c>
      <c r="DG79" s="57">
        <f>'2023'!CW9</f>
        <v>0</v>
      </c>
      <c r="DH79" s="59">
        <f>'2023'!CX9</f>
        <v>19</v>
      </c>
      <c r="DI79" s="56">
        <f>'2023'!CY9</f>
        <v>1399</v>
      </c>
      <c r="DJ79" s="57">
        <f>'2023'!CZ9</f>
        <v>2899</v>
      </c>
      <c r="DK79" s="57">
        <f>'2023'!DA9</f>
        <v>17</v>
      </c>
      <c r="DL79" s="57">
        <f>'2023'!DB9</f>
        <v>37</v>
      </c>
      <c r="DM79" s="57">
        <f>'2023'!DC9</f>
        <v>224</v>
      </c>
      <c r="DN79" s="57">
        <f>'2023'!DD9</f>
        <v>70</v>
      </c>
      <c r="DO79" s="58">
        <f>'2023'!DE9</f>
        <v>6.2</v>
      </c>
      <c r="DP79" s="58">
        <f>'2023'!DF9</f>
        <v>119.9</v>
      </c>
      <c r="DQ79" s="58">
        <f>'2023'!DG9</f>
        <v>3.64</v>
      </c>
      <c r="DR79" s="58">
        <f>'2023'!DH9</f>
        <v>44.8</v>
      </c>
      <c r="DS79" s="57">
        <f>'2023'!DI9</f>
        <v>116</v>
      </c>
      <c r="DT79" s="57">
        <f>'2023'!DJ9</f>
        <v>3926</v>
      </c>
      <c r="DU79" s="57">
        <f>'2023'!DK9</f>
        <v>16</v>
      </c>
      <c r="DV79" s="57">
        <f>'2023'!DL9</f>
        <v>0</v>
      </c>
      <c r="DW79" s="59">
        <f>'2023'!DM9</f>
        <v>33</v>
      </c>
    </row>
    <row r="80" spans="1:127" ht="15.75" customHeight="1" x14ac:dyDescent="0.2">
      <c r="A80" s="33">
        <f t="shared" si="12"/>
        <v>78</v>
      </c>
      <c r="B80" s="11">
        <f>'2015'!A9</f>
        <v>7</v>
      </c>
      <c r="C80" s="11">
        <v>2015</v>
      </c>
      <c r="D80" s="34" t="str">
        <f>'2015'!B9</f>
        <v>Ameer Abdullah</v>
      </c>
      <c r="E80" s="224" t="str" cm="1">
        <f t="array" ref="E80">_xlfn.IFS(F80&gt;=13,"Cornerstone",AND(F80&gt;=12,F80&lt;13),"Elite",AND(F80&gt;=11,F80&lt;12),"Elite Upside",AND(F80&gt;=9,F80&lt;11),"Upside",AND(F80&gt;=7,F80&lt;9),"Upside Lite",AND(F80&gt;=6,F80&lt;7),"Outlier",AND(F80&gt;=5,F80&lt;6),"Outlier Lite",F80&lt;5,"Purgatory")</f>
        <v>Upside Lite</v>
      </c>
      <c r="F80" s="14">
        <f>'2015'!C9</f>
        <v>8.93888888888889</v>
      </c>
      <c r="G80" s="14">
        <f t="shared" si="19"/>
        <v>76.099999999999994</v>
      </c>
      <c r="H80" s="35">
        <f t="shared" si="13"/>
        <v>0.39634113970449159</v>
      </c>
      <c r="I80" s="36" t="str">
        <f>'2015'!D9</f>
        <v>Nebraska</v>
      </c>
      <c r="J80" s="37">
        <f>'2015'!E9</f>
        <v>2</v>
      </c>
      <c r="K80" s="38">
        <f>'2015'!F9</f>
        <v>34133</v>
      </c>
      <c r="L80" s="39">
        <f>'2015'!G9</f>
        <v>32.31232876712329</v>
      </c>
      <c r="M80" s="39" t="str">
        <f>'2015'!H9</f>
        <v>SR</v>
      </c>
      <c r="N80" s="39">
        <f>'2015'!I9</f>
        <v>21.884931506849316</v>
      </c>
      <c r="O80" s="39" t="str">
        <f t="shared" si="14"/>
        <v>BELL CALF</v>
      </c>
      <c r="P80" s="39" t="str">
        <f t="shared" si="17"/>
        <v>PLODDER</v>
      </c>
      <c r="Q80" s="37">
        <f>'2015'!J9</f>
        <v>69</v>
      </c>
      <c r="R80" s="37">
        <f>'2015'!K9</f>
        <v>205</v>
      </c>
      <c r="S80" s="39">
        <f t="shared" si="18"/>
        <v>30.272872560027835</v>
      </c>
      <c r="T80" s="39">
        <f>'2015'!L9</f>
        <v>4.5999999999999996</v>
      </c>
      <c r="U80" s="55">
        <f>'2015'!M9</f>
        <v>2</v>
      </c>
      <c r="V80" s="41">
        <f>'2015'!N9</f>
        <v>0</v>
      </c>
      <c r="W80" s="42">
        <f>'2015'!O9</f>
        <v>3.2597691840453531E-2</v>
      </c>
      <c r="X80" s="42">
        <f>'2015'!P9</f>
        <v>0.2038443652146954</v>
      </c>
      <c r="Y80" s="42">
        <f>'2015'!Q9</f>
        <v>0.35851520238761425</v>
      </c>
      <c r="Z80" s="42">
        <f>'2015'!R9</f>
        <v>0.32024354155682921</v>
      </c>
      <c r="AA80" s="42">
        <f>'2015'!S9</f>
        <v>0.33937937197222173</v>
      </c>
      <c r="AB80" s="42">
        <f>'2015'!T9</f>
        <v>0.33937937197222173</v>
      </c>
      <c r="AC80" s="42">
        <f>'2015'!U9</f>
        <v>9.0731325772389515E-2</v>
      </c>
      <c r="AD80" s="42">
        <f>'2015'!V9</f>
        <v>9.7559206470097568E-2</v>
      </c>
      <c r="AE80" s="42">
        <f>'2015'!W9</f>
        <v>9.7559206470097568E-2</v>
      </c>
      <c r="AF80" s="43">
        <f>'2015'!X9</f>
        <v>9.7559206470097568E-2</v>
      </c>
      <c r="AG80" s="44">
        <f>'2015'!Y9</f>
        <v>19.232876712328768</v>
      </c>
      <c r="AH80" s="45">
        <f>'2015'!Z9</f>
        <v>91.569855739509251</v>
      </c>
      <c r="AI80" s="45">
        <f>'2015'!AA9</f>
        <v>30.269901281243438</v>
      </c>
      <c r="AJ80" s="45">
        <f>'2015'!AB9</f>
        <v>0.21673003802281368</v>
      </c>
      <c r="AK80" s="45">
        <f>'2015'!AC9</f>
        <v>6.1368821292775664</v>
      </c>
      <c r="AL80" s="45">
        <f t="shared" si="15"/>
        <v>9.0789473684210531</v>
      </c>
      <c r="AM80" s="45">
        <f t="shared" si="16"/>
        <v>7.7192982456140355E-2</v>
      </c>
      <c r="AN80" s="45">
        <f>'2015'!AD9</f>
        <v>71.3</v>
      </c>
      <c r="AO80" s="45">
        <f>'2015'!AE9</f>
        <v>3.08</v>
      </c>
      <c r="AP80" s="46">
        <f>'2015'!AF9</f>
        <v>45.9</v>
      </c>
      <c r="AQ80" s="47">
        <f>'2015'!AG9</f>
        <v>9</v>
      </c>
      <c r="AR80" s="48">
        <f>'2015'!AH9</f>
        <v>9</v>
      </c>
      <c r="AS80" s="48">
        <f>'2015'!AI9</f>
        <v>7</v>
      </c>
      <c r="AT80" s="48">
        <f>'2015'!AJ9</f>
        <v>2</v>
      </c>
      <c r="AU80" s="48">
        <f>'2015'!AK9</f>
        <v>4</v>
      </c>
      <c r="AV80" s="48">
        <f>'2015'!AL9</f>
        <v>5</v>
      </c>
      <c r="AW80" s="48">
        <f>'2015'!AM9</f>
        <v>3</v>
      </c>
      <c r="AX80" s="48">
        <f>'2015'!AN9</f>
        <v>2</v>
      </c>
      <c r="AY80" s="49">
        <f>'2015'!AO9</f>
        <v>7</v>
      </c>
      <c r="AZ80" s="50">
        <f>'2015'!AP9</f>
        <v>0</v>
      </c>
      <c r="BA80" s="56">
        <f>'2015'!AQ9</f>
        <v>0</v>
      </c>
      <c r="BB80" s="57">
        <f>'2015'!AR9</f>
        <v>1</v>
      </c>
      <c r="BC80" s="57">
        <f>'2015'!AS9</f>
        <v>0</v>
      </c>
      <c r="BD80" s="57">
        <f>'2015'!AT9</f>
        <v>0</v>
      </c>
      <c r="BE80" s="57">
        <f>'2015'!AU9</f>
        <v>0</v>
      </c>
      <c r="BF80" s="57">
        <f>'2015'!AV9</f>
        <v>0</v>
      </c>
      <c r="BG80" s="58">
        <f>'2015'!AW9</f>
        <v>0</v>
      </c>
      <c r="BH80" s="58">
        <f>'2015'!AX9</f>
        <v>0</v>
      </c>
      <c r="BI80" s="58">
        <f>'2015'!AY9</f>
        <v>0</v>
      </c>
      <c r="BJ80" s="58">
        <f>'2015'!AZ9</f>
        <v>0</v>
      </c>
      <c r="BK80" s="57">
        <f>'2015'!BA9</f>
        <v>0</v>
      </c>
      <c r="BL80" s="57">
        <f>'2015'!BB9</f>
        <v>1</v>
      </c>
      <c r="BM80" s="57">
        <f>'2015'!BC9</f>
        <v>0</v>
      </c>
      <c r="BN80" s="57">
        <f>'2015'!BD9</f>
        <v>0</v>
      </c>
      <c r="BO80" s="59">
        <f>'2015'!BE9</f>
        <v>0</v>
      </c>
      <c r="BP80" s="56">
        <f>'2015'!BF9</f>
        <v>150</v>
      </c>
      <c r="BQ80" s="57">
        <f>'2015'!BG9</f>
        <v>2824</v>
      </c>
      <c r="BR80" s="57">
        <f>'2015'!BH9</f>
        <v>3</v>
      </c>
      <c r="BS80" s="57">
        <f>'2015'!BI9</f>
        <v>0</v>
      </c>
      <c r="BT80" s="57">
        <f>'2015'!BJ9</f>
        <v>42</v>
      </c>
      <c r="BU80" s="57">
        <f>'2015'!BK9</f>
        <v>0</v>
      </c>
      <c r="BV80" s="58">
        <f>'2015'!BL9</f>
        <v>0</v>
      </c>
      <c r="BW80" s="58">
        <f>'2015'!BM9</f>
        <v>0</v>
      </c>
      <c r="BX80" s="58">
        <f>'2015'!BN9</f>
        <v>0</v>
      </c>
      <c r="BY80" s="58">
        <f>'2015'!BO9</f>
        <v>0</v>
      </c>
      <c r="BZ80" s="57">
        <f>'2015'!BP9</f>
        <v>11</v>
      </c>
      <c r="CA80" s="57">
        <f>'2015'!BQ9</f>
        <v>2115</v>
      </c>
      <c r="CB80" s="57">
        <f>'2015'!BR9</f>
        <v>1</v>
      </c>
      <c r="CC80" s="57">
        <f>'2015'!BS9</f>
        <v>0</v>
      </c>
      <c r="CD80" s="59">
        <f>'2015'!BT9</f>
        <v>0</v>
      </c>
      <c r="CE80" s="56">
        <f>'2015'!BU9</f>
        <v>1137</v>
      </c>
      <c r="CF80" s="57">
        <f>'2015'!BV9</f>
        <v>3547</v>
      </c>
      <c r="CG80" s="57">
        <f>'2015'!BW9</f>
        <v>8</v>
      </c>
      <c r="CH80" s="57">
        <f>'2015'!BX9</f>
        <v>0</v>
      </c>
      <c r="CI80" s="57">
        <f>'2015'!BY9</f>
        <v>226</v>
      </c>
      <c r="CJ80" s="57">
        <f>'2015'!BZ9</f>
        <v>0</v>
      </c>
      <c r="CK80" s="58">
        <f>'2015'!CA9</f>
        <v>5.0309734513274336</v>
      </c>
      <c r="CL80" s="58">
        <f>'2015'!CB9</f>
        <v>0</v>
      </c>
      <c r="CM80" s="58">
        <f>'2015'!CC9</f>
        <v>0</v>
      </c>
      <c r="CN80" s="58">
        <f>'2015'!CD9</f>
        <v>0</v>
      </c>
      <c r="CO80" s="57">
        <f>'2015'!CE9</f>
        <v>178</v>
      </c>
      <c r="CP80" s="57">
        <f>'2015'!CF9</f>
        <v>2904</v>
      </c>
      <c r="CQ80" s="57">
        <f>'2015'!CG9</f>
        <v>27</v>
      </c>
      <c r="CR80" s="57">
        <f>'2015'!CH9</f>
        <v>2</v>
      </c>
      <c r="CS80" s="59">
        <f>'2015'!CI9</f>
        <v>0</v>
      </c>
      <c r="CT80" s="56">
        <f>'2015'!CJ9</f>
        <v>1690</v>
      </c>
      <c r="CU80" s="57">
        <f>'2015'!CK9</f>
        <v>2804</v>
      </c>
      <c r="CV80" s="57">
        <f>'2015'!CL9</f>
        <v>9</v>
      </c>
      <c r="CW80" s="57">
        <f>'2015'!CM9</f>
        <v>0</v>
      </c>
      <c r="CX80" s="57">
        <f>'2015'!CN9</f>
        <v>281</v>
      </c>
      <c r="CY80" s="57">
        <f>'2015'!CO9</f>
        <v>0</v>
      </c>
      <c r="CZ80" s="58">
        <f>'2015'!CP9</f>
        <v>6.0142348754448403</v>
      </c>
      <c r="DA80" s="58">
        <f>'2015'!CQ9</f>
        <v>0</v>
      </c>
      <c r="DB80" s="58">
        <f>'2015'!CR9</f>
        <v>0</v>
      </c>
      <c r="DC80" s="58">
        <f>'2015'!CS9</f>
        <v>0</v>
      </c>
      <c r="DD80" s="57">
        <f>'2015'!CT9</f>
        <v>232</v>
      </c>
      <c r="DE80" s="57">
        <f>'2015'!CU9</f>
        <v>2557</v>
      </c>
      <c r="DF80" s="57">
        <f>'2015'!CV9</f>
        <v>26</v>
      </c>
      <c r="DG80" s="57">
        <f>'2015'!CW9</f>
        <v>2</v>
      </c>
      <c r="DH80" s="59">
        <f>'2015'!CX9</f>
        <v>0</v>
      </c>
      <c r="DI80" s="56">
        <f>'2015'!CY9</f>
        <v>1614</v>
      </c>
      <c r="DJ80" s="57">
        <f>'2015'!CZ9</f>
        <v>3122.6</v>
      </c>
      <c r="DK80" s="57">
        <f>'2015'!DA9</f>
        <v>19</v>
      </c>
      <c r="DL80" s="57">
        <f>'2015'!DB9</f>
        <v>35.1</v>
      </c>
      <c r="DM80" s="57">
        <f>'2015'!DC9</f>
        <v>263</v>
      </c>
      <c r="DN80" s="57">
        <f>'2015'!DD9</f>
        <v>57</v>
      </c>
      <c r="DO80" s="58">
        <f>'2015'!DE9</f>
        <v>6.1368821292775664</v>
      </c>
      <c r="DP80" s="58">
        <f>'2015'!DF9</f>
        <v>71.3</v>
      </c>
      <c r="DQ80" s="58">
        <f>'2015'!DG9</f>
        <v>3.08</v>
      </c>
      <c r="DR80" s="58">
        <f>'2015'!DH9</f>
        <v>45.9</v>
      </c>
      <c r="DS80" s="57">
        <f>'2015'!DI9</f>
        <v>269</v>
      </c>
      <c r="DT80" s="57">
        <f>'2015'!DJ9</f>
        <v>2757.2999999999997</v>
      </c>
      <c r="DU80" s="57">
        <f>'2015'!DK9</f>
        <v>22</v>
      </c>
      <c r="DV80" s="57">
        <f>'2015'!DL9</f>
        <v>3</v>
      </c>
      <c r="DW80" s="59">
        <f>'2015'!DM9</f>
        <v>23.400000000000002</v>
      </c>
    </row>
    <row r="81" spans="1:127" ht="15.75" customHeight="1" x14ac:dyDescent="0.2">
      <c r="A81" s="33">
        <f t="shared" si="12"/>
        <v>79</v>
      </c>
      <c r="B81" s="11">
        <f>'2021'!A7</f>
        <v>5</v>
      </c>
      <c r="C81" s="11">
        <v>2021</v>
      </c>
      <c r="D81" s="34" t="str">
        <f>'2021'!B7</f>
        <v>Michael Carter</v>
      </c>
      <c r="E81" s="224" t="str" cm="1">
        <f t="array" ref="E81">_xlfn.IFS(F81&gt;=13,"Cornerstone",AND(F81&gt;=12,F81&lt;13),"Elite",AND(F81&gt;=11,F81&lt;12),"Elite Upside",AND(F81&gt;=9,F81&lt;11),"Upside",AND(F81&gt;=7,F81&lt;9),"Upside Lite",AND(F81&gt;=6,F81&lt;7),"Outlier",AND(F81&gt;=5,F81&lt;6),"Outlier Lite",F81&lt;5,"Purgatory")</f>
        <v>Upside Lite</v>
      </c>
      <c r="F81" s="14">
        <f>'2021'!C7</f>
        <v>8.9222222222222225</v>
      </c>
      <c r="G81" s="14">
        <f t="shared" si="19"/>
        <v>75.8</v>
      </c>
      <c r="H81" s="35">
        <f t="shared" si="13"/>
        <v>0.38928738863383056</v>
      </c>
      <c r="I81" s="36" t="str">
        <f>'2021'!D7</f>
        <v>North Carolina</v>
      </c>
      <c r="J81" s="37">
        <f>'2021'!E7</f>
        <v>4</v>
      </c>
      <c r="K81" s="38">
        <f>'2021'!F7</f>
        <v>36287</v>
      </c>
      <c r="L81" s="39">
        <f>'2021'!G7</f>
        <v>26.410958904109588</v>
      </c>
      <c r="M81" s="39" t="str">
        <f>'2021'!H7</f>
        <v>SR</v>
      </c>
      <c r="N81" s="39">
        <f>'2021'!I7</f>
        <v>21.994520547945207</v>
      </c>
      <c r="O81" s="39" t="str">
        <f t="shared" si="14"/>
        <v>BELL CALF</v>
      </c>
      <c r="P81" s="39" t="str">
        <f t="shared" si="17"/>
        <v>+RECEIVER</v>
      </c>
      <c r="Q81" s="37">
        <f>'2021'!J7</f>
        <v>68</v>
      </c>
      <c r="R81" s="37">
        <f>'2021'!K7</f>
        <v>201</v>
      </c>
      <c r="S81" s="39">
        <f t="shared" si="18"/>
        <v>30.561606884459451</v>
      </c>
      <c r="T81" s="37">
        <f>'2021'!L7</f>
        <v>4.54</v>
      </c>
      <c r="U81" s="40">
        <f>'2021'!M7</f>
        <v>4</v>
      </c>
      <c r="V81" s="41">
        <f>'2021'!N7</f>
        <v>0</v>
      </c>
      <c r="W81" s="42">
        <f>'2021'!O7</f>
        <v>0.14859075535512964</v>
      </c>
      <c r="X81" s="42">
        <f>'2021'!P7</f>
        <v>0.14990746452806911</v>
      </c>
      <c r="Y81" s="42">
        <f>'2021'!Q7</f>
        <v>0.18776371308016879</v>
      </c>
      <c r="Z81" s="42">
        <f>'2021'!R7</f>
        <v>0.23452768729641693</v>
      </c>
      <c r="AA81" s="42">
        <f>'2021'!S7</f>
        <v>0.23452768729641693</v>
      </c>
      <c r="AB81" s="42">
        <f>'2021'!T7</f>
        <v>0.21107491856677524</v>
      </c>
      <c r="AC81" s="42">
        <f>'2021'!U7</f>
        <v>4.1442411194833155E-2</v>
      </c>
      <c r="AD81" s="42">
        <f>'2021'!V7</f>
        <v>7.3818081282831072E-2</v>
      </c>
      <c r="AE81" s="42">
        <f>'2021'!W7</f>
        <v>7.3818081282831072E-2</v>
      </c>
      <c r="AF81" s="43">
        <f>'2021'!X7</f>
        <v>6.6436273154547962E-2</v>
      </c>
      <c r="AG81" s="44">
        <f>'2021'!Y7</f>
        <v>20.331506849315069</v>
      </c>
      <c r="AH81" s="45">
        <f>'2021'!Z7</f>
        <v>94.624291700127216</v>
      </c>
      <c r="AI81" s="45">
        <f>'2021'!AA7</f>
        <v>30.558607266435985</v>
      </c>
      <c r="AJ81" s="45">
        <f>'2021'!AB7</f>
        <v>0.29936305732484075</v>
      </c>
      <c r="AK81" s="45">
        <f>'2021'!AC7</f>
        <v>7.9</v>
      </c>
      <c r="AL81" s="45">
        <f t="shared" si="15"/>
        <v>9.861538461538462</v>
      </c>
      <c r="AM81" s="45">
        <f t="shared" si="16"/>
        <v>0.13736263736263737</v>
      </c>
      <c r="AN81" s="45">
        <f>'2021'!AD7</f>
        <v>135.1</v>
      </c>
      <c r="AO81" s="45">
        <f>'2021'!AE7</f>
        <v>4.47</v>
      </c>
      <c r="AP81" s="46">
        <f>'2021'!AF7</f>
        <v>62.7</v>
      </c>
      <c r="AQ81" s="47">
        <f>'2021'!AG7</f>
        <v>4</v>
      </c>
      <c r="AR81" s="48">
        <f>'2021'!AH7</f>
        <v>7</v>
      </c>
      <c r="AS81" s="48">
        <f>'2021'!AI7</f>
        <v>4</v>
      </c>
      <c r="AT81" s="48">
        <f>IF(AH81&gt;113.25,10,IF(AH81&gt;=107.84,9,IF(AH81&gt;=105.37,8,IF(AH81&gt;=103.25,7,IF(AH81&gt;=100.55,6,IF(AH81&gt;=98.75,5,IF(AH81&gt;=96.08,4,IF(AH81&gt;=94.39,3,IF(AH81&gt;=88.43,2,IF(AH81&gt;=85.16,1,IF(AH81&lt;85.16,0,FALSE)))))))))))</f>
        <v>3</v>
      </c>
      <c r="AU81" s="48">
        <f>'2021'!AK7</f>
        <v>8</v>
      </c>
      <c r="AV81" s="48">
        <f>'2021'!AL7</f>
        <v>9</v>
      </c>
      <c r="AW81" s="48">
        <f>'2021'!AM7</f>
        <v>7</v>
      </c>
      <c r="AX81" s="48">
        <f>'2021'!AN7</f>
        <v>7</v>
      </c>
      <c r="AY81" s="49">
        <f>IF(U81=1,10,IF(U81=2,7,IF(U81=3,6,IF(U81=4,4,IF(U81=5,3,IF(U81=6,2,IF(U81=7,1,IF(U81=0,0,"-"))))))))</f>
        <v>4</v>
      </c>
      <c r="AZ81" s="50">
        <f>'2021'!AP7</f>
        <v>1</v>
      </c>
      <c r="BA81" s="56">
        <f>'2021'!AQ7</f>
        <v>0</v>
      </c>
      <c r="BB81" s="57">
        <f>'2021'!AR7</f>
        <v>1896</v>
      </c>
      <c r="BC81" s="57">
        <f>'2021'!AS7</f>
        <v>0</v>
      </c>
      <c r="BD81" s="57">
        <f>'2021'!AT7</f>
        <v>21</v>
      </c>
      <c r="BE81" s="57">
        <f>'2021'!AU7</f>
        <v>0</v>
      </c>
      <c r="BF81" s="57">
        <f>'2021'!AV7</f>
        <v>0</v>
      </c>
      <c r="BG81" s="58">
        <f>'2021'!AW7</f>
        <v>0</v>
      </c>
      <c r="BH81" s="58">
        <f>'2021'!AX7</f>
        <v>0</v>
      </c>
      <c r="BI81" s="58">
        <f>'2021'!AY7</f>
        <v>0</v>
      </c>
      <c r="BJ81" s="58">
        <f>'2021'!AZ7</f>
        <v>0</v>
      </c>
      <c r="BK81" s="57">
        <f>'2021'!BA7</f>
        <v>0</v>
      </c>
      <c r="BL81" s="57">
        <f>'2021'!BB7</f>
        <v>3811</v>
      </c>
      <c r="BM81" s="57">
        <f>'2021'!BC7</f>
        <v>0</v>
      </c>
      <c r="BN81" s="57">
        <f>'2021'!BD7</f>
        <v>0</v>
      </c>
      <c r="BO81" s="59">
        <f>'2021'!BE7</f>
        <v>30</v>
      </c>
      <c r="BP81" s="56">
        <f>'2021'!BF7</f>
        <v>559</v>
      </c>
      <c r="BQ81" s="57">
        <f>'2021'!BG7</f>
        <v>1730</v>
      </c>
      <c r="BR81" s="57">
        <f>'2021'!BH7</f>
        <v>8</v>
      </c>
      <c r="BS81" s="57">
        <f>'2021'!BI7</f>
        <v>17</v>
      </c>
      <c r="BT81" s="57">
        <f>'2021'!BJ7</f>
        <v>97</v>
      </c>
      <c r="BU81" s="57">
        <f>'2021'!BK7</f>
        <v>27</v>
      </c>
      <c r="BV81" s="58">
        <f>'2021'!BL7</f>
        <v>5.8</v>
      </c>
      <c r="BW81" s="58">
        <f>'2021'!BM7</f>
        <v>86.9</v>
      </c>
      <c r="BX81" s="58">
        <f>'2021'!BN7</f>
        <v>3.24</v>
      </c>
      <c r="BY81" s="58">
        <f>'2021'!BO7</f>
        <v>34.299999999999997</v>
      </c>
      <c r="BZ81" s="57">
        <f>'2021'!BP7</f>
        <v>100</v>
      </c>
      <c r="CA81" s="57">
        <f>'2021'!BQ7</f>
        <v>2705</v>
      </c>
      <c r="CB81" s="57">
        <f>'2021'!BR7</f>
        <v>11</v>
      </c>
      <c r="CC81" s="57">
        <f>'2021'!BS7</f>
        <v>0</v>
      </c>
      <c r="CD81" s="59">
        <f>'2021'!BT7</f>
        <v>21</v>
      </c>
      <c r="CE81" s="56">
        <f>'2021'!BU7</f>
        <v>609</v>
      </c>
      <c r="CF81" s="57">
        <f>'2021'!BV7</f>
        <v>2123</v>
      </c>
      <c r="CG81" s="57">
        <f>'2021'!BW7</f>
        <v>2</v>
      </c>
      <c r="CH81" s="57">
        <f>'2021'!BX7</f>
        <v>19</v>
      </c>
      <c r="CI81" s="57">
        <f>'2021'!BY7</f>
        <v>86</v>
      </c>
      <c r="CJ81" s="57">
        <f>'2021'!BZ7</f>
        <v>23</v>
      </c>
      <c r="CK81" s="58">
        <f>'2021'!CA7</f>
        <v>7.1</v>
      </c>
      <c r="CL81" s="58">
        <f>'2021'!CB7</f>
        <v>100.2</v>
      </c>
      <c r="CM81" s="58">
        <f>'2021'!CC7</f>
        <v>3.52</v>
      </c>
      <c r="CN81" s="58">
        <f>'2021'!CD7</f>
        <v>59.4</v>
      </c>
      <c r="CO81" s="57">
        <f>'2021'!CE7</f>
        <v>120</v>
      </c>
      <c r="CP81" s="57">
        <f>'2021'!CF7</f>
        <v>2740</v>
      </c>
      <c r="CQ81" s="57">
        <f>'2021'!CG7</f>
        <v>8</v>
      </c>
      <c r="CR81" s="57">
        <f>'2021'!CH7</f>
        <v>0</v>
      </c>
      <c r="CS81" s="59">
        <f>'2021'!CI7</f>
        <v>14</v>
      </c>
      <c r="CT81" s="56">
        <f>'2021'!CJ7</f>
        <v>1003</v>
      </c>
      <c r="CU81" s="57">
        <f>'2021'!CK7</f>
        <v>2446</v>
      </c>
      <c r="CV81" s="57">
        <f>'2021'!CL7</f>
        <v>3</v>
      </c>
      <c r="CW81" s="57">
        <f>'2021'!CM7</f>
        <v>13</v>
      </c>
      <c r="CX81" s="57">
        <f>'2021'!CN7</f>
        <v>177</v>
      </c>
      <c r="CY81" s="57">
        <f>'2021'!CO7</f>
        <v>49</v>
      </c>
      <c r="CZ81" s="58">
        <f>'2021'!CP7</f>
        <v>5.7</v>
      </c>
      <c r="DA81" s="58">
        <f>'2021'!CQ7</f>
        <v>103.4</v>
      </c>
      <c r="DB81" s="58">
        <f>'2021'!CR7</f>
        <v>3.79</v>
      </c>
      <c r="DC81" s="58">
        <f>'2021'!CS7</f>
        <v>49.2</v>
      </c>
      <c r="DD81" s="57">
        <f>'2021'!CT7</f>
        <v>154</v>
      </c>
      <c r="DE81" s="57">
        <f>'2021'!CU7</f>
        <v>3716</v>
      </c>
      <c r="DF81" s="57">
        <f>'2021'!CV7</f>
        <v>21</v>
      </c>
      <c r="DG81" s="57">
        <f>'2021'!CW7</f>
        <v>0</v>
      </c>
      <c r="DH81" s="59">
        <f>'2021'!CX7</f>
        <v>39</v>
      </c>
      <c r="DI81" s="56">
        <f>'2021'!CY7</f>
        <v>1245</v>
      </c>
      <c r="DJ81" s="57">
        <f>'2021'!CZ7</f>
        <v>2830</v>
      </c>
      <c r="DK81" s="57">
        <f>'2021'!DA7</f>
        <v>9</v>
      </c>
      <c r="DL81" s="57">
        <f>'2021'!DB7</f>
        <v>35</v>
      </c>
      <c r="DM81" s="57">
        <f>'2021'!DC7</f>
        <v>157</v>
      </c>
      <c r="DN81" s="57">
        <f>'2021'!DD7</f>
        <v>47</v>
      </c>
      <c r="DO81" s="58">
        <f>'2021'!DE7</f>
        <v>7.9</v>
      </c>
      <c r="DP81" s="58">
        <f>'2021'!DF7</f>
        <v>135.1</v>
      </c>
      <c r="DQ81" s="58">
        <f>'2021'!DG7</f>
        <v>4.47</v>
      </c>
      <c r="DR81" s="58">
        <f>'2021'!DH7</f>
        <v>62.7</v>
      </c>
      <c r="DS81" s="57">
        <f>'2021'!DI7</f>
        <v>267</v>
      </c>
      <c r="DT81" s="57">
        <f>'2021'!DJ7</f>
        <v>3617</v>
      </c>
      <c r="DU81" s="57">
        <f>'2021'!DK7</f>
        <v>25</v>
      </c>
      <c r="DV81" s="57">
        <f>'2021'!DL7</f>
        <v>0</v>
      </c>
      <c r="DW81" s="59">
        <f>'2021'!DM7</f>
        <v>31</v>
      </c>
    </row>
    <row r="82" spans="1:127" ht="15.75" customHeight="1" x14ac:dyDescent="0.2">
      <c r="A82" s="33">
        <f t="shared" si="12"/>
        <v>80</v>
      </c>
      <c r="B82" s="11">
        <f>'2023'!A10</f>
        <v>8</v>
      </c>
      <c r="C82" s="11">
        <v>2023</v>
      </c>
      <c r="D82" s="34" t="str">
        <f>'2023'!B10</f>
        <v>Israel Abanikanda</v>
      </c>
      <c r="E82" s="224" t="str" cm="1">
        <f t="array" ref="E82">_xlfn.IFS(F82&gt;=13,"Cornerstone",AND(F82&gt;=12,F82&lt;13),"Elite",AND(F82&gt;=11,F82&lt;12),"Elite Upside",AND(F82&gt;=9,F82&lt;11),"Upside",AND(F82&gt;=7,F82&lt;9),"Upside Lite",AND(F82&gt;=6,F82&lt;7),"Outlier",AND(F82&gt;=5,F82&lt;6),"Outlier Lite",F82&lt;5,"Purgatory")</f>
        <v>Upside Lite</v>
      </c>
      <c r="F82" s="14">
        <f>'2023'!C10</f>
        <v>8.8888888888888893</v>
      </c>
      <c r="G82" s="14">
        <f t="shared" si="19"/>
        <v>75.5</v>
      </c>
      <c r="H82" s="35">
        <f t="shared" si="13"/>
        <v>0.37517988649250927</v>
      </c>
      <c r="I82" s="36" t="str">
        <f>'2023'!D10</f>
        <v>Pitt</v>
      </c>
      <c r="J82" s="37">
        <f>'2023'!E10</f>
        <v>4</v>
      </c>
      <c r="K82" s="38">
        <f>'2023'!F10</f>
        <v>37534</v>
      </c>
      <c r="L82" s="39">
        <f>'2023'!G10</f>
        <v>22.994520547945207</v>
      </c>
      <c r="M82" s="39" t="str">
        <f>'2023'!H10</f>
        <v>JR</v>
      </c>
      <c r="N82" s="39">
        <f>'2023'!I10</f>
        <v>20.572602739726026</v>
      </c>
      <c r="O82" s="39" t="str">
        <f t="shared" si="14"/>
        <v>FREAK</v>
      </c>
      <c r="P82" s="39" t="str">
        <f t="shared" si="17"/>
        <v>SLASHER</v>
      </c>
      <c r="Q82" s="37">
        <f>'2023'!J10</f>
        <v>71</v>
      </c>
      <c r="R82" s="37">
        <f>'2023'!K10</f>
        <v>216</v>
      </c>
      <c r="S82" s="39">
        <f t="shared" si="18"/>
        <v>30.125551542513524</v>
      </c>
      <c r="T82" s="37">
        <f>'2023'!L10</f>
        <v>4.41</v>
      </c>
      <c r="U82" s="40">
        <f>'2023'!M10</f>
        <v>5</v>
      </c>
      <c r="V82" s="41">
        <f>'2023'!N10</f>
        <v>0</v>
      </c>
      <c r="W82" s="42">
        <f>'2023'!O10</f>
        <v>0</v>
      </c>
      <c r="X82" s="42">
        <f>'2023'!P10</f>
        <v>2.5383141762452106E-2</v>
      </c>
      <c r="Y82" s="42">
        <f>'2023'!Q10</f>
        <v>0.12415812591508053</v>
      </c>
      <c r="Z82" s="42">
        <f>'2023'!R10</f>
        <v>0.2981225109046084</v>
      </c>
      <c r="AA82" s="42">
        <f>'2023'!S10</f>
        <v>0.2981225109046084</v>
      </c>
      <c r="AB82" s="42">
        <f>'2023'!T10</f>
        <v>0.26831025981414758</v>
      </c>
      <c r="AC82" s="42">
        <f>'2023'!U10</f>
        <v>4.1710777048486129E-2</v>
      </c>
      <c r="AD82" s="42">
        <f>'2023'!V10</f>
        <v>5.0431778929188258E-2</v>
      </c>
      <c r="AE82" s="42">
        <f>'2023'!W10</f>
        <v>5.0431778929188258E-2</v>
      </c>
      <c r="AF82" s="43">
        <f>'2023'!X10</f>
        <v>4.5388601036269433E-2</v>
      </c>
      <c r="AG82" s="44">
        <f>'2023'!Y10</f>
        <v>19.92876712328767</v>
      </c>
      <c r="AH82" s="45">
        <f>'2023'!Z10</f>
        <v>114.21664234234096</v>
      </c>
      <c r="AI82" s="45">
        <f>'2023'!AA10</f>
        <v>30.122594723269192</v>
      </c>
      <c r="AJ82" s="45">
        <f>'2023'!AB10</f>
        <v>0.32520325203252032</v>
      </c>
      <c r="AK82" s="45">
        <f>'2023'!AC10</f>
        <v>5.9</v>
      </c>
      <c r="AL82" s="45">
        <f t="shared" si="15"/>
        <v>9.3157894736842106</v>
      </c>
      <c r="AM82" s="45">
        <f t="shared" si="16"/>
        <v>4.7430830039525688E-2</v>
      </c>
      <c r="AN82" s="45">
        <f>'2023'!AD10</f>
        <v>117.6</v>
      </c>
      <c r="AO82" s="45">
        <f>'2023'!AE10</f>
        <v>3.6</v>
      </c>
      <c r="AP82" s="46">
        <f>'2023'!AF10</f>
        <v>44.2</v>
      </c>
      <c r="AQ82" s="47">
        <f>'2023'!AG10</f>
        <v>7</v>
      </c>
      <c r="AR82" s="48">
        <f>'2023'!AH10</f>
        <v>5</v>
      </c>
      <c r="AS82" s="48">
        <f>'2023'!AI10</f>
        <v>5</v>
      </c>
      <c r="AT82" s="48">
        <f>IF(AH82&gt;113.25,10,IF(AH82&gt;=107.84,9,IF(AH82&gt;=105.37,8,IF(AH82&gt;=103.25,7,IF(AH82&gt;=100.55,6,IF(AH82&gt;=98.75,5,IF(AH82&gt;=96.08,4,IF(AH82&gt;=94.39,3,IF(AH82&gt;=88.43,2,IF(AH82&gt;=85.16,1,IF(AH82&lt;85.16,0,FALSE)))))))))))</f>
        <v>10</v>
      </c>
      <c r="AU82" s="48">
        <f>'2023'!AK10</f>
        <v>9</v>
      </c>
      <c r="AV82" s="48">
        <f>'2023'!AL10</f>
        <v>4</v>
      </c>
      <c r="AW82" s="48">
        <f>'2023'!AM10</f>
        <v>5</v>
      </c>
      <c r="AX82" s="48">
        <f>'2023'!AN10</f>
        <v>2</v>
      </c>
      <c r="AY82" s="49">
        <f>'2023'!AO10</f>
        <v>3</v>
      </c>
      <c r="AZ82" s="50">
        <f>'2023'!AP10</f>
        <v>0.75</v>
      </c>
      <c r="BA82" s="56">
        <f>'2023'!AQ10</f>
        <v>0</v>
      </c>
      <c r="BB82" s="57">
        <f>'2023'!AR10</f>
        <v>3191</v>
      </c>
      <c r="BC82" s="57">
        <f>'2023'!AS10</f>
        <v>0</v>
      </c>
      <c r="BD82" s="57">
        <f>'2023'!AT10</f>
        <v>30</v>
      </c>
      <c r="BE82" s="57">
        <f>'2023'!AU10</f>
        <v>0</v>
      </c>
      <c r="BF82" s="57">
        <f>'2023'!AV10</f>
        <v>0</v>
      </c>
      <c r="BG82" s="58">
        <f>'2023'!AW10</f>
        <v>0</v>
      </c>
      <c r="BH82" s="58">
        <f>'2023'!AX10</f>
        <v>0</v>
      </c>
      <c r="BI82" s="58">
        <f>'2023'!AY10</f>
        <v>0</v>
      </c>
      <c r="BJ82" s="58">
        <f>'2023'!AZ10</f>
        <v>0</v>
      </c>
      <c r="BK82" s="57">
        <f>'2023'!BA10</f>
        <v>0</v>
      </c>
      <c r="BL82" s="57">
        <f>'2023'!BB10</f>
        <v>1985</v>
      </c>
      <c r="BM82" s="57">
        <f>'2023'!BC10</f>
        <v>0</v>
      </c>
      <c r="BN82" s="57">
        <f>'2023'!BD10</f>
        <v>0</v>
      </c>
      <c r="BO82" s="59">
        <f>'2023'!BE10</f>
        <v>12</v>
      </c>
      <c r="BP82" s="56">
        <f>'2023'!BF10</f>
        <v>0</v>
      </c>
      <c r="BQ82" s="57">
        <f>'2023'!BG10</f>
        <v>1544</v>
      </c>
      <c r="BR82" s="57">
        <f>'2023'!BH10</f>
        <v>0</v>
      </c>
      <c r="BS82" s="57">
        <f>'2023'!BI10</f>
        <v>11</v>
      </c>
      <c r="BT82" s="57">
        <f>'2023'!BJ10</f>
        <v>0</v>
      </c>
      <c r="BU82" s="57">
        <f>'2023'!BK10</f>
        <v>0</v>
      </c>
      <c r="BV82" s="58">
        <f>'2023'!BL10</f>
        <v>0</v>
      </c>
      <c r="BW82" s="58">
        <f>'2023'!BM10</f>
        <v>0</v>
      </c>
      <c r="BX82" s="58">
        <f>'2023'!BN10</f>
        <v>0</v>
      </c>
      <c r="BY82" s="58">
        <f>'2023'!BO10</f>
        <v>0</v>
      </c>
      <c r="BZ82" s="57">
        <f>'2023'!BP10</f>
        <v>0</v>
      </c>
      <c r="CA82" s="57">
        <f>'2023'!BQ10</f>
        <v>3402</v>
      </c>
      <c r="CB82" s="57">
        <f>'2023'!BR10</f>
        <v>0</v>
      </c>
      <c r="CC82" s="57">
        <f>'2023'!BS10</f>
        <v>0</v>
      </c>
      <c r="CD82" s="59">
        <f>'2023'!BT10</f>
        <v>17</v>
      </c>
      <c r="CE82" s="56">
        <f>'2023'!BU10</f>
        <v>95</v>
      </c>
      <c r="CF82" s="57">
        <f>'2023'!BV10</f>
        <v>1319</v>
      </c>
      <c r="CG82" s="57">
        <f>'2023'!BW10</f>
        <v>1</v>
      </c>
      <c r="CH82" s="57">
        <f>'2023'!BX10</f>
        <v>20</v>
      </c>
      <c r="CI82" s="57">
        <f>'2023'!BY10</f>
        <v>28</v>
      </c>
      <c r="CJ82" s="57">
        <f>'2023'!BZ10</f>
        <v>5</v>
      </c>
      <c r="CK82" s="58">
        <f>'2023'!CA10</f>
        <v>3.4</v>
      </c>
      <c r="CL82" s="58">
        <f>'2023'!CB10</f>
        <v>42.3</v>
      </c>
      <c r="CM82" s="58">
        <f>'2023'!CC10</f>
        <v>2.54</v>
      </c>
      <c r="CN82" s="58">
        <f>'2023'!CD10</f>
        <v>0</v>
      </c>
      <c r="CO82" s="57">
        <f>'2023'!CE10</f>
        <v>11</v>
      </c>
      <c r="CP82" s="57">
        <f>'2023'!CF10</f>
        <v>2857</v>
      </c>
      <c r="CQ82" s="57">
        <f>'2023'!CG10</f>
        <v>2</v>
      </c>
      <c r="CR82" s="57">
        <f>'2023'!CH10</f>
        <v>0</v>
      </c>
      <c r="CS82" s="59">
        <f>'2023'!CI10</f>
        <v>14</v>
      </c>
      <c r="CT82" s="56">
        <f>'2023'!CJ10</f>
        <v>651</v>
      </c>
      <c r="CU82" s="57">
        <f>'2023'!CK10</f>
        <v>2107</v>
      </c>
      <c r="CV82" s="57">
        <f>'2023'!CL10</f>
        <v>7</v>
      </c>
      <c r="CW82" s="57">
        <f>'2023'!CM10</f>
        <v>26</v>
      </c>
      <c r="CX82" s="57">
        <f>'2023'!CN10</f>
        <v>123</v>
      </c>
      <c r="CY82" s="57">
        <f>'2023'!CO10</f>
        <v>40</v>
      </c>
      <c r="CZ82" s="58">
        <f>'2023'!CP10</f>
        <v>5.3</v>
      </c>
      <c r="DA82" s="58">
        <f>'2023'!CQ10</f>
        <v>117.6</v>
      </c>
      <c r="DB82" s="58">
        <f>'2023'!CR10</f>
        <v>3.6</v>
      </c>
      <c r="DC82" s="58">
        <f>'2023'!CS10</f>
        <v>33.6</v>
      </c>
      <c r="DD82" s="57">
        <f>'2023'!CT10</f>
        <v>197</v>
      </c>
      <c r="DE82" s="57">
        <f>'2023'!CU10</f>
        <v>4723</v>
      </c>
      <c r="DF82" s="57">
        <f>'2023'!CV10</f>
        <v>24</v>
      </c>
      <c r="DG82" s="57">
        <f>'2023'!CW10</f>
        <v>0</v>
      </c>
      <c r="DH82" s="59">
        <f>'2023'!CX10</f>
        <v>44</v>
      </c>
      <c r="DI82" s="56">
        <f>'2023'!CY10</f>
        <v>1426</v>
      </c>
      <c r="DJ82" s="57">
        <f>'2023'!CZ10</f>
        <v>2378</v>
      </c>
      <c r="DK82" s="57">
        <f>'2023'!DA10</f>
        <v>20</v>
      </c>
      <c r="DL82" s="57">
        <f>'2023'!DB10</f>
        <v>30</v>
      </c>
      <c r="DM82" s="57">
        <f>'2023'!DC10</f>
        <v>241</v>
      </c>
      <c r="DN82" s="57">
        <f>'2023'!DD10</f>
        <v>46</v>
      </c>
      <c r="DO82" s="58">
        <f>'2023'!DE10</f>
        <v>5.9</v>
      </c>
      <c r="DP82" s="58">
        <f>'2023'!DF10</f>
        <v>58.1</v>
      </c>
      <c r="DQ82" s="58">
        <f>'2023'!DG10</f>
        <v>2.67</v>
      </c>
      <c r="DR82" s="58">
        <f>'2023'!DH10</f>
        <v>44.2</v>
      </c>
      <c r="DS82" s="57">
        <f>'2023'!DI10</f>
        <v>146</v>
      </c>
      <c r="DT82" s="57">
        <f>'2023'!DJ10</f>
        <v>2895</v>
      </c>
      <c r="DU82" s="57">
        <f>'2023'!DK10</f>
        <v>12</v>
      </c>
      <c r="DV82" s="57">
        <f>'2023'!DL10</f>
        <v>0</v>
      </c>
      <c r="DW82" s="59">
        <f>'2023'!DM10</f>
        <v>13</v>
      </c>
    </row>
    <row r="83" spans="1:127" ht="15.75" customHeight="1" x14ac:dyDescent="0.2">
      <c r="A83" s="33">
        <f t="shared" si="12"/>
        <v>81</v>
      </c>
      <c r="B83" s="11">
        <f>'2016'!A7</f>
        <v>5</v>
      </c>
      <c r="C83" s="11">
        <v>2016</v>
      </c>
      <c r="D83" s="34" t="str">
        <f>'2016'!B7</f>
        <v>Jordan Howard</v>
      </c>
      <c r="E83" s="224" t="str" cm="1">
        <f t="array" ref="E83">_xlfn.IFS(F83&gt;=13,"Cornerstone",AND(F83&gt;=12,F83&lt;13),"Elite",AND(F83&gt;=11,F83&lt;12),"Elite Upside",AND(F83&gt;=9,F83&lt;11),"Upside",AND(F83&gt;=7,F83&lt;9),"Upside Lite",AND(F83&gt;=6,F83&lt;7),"Outlier",AND(F83&gt;=5,F83&lt;6),"Outlier Lite",F83&lt;5,"Purgatory")</f>
        <v>Upside Lite</v>
      </c>
      <c r="F83" s="14">
        <f>'2016'!C7</f>
        <v>8.8833333333333329</v>
      </c>
      <c r="G83" s="14">
        <f t="shared" si="19"/>
        <v>75.2</v>
      </c>
      <c r="H83" s="35">
        <f t="shared" si="13"/>
        <v>0.372828636135622</v>
      </c>
      <c r="I83" s="36" t="str">
        <f>'2016'!D7</f>
        <v>Indiana</v>
      </c>
      <c r="J83" s="37">
        <f>'2016'!E7</f>
        <v>2</v>
      </c>
      <c r="K83" s="38">
        <f>'2016'!F7</f>
        <v>34640</v>
      </c>
      <c r="L83" s="39">
        <f>'2016'!G7</f>
        <v>30.923287671232877</v>
      </c>
      <c r="M83" s="39" t="str">
        <f>'2016'!H7</f>
        <v>JR</v>
      </c>
      <c r="N83" s="39">
        <f>'2016'!I7</f>
        <v>21.4986301369863</v>
      </c>
      <c r="O83" s="39" t="str">
        <f t="shared" si="14"/>
        <v>BRUISER</v>
      </c>
      <c r="P83" s="39" t="str">
        <f t="shared" si="17"/>
        <v>PLODDER</v>
      </c>
      <c r="Q83" s="37">
        <f>'2016'!J7</f>
        <v>72</v>
      </c>
      <c r="R83" s="37">
        <f>'2016'!K7</f>
        <v>230</v>
      </c>
      <c r="S83" s="39">
        <f t="shared" si="18"/>
        <v>31.193262232203477</v>
      </c>
      <c r="T83" s="37">
        <f>'2016'!L7</f>
        <v>4.57</v>
      </c>
      <c r="U83" s="55">
        <f>'2016'!M7</f>
        <v>5</v>
      </c>
      <c r="V83" s="41">
        <f>'2016'!N7</f>
        <v>0</v>
      </c>
      <c r="W83" s="42">
        <f>'2016'!O7</f>
        <v>0</v>
      </c>
      <c r="X83" s="42">
        <f>'2016'!P7</f>
        <v>0.22276655728613026</v>
      </c>
      <c r="Y83" s="42">
        <f>'2016'!Q7</f>
        <v>0.32171530029334566</v>
      </c>
      <c r="Z83" s="42">
        <f>'2016'!R7</f>
        <v>0.29061184920792293</v>
      </c>
      <c r="AA83" s="42">
        <f>'2016'!S7</f>
        <v>0.30616357475063427</v>
      </c>
      <c r="AB83" s="42">
        <f>'2016'!T7</f>
        <v>0.30616357475063427</v>
      </c>
      <c r="AC83" s="42">
        <f>'2016'!U7</f>
        <v>2.7359781121751022E-2</v>
      </c>
      <c r="AD83" s="42">
        <f>'2016'!V7</f>
        <v>4.0087739202783447E-2</v>
      </c>
      <c r="AE83" s="42">
        <f>'2016'!W7</f>
        <v>4.0087739202783447E-2</v>
      </c>
      <c r="AF83" s="43">
        <f>'2016'!X7</f>
        <v>4.0087739202783447E-2</v>
      </c>
      <c r="AG83" s="44">
        <f>'2016'!Y7</f>
        <v>18.843835616438355</v>
      </c>
      <c r="AH83" s="45">
        <f>'2016'!Z7</f>
        <v>105.46127836691821</v>
      </c>
      <c r="AI83" s="45">
        <f>'2016'!AA7</f>
        <v>31.190200617283953</v>
      </c>
      <c r="AJ83" s="45">
        <f>'2016'!AB7</f>
        <v>0.22295081967213115</v>
      </c>
      <c r="AK83" s="45">
        <f>'2016'!AC7</f>
        <v>6.1887755102040813</v>
      </c>
      <c r="AL83" s="45">
        <f t="shared" si="15"/>
        <v>10.875</v>
      </c>
      <c r="AM83" s="45">
        <f t="shared" si="16"/>
        <v>5.3140096618357488E-2</v>
      </c>
      <c r="AN83" s="45">
        <f>'2016'!AD7</f>
        <v>67.7</v>
      </c>
      <c r="AO83" s="45">
        <f>'2016'!AE7</f>
        <v>3.69</v>
      </c>
      <c r="AP83" s="46">
        <f>'2016'!AF7</f>
        <v>37.299999999999997</v>
      </c>
      <c r="AQ83" s="47">
        <f>'2016'!AG7</f>
        <v>8</v>
      </c>
      <c r="AR83" s="48">
        <f>'2016'!AH7</f>
        <v>4</v>
      </c>
      <c r="AS83" s="48">
        <f>'2016'!AI7</f>
        <v>9</v>
      </c>
      <c r="AT83" s="48">
        <f>'2016'!AJ7</f>
        <v>8</v>
      </c>
      <c r="AU83" s="48">
        <f>'2016'!AK7</f>
        <v>7</v>
      </c>
      <c r="AV83" s="48">
        <f>'2016'!AL7</f>
        <v>5</v>
      </c>
      <c r="AW83" s="48">
        <f>'2016'!AM7</f>
        <v>4</v>
      </c>
      <c r="AX83" s="48">
        <f>'2016'!AN7</f>
        <v>5</v>
      </c>
      <c r="AY83" s="49">
        <f>'2016'!AO7</f>
        <v>3</v>
      </c>
      <c r="AZ83" s="50">
        <f>'2016'!AP7</f>
        <v>0.25</v>
      </c>
      <c r="BA83" s="56">
        <f>'2016'!AQ7</f>
        <v>0</v>
      </c>
      <c r="BB83" s="57">
        <f>'2016'!AR7</f>
        <v>1</v>
      </c>
      <c r="BC83" s="57">
        <f>'2016'!AS7</f>
        <v>0</v>
      </c>
      <c r="BD83" s="57">
        <f>'2016'!AT7</f>
        <v>0</v>
      </c>
      <c r="BE83" s="57">
        <f>'2016'!AU7</f>
        <v>0</v>
      </c>
      <c r="BF83" s="57">
        <f>'2016'!AV7</f>
        <v>0</v>
      </c>
      <c r="BG83" s="58">
        <f>'2016'!AW7</f>
        <v>0</v>
      </c>
      <c r="BH83" s="58">
        <f>'2016'!AX7</f>
        <v>0</v>
      </c>
      <c r="BI83" s="58">
        <f>'2016'!AY7</f>
        <v>0</v>
      </c>
      <c r="BJ83" s="58">
        <f>'2016'!AZ7</f>
        <v>0</v>
      </c>
      <c r="BK83" s="57">
        <f>'2016'!BA7</f>
        <v>0</v>
      </c>
      <c r="BL83" s="57">
        <f>'2016'!BB7</f>
        <v>1</v>
      </c>
      <c r="BM83" s="57">
        <f>'2016'!BC7</f>
        <v>0</v>
      </c>
      <c r="BN83" s="57">
        <f>'2016'!BD7</f>
        <v>0</v>
      </c>
      <c r="BO83" s="59">
        <f>'2016'!BE7</f>
        <v>0</v>
      </c>
      <c r="BP83" s="56">
        <f>'2016'!BF7</f>
        <v>0</v>
      </c>
      <c r="BQ83" s="57">
        <f>'2016'!BG7</f>
        <v>1</v>
      </c>
      <c r="BR83" s="57">
        <f>'2016'!BH7</f>
        <v>0</v>
      </c>
      <c r="BS83" s="57">
        <f>'2016'!BI7</f>
        <v>0</v>
      </c>
      <c r="BT83" s="57">
        <f>'2016'!BJ7</f>
        <v>0</v>
      </c>
      <c r="BU83" s="57">
        <f>'2016'!BK7</f>
        <v>0</v>
      </c>
      <c r="BV83" s="58">
        <f>'2016'!BL7</f>
        <v>0</v>
      </c>
      <c r="BW83" s="58">
        <f>'2016'!BM7</f>
        <v>0</v>
      </c>
      <c r="BX83" s="58">
        <f>'2016'!BN7</f>
        <v>0</v>
      </c>
      <c r="BY83" s="58">
        <f>'2016'!BO7</f>
        <v>0</v>
      </c>
      <c r="BZ83" s="57">
        <f>'2016'!BP7</f>
        <v>0</v>
      </c>
      <c r="CA83" s="57">
        <f>'2016'!BQ7</f>
        <v>1</v>
      </c>
      <c r="CB83" s="57">
        <f>'2016'!BR7</f>
        <v>0</v>
      </c>
      <c r="CC83" s="57">
        <f>'2016'!BS7</f>
        <v>0</v>
      </c>
      <c r="CD83" s="59">
        <f>'2016'!BT7</f>
        <v>0</v>
      </c>
      <c r="CE83" s="56">
        <f>'2016'!BU7</f>
        <v>881</v>
      </c>
      <c r="CF83" s="57">
        <f>'2016'!BV7</f>
        <v>1964.6</v>
      </c>
      <c r="CG83" s="57">
        <f>'2016'!BW7</f>
        <v>2</v>
      </c>
      <c r="CH83" s="57">
        <f>'2016'!BX7</f>
        <v>15.399999999999999</v>
      </c>
      <c r="CI83" s="57">
        <f>'2016'!BY7</f>
        <v>0</v>
      </c>
      <c r="CJ83" s="57">
        <f>'2016'!BZ7</f>
        <v>0</v>
      </c>
      <c r="CK83" s="58">
        <f>'2016'!CA7</f>
        <v>0</v>
      </c>
      <c r="CL83" s="58">
        <f>'2016'!CB7</f>
        <v>0</v>
      </c>
      <c r="CM83" s="58">
        <f>'2016'!CC7</f>
        <v>0</v>
      </c>
      <c r="CN83" s="58">
        <f>'2016'!CD7</f>
        <v>0</v>
      </c>
      <c r="CO83" s="57">
        <f>'2016'!CE7</f>
        <v>83</v>
      </c>
      <c r="CP83" s="57">
        <f>'2016'!CF7</f>
        <v>2362.8000000000002</v>
      </c>
      <c r="CQ83" s="57">
        <f>'2016'!CG7</f>
        <v>4</v>
      </c>
      <c r="CR83" s="57">
        <f>'2016'!CH7</f>
        <v>1</v>
      </c>
      <c r="CS83" s="59">
        <f>'2016'!CI7</f>
        <v>17.600000000000001</v>
      </c>
      <c r="CT83" s="56">
        <f>'2016'!CJ7</f>
        <v>1595</v>
      </c>
      <c r="CU83" s="57">
        <f>'2016'!CK7</f>
        <v>2550</v>
      </c>
      <c r="CV83" s="57">
        <f>'2016'!CL7</f>
        <v>13</v>
      </c>
      <c r="CW83" s="57">
        <f>'2016'!CM7</f>
        <v>27.599999999999998</v>
      </c>
      <c r="CX83" s="57">
        <f>'2016'!CN7</f>
        <v>305</v>
      </c>
      <c r="CY83" s="57">
        <f>'2016'!CO7</f>
        <v>68</v>
      </c>
      <c r="CZ83" s="58">
        <f>'2016'!CP7</f>
        <v>5.2295081967213113</v>
      </c>
      <c r="DA83" s="58">
        <f>'2016'!CQ7</f>
        <v>67.2</v>
      </c>
      <c r="DB83" s="58">
        <f>'2016'!CR7</f>
        <v>3.02</v>
      </c>
      <c r="DC83" s="58">
        <f>'2016'!CS7</f>
        <v>32.799999999999997</v>
      </c>
      <c r="DD83" s="57">
        <f>'2016'!CT7</f>
        <v>72</v>
      </c>
      <c r="DE83" s="57">
        <f>'2016'!CU7</f>
        <v>2631.6000000000004</v>
      </c>
      <c r="DF83" s="57">
        <f>'2016'!CV7</f>
        <v>9</v>
      </c>
      <c r="DG83" s="57">
        <f>'2016'!CW7</f>
        <v>1</v>
      </c>
      <c r="DH83" s="59">
        <f>'2016'!CX7</f>
        <v>15.600000000000001</v>
      </c>
      <c r="DI83" s="56">
        <f>'2016'!CY7</f>
        <v>1213</v>
      </c>
      <c r="DJ83" s="57">
        <f>'2016'!CZ7</f>
        <v>1894.5</v>
      </c>
      <c r="DK83" s="57">
        <f>'2016'!DA7</f>
        <v>9</v>
      </c>
      <c r="DL83" s="57">
        <f>'2016'!DB7</f>
        <v>18.900000000000002</v>
      </c>
      <c r="DM83" s="57">
        <f>'2016'!DC7</f>
        <v>196</v>
      </c>
      <c r="DN83" s="57">
        <f>'2016'!DD7</f>
        <v>33</v>
      </c>
      <c r="DO83" s="58">
        <f>'2016'!DE7</f>
        <v>6.1887755102040813</v>
      </c>
      <c r="DP83" s="58">
        <f>'2016'!DF7</f>
        <v>67.7</v>
      </c>
      <c r="DQ83" s="58">
        <f>'2016'!DG7</f>
        <v>3.69</v>
      </c>
      <c r="DR83" s="58">
        <f>'2016'!DH7</f>
        <v>37.299999999999997</v>
      </c>
      <c r="DS83" s="57">
        <f>'2016'!DI7</f>
        <v>106</v>
      </c>
      <c r="DT83" s="57">
        <f>'2016'!DJ7</f>
        <v>2644.2000000000003</v>
      </c>
      <c r="DU83" s="57">
        <f>'2016'!DK7</f>
        <v>11</v>
      </c>
      <c r="DV83" s="57">
        <f>'2016'!DL7</f>
        <v>1</v>
      </c>
      <c r="DW83" s="59">
        <f>'2016'!DM7</f>
        <v>18.900000000000002</v>
      </c>
    </row>
    <row r="84" spans="1:127" ht="15.75" customHeight="1" x14ac:dyDescent="0.2">
      <c r="A84" s="33">
        <f t="shared" si="12"/>
        <v>82</v>
      </c>
      <c r="B84" s="11">
        <f>'2024'!A8</f>
        <v>6</v>
      </c>
      <c r="C84" s="11">
        <v>2024</v>
      </c>
      <c r="D84" s="34" t="str">
        <f>'2024'!B8</f>
        <v>Jaylen Wright</v>
      </c>
      <c r="E84" s="224" t="str" cm="1">
        <f t="array" ref="E84">_xlfn.IFS(F84&gt;=13,"Cornerstone",AND(F84&gt;=12,F84&lt;13),"Elite",AND(F84&gt;=11,F84&lt;12),"Elite Upside",AND(F84&gt;=9,F84&lt;11),"Upside",AND(F84&gt;=7,F84&lt;9),"Upside Lite",AND(F84&gt;=6,F84&lt;7),"Outlier",AND(F84&gt;=5,F84&lt;6),"Outlier Lite",F84&lt;5,"Purgatory")</f>
        <v>Upside Lite</v>
      </c>
      <c r="F84" s="14">
        <f>'2024'!C8</f>
        <v>8.8777777777777782</v>
      </c>
      <c r="G84" s="14">
        <f t="shared" si="19"/>
        <v>74.900000000000006</v>
      </c>
      <c r="H84" s="35">
        <f t="shared" si="13"/>
        <v>0.37047738577873551</v>
      </c>
      <c r="I84" s="36" t="str">
        <f>'2024'!D8</f>
        <v>Tennessee</v>
      </c>
      <c r="J84" s="37">
        <f>'2024'!E8</f>
        <v>1</v>
      </c>
      <c r="K84" s="38">
        <f>'2024'!F8</f>
        <v>37712</v>
      </c>
      <c r="L84" s="39">
        <f>'2024'!G8</f>
        <v>22.506849315068493</v>
      </c>
      <c r="M84" s="39" t="str">
        <f>'2024'!H8</f>
        <v>JR</v>
      </c>
      <c r="N84" s="39">
        <f>'2024'!I8</f>
        <v>21.087671232876712</v>
      </c>
      <c r="O84" s="39" t="str">
        <f t="shared" si="14"/>
        <v>DYNAMIC</v>
      </c>
      <c r="P84" s="39" t="str">
        <f t="shared" si="17"/>
        <v>+RECEIVER</v>
      </c>
      <c r="Q84" s="37">
        <f>'2024'!J8</f>
        <v>70</v>
      </c>
      <c r="R84" s="37">
        <f>'2024'!K8</f>
        <v>210</v>
      </c>
      <c r="S84" s="39">
        <f t="shared" si="18"/>
        <v>30.131528834486236</v>
      </c>
      <c r="T84" s="37">
        <f>'2024'!L8</f>
        <v>4.38</v>
      </c>
      <c r="U84" s="40">
        <f>'2024'!M8</f>
        <v>4</v>
      </c>
      <c r="V84" s="41">
        <f>'2024'!N8</f>
        <v>0</v>
      </c>
      <c r="W84" s="42">
        <f>'2024'!O8</f>
        <v>0</v>
      </c>
      <c r="X84" s="42">
        <f>'2024'!P8</f>
        <v>0.10075507866376791</v>
      </c>
      <c r="Y84" s="42">
        <f>'2024'!Q8</f>
        <v>6.1029153494906917E-2</v>
      </c>
      <c r="Z84" s="42">
        <f>'2024'!R8</f>
        <v>0.21409970238095238</v>
      </c>
      <c r="AA84" s="42">
        <f>'2024'!S8</f>
        <v>0.21409970238095238</v>
      </c>
      <c r="AB84" s="42">
        <f>'2024'!T8</f>
        <v>0.21409970238095238</v>
      </c>
      <c r="AC84" s="42">
        <f>'2024'!U8</f>
        <v>1.8871040030193663E-3</v>
      </c>
      <c r="AD84" s="42">
        <f>'2024'!V8</f>
        <v>4.8314144736842111E-2</v>
      </c>
      <c r="AE84" s="42">
        <f>'2024'!W8</f>
        <v>4.8314144736842111E-2</v>
      </c>
      <c r="AF84" s="43">
        <f>'2024'!X8</f>
        <v>4.8314144736842111E-2</v>
      </c>
      <c r="AG84" s="44">
        <f>'2024'!Y8</f>
        <v>20.44109589041096</v>
      </c>
      <c r="AH84" s="45">
        <f>'2024'!Z8</f>
        <v>114.11765752465939</v>
      </c>
      <c r="AI84" s="45">
        <f>'2024'!AA8</f>
        <v>30.12857142857143</v>
      </c>
      <c r="AJ84" s="45">
        <f>'2024'!AB8</f>
        <v>0.31617647058823528</v>
      </c>
      <c r="AK84" s="45">
        <f>'2024'!AC8</f>
        <v>7.4</v>
      </c>
      <c r="AL84" s="45">
        <f t="shared" si="15"/>
        <v>5.7</v>
      </c>
      <c r="AM84" s="45">
        <f t="shared" si="16"/>
        <v>0.13924050632911392</v>
      </c>
      <c r="AN84" s="45">
        <f>'2024'!AD8</f>
        <v>132.19999999999999</v>
      </c>
      <c r="AO84" s="45">
        <f>'2024'!AE8</f>
        <v>4.3499999999999996</v>
      </c>
      <c r="AP84" s="46">
        <f>'2024'!AF8</f>
        <v>52.1</v>
      </c>
      <c r="AQ84" s="47">
        <f>'2024'!AG8</f>
        <v>4</v>
      </c>
      <c r="AR84" s="48">
        <f>'2024'!AH8</f>
        <v>5</v>
      </c>
      <c r="AS84" s="48">
        <f>'2024'!AI8</f>
        <v>4</v>
      </c>
      <c r="AT84" s="48">
        <f>'2024'!AJ8</f>
        <v>10</v>
      </c>
      <c r="AU84" s="48">
        <f>'2024'!AK8</f>
        <v>8</v>
      </c>
      <c r="AV84" s="48">
        <f>'2024'!AL8</f>
        <v>8</v>
      </c>
      <c r="AW84" s="48">
        <f>'2024'!AM8</f>
        <v>7</v>
      </c>
      <c r="AX84" s="48">
        <f>'2024'!AN8</f>
        <v>6</v>
      </c>
      <c r="AY84" s="49">
        <f>'2024'!AO8</f>
        <v>4</v>
      </c>
      <c r="AZ84" s="50">
        <f>'2024'!AP8</f>
        <v>0</v>
      </c>
      <c r="BA84" s="56">
        <f>'2024'!AQ8</f>
        <v>0</v>
      </c>
      <c r="BB84" s="57">
        <f>'2024'!AR8</f>
        <v>1</v>
      </c>
      <c r="BC84" s="57">
        <f>'2024'!AS8</f>
        <v>0</v>
      </c>
      <c r="BD84" s="57">
        <f>'2024'!AT8</f>
        <v>0</v>
      </c>
      <c r="BE84" s="57">
        <f>'2024'!AU8</f>
        <v>0</v>
      </c>
      <c r="BF84" s="57">
        <f>'2024'!AV8</f>
        <v>0</v>
      </c>
      <c r="BG84" s="58">
        <f>'2024'!AW8</f>
        <v>0</v>
      </c>
      <c r="BH84" s="58">
        <f>'2024'!AX8</f>
        <v>0</v>
      </c>
      <c r="BI84" s="58">
        <f>'2024'!AY8</f>
        <v>0</v>
      </c>
      <c r="BJ84" s="58">
        <f>'2024'!AZ8</f>
        <v>0</v>
      </c>
      <c r="BK84" s="57">
        <f>'2024'!BA8</f>
        <v>0</v>
      </c>
      <c r="BL84" s="57">
        <f>'2024'!BB8</f>
        <v>1</v>
      </c>
      <c r="BM84" s="57">
        <f>'2024'!BC8</f>
        <v>0</v>
      </c>
      <c r="BN84" s="57">
        <f>'2024'!BD8</f>
        <v>0</v>
      </c>
      <c r="BO84" s="59">
        <f>'2024'!BE8</f>
        <v>0</v>
      </c>
      <c r="BP84" s="56">
        <f>'2024'!BF8</f>
        <v>0</v>
      </c>
      <c r="BQ84" s="57">
        <f>'2024'!BG8</f>
        <v>1</v>
      </c>
      <c r="BR84" s="57">
        <f>'2024'!BH8</f>
        <v>0</v>
      </c>
      <c r="BS84" s="57">
        <f>'2024'!BI8</f>
        <v>0</v>
      </c>
      <c r="BT84" s="57">
        <f>'2024'!BJ8</f>
        <v>0</v>
      </c>
      <c r="BU84" s="57">
        <f>'2024'!BK8</f>
        <v>0</v>
      </c>
      <c r="BV84" s="58">
        <f>'2024'!BL8</f>
        <v>0</v>
      </c>
      <c r="BW84" s="58">
        <f>'2024'!BM8</f>
        <v>0</v>
      </c>
      <c r="BX84" s="58">
        <f>'2024'!BN8</f>
        <v>0</v>
      </c>
      <c r="BY84" s="58">
        <f>'2024'!BO8</f>
        <v>0</v>
      </c>
      <c r="BZ84" s="57">
        <f>'2024'!BP8</f>
        <v>0</v>
      </c>
      <c r="CA84" s="57">
        <f>'2024'!BQ8</f>
        <v>1</v>
      </c>
      <c r="CB84" s="57">
        <f>'2024'!BR8</f>
        <v>0</v>
      </c>
      <c r="CC84" s="57">
        <f>'2024'!BS8</f>
        <v>0</v>
      </c>
      <c r="CD84" s="59">
        <f>'2024'!BT8</f>
        <v>0</v>
      </c>
      <c r="CE84" s="56">
        <f>'2024'!BU8</f>
        <v>409</v>
      </c>
      <c r="CF84" s="57">
        <f>'2024'!BV8</f>
        <v>1963.8</v>
      </c>
      <c r="CG84" s="57">
        <f>'2024'!BW8</f>
        <v>4</v>
      </c>
      <c r="CH84" s="57">
        <f>'2024'!BX8</f>
        <v>20.7</v>
      </c>
      <c r="CI84" s="57">
        <f>'2024'!BY8</f>
        <v>85</v>
      </c>
      <c r="CJ84" s="57">
        <f>'2024'!BZ8</f>
        <v>17</v>
      </c>
      <c r="CK84" s="58">
        <f>'2024'!CA8</f>
        <v>4.8</v>
      </c>
      <c r="CL84" s="58">
        <f>'2024'!CB8</f>
        <v>55.8</v>
      </c>
      <c r="CM84" s="58">
        <f>'2024'!CC8</f>
        <v>2.67</v>
      </c>
      <c r="CN84" s="58">
        <f>'2024'!CD8</f>
        <v>16.600000000000001</v>
      </c>
      <c r="CO84" s="57">
        <f>'2024'!CE8</f>
        <v>22</v>
      </c>
      <c r="CP84" s="57">
        <f>'2024'!CF8</f>
        <v>2313.9</v>
      </c>
      <c r="CQ84" s="57">
        <f>'2024'!CG8</f>
        <v>6</v>
      </c>
      <c r="CR84" s="57">
        <f>'2024'!CH8</f>
        <v>0</v>
      </c>
      <c r="CS84" s="59">
        <f>'2024'!CI8</f>
        <v>22.5</v>
      </c>
      <c r="CT84" s="56">
        <f>'2024'!CJ8</f>
        <v>409</v>
      </c>
      <c r="CU84" s="57">
        <f>'2024'!CK8</f>
        <v>2593.5</v>
      </c>
      <c r="CV84" s="57">
        <f>'2024'!CL8</f>
        <v>10</v>
      </c>
      <c r="CW84" s="57">
        <f>'2024'!CM8</f>
        <v>40.300000000000004</v>
      </c>
      <c r="CX84" s="57">
        <f>'2024'!CN8</f>
        <v>146</v>
      </c>
      <c r="CY84" s="57">
        <f>'2024'!CO8</f>
        <v>36</v>
      </c>
      <c r="CZ84" s="58">
        <f>'2024'!CP8</f>
        <v>6</v>
      </c>
      <c r="DA84" s="58">
        <f>'2024'!CQ8</f>
        <v>91.3</v>
      </c>
      <c r="DB84" s="58">
        <f>'2024'!CR8</f>
        <v>3.75</v>
      </c>
      <c r="DC84" s="58">
        <f>'2024'!CS8</f>
        <v>36.299999999999997</v>
      </c>
      <c r="DD84" s="57">
        <f>'2024'!CT8</f>
        <v>8</v>
      </c>
      <c r="DE84" s="57">
        <f>'2024'!CU8</f>
        <v>4239.3</v>
      </c>
      <c r="DF84" s="57">
        <f>'2024'!CV8</f>
        <v>2</v>
      </c>
      <c r="DG84" s="57">
        <f>'2024'!CW8</f>
        <v>0</v>
      </c>
      <c r="DH84" s="59">
        <f>'2024'!CX8</f>
        <v>37.699999999999996</v>
      </c>
      <c r="DI84" s="56">
        <f>'2024'!CY8</f>
        <v>1010</v>
      </c>
      <c r="DJ84" s="57">
        <f>'2024'!CZ8</f>
        <v>2457.6000000000004</v>
      </c>
      <c r="DK84" s="57">
        <f>'2024'!DA8</f>
        <v>4</v>
      </c>
      <c r="DL84" s="57">
        <f>'2024'!DB8</f>
        <v>21.6</v>
      </c>
      <c r="DM84" s="57">
        <f>'2024'!DC8</f>
        <v>136</v>
      </c>
      <c r="DN84" s="57">
        <f>'2024'!DD8</f>
        <v>43</v>
      </c>
      <c r="DO84" s="58">
        <f>'2024'!DE8</f>
        <v>7.4</v>
      </c>
      <c r="DP84" s="58">
        <f>'2024'!DF8</f>
        <v>132.19999999999999</v>
      </c>
      <c r="DQ84" s="58">
        <f>'2024'!DG8</f>
        <v>4.3499999999999996</v>
      </c>
      <c r="DR84" s="58">
        <f>'2024'!DH8</f>
        <v>52.1</v>
      </c>
      <c r="DS84" s="57">
        <f>'2024'!DI8</f>
        <v>141</v>
      </c>
      <c r="DT84" s="57">
        <f>'2024'!DJ8</f>
        <v>2918.3999999999996</v>
      </c>
      <c r="DU84" s="57">
        <f>'2024'!DK8</f>
        <v>22</v>
      </c>
      <c r="DV84" s="57">
        <f>'2024'!DL8</f>
        <v>0</v>
      </c>
      <c r="DW84" s="59">
        <f>'2024'!DM8</f>
        <v>20.399999999999999</v>
      </c>
    </row>
    <row r="85" spans="1:127" ht="15.75" customHeight="1" x14ac:dyDescent="0.2">
      <c r="A85" s="33">
        <f t="shared" si="12"/>
        <v>83</v>
      </c>
      <c r="B85" s="11">
        <f>'2024'!A9</f>
        <v>7</v>
      </c>
      <c r="C85" s="11">
        <v>2024</v>
      </c>
      <c r="D85" s="34" t="str">
        <f>'2024'!B9</f>
        <v>Blake Corum</v>
      </c>
      <c r="E85" s="224" t="str" cm="1">
        <f t="array" ref="E85">_xlfn.IFS(F85&gt;=13,"Cornerstone",AND(F85&gt;=12,F85&lt;13),"Elite",AND(F85&gt;=11,F85&lt;12),"Elite Upside",AND(F85&gt;=9,F85&lt;11),"Upside",AND(F85&gt;=7,F85&lt;9),"Upside Lite",AND(F85&gt;=6,F85&lt;7),"Outlier",AND(F85&gt;=5,F85&lt;6),"Outlier Lite",F85&lt;5,"Purgatory")</f>
        <v>Upside Lite</v>
      </c>
      <c r="F85" s="14">
        <f>'2024'!C9</f>
        <v>8.8722222222222218</v>
      </c>
      <c r="G85" s="14">
        <f t="shared" si="19"/>
        <v>74.599999999999994</v>
      </c>
      <c r="H85" s="35">
        <f t="shared" si="13"/>
        <v>0.36812613542184824</v>
      </c>
      <c r="I85" s="36" t="str">
        <f>'2024'!D9</f>
        <v>Michigan</v>
      </c>
      <c r="J85" s="37">
        <f>'2024'!E9</f>
        <v>2</v>
      </c>
      <c r="K85" s="38">
        <f>'2024'!F9</f>
        <v>36855</v>
      </c>
      <c r="L85" s="39">
        <f>'2024'!G9</f>
        <v>24.854794520547944</v>
      </c>
      <c r="M85" s="39" t="str">
        <f>'2024'!H9</f>
        <v>SR</v>
      </c>
      <c r="N85" s="39">
        <f>'2024'!I9</f>
        <v>23.435616438356163</v>
      </c>
      <c r="O85" s="39" t="str">
        <f t="shared" si="14"/>
        <v>BELL CALF</v>
      </c>
      <c r="P85" s="39" t="str">
        <f t="shared" si="17"/>
        <v>3DOWN</v>
      </c>
      <c r="Q85" s="37">
        <f>'2024'!J9</f>
        <v>68</v>
      </c>
      <c r="R85" s="37">
        <f>'2024'!K9</f>
        <v>205</v>
      </c>
      <c r="S85" s="39">
        <f t="shared" si="18"/>
        <v>31.169798066239739</v>
      </c>
      <c r="T85" s="37">
        <f>'2024'!L9</f>
        <v>4.53</v>
      </c>
      <c r="U85" s="40">
        <f>'2024'!M9</f>
        <v>3</v>
      </c>
      <c r="V85" s="41">
        <f>'2024'!N9</f>
        <v>0</v>
      </c>
      <c r="W85" s="42">
        <f>'2024'!O9</f>
        <v>6.5565171780750067E-2</v>
      </c>
      <c r="X85" s="42">
        <f>'2024'!P9</f>
        <v>0.20405476566614009</v>
      </c>
      <c r="Y85" s="42">
        <f>'2024'!Q9</f>
        <v>0.2802600988084859</v>
      </c>
      <c r="Z85" s="42">
        <f>'2024'!R9</f>
        <v>0.23719958202716823</v>
      </c>
      <c r="AA85" s="42">
        <f>'2024'!S9</f>
        <v>0.25872984041782709</v>
      </c>
      <c r="AB85" s="42">
        <f>'2024'!T9</f>
        <v>0.25872984041782709</v>
      </c>
      <c r="AC85" s="42">
        <f>'2024'!U9</f>
        <v>3.1074730938305289E-2</v>
      </c>
      <c r="AD85" s="42">
        <f>'2024'!V9</f>
        <v>3.6499766027140855E-2</v>
      </c>
      <c r="AE85" s="42">
        <f>'2024'!W9</f>
        <v>3.6499766027140855E-2</v>
      </c>
      <c r="AF85" s="43">
        <f>'2024'!X9</f>
        <v>3.6499766027140855E-2</v>
      </c>
      <c r="AG85" s="44">
        <f>'2024'!Y9</f>
        <v>20.778082191780822</v>
      </c>
      <c r="AH85" s="45">
        <f>'2024'!Z9</f>
        <v>97.362350204073607</v>
      </c>
      <c r="AI85" s="45">
        <f>'2024'!AA9</f>
        <v>31.166738754325259</v>
      </c>
      <c r="AJ85" s="45">
        <f>'2024'!AB9</f>
        <v>0.34027777777777779</v>
      </c>
      <c r="AK85" s="45">
        <f>'2024'!AC9</f>
        <v>5.8911290322580649</v>
      </c>
      <c r="AL85" s="45">
        <f t="shared" si="15"/>
        <v>7.5090909090909088</v>
      </c>
      <c r="AM85" s="45">
        <f t="shared" si="16"/>
        <v>5.8394160583941604E-2</v>
      </c>
      <c r="AN85" s="45">
        <f>'2024'!AD9</f>
        <v>132.6</v>
      </c>
      <c r="AO85" s="45">
        <f>'2024'!AE9</f>
        <v>3.84</v>
      </c>
      <c r="AP85" s="46">
        <f>'2024'!AF9</f>
        <v>47</v>
      </c>
      <c r="AQ85" s="47">
        <f>'2024'!AG9</f>
        <v>6</v>
      </c>
      <c r="AR85" s="48">
        <f>'2024'!AH9</f>
        <v>3</v>
      </c>
      <c r="AS85" s="48">
        <f>'2024'!AI9</f>
        <v>3</v>
      </c>
      <c r="AT85" s="48">
        <f>'2024'!AJ9</f>
        <v>4</v>
      </c>
      <c r="AU85" s="48">
        <f>'2024'!AK9</f>
        <v>9</v>
      </c>
      <c r="AV85" s="48">
        <f>'2024'!AL9</f>
        <v>4</v>
      </c>
      <c r="AW85" s="48">
        <f>'2024'!AM9</f>
        <v>7</v>
      </c>
      <c r="AX85" s="48">
        <f>'2024'!AN9</f>
        <v>3</v>
      </c>
      <c r="AY85" s="49">
        <f>'2024'!AO9</f>
        <v>6</v>
      </c>
      <c r="AZ85" s="50">
        <f>'2024'!AP9</f>
        <v>1</v>
      </c>
      <c r="BA85" s="56">
        <f>'2024'!AQ9</f>
        <v>0</v>
      </c>
      <c r="BB85" s="57">
        <f>'2024'!AR9</f>
        <v>1</v>
      </c>
      <c r="BC85" s="57">
        <f>'2024'!AS9</f>
        <v>0</v>
      </c>
      <c r="BD85" s="57">
        <f>'2024'!AT9</f>
        <v>0</v>
      </c>
      <c r="BE85" s="57">
        <f>'2024'!AU9</f>
        <v>0</v>
      </c>
      <c r="BF85" s="57">
        <f>'2024'!AV9</f>
        <v>0</v>
      </c>
      <c r="BG85" s="58">
        <f>'2024'!AW9</f>
        <v>0</v>
      </c>
      <c r="BH85" s="58">
        <f>'2024'!AX9</f>
        <v>0</v>
      </c>
      <c r="BI85" s="58">
        <f>'2024'!AY9</f>
        <v>0</v>
      </c>
      <c r="BJ85" s="58">
        <f>'2024'!AZ9</f>
        <v>0</v>
      </c>
      <c r="BK85" s="57">
        <f>'2024'!BA9</f>
        <v>0</v>
      </c>
      <c r="BL85" s="57">
        <f>'2024'!BB9</f>
        <v>1</v>
      </c>
      <c r="BM85" s="57">
        <f>'2024'!BC9</f>
        <v>0</v>
      </c>
      <c r="BN85" s="57">
        <f>'2024'!BD9</f>
        <v>0</v>
      </c>
      <c r="BO85" s="59">
        <f>'2024'!BE9</f>
        <v>0</v>
      </c>
      <c r="BP85" s="56">
        <f>'2024'!BF9</f>
        <v>77</v>
      </c>
      <c r="BQ85" s="57">
        <f>'2024'!BG9</f>
        <v>786</v>
      </c>
      <c r="BR85" s="57">
        <f>'2024'!BH9</f>
        <v>2</v>
      </c>
      <c r="BS85" s="57">
        <f>'2024'!BI9</f>
        <v>12</v>
      </c>
      <c r="BT85" s="57">
        <f>'2024'!BJ9</f>
        <v>26</v>
      </c>
      <c r="BU85" s="57">
        <f>'2024'!BK9</f>
        <v>1</v>
      </c>
      <c r="BV85" s="58">
        <f>'2024'!BL9</f>
        <v>2.9615384615384617</v>
      </c>
      <c r="BW85" s="58">
        <f>'2024'!BM9</f>
        <v>36.5</v>
      </c>
      <c r="BX85" s="58">
        <f>'2024'!BN9</f>
        <v>1.88</v>
      </c>
      <c r="BY85" s="58">
        <f>'2024'!BO9</f>
        <v>19.5</v>
      </c>
      <c r="BZ85" s="57">
        <f>'2024'!BP9</f>
        <v>73</v>
      </c>
      <c r="CA85" s="57">
        <f>'2024'!BQ9</f>
        <v>1501.8000000000002</v>
      </c>
      <c r="CB85" s="57">
        <f>'2024'!BR9</f>
        <v>5</v>
      </c>
      <c r="CC85" s="57">
        <f>'2024'!BS9</f>
        <v>0</v>
      </c>
      <c r="CD85" s="59">
        <f>'2024'!BT9</f>
        <v>9</v>
      </c>
      <c r="CE85" s="56">
        <f>'2024'!BU9</f>
        <v>944</v>
      </c>
      <c r="CF85" s="57">
        <f>'2024'!BV9</f>
        <v>2572.8000000000002</v>
      </c>
      <c r="CG85" s="57">
        <f>'2024'!BW9</f>
        <v>11</v>
      </c>
      <c r="CH85" s="57">
        <f>'2024'!BX9</f>
        <v>33.599999999999994</v>
      </c>
      <c r="CI85" s="57">
        <f>'2024'!BY9</f>
        <v>144</v>
      </c>
      <c r="CJ85" s="57">
        <f>'2024'!BZ9</f>
        <v>49</v>
      </c>
      <c r="CK85" s="58">
        <f>'2024'!CA9</f>
        <v>6.5555555555555554</v>
      </c>
      <c r="CL85" s="58">
        <f>'2024'!CB9</f>
        <v>132.6</v>
      </c>
      <c r="CM85" s="58">
        <f>'2024'!CC9</f>
        <v>3.84</v>
      </c>
      <c r="CN85" s="58">
        <f>'2024'!CD9</f>
        <v>47</v>
      </c>
      <c r="CO85" s="57">
        <f>'2024'!CE9</f>
        <v>141</v>
      </c>
      <c r="CP85" s="57">
        <f>'2024'!CF9</f>
        <v>2744.3999999999996</v>
      </c>
      <c r="CQ85" s="57">
        <f>'2024'!CG9</f>
        <v>24</v>
      </c>
      <c r="CR85" s="57">
        <f>'2024'!CH9</f>
        <v>1</v>
      </c>
      <c r="CS85" s="59">
        <f>'2024'!CI9</f>
        <v>18</v>
      </c>
      <c r="CT85" s="56">
        <f>'2024'!CJ9</f>
        <v>1461</v>
      </c>
      <c r="CU85" s="57">
        <f>'2024'!CK9</f>
        <v>2866.8</v>
      </c>
      <c r="CV85" s="57">
        <f>'2024'!CL9</f>
        <v>18</v>
      </c>
      <c r="CW85" s="57">
        <f>'2024'!CM9</f>
        <v>34.799999999999997</v>
      </c>
      <c r="CX85" s="57">
        <f>'2024'!CN9</f>
        <v>248</v>
      </c>
      <c r="CY85" s="57">
        <f>'2024'!CO9</f>
        <v>73</v>
      </c>
      <c r="CZ85" s="58">
        <f>'2024'!CP9</f>
        <v>5.8911290322580649</v>
      </c>
      <c r="DA85" s="58">
        <f>'2024'!CQ9</f>
        <v>97.6</v>
      </c>
      <c r="DB85" s="58">
        <f>'2024'!CR9</f>
        <v>3.36</v>
      </c>
      <c r="DC85" s="58">
        <f>'2024'!CS9</f>
        <v>40.9</v>
      </c>
      <c r="DD85" s="57">
        <f>'2024'!CT9</f>
        <v>82</v>
      </c>
      <c r="DE85" s="57">
        <f>'2024'!CU9</f>
        <v>2638.8</v>
      </c>
      <c r="DF85" s="57">
        <f>'2024'!CV9</f>
        <v>10</v>
      </c>
      <c r="DG85" s="57">
        <f>'2024'!CW9</f>
        <v>1</v>
      </c>
      <c r="DH85" s="59">
        <f>'2024'!CX9</f>
        <v>20.399999999999999</v>
      </c>
      <c r="DI85" s="56">
        <f>'2024'!CY9</f>
        <v>1245</v>
      </c>
      <c r="DJ85" s="57">
        <f>'2024'!CZ9</f>
        <v>2536.5</v>
      </c>
      <c r="DK85" s="57">
        <f>'2024'!DA9</f>
        <v>27</v>
      </c>
      <c r="DL85" s="57">
        <f>'2024'!DB9</f>
        <v>40.5</v>
      </c>
      <c r="DM85" s="57">
        <f>'2024'!DC9</f>
        <v>258</v>
      </c>
      <c r="DN85" s="57">
        <f>'2024'!DD9</f>
        <v>30</v>
      </c>
      <c r="DO85" s="58">
        <f>'2024'!DE9</f>
        <v>4.8</v>
      </c>
      <c r="DP85" s="58">
        <f>'2024'!DF9</f>
        <v>27.4</v>
      </c>
      <c r="DQ85" s="58">
        <f>'2024'!DG9</f>
        <v>2.42</v>
      </c>
      <c r="DR85" s="58">
        <f>'2024'!DH9</f>
        <v>31.8</v>
      </c>
      <c r="DS85" s="57">
        <f>'2024'!DI9</f>
        <v>117</v>
      </c>
      <c r="DT85" s="57">
        <f>'2024'!DJ9</f>
        <v>3205.5</v>
      </c>
      <c r="DU85" s="57">
        <f>'2024'!DK9</f>
        <v>16</v>
      </c>
      <c r="DV85" s="57">
        <f>'2024'!DL9</f>
        <v>1</v>
      </c>
      <c r="DW85" s="59">
        <f>'2024'!DM9</f>
        <v>24</v>
      </c>
    </row>
    <row r="86" spans="1:127" ht="15.75" customHeight="1" x14ac:dyDescent="0.2">
      <c r="A86" s="33">
        <f t="shared" si="12"/>
        <v>84</v>
      </c>
      <c r="B86" s="11">
        <f>'2022'!A7</f>
        <v>5</v>
      </c>
      <c r="C86" s="11">
        <v>2022</v>
      </c>
      <c r="D86" s="34" t="str">
        <f>'2022'!B7</f>
        <v>James Cook</v>
      </c>
      <c r="E86" s="224" t="str" cm="1">
        <f t="array" ref="E86">_xlfn.IFS(F86&gt;=13,"Cornerstone",AND(F86&gt;=12,F86&lt;13),"Elite",AND(F86&gt;=11,F86&lt;12),"Elite Upside",AND(F86&gt;=9,F86&lt;11),"Upside",AND(F86&gt;=7,F86&lt;9),"Upside Lite",AND(F86&gt;=6,F86&lt;7),"Outlier",AND(F86&gt;=5,F86&lt;6),"Outlier Lite",F86&lt;5,"Purgatory")</f>
        <v>Upside Lite</v>
      </c>
      <c r="F86" s="14">
        <f>'2022'!C7</f>
        <v>8.8333333333333339</v>
      </c>
      <c r="G86" s="14">
        <f t="shared" si="19"/>
        <v>74.3</v>
      </c>
      <c r="H86" s="35">
        <f t="shared" si="13"/>
        <v>0.35166738292364053</v>
      </c>
      <c r="I86" s="36" t="str">
        <f>'2022'!D7</f>
        <v>Georgia</v>
      </c>
      <c r="J86" s="37">
        <f>'2022'!E7</f>
        <v>1</v>
      </c>
      <c r="K86" s="38">
        <f>'2022'!F7</f>
        <v>36428</v>
      </c>
      <c r="L86" s="39">
        <f>'2022'!G7</f>
        <v>26.024657534246575</v>
      </c>
      <c r="M86" s="39" t="str">
        <f>'2022'!H7</f>
        <v>SR</v>
      </c>
      <c r="N86" s="39">
        <f>'2022'!I7</f>
        <v>22.605479452054794</v>
      </c>
      <c r="O86" s="39" t="str">
        <f t="shared" si="14"/>
        <v>JITTERBUG</v>
      </c>
      <c r="P86" s="39" t="str">
        <f t="shared" si="17"/>
        <v>+RECEIVER</v>
      </c>
      <c r="Q86" s="37">
        <f>'2022'!J7</f>
        <v>71</v>
      </c>
      <c r="R86" s="37">
        <f>'2022'!K7</f>
        <v>199</v>
      </c>
      <c r="S86" s="39">
        <f t="shared" si="18"/>
        <v>27.754559060000886</v>
      </c>
      <c r="T86" s="37">
        <f>'2022'!L7</f>
        <v>4.42</v>
      </c>
      <c r="U86" s="40">
        <f>'2022'!M7</f>
        <v>2</v>
      </c>
      <c r="V86" s="41">
        <f>'2022'!N7</f>
        <v>0</v>
      </c>
      <c r="W86" s="42">
        <f>'2022'!O7</f>
        <v>5.7314074984634297E-2</v>
      </c>
      <c r="X86" s="42">
        <f>'2022'!P7</f>
        <v>5.6012602835638019E-2</v>
      </c>
      <c r="Y86" s="42">
        <f>'2022'!Q7</f>
        <v>0.12402735203961329</v>
      </c>
      <c r="Z86" s="42">
        <f>'2022'!R7</f>
        <v>0.15085817524841916</v>
      </c>
      <c r="AA86" s="42">
        <f>'2022'!S7</f>
        <v>0.15085817524841916</v>
      </c>
      <c r="AB86" s="42">
        <f>'2022'!T7</f>
        <v>0.15085817524841916</v>
      </c>
      <c r="AC86" s="42">
        <f>'2022'!U7</f>
        <v>8.9235694277711081E-2</v>
      </c>
      <c r="AD86" s="42">
        <f>'2022'!V7</f>
        <v>7.2525145579671782E-2</v>
      </c>
      <c r="AE86" s="42">
        <f>'2022'!W7</f>
        <v>8.0880419928691438E-2</v>
      </c>
      <c r="AF86" s="43">
        <f>'2022'!X7</f>
        <v>8.0880419928691438E-2</v>
      </c>
      <c r="AG86" s="44">
        <f>'2022'!Y7</f>
        <v>21.958904109589042</v>
      </c>
      <c r="AH86" s="45">
        <f>'2022'!Z7</f>
        <v>104.27831253892637</v>
      </c>
      <c r="AI86" s="45">
        <f>'2022'!AA7</f>
        <v>27.751834953382268</v>
      </c>
      <c r="AJ86" s="45">
        <f>'2022'!AB7</f>
        <v>0.24444444444444444</v>
      </c>
      <c r="AK86" s="45">
        <f>'2022'!AC7</f>
        <v>6.7</v>
      </c>
      <c r="AL86" s="45">
        <f t="shared" si="15"/>
        <v>11.770491803278688</v>
      </c>
      <c r="AM86" s="45">
        <f t="shared" si="16"/>
        <v>0.19285714285714287</v>
      </c>
      <c r="AN86" s="45">
        <f>'2022'!AD7</f>
        <v>86.6</v>
      </c>
      <c r="AO86" s="45">
        <f>'2022'!AE7</f>
        <v>3.91</v>
      </c>
      <c r="AP86" s="46">
        <f>'2022'!AF7</f>
        <v>39.799999999999997</v>
      </c>
      <c r="AQ86" s="47">
        <f>'2022'!AG7</f>
        <v>2</v>
      </c>
      <c r="AR86" s="48">
        <f>'2022'!AH7</f>
        <v>8</v>
      </c>
      <c r="AS86" s="48">
        <f>'2022'!AI7</f>
        <v>2</v>
      </c>
      <c r="AT86" s="48">
        <f>IF(AH86&gt;113.25,10,IF(AH86&gt;=107.84,9,IF(AH86&gt;=105.37,8,IF(AH86&gt;=103.25,7,IF(AH86&gt;=100.55,6,IF(AH86&gt;=98.75,5,IF(AH86&gt;=96.08,4,IF(AH86&gt;=94.39,3,IF(AH86&gt;=88.43,2,IF(AH86&gt;=85.16,1,IF(AH86&lt;85.16,0,FALSE)))))))))))</f>
        <v>7</v>
      </c>
      <c r="AU86" s="48">
        <f>'2022'!AK7</f>
        <v>6</v>
      </c>
      <c r="AV86" s="48">
        <f>'2022'!AL7</f>
        <v>7</v>
      </c>
      <c r="AW86" s="48">
        <f>'2022'!AM7</f>
        <v>2</v>
      </c>
      <c r="AX86" s="48">
        <f>'2022'!AN7</f>
        <v>4</v>
      </c>
      <c r="AY86" s="49">
        <f>IF(U86=1,10,IF(U86=2,7,IF(U86=3,6,IF(U86=4,4,IF(U86=5,3,IF(U86=6,2,IF(U86=7,1,IF(U86=0,0,"-"))))))))</f>
        <v>7</v>
      </c>
      <c r="AZ86" s="50">
        <f>'2022'!AP7</f>
        <v>1</v>
      </c>
      <c r="BA86" s="56">
        <f>'2022'!AQ7</f>
        <v>0</v>
      </c>
      <c r="BB86" s="57">
        <f>'2022'!AR7</f>
        <v>3876</v>
      </c>
      <c r="BC86" s="57">
        <f>'2022'!AS7</f>
        <v>0</v>
      </c>
      <c r="BD86" s="57">
        <f>'2022'!AT7</f>
        <v>42</v>
      </c>
      <c r="BE86" s="57">
        <f>'2022'!AU7</f>
        <v>0</v>
      </c>
      <c r="BF86" s="57">
        <f>'2022'!AV7</f>
        <v>0</v>
      </c>
      <c r="BG86" s="58">
        <f>'2022'!AW7</f>
        <v>0</v>
      </c>
      <c r="BH86" s="58">
        <f>'2022'!AX7</f>
        <v>0</v>
      </c>
      <c r="BI86" s="58">
        <f>'2022'!AY7</f>
        <v>0</v>
      </c>
      <c r="BJ86" s="58">
        <f>'2022'!AZ7</f>
        <v>0</v>
      </c>
      <c r="BK86" s="57">
        <f>'2022'!BA7</f>
        <v>0</v>
      </c>
      <c r="BL86" s="57">
        <f>'2022'!BB7</f>
        <v>2653</v>
      </c>
      <c r="BM86" s="57">
        <f>'2022'!BC7</f>
        <v>0</v>
      </c>
      <c r="BN86" s="57">
        <f>'2022'!BD7</f>
        <v>0</v>
      </c>
      <c r="BO86" s="59">
        <f>'2022'!BE7</f>
        <v>24</v>
      </c>
      <c r="BP86" s="56">
        <f>'2022'!BF7</f>
        <v>284</v>
      </c>
      <c r="BQ86" s="57">
        <f>'2022'!BG7</f>
        <v>3343</v>
      </c>
      <c r="BR86" s="57">
        <f>'2022'!BH7</f>
        <v>2</v>
      </c>
      <c r="BS86" s="57">
        <f>'2022'!BI7</f>
        <v>30</v>
      </c>
      <c r="BT86" s="57">
        <f>'2022'!BJ7</f>
        <v>41</v>
      </c>
      <c r="BU86" s="57">
        <f>'2022'!BK7</f>
        <v>9</v>
      </c>
      <c r="BV86" s="58">
        <f>'2022'!BL7</f>
        <v>6.9</v>
      </c>
      <c r="BW86" s="58">
        <f>'2022'!BM7</f>
        <v>87.6</v>
      </c>
      <c r="BX86" s="58">
        <f>'2022'!BN7</f>
        <v>3.9</v>
      </c>
      <c r="BY86" s="58">
        <f>'2022'!BO7</f>
        <v>65.8</v>
      </c>
      <c r="BZ86" s="57">
        <f>'2022'!BP7</f>
        <v>89</v>
      </c>
      <c r="CA86" s="57">
        <f>'2022'!BQ7</f>
        <v>3165</v>
      </c>
      <c r="CB86" s="57">
        <f>'2022'!BR7</f>
        <v>2</v>
      </c>
      <c r="CC86" s="57">
        <f>'2022'!BS7</f>
        <v>0</v>
      </c>
      <c r="CD86" s="59">
        <f>'2022'!BT7</f>
        <v>34</v>
      </c>
      <c r="CE86" s="56">
        <f>'2022'!BU7</f>
        <v>188</v>
      </c>
      <c r="CF86" s="57">
        <f>'2022'!BV7</f>
        <v>2591</v>
      </c>
      <c r="CG86" s="57">
        <f>'2022'!BW7</f>
        <v>2</v>
      </c>
      <c r="CH86" s="57">
        <f>'2022'!BX7</f>
        <v>21</v>
      </c>
      <c r="CI86" s="57">
        <f>'2022'!BY7</f>
        <v>31</v>
      </c>
      <c r="CJ86" s="57">
        <f>'2022'!BZ7</f>
        <v>6</v>
      </c>
      <c r="CK86" s="58">
        <f>'2022'!CA7</f>
        <v>6.1</v>
      </c>
      <c r="CL86" s="58">
        <f>'2022'!CB7</f>
        <v>80</v>
      </c>
      <c r="CM86" s="58">
        <f>'2022'!CC7</f>
        <v>3.42</v>
      </c>
      <c r="CN86" s="58">
        <f>'2022'!CD7</f>
        <v>37.200000000000003</v>
      </c>
      <c r="CO86" s="57">
        <f>'2022'!CE7</f>
        <v>132</v>
      </c>
      <c r="CP86" s="57">
        <f>'2022'!CF7</f>
        <v>3122</v>
      </c>
      <c r="CQ86" s="57">
        <f>'2022'!CG7</f>
        <v>16</v>
      </c>
      <c r="CR86" s="57">
        <f>'2022'!CH7</f>
        <v>0</v>
      </c>
      <c r="CS86" s="59">
        <f>'2022'!CI7</f>
        <v>26</v>
      </c>
      <c r="CT86" s="56">
        <f>'2022'!CJ7</f>
        <v>303</v>
      </c>
      <c r="CU86" s="57">
        <f>'2022'!CK7</f>
        <v>1742</v>
      </c>
      <c r="CV86" s="57">
        <f>'2022'!CL7</f>
        <v>3</v>
      </c>
      <c r="CW86" s="57">
        <f>'2022'!CM7</f>
        <v>18</v>
      </c>
      <c r="CX86" s="57">
        <f>'2022'!CN7</f>
        <v>45</v>
      </c>
      <c r="CY86" s="57">
        <f>'2022'!CO7</f>
        <v>11</v>
      </c>
      <c r="CZ86" s="58">
        <f>'2022'!CP7</f>
        <v>6.7</v>
      </c>
      <c r="DA86" s="58">
        <f>'2022'!CQ7</f>
        <v>55.4</v>
      </c>
      <c r="DB86" s="58">
        <f>'2022'!CR7</f>
        <v>2.6</v>
      </c>
      <c r="DC86" s="58">
        <f>'2022'!CS7</f>
        <v>34.700000000000003</v>
      </c>
      <c r="DD86" s="57">
        <f>'2022'!CT7</f>
        <v>223</v>
      </c>
      <c r="DE86" s="57">
        <f>'2022'!CU7</f>
        <v>2499</v>
      </c>
      <c r="DF86" s="57">
        <f>'2022'!CV7</f>
        <v>16</v>
      </c>
      <c r="DG86" s="57">
        <f>'2022'!CW7</f>
        <v>0</v>
      </c>
      <c r="DH86" s="59">
        <f>'2022'!CX7</f>
        <v>19</v>
      </c>
      <c r="DI86" s="56">
        <f>'2022'!CY7</f>
        <v>728</v>
      </c>
      <c r="DJ86" s="57">
        <f>'2022'!CZ7</f>
        <v>2864</v>
      </c>
      <c r="DK86" s="57">
        <f>'2022'!DA7</f>
        <v>7</v>
      </c>
      <c r="DL86" s="57">
        <f>'2022'!DB7</f>
        <v>29</v>
      </c>
      <c r="DM86" s="57">
        <f>'2022'!DC7</f>
        <v>113</v>
      </c>
      <c r="DN86" s="57">
        <f>'2022'!DD7</f>
        <v>25</v>
      </c>
      <c r="DO86" s="58">
        <f>'2022'!DE7</f>
        <v>6.4</v>
      </c>
      <c r="DP86" s="58">
        <f>'2022'!DF7</f>
        <v>86.6</v>
      </c>
      <c r="DQ86" s="58">
        <f>'2022'!DG7</f>
        <v>3.91</v>
      </c>
      <c r="DR86" s="58">
        <f>'2022'!DH7</f>
        <v>39.799999999999997</v>
      </c>
      <c r="DS86" s="57">
        <f>'2022'!DI7</f>
        <v>274</v>
      </c>
      <c r="DT86" s="57">
        <f>'2022'!DJ7</f>
        <v>3778</v>
      </c>
      <c r="DU86" s="57">
        <f>'2022'!DK7</f>
        <v>27</v>
      </c>
      <c r="DV86" s="57">
        <f>'2022'!DL7</f>
        <v>0</v>
      </c>
      <c r="DW86" s="59">
        <f>'2022'!DM7</f>
        <v>39</v>
      </c>
    </row>
    <row r="87" spans="1:127" ht="15.75" customHeight="1" x14ac:dyDescent="0.2">
      <c r="A87" s="33">
        <f t="shared" si="12"/>
        <v>85</v>
      </c>
      <c r="B87" s="11">
        <f>'2023'!A11</f>
        <v>9</v>
      </c>
      <c r="C87" s="11">
        <v>2023</v>
      </c>
      <c r="D87" s="34" t="str">
        <f>'2023'!B11</f>
        <v>Zach Evans</v>
      </c>
      <c r="E87" s="224" t="str" cm="1">
        <f t="array" ref="E87">_xlfn.IFS(F87&gt;=13,"Cornerstone",AND(F87&gt;=12,F87&lt;13),"Elite",AND(F87&gt;=11,F87&lt;12),"Elite Upside",AND(F87&gt;=9,F87&lt;11),"Upside",AND(F87&gt;=7,F87&lt;9),"Upside Lite",AND(F87&gt;=6,F87&lt;7),"Outlier",AND(F87&gt;=5,F87&lt;6),"Outlier Lite",F87&lt;5,"Purgatory")</f>
        <v>Upside Lite</v>
      </c>
      <c r="F87" s="14">
        <f>'2023'!C11</f>
        <v>8.8055555555555554</v>
      </c>
      <c r="G87" s="14">
        <f t="shared" si="19"/>
        <v>74</v>
      </c>
      <c r="H87" s="35">
        <f t="shared" si="13"/>
        <v>0.33991113113920574</v>
      </c>
      <c r="I87" s="36" t="str">
        <f>'2023'!D11</f>
        <v>Ole Miss</v>
      </c>
      <c r="J87" s="37">
        <f>'2023'!E11</f>
        <v>1</v>
      </c>
      <c r="K87" s="38">
        <f>'2023'!F11</f>
        <v>37041</v>
      </c>
      <c r="L87" s="39">
        <f>'2023'!G11</f>
        <v>24.345205479452055</v>
      </c>
      <c r="M87" s="39" t="str">
        <f>'2023'!H11</f>
        <v>JR</v>
      </c>
      <c r="N87" s="39">
        <f>'2023'!I11</f>
        <v>21.923287671232877</v>
      </c>
      <c r="O87" s="39" t="str">
        <f t="shared" si="14"/>
        <v>DYNAMIC</v>
      </c>
      <c r="P87" s="39" t="str">
        <f t="shared" si="17"/>
        <v>3DOWN</v>
      </c>
      <c r="Q87" s="37">
        <f>'2023'!J11</f>
        <v>71</v>
      </c>
      <c r="R87" s="37">
        <f>'2023'!K11</f>
        <v>202</v>
      </c>
      <c r="S87" s="39">
        <f t="shared" si="18"/>
        <v>28.172969498091351</v>
      </c>
      <c r="T87" s="37">
        <f>'2023'!L11</f>
        <v>4.46</v>
      </c>
      <c r="U87" s="40">
        <f>'2023'!M11</f>
        <v>6</v>
      </c>
      <c r="V87" s="41">
        <f>'2023'!N11</f>
        <v>0</v>
      </c>
      <c r="W87" s="42">
        <f>'2023'!O11</f>
        <v>0</v>
      </c>
      <c r="X87" s="42">
        <f>'2023'!P11</f>
        <v>0.1322879620648777</v>
      </c>
      <c r="Y87" s="42">
        <f>'2023'!Q11</f>
        <v>0.29699190716139867</v>
      </c>
      <c r="Z87" s="42">
        <f>'2023'!R11</f>
        <v>0.17610126242277729</v>
      </c>
      <c r="AA87" s="42">
        <f>'2023'!S11</f>
        <v>0.23654658479208798</v>
      </c>
      <c r="AB87" s="42">
        <f>'2023'!T11</f>
        <v>0.23654658479208798</v>
      </c>
      <c r="AC87" s="42">
        <f>'2023'!U11</f>
        <v>9.0428491930996113E-2</v>
      </c>
      <c r="AD87" s="42">
        <f>'2023'!V11</f>
        <v>4.1353906032805109E-2</v>
      </c>
      <c r="AE87" s="42">
        <f>'2023'!W11</f>
        <v>6.5891198981900614E-2</v>
      </c>
      <c r="AF87" s="43">
        <f>'2023'!X11</f>
        <v>6.5891198981900614E-2</v>
      </c>
      <c r="AG87" s="44">
        <f>'2023'!Y11</f>
        <v>20.282191780821918</v>
      </c>
      <c r="AH87" s="45">
        <f>'2023'!Z11</f>
        <v>102.10380581276934</v>
      </c>
      <c r="AI87" s="45">
        <f>'2023'!AA11</f>
        <v>28.170204324538783</v>
      </c>
      <c r="AJ87" s="45">
        <f>'2023'!AB11</f>
        <v>0.28260869565217389</v>
      </c>
      <c r="AK87" s="45">
        <f>'2023'!AC11</f>
        <v>7</v>
      </c>
      <c r="AL87" s="45">
        <f t="shared" si="15"/>
        <v>10.833333333333334</v>
      </c>
      <c r="AM87" s="45">
        <f t="shared" si="16"/>
        <v>7.6923076923076927E-2</v>
      </c>
      <c r="AN87" s="45">
        <f>'2023'!AD11</f>
        <v>126.6</v>
      </c>
      <c r="AO87" s="45">
        <f>'2023'!AE11</f>
        <v>4.3</v>
      </c>
      <c r="AP87" s="46">
        <f>'2023'!AF11</f>
        <v>45.9</v>
      </c>
      <c r="AQ87" s="47">
        <f>'2023'!AG11</f>
        <v>5</v>
      </c>
      <c r="AR87" s="48">
        <f>'2023'!AH11</f>
        <v>7</v>
      </c>
      <c r="AS87" s="48">
        <f>'2023'!AI11</f>
        <v>4</v>
      </c>
      <c r="AT87" s="48">
        <f>IF(AH87&gt;113.25,10,IF(AH87&gt;=107.84,9,IF(AH87&gt;=105.37,8,IF(AH87&gt;=103.25,7,IF(AH87&gt;=100.55,6,IF(AH87&gt;=98.75,5,IF(AH87&gt;=96.08,4,IF(AH87&gt;=94.39,3,IF(AH87&gt;=88.43,2,IF(AH87&gt;=85.16,1,IF(AH87&lt;85.16,0,FALSE)))))))))))</f>
        <v>6</v>
      </c>
      <c r="AU87" s="48">
        <f>'2023'!AK11</f>
        <v>8</v>
      </c>
      <c r="AV87" s="48">
        <f>'2023'!AL11</f>
        <v>8</v>
      </c>
      <c r="AW87" s="48">
        <f>'2023'!AM11</f>
        <v>6</v>
      </c>
      <c r="AX87" s="48">
        <f>'2023'!AN11</f>
        <v>6</v>
      </c>
      <c r="AY87" s="49">
        <f>'2023'!AO11</f>
        <v>2</v>
      </c>
      <c r="AZ87" s="50">
        <f>'2023'!AP11</f>
        <v>1</v>
      </c>
      <c r="BA87" s="56">
        <f>'2023'!AQ11</f>
        <v>0</v>
      </c>
      <c r="BB87" s="57">
        <f>'2023'!AR11</f>
        <v>2036</v>
      </c>
      <c r="BC87" s="57">
        <f>'2023'!AS11</f>
        <v>0</v>
      </c>
      <c r="BD87" s="57">
        <f>'2023'!AT11</f>
        <v>14</v>
      </c>
      <c r="BE87" s="57">
        <f>'2023'!AU11</f>
        <v>0</v>
      </c>
      <c r="BF87" s="57">
        <f>'2023'!AV11</f>
        <v>0</v>
      </c>
      <c r="BG87" s="58">
        <f>'2023'!AW11</f>
        <v>0</v>
      </c>
      <c r="BH87" s="58">
        <f>'2023'!AX11</f>
        <v>0</v>
      </c>
      <c r="BI87" s="58">
        <f>'2023'!AY11</f>
        <v>0</v>
      </c>
      <c r="BJ87" s="58">
        <f>'2023'!AZ11</f>
        <v>0</v>
      </c>
      <c r="BK87" s="57">
        <f>'2023'!BA11</f>
        <v>0</v>
      </c>
      <c r="BL87" s="57">
        <f>'2023'!BB11</f>
        <v>2749</v>
      </c>
      <c r="BM87" s="57">
        <f>'2023'!BC11</f>
        <v>0</v>
      </c>
      <c r="BN87" s="57">
        <f>'2023'!BD11</f>
        <v>0</v>
      </c>
      <c r="BO87" s="59">
        <f>'2023'!BE11</f>
        <v>18</v>
      </c>
      <c r="BP87" s="56">
        <f>'2023'!BF11</f>
        <v>0</v>
      </c>
      <c r="BQ87" s="57">
        <f>'2023'!BG11</f>
        <v>2448</v>
      </c>
      <c r="BR87" s="57">
        <f>'2023'!BH11</f>
        <v>0</v>
      </c>
      <c r="BS87" s="57">
        <f>'2023'!BI11</f>
        <v>23</v>
      </c>
      <c r="BT87" s="57">
        <f>'2023'!BJ11</f>
        <v>0</v>
      </c>
      <c r="BU87" s="57">
        <f>'2023'!BK11</f>
        <v>0</v>
      </c>
      <c r="BV87" s="58">
        <f>'2023'!BL11</f>
        <v>0</v>
      </c>
      <c r="BW87" s="58">
        <f>'2023'!BM11</f>
        <v>0</v>
      </c>
      <c r="BX87" s="58">
        <f>'2023'!BN11</f>
        <v>0</v>
      </c>
      <c r="BY87" s="58">
        <f>'2023'!BO11</f>
        <v>0</v>
      </c>
      <c r="BZ87" s="57">
        <f>'2023'!BP11</f>
        <v>0</v>
      </c>
      <c r="CA87" s="57">
        <f>'2023'!BQ11</f>
        <v>2444</v>
      </c>
      <c r="CB87" s="57">
        <f>'2023'!BR11</f>
        <v>0</v>
      </c>
      <c r="CC87" s="57">
        <f>'2023'!BS11</f>
        <v>0</v>
      </c>
      <c r="CD87" s="59">
        <f>'2023'!BT11</f>
        <v>15</v>
      </c>
      <c r="CE87" s="56">
        <f>'2023'!BU11</f>
        <v>415</v>
      </c>
      <c r="CF87" s="57">
        <f>'2023'!BV11</f>
        <v>1944.8999999999999</v>
      </c>
      <c r="CG87" s="57">
        <f>'2023'!BW11</f>
        <v>4</v>
      </c>
      <c r="CH87" s="57">
        <f>'2023'!BX11</f>
        <v>23</v>
      </c>
      <c r="CI87" s="57">
        <f>'2023'!BY11</f>
        <v>54</v>
      </c>
      <c r="CJ87" s="57">
        <f>'2023'!BZ11</f>
        <v>14</v>
      </c>
      <c r="CK87" s="58">
        <f>'2023'!CA11</f>
        <v>7.7</v>
      </c>
      <c r="CL87" s="58">
        <f>'2023'!CB11</f>
        <v>139.30000000000001</v>
      </c>
      <c r="CM87" s="58">
        <f>'2023'!CC11</f>
        <v>5.76</v>
      </c>
      <c r="CN87" s="58">
        <f>'2023'!CD11</f>
        <v>58.6</v>
      </c>
      <c r="CO87" s="57">
        <f>'2023'!CE11</f>
        <v>76</v>
      </c>
      <c r="CP87" s="57">
        <f>'2023'!CF11</f>
        <v>1766.7</v>
      </c>
      <c r="CQ87" s="57">
        <f>'2023'!CG11</f>
        <v>8</v>
      </c>
      <c r="CR87" s="57">
        <f>'2023'!CH11</f>
        <v>0</v>
      </c>
      <c r="CS87" s="59">
        <f>'2023'!CI11</f>
        <v>11</v>
      </c>
      <c r="CT87" s="56">
        <f>'2023'!CJ11</f>
        <v>648</v>
      </c>
      <c r="CU87" s="57">
        <f>'2023'!CK11</f>
        <v>1182</v>
      </c>
      <c r="CV87" s="57">
        <f>'2023'!CL11</f>
        <v>5</v>
      </c>
      <c r="CW87" s="57">
        <f>'2023'!CM11</f>
        <v>21</v>
      </c>
      <c r="CX87" s="57">
        <f>'2023'!CN11</f>
        <v>92</v>
      </c>
      <c r="CY87" s="57">
        <f>'2023'!CO11</f>
        <v>26</v>
      </c>
      <c r="CZ87" s="58">
        <f>'2023'!CP11</f>
        <v>7</v>
      </c>
      <c r="DA87" s="58">
        <f>'2023'!CQ11</f>
        <v>126.6</v>
      </c>
      <c r="DB87" s="58">
        <f>'2023'!CR11</f>
        <v>4.3</v>
      </c>
      <c r="DC87" s="58">
        <f>'2023'!CS11</f>
        <v>45.1</v>
      </c>
      <c r="DD87" s="57">
        <f>'2023'!CT11</f>
        <v>130</v>
      </c>
      <c r="DE87" s="57">
        <f>'2023'!CU11</f>
        <v>1437.6</v>
      </c>
      <c r="DF87" s="57">
        <f>'2023'!CV11</f>
        <v>10</v>
      </c>
      <c r="DG87" s="57">
        <f>'2023'!CW11</f>
        <v>0</v>
      </c>
      <c r="DH87" s="59">
        <f>'2023'!CX11</f>
        <v>19</v>
      </c>
      <c r="DI87" s="56">
        <f>'2023'!CY11</f>
        <v>930</v>
      </c>
      <c r="DJ87" s="57">
        <f>'2023'!CZ11</f>
        <v>3079.2000000000003</v>
      </c>
      <c r="DK87" s="57">
        <f>'2023'!DA11</f>
        <v>9</v>
      </c>
      <c r="DL87" s="57">
        <f>'2023'!DB11</f>
        <v>33</v>
      </c>
      <c r="DM87" s="57">
        <f>'2023'!DC11</f>
        <v>144</v>
      </c>
      <c r="DN87" s="57">
        <f>'2023'!DD11</f>
        <v>35</v>
      </c>
      <c r="DO87" s="58">
        <f>'2023'!DE11</f>
        <v>6.5</v>
      </c>
      <c r="DP87" s="58">
        <f>'2023'!DF11</f>
        <v>89.1</v>
      </c>
      <c r="DQ87" s="58">
        <f>'2023'!DG11</f>
        <v>3.56</v>
      </c>
      <c r="DR87" s="58">
        <f>'2023'!DH11</f>
        <v>45.9</v>
      </c>
      <c r="DS87" s="57">
        <f>'2023'!DI11</f>
        <v>119</v>
      </c>
      <c r="DT87" s="57">
        <f>'2023'!DJ11</f>
        <v>2877.6000000000004</v>
      </c>
      <c r="DU87" s="57">
        <f>'2023'!DK11</f>
        <v>12</v>
      </c>
      <c r="DV87" s="57">
        <f>'2023'!DL11</f>
        <v>0</v>
      </c>
      <c r="DW87" s="59">
        <f>'2023'!DM11</f>
        <v>22</v>
      </c>
    </row>
    <row r="88" spans="1:127" ht="15.75" customHeight="1" x14ac:dyDescent="0.2">
      <c r="A88" s="33">
        <f t="shared" si="12"/>
        <v>86</v>
      </c>
      <c r="B88" s="11">
        <f>'2024'!A10</f>
        <v>8</v>
      </c>
      <c r="C88" s="11">
        <v>2024</v>
      </c>
      <c r="D88" s="34" t="str">
        <f>'2024'!B10</f>
        <v>Audric Estime</v>
      </c>
      <c r="E88" s="224" t="str" cm="1">
        <f t="array" ref="E88">_xlfn.IFS(F88&gt;=13,"Cornerstone",AND(F88&gt;=12,F88&lt;13),"Elite",AND(F88&gt;=11,F88&lt;12),"Elite Upside",AND(F88&gt;=9,F88&lt;11),"Upside",AND(F88&gt;=7,F88&lt;9),"Upside Lite",AND(F88&gt;=6,F88&lt;7),"Outlier",AND(F88&gt;=5,F88&lt;6),"Outlier Lite",F88&lt;5,"Purgatory")</f>
        <v>Upside Lite</v>
      </c>
      <c r="F88" s="14">
        <f>'2024'!C10</f>
        <v>8.8000000000000007</v>
      </c>
      <c r="G88" s="14">
        <f t="shared" si="19"/>
        <v>73.7</v>
      </c>
      <c r="H88" s="35">
        <f t="shared" si="13"/>
        <v>0.33755988078231924</v>
      </c>
      <c r="I88" s="36" t="str">
        <f>'2024'!D10</f>
        <v>Notre Dame</v>
      </c>
      <c r="J88" s="37">
        <f>'2024'!E10</f>
        <v>2</v>
      </c>
      <c r="K88" s="38">
        <f>'2024'!F10</f>
        <v>37870</v>
      </c>
      <c r="L88" s="39">
        <f>'2024'!G10</f>
        <v>22.073972602739726</v>
      </c>
      <c r="M88" s="39" t="str">
        <f>'2024'!H10</f>
        <v>JR</v>
      </c>
      <c r="N88" s="39">
        <f>'2024'!I10</f>
        <v>20.654794520547945</v>
      </c>
      <c r="O88" s="39" t="str">
        <f t="shared" si="14"/>
        <v>BELL COW</v>
      </c>
      <c r="P88" s="39" t="str">
        <f t="shared" si="17"/>
        <v>3DOWN</v>
      </c>
      <c r="Q88" s="37">
        <f>'2024'!J10</f>
        <v>71</v>
      </c>
      <c r="R88" s="37">
        <f>'2024'!K10</f>
        <v>221</v>
      </c>
      <c r="S88" s="39">
        <f t="shared" si="18"/>
        <v>30.822902272664301</v>
      </c>
      <c r="T88" s="37">
        <f>'2024'!L10</f>
        <v>4.59</v>
      </c>
      <c r="U88" s="40">
        <f>'2024'!M10</f>
        <v>5</v>
      </c>
      <c r="V88" s="41">
        <f>'2024'!N10</f>
        <v>0</v>
      </c>
      <c r="W88" s="42">
        <f>'2024'!O10</f>
        <v>0</v>
      </c>
      <c r="X88" s="42">
        <f>'2024'!P10</f>
        <v>7.0307007265057425E-2</v>
      </c>
      <c r="Y88" s="42">
        <f>'2024'!Q10</f>
        <v>0.20211237525725159</v>
      </c>
      <c r="Z88" s="42">
        <f>'2024'!R10</f>
        <v>0.28594015116458432</v>
      </c>
      <c r="AA88" s="42">
        <f>'2024'!S10</f>
        <v>0.28594015116458432</v>
      </c>
      <c r="AB88" s="42">
        <f>'2024'!T10</f>
        <v>0.28594015116458432</v>
      </c>
      <c r="AC88" s="42">
        <f>'2024'!U10</f>
        <v>5.0143000408572599E-2</v>
      </c>
      <c r="AD88" s="42">
        <f>'2024'!V10</f>
        <v>4.8005409060175794E-2</v>
      </c>
      <c r="AE88" s="42">
        <f>'2024'!W10</f>
        <v>4.9074204734374197E-2</v>
      </c>
      <c r="AF88" s="43">
        <f>'2024'!X10</f>
        <v>4.9074204734374197E-2</v>
      </c>
      <c r="AG88" s="44">
        <f>'2024'!Y10</f>
        <v>19.010958904109589</v>
      </c>
      <c r="AH88" s="45">
        <f>'2024'!Z10</f>
        <v>99.579863631451161</v>
      </c>
      <c r="AI88" s="45">
        <f>'2024'!AA10</f>
        <v>30.819877008530053</v>
      </c>
      <c r="AJ88" s="45">
        <f>'2024'!AB10</f>
        <v>0.30622009569377989</v>
      </c>
      <c r="AK88" s="45">
        <f>'2024'!AC10</f>
        <v>6.4</v>
      </c>
      <c r="AL88" s="45">
        <f t="shared" si="15"/>
        <v>10.653846153846153</v>
      </c>
      <c r="AM88" s="45">
        <f t="shared" si="16"/>
        <v>7.5221238938053103E-2</v>
      </c>
      <c r="AN88" s="45">
        <f>'2024'!AD10</f>
        <v>126.5</v>
      </c>
      <c r="AO88" s="45">
        <f>'2024'!AE10</f>
        <v>4.2699999999999996</v>
      </c>
      <c r="AP88" s="46">
        <f>'2024'!AF10</f>
        <v>44.1</v>
      </c>
      <c r="AQ88" s="47">
        <f>'2024'!AG10</f>
        <v>8</v>
      </c>
      <c r="AR88" s="48">
        <f>'2024'!AH10</f>
        <v>5</v>
      </c>
      <c r="AS88" s="48">
        <f>'2024'!AI10</f>
        <v>8</v>
      </c>
      <c r="AT88" s="48">
        <f>'2024'!AJ10</f>
        <v>5</v>
      </c>
      <c r="AU88" s="48">
        <f>'2024'!AK10</f>
        <v>8</v>
      </c>
      <c r="AV88" s="48">
        <f>'2024'!AL10</f>
        <v>6</v>
      </c>
      <c r="AW88" s="48">
        <f>'2024'!AM10</f>
        <v>6</v>
      </c>
      <c r="AX88" s="48">
        <f>'2024'!AN10</f>
        <v>6</v>
      </c>
      <c r="AY88" s="49">
        <f>'2024'!AO10</f>
        <v>3</v>
      </c>
      <c r="AZ88" s="50">
        <f>'2024'!AP10</f>
        <v>0</v>
      </c>
      <c r="BA88" s="56">
        <f>'2024'!AQ10</f>
        <v>0</v>
      </c>
      <c r="BB88" s="57">
        <f>'2024'!AR10</f>
        <v>1</v>
      </c>
      <c r="BC88" s="57">
        <f>'2024'!AS10</f>
        <v>0</v>
      </c>
      <c r="BD88" s="57">
        <f>'2024'!AT10</f>
        <v>0</v>
      </c>
      <c r="BE88" s="57">
        <f>'2024'!AU10</f>
        <v>0</v>
      </c>
      <c r="BF88" s="57">
        <f>'2024'!AV10</f>
        <v>0</v>
      </c>
      <c r="BG88" s="58">
        <f>'2024'!AW10</f>
        <v>0</v>
      </c>
      <c r="BH88" s="58">
        <f>'2024'!AX10</f>
        <v>0</v>
      </c>
      <c r="BI88" s="58">
        <f>'2024'!AY10</f>
        <v>0</v>
      </c>
      <c r="BJ88" s="58">
        <f>'2024'!AZ10</f>
        <v>0</v>
      </c>
      <c r="BK88" s="57">
        <f>'2024'!BA10</f>
        <v>0</v>
      </c>
      <c r="BL88" s="57">
        <f>'2024'!BB10</f>
        <v>1</v>
      </c>
      <c r="BM88" s="57">
        <f>'2024'!BC10</f>
        <v>0</v>
      </c>
      <c r="BN88" s="57">
        <f>'2024'!BD10</f>
        <v>0</v>
      </c>
      <c r="BO88" s="59">
        <f>'2024'!BE10</f>
        <v>0</v>
      </c>
      <c r="BP88" s="56">
        <f>'2024'!BF10</f>
        <v>0</v>
      </c>
      <c r="BQ88" s="57">
        <f>'2024'!BG10</f>
        <v>1</v>
      </c>
      <c r="BR88" s="57">
        <f>'2024'!BH10</f>
        <v>0</v>
      </c>
      <c r="BS88" s="57">
        <f>'2024'!BI10</f>
        <v>0</v>
      </c>
      <c r="BT88" s="57">
        <f>'2024'!BJ10</f>
        <v>0</v>
      </c>
      <c r="BU88" s="57">
        <f>'2024'!BK10</f>
        <v>0</v>
      </c>
      <c r="BV88" s="58">
        <f>'2024'!BL10</f>
        <v>0</v>
      </c>
      <c r="BW88" s="58">
        <f>'2024'!BM10</f>
        <v>0</v>
      </c>
      <c r="BX88" s="58">
        <f>'2024'!BN10</f>
        <v>0</v>
      </c>
      <c r="BY88" s="58">
        <f>'2024'!BO10</f>
        <v>0</v>
      </c>
      <c r="BZ88" s="57">
        <f>'2024'!BP10</f>
        <v>0</v>
      </c>
      <c r="CA88" s="57">
        <f>'2024'!BQ10</f>
        <v>1</v>
      </c>
      <c r="CB88" s="57">
        <f>'2024'!BR10</f>
        <v>0</v>
      </c>
      <c r="CC88" s="57">
        <f>'2024'!BS10</f>
        <v>0</v>
      </c>
      <c r="CD88" s="59">
        <f>'2024'!BT10</f>
        <v>0</v>
      </c>
      <c r="CE88" s="56">
        <f>'2024'!BU10</f>
        <v>60</v>
      </c>
      <c r="CF88" s="57">
        <f>'2024'!BV10</f>
        <v>288.39999999999998</v>
      </c>
      <c r="CG88" s="57">
        <f>'2024'!BW10</f>
        <v>0</v>
      </c>
      <c r="CH88" s="57">
        <f>'2024'!BX10</f>
        <v>3.6</v>
      </c>
      <c r="CI88" s="57">
        <f>'2024'!BY10</f>
        <v>7</v>
      </c>
      <c r="CJ88" s="57">
        <f>'2024'!BZ10</f>
        <v>1</v>
      </c>
      <c r="CK88" s="58">
        <f>'2024'!CA10</f>
        <v>8.5714285714285712</v>
      </c>
      <c r="CL88" s="58">
        <f>'2024'!CB10</f>
        <v>89.8</v>
      </c>
      <c r="CM88" s="58">
        <f>'2024'!CC10</f>
        <v>6.29</v>
      </c>
      <c r="CN88" s="58">
        <f>'2024'!CD10</f>
        <v>35</v>
      </c>
      <c r="CO88" s="57">
        <f>'2024'!CE10</f>
        <v>0</v>
      </c>
      <c r="CP88" s="57">
        <f>'2024'!CF10</f>
        <v>565</v>
      </c>
      <c r="CQ88" s="57">
        <f>'2024'!CG10</f>
        <v>0</v>
      </c>
      <c r="CR88" s="57">
        <f>'2024'!CH10</f>
        <v>0</v>
      </c>
      <c r="CS88" s="59">
        <f>'2024'!CI10</f>
        <v>4.5999999999999996</v>
      </c>
      <c r="CT88" s="56">
        <f>'2024'!CJ10</f>
        <v>906</v>
      </c>
      <c r="CU88" s="57">
        <f>'2024'!CK10</f>
        <v>2458.2999999999997</v>
      </c>
      <c r="CV88" s="57">
        <f>'2024'!CL10</f>
        <v>11</v>
      </c>
      <c r="CW88" s="57">
        <f>'2024'!CM10</f>
        <v>24.7</v>
      </c>
      <c r="CX88" s="57">
        <f>'2024'!CN10</f>
        <v>156</v>
      </c>
      <c r="CY88" s="57">
        <f>'2024'!CO10</f>
        <v>39</v>
      </c>
      <c r="CZ88" s="58">
        <f>'2024'!CP10</f>
        <v>5.8076923076923075</v>
      </c>
      <c r="DA88" s="58">
        <f>'2024'!CQ10</f>
        <v>92.8</v>
      </c>
      <c r="DB88" s="58">
        <f>'2024'!CR10</f>
        <v>3.65</v>
      </c>
      <c r="DC88" s="58">
        <f>'2024'!CS10</f>
        <v>29.4</v>
      </c>
      <c r="DD88" s="57">
        <f>'2024'!CT10</f>
        <v>135</v>
      </c>
      <c r="DE88" s="57">
        <f>'2024'!CU10</f>
        <v>2692.2999999999997</v>
      </c>
      <c r="DF88" s="57">
        <f>'2024'!CV10</f>
        <v>9</v>
      </c>
      <c r="DG88" s="57">
        <f>'2024'!CW10</f>
        <v>1</v>
      </c>
      <c r="DH88" s="59">
        <f>'2024'!CX10</f>
        <v>24.7</v>
      </c>
      <c r="DI88" s="56">
        <f>'2024'!CY10</f>
        <v>1341</v>
      </c>
      <c r="DJ88" s="57">
        <f>'2024'!CZ10</f>
        <v>2228.3999999999996</v>
      </c>
      <c r="DK88" s="57">
        <f>'2024'!DA10</f>
        <v>18</v>
      </c>
      <c r="DL88" s="57">
        <f>'2024'!DB10</f>
        <v>26.400000000000002</v>
      </c>
      <c r="DM88" s="57">
        <f>'2024'!DC10</f>
        <v>209</v>
      </c>
      <c r="DN88" s="57">
        <f>'2024'!DD10</f>
        <v>64</v>
      </c>
      <c r="DO88" s="58">
        <f>'2024'!DE10</f>
        <v>6.4</v>
      </c>
      <c r="DP88" s="58">
        <f>'2024'!DF10</f>
        <v>126.5</v>
      </c>
      <c r="DQ88" s="58">
        <f>'2024'!DG10</f>
        <v>4.2699999999999996</v>
      </c>
      <c r="DR88" s="58">
        <f>'2024'!DH10</f>
        <v>44.1</v>
      </c>
      <c r="DS88" s="57">
        <f>'2024'!DI10</f>
        <v>142</v>
      </c>
      <c r="DT88" s="57">
        <f>'2024'!DJ10</f>
        <v>2958</v>
      </c>
      <c r="DU88" s="57">
        <f>'2024'!DK10</f>
        <v>17</v>
      </c>
      <c r="DV88" s="57">
        <f>'2024'!DL10</f>
        <v>0</v>
      </c>
      <c r="DW88" s="59">
        <f>'2024'!DM10</f>
        <v>28.799999999999997</v>
      </c>
    </row>
    <row r="89" spans="1:127" ht="15.75" customHeight="1" x14ac:dyDescent="0.2">
      <c r="A89" s="33">
        <f t="shared" si="12"/>
        <v>87</v>
      </c>
      <c r="B89" s="11">
        <f>'2025'!A14</f>
        <v>12</v>
      </c>
      <c r="C89" s="11">
        <v>2025</v>
      </c>
      <c r="D89" s="34" t="str">
        <f>'2025'!B14</f>
        <v>Dylan Sampson</v>
      </c>
      <c r="E89" s="224" t="str" cm="1">
        <f t="array" ref="E89">_xlfn.IFS(F89&gt;=13,"Cornerstone",AND(F89&gt;=12,F89&lt;13),"Elite",AND(F89&gt;=11,F89&lt;12),"Elite Upside",AND(F89&gt;=9,F89&lt;11),"Upside",AND(F89&gt;=7,F89&lt;9),"Upside Lite",AND(F89&gt;=6,F89&lt;7),"Outlier",AND(F89&gt;=5,F89&lt;6),"Outlier Lite",F89&lt;5,"Purgatory")</f>
        <v>Upside Lite</v>
      </c>
      <c r="F89" s="14">
        <f>'2025'!C14</f>
        <v>8.7888888888888879</v>
      </c>
      <c r="G89" s="14">
        <f t="shared" si="19"/>
        <v>73.3</v>
      </c>
      <c r="H89" s="35">
        <f t="shared" si="13"/>
        <v>0.33285738006854471</v>
      </c>
      <c r="I89" s="36" t="str">
        <f>'2025'!D14</f>
        <v>Tennessee</v>
      </c>
      <c r="J89" s="37">
        <f>'2025'!E14</f>
        <v>1</v>
      </c>
      <c r="K89" s="38">
        <f>'2025'!F14</f>
        <v>38244</v>
      </c>
      <c r="L89" s="39">
        <f>'2025'!G14</f>
        <v>21.049315068493151</v>
      </c>
      <c r="M89" s="39" t="str">
        <f>'2025'!H14</f>
        <v>JR</v>
      </c>
      <c r="N89" s="39">
        <f>'2025'!I14</f>
        <v>20.63013698630137</v>
      </c>
      <c r="O89" s="39" t="str">
        <f t="shared" si="14"/>
        <v>DYNAMIC</v>
      </c>
      <c r="P89" s="39" t="str">
        <f t="shared" si="17"/>
        <v>SLASHER</v>
      </c>
      <c r="Q89" s="37">
        <f>'2025'!J14</f>
        <v>68</v>
      </c>
      <c r="R89" s="37">
        <f>'2025'!K14</f>
        <v>200</v>
      </c>
      <c r="S89" s="39">
        <f t="shared" si="18"/>
        <v>30.40955908901438</v>
      </c>
      <c r="T89" s="37">
        <f>'2025'!L14</f>
        <v>4.42</v>
      </c>
      <c r="U89" s="40">
        <f>'2025'!M14</f>
        <v>4</v>
      </c>
      <c r="V89" s="41">
        <f>'2025'!N14</f>
        <v>0</v>
      </c>
      <c r="W89" s="42">
        <f>'2025'!O14</f>
        <v>0</v>
      </c>
      <c r="X89" s="42">
        <f>'2025'!P14</f>
        <v>7.8957382039573823E-2</v>
      </c>
      <c r="Y89" s="42">
        <f>'2025'!Q14</f>
        <v>0.14508928571428573</v>
      </c>
      <c r="Z89" s="42">
        <f>'2025'!R14</f>
        <v>0.28064560534104205</v>
      </c>
      <c r="AA89" s="42">
        <f>'2025'!S14</f>
        <v>0.28064560534104205</v>
      </c>
      <c r="AB89" s="42">
        <f>'2025'!T14</f>
        <v>0.28064560534104205</v>
      </c>
      <c r="AC89" s="42">
        <f>'2025'!U14</f>
        <v>5.9964364035087724E-2</v>
      </c>
      <c r="AD89" s="42">
        <f>'2025'!V14</f>
        <v>4.9728752260397829E-2</v>
      </c>
      <c r="AE89" s="42">
        <f>'2025'!W14</f>
        <v>5.484655814774278E-2</v>
      </c>
      <c r="AF89" s="43">
        <f>'2025'!X14</f>
        <v>5.484655814774278E-2</v>
      </c>
      <c r="AG89" s="44">
        <f>'2025'!Y14</f>
        <v>19.986301369863014</v>
      </c>
      <c r="AH89" s="45">
        <f>'2025'!Z14</f>
        <v>104.802324159725</v>
      </c>
      <c r="AI89" s="45">
        <f>'2025'!AA14</f>
        <v>30.406574394463664</v>
      </c>
      <c r="AJ89" s="45">
        <f>'2025'!AB14</f>
        <v>0.28971962616822428</v>
      </c>
      <c r="AK89" s="45">
        <f>'2025'!AC14</f>
        <v>5.7674418604651159</v>
      </c>
      <c r="AL89" s="45">
        <f t="shared" si="15"/>
        <v>8.625</v>
      </c>
      <c r="AM89" s="45">
        <f t="shared" si="16"/>
        <v>7.1942446043165464E-2</v>
      </c>
      <c r="AN89" s="45">
        <f>'2025'!AD14</f>
        <v>107.5</v>
      </c>
      <c r="AO89" s="45">
        <f>'2025'!AE14</f>
        <v>3.6</v>
      </c>
      <c r="AP89" s="46">
        <f>'2025'!AF14</f>
        <v>36.4</v>
      </c>
      <c r="AQ89" s="47">
        <f>'2025'!AG14</f>
        <v>8</v>
      </c>
      <c r="AR89" s="48">
        <f>'2025'!AH14</f>
        <v>6</v>
      </c>
      <c r="AS89" s="48">
        <f>'2025'!AI14</f>
        <v>5</v>
      </c>
      <c r="AT89" s="48">
        <f>'2025'!AJ14</f>
        <v>7</v>
      </c>
      <c r="AU89" s="48">
        <f>'2025'!AK14</f>
        <v>8</v>
      </c>
      <c r="AV89" s="48">
        <f>'2025'!AL14</f>
        <v>3</v>
      </c>
      <c r="AW89" s="48">
        <f>'2025'!AM14</f>
        <v>5</v>
      </c>
      <c r="AX89" s="48">
        <f>'2025'!AN14</f>
        <v>2</v>
      </c>
      <c r="AY89" s="49">
        <f>'2025'!AO14</f>
        <v>4</v>
      </c>
      <c r="AZ89" s="50">
        <f>'2025'!AP14</f>
        <v>0.5</v>
      </c>
      <c r="BA89" s="56">
        <f>'2025'!AQ14</f>
        <v>0</v>
      </c>
      <c r="BB89" s="57">
        <f>'2025'!AR14</f>
        <v>1</v>
      </c>
      <c r="BC89" s="57">
        <f>'2025'!AS14</f>
        <v>0</v>
      </c>
      <c r="BD89" s="57">
        <f>'2025'!AT14</f>
        <v>0</v>
      </c>
      <c r="BE89" s="57">
        <f>'2025'!AU14</f>
        <v>0</v>
      </c>
      <c r="BF89" s="57">
        <f>'2025'!AV14</f>
        <v>0</v>
      </c>
      <c r="BG89" s="58">
        <f>'2025'!AW14</f>
        <v>0</v>
      </c>
      <c r="BH89" s="58">
        <f>'2025'!AX14</f>
        <v>0</v>
      </c>
      <c r="BI89" s="58">
        <f>'2025'!AY14</f>
        <v>0</v>
      </c>
      <c r="BJ89" s="58">
        <f>'2025'!AZ14</f>
        <v>0</v>
      </c>
      <c r="BK89" s="57">
        <f>'2025'!BA14</f>
        <v>0</v>
      </c>
      <c r="BL89" s="57">
        <f>'2025'!BB14</f>
        <v>1</v>
      </c>
      <c r="BM89" s="57">
        <f>'2025'!BC14</f>
        <v>0</v>
      </c>
      <c r="BN89" s="57">
        <f>'2025'!BD14</f>
        <v>0</v>
      </c>
      <c r="BO89" s="59">
        <f>'2025'!BE14</f>
        <v>0</v>
      </c>
      <c r="BP89" s="56">
        <f>'2025'!BF14</f>
        <v>0</v>
      </c>
      <c r="BQ89" s="57">
        <f>'2025'!BG14</f>
        <v>1</v>
      </c>
      <c r="BR89" s="57">
        <f>'2025'!BH14</f>
        <v>0</v>
      </c>
      <c r="BS89" s="57">
        <f>'2025'!BI14</f>
        <v>0</v>
      </c>
      <c r="BT89" s="57">
        <f>'2025'!BJ14</f>
        <v>0</v>
      </c>
      <c r="BU89" s="57">
        <f>'2025'!BK14</f>
        <v>0</v>
      </c>
      <c r="BV89" s="58">
        <f>'2025'!BL14</f>
        <v>0</v>
      </c>
      <c r="BW89" s="58">
        <f>'2025'!BM14</f>
        <v>0</v>
      </c>
      <c r="BX89" s="58">
        <f>'2025'!BN14</f>
        <v>0</v>
      </c>
      <c r="BY89" s="58">
        <f>'2025'!BO14</f>
        <v>0</v>
      </c>
      <c r="BZ89" s="57">
        <f>'2025'!BP14</f>
        <v>0</v>
      </c>
      <c r="CA89" s="57">
        <f>'2025'!BQ14</f>
        <v>1</v>
      </c>
      <c r="CB89" s="57">
        <f>'2025'!BR14</f>
        <v>0</v>
      </c>
      <c r="CC89" s="57">
        <f>'2025'!BS14</f>
        <v>0</v>
      </c>
      <c r="CD89" s="59">
        <f>'2025'!BT14</f>
        <v>0</v>
      </c>
      <c r="CE89" s="56">
        <f>'2025'!BU14</f>
        <v>388</v>
      </c>
      <c r="CF89" s="57">
        <f>'2025'!BV14</f>
        <v>1995</v>
      </c>
      <c r="CG89" s="57">
        <f>'2025'!BW14</f>
        <v>6</v>
      </c>
      <c r="CH89" s="57">
        <f>'2025'!BX14</f>
        <v>0</v>
      </c>
      <c r="CI89" s="57">
        <f>'2025'!BY14</f>
        <v>58</v>
      </c>
      <c r="CJ89" s="57">
        <f>'2025'!BZ14</f>
        <v>10</v>
      </c>
      <c r="CK89" s="58">
        <f>'2025'!CA14</f>
        <v>0</v>
      </c>
      <c r="CL89" s="58">
        <f>'2025'!CB14</f>
        <v>82.4</v>
      </c>
      <c r="CM89" s="58">
        <f>'2025'!CC14</f>
        <v>4.57</v>
      </c>
      <c r="CN89" s="58">
        <f>'2025'!CD14</f>
        <v>59</v>
      </c>
      <c r="CO89" s="57">
        <f>'2025'!CE14</f>
        <v>27</v>
      </c>
      <c r="CP89" s="57">
        <f>'2025'!CF14</f>
        <v>3261</v>
      </c>
      <c r="CQ89" s="57">
        <f>'2025'!CG14</f>
        <v>3</v>
      </c>
      <c r="CR89" s="57">
        <f>'2025'!CH14</f>
        <v>0</v>
      </c>
      <c r="CS89" s="59">
        <f>'2025'!CI14</f>
        <v>0</v>
      </c>
      <c r="CT89" s="56">
        <f>'2025'!CJ14</f>
        <v>605</v>
      </c>
      <c r="CU89" s="57">
        <f>'2025'!CK14</f>
        <v>2457.6000000000004</v>
      </c>
      <c r="CV89" s="57">
        <f>'2025'!CL14</f>
        <v>7</v>
      </c>
      <c r="CW89" s="57">
        <f>'2025'!CM14</f>
        <v>0</v>
      </c>
      <c r="CX89" s="57">
        <f>'2025'!CN14</f>
        <v>107</v>
      </c>
      <c r="CY89" s="57">
        <f>'2025'!CO14</f>
        <v>31</v>
      </c>
      <c r="CZ89" s="58">
        <f>'2025'!CP14</f>
        <v>5.6542056074766354</v>
      </c>
      <c r="DA89" s="58">
        <f>'2025'!CQ14</f>
        <v>99.4</v>
      </c>
      <c r="DB89" s="58">
        <f>'2025'!CR14</f>
        <v>3.24</v>
      </c>
      <c r="DC89" s="58">
        <f>'2025'!CS14</f>
        <v>36.4</v>
      </c>
      <c r="DD89" s="57">
        <f>'2025'!CT14</f>
        <v>175</v>
      </c>
      <c r="DE89" s="57">
        <f>'2025'!CU14</f>
        <v>2918.3999999999996</v>
      </c>
      <c r="DF89" s="57">
        <f>'2025'!CV14</f>
        <v>17</v>
      </c>
      <c r="DG89" s="57">
        <f>'2025'!CW14</f>
        <v>1</v>
      </c>
      <c r="DH89" s="59">
        <f>'2025'!CX14</f>
        <v>0</v>
      </c>
      <c r="DI89" s="56">
        <f>'2025'!CY14</f>
        <v>1488</v>
      </c>
      <c r="DJ89" s="57">
        <f>'2025'!CZ14</f>
        <v>2936</v>
      </c>
      <c r="DK89" s="57">
        <f>'2025'!DA14</f>
        <v>22</v>
      </c>
      <c r="DL89" s="57">
        <f>'2025'!DB14</f>
        <v>32.400000000000006</v>
      </c>
      <c r="DM89" s="57">
        <f>'2025'!DC14</f>
        <v>258</v>
      </c>
      <c r="DN89" s="57">
        <f>'2025'!DD14</f>
        <v>70</v>
      </c>
      <c r="DO89" s="58">
        <f>'2025'!DE14</f>
        <v>5.7674418604651159</v>
      </c>
      <c r="DP89" s="58">
        <f>'2025'!DF14</f>
        <v>107.5</v>
      </c>
      <c r="DQ89" s="58">
        <f>'2025'!DG14</f>
        <v>3.6</v>
      </c>
      <c r="DR89" s="58">
        <f>'2025'!DH14</f>
        <v>30.4</v>
      </c>
      <c r="DS89" s="57">
        <f>'2025'!DI14</f>
        <v>143</v>
      </c>
      <c r="DT89" s="57">
        <f>'2025'!DJ14</f>
        <v>2875.6</v>
      </c>
      <c r="DU89" s="57">
        <f>'2025'!DK14</f>
        <v>20</v>
      </c>
      <c r="DV89" s="57">
        <f>'2025'!DL14</f>
        <v>0</v>
      </c>
      <c r="DW89" s="59">
        <f>'2025'!DM14</f>
        <v>21.6</v>
      </c>
    </row>
    <row r="90" spans="1:127" ht="15.75" customHeight="1" x14ac:dyDescent="0.2">
      <c r="A90" s="33">
        <f t="shared" si="12"/>
        <v>88</v>
      </c>
      <c r="B90" s="11">
        <f>'2019'!A9</f>
        <v>7</v>
      </c>
      <c r="C90" s="11">
        <v>2019</v>
      </c>
      <c r="D90" s="34" t="str">
        <f>'2019'!B9</f>
        <v>Tony Pollard</v>
      </c>
      <c r="E90" s="224" t="str" cm="1">
        <f t="array" ref="E90">_xlfn.IFS(F90&gt;=13,"Cornerstone",AND(F90&gt;=12,F90&lt;13),"Elite",AND(F90&gt;=11,F90&lt;12),"Elite Upside",AND(F90&gt;=9,F90&lt;11),"Upside",AND(F90&gt;=7,F90&lt;9),"Upside Lite",AND(F90&gt;=6,F90&lt;7),"Outlier",AND(F90&gt;=5,F90&lt;6),"Outlier Lite",F90&lt;5,"Purgatory")</f>
        <v>Upside Lite</v>
      </c>
      <c r="F90" s="14">
        <f>'2019'!C9</f>
        <v>8.7222222222222214</v>
      </c>
      <c r="G90" s="14">
        <f t="shared" si="19"/>
        <v>73</v>
      </c>
      <c r="H90" s="35">
        <f t="shared" si="13"/>
        <v>0.3046423757859022</v>
      </c>
      <c r="I90" s="36" t="str">
        <f>'2019'!D9</f>
        <v>Memphis</v>
      </c>
      <c r="J90" s="37">
        <f>'2019'!E9</f>
        <v>6</v>
      </c>
      <c r="K90" s="38">
        <f>'2019'!F9</f>
        <v>35550</v>
      </c>
      <c r="L90" s="39">
        <f>'2019'!G9</f>
        <v>28.43013698630137</v>
      </c>
      <c r="M90" s="39" t="str">
        <f>'2019'!H9</f>
        <v>RS JR</v>
      </c>
      <c r="N90" s="39">
        <f>'2019'!I9</f>
        <v>22</v>
      </c>
      <c r="O90" s="39" t="str">
        <f t="shared" si="14"/>
        <v>BELL CALF</v>
      </c>
      <c r="P90" s="39" t="str">
        <f t="shared" si="17"/>
        <v>+RECEIVER</v>
      </c>
      <c r="Q90" s="37">
        <f>'2019'!J9</f>
        <v>70</v>
      </c>
      <c r="R90" s="37">
        <f>'2019'!K9</f>
        <v>210</v>
      </c>
      <c r="S90" s="39">
        <f t="shared" si="18"/>
        <v>30.131528834486236</v>
      </c>
      <c r="T90" s="37">
        <f>'2019'!L9</f>
        <v>4.5199999999999996</v>
      </c>
      <c r="U90" s="40">
        <f>'2019'!M9</f>
        <v>4</v>
      </c>
      <c r="V90" s="41">
        <f>'2019'!N9</f>
        <v>0</v>
      </c>
      <c r="W90" s="42">
        <f>'2019'!O9</f>
        <v>0</v>
      </c>
      <c r="X90" s="42">
        <f>'2019'!P9</f>
        <v>7.581287325812873E-2</v>
      </c>
      <c r="Y90" s="42">
        <f>'2019'!Q9</f>
        <v>0.11074165100477086</v>
      </c>
      <c r="Z90" s="42">
        <f>'2019'!R9</f>
        <v>0.1388585472419443</v>
      </c>
      <c r="AA90" s="42">
        <f>'2019'!S9</f>
        <v>0.1388585472419443</v>
      </c>
      <c r="AB90" s="42">
        <f>'2019'!T9</f>
        <v>0.10414391043145822</v>
      </c>
      <c r="AC90" s="42">
        <f>'2019'!U9</f>
        <v>0.12307692307692308</v>
      </c>
      <c r="AD90" s="42">
        <f>'2019'!V9</f>
        <v>0.13450807635829662</v>
      </c>
      <c r="AE90" s="42">
        <f>'2019'!W9</f>
        <v>0.13450807635829662</v>
      </c>
      <c r="AF90" s="43">
        <f>'2019'!X9</f>
        <v>0.10088105726872246</v>
      </c>
      <c r="AG90" s="44" t="str">
        <f>'2019'!Y9</f>
        <v>N/A</v>
      </c>
      <c r="AH90" s="45">
        <f>'2019'!Z9</f>
        <v>100.62260375989776</v>
      </c>
      <c r="AI90" s="45">
        <f>'2019'!AA9</f>
        <v>30.12857142857143</v>
      </c>
      <c r="AJ90" s="45">
        <f>'2019'!AB9</f>
        <v>0.3</v>
      </c>
      <c r="AK90" s="45">
        <f>'2019'!AC9</f>
        <v>7.7</v>
      </c>
      <c r="AL90" s="45">
        <f t="shared" si="15"/>
        <v>12.423076923076923</v>
      </c>
      <c r="AM90" s="45">
        <f t="shared" si="16"/>
        <v>0.33050847457627119</v>
      </c>
      <c r="AN90" s="45">
        <f>'2019'!AD9</f>
        <v>120.4</v>
      </c>
      <c r="AO90" s="45">
        <f>'2019'!AE9</f>
        <v>4.97</v>
      </c>
      <c r="AP90" s="46">
        <f>'2019'!AF9</f>
        <v>60.4</v>
      </c>
      <c r="AQ90" s="47">
        <f>'2019'!AG9</f>
        <v>0</v>
      </c>
      <c r="AR90" s="48">
        <f>'2019'!AH9</f>
        <v>9</v>
      </c>
      <c r="AS90" s="48">
        <f>'2019'!AI9</f>
        <v>0</v>
      </c>
      <c r="AT90" s="48">
        <f>IF(AH90&gt;113.25,10,IF(AH90&gt;=107.84,9,IF(AH90&gt;=105.37,8,IF(AH90&gt;=103.25,7,IF(AH90&gt;=100.55,6,IF(AH90&gt;=98.75,5,IF(AH90&gt;=96.08,4,IF(AH90&gt;=94.39,3,IF(AH90&gt;=88.43,2,IF(AH90&gt;=85.16,1,IF(AH90&lt;85.16,0,FALSE)))))))))))</f>
        <v>6</v>
      </c>
      <c r="AU90" s="48">
        <f>'2019'!AK9</f>
        <v>8</v>
      </c>
      <c r="AV90" s="48">
        <f>'2019'!AL9</f>
        <v>9</v>
      </c>
      <c r="AW90" s="48">
        <f>'2019'!AM9</f>
        <v>6</v>
      </c>
      <c r="AX90" s="48">
        <f>'2019'!AN9</f>
        <v>8</v>
      </c>
      <c r="AY90" s="49">
        <f>IF(U90=1,10,IF(U90=2,7,IF(U90=3,6,IF(U90=4,4,IF(U90=5,3,IF(U90=6,2,IF(U90=7,1,IF(U90=0,0,"-"))))))))</f>
        <v>4</v>
      </c>
      <c r="AZ90" s="50">
        <f>'2019'!AP9</f>
        <v>1</v>
      </c>
      <c r="BA90" s="56">
        <f>'2019'!AQ9</f>
        <v>0</v>
      </c>
      <c r="BB90" s="57">
        <f>'2019'!AR9</f>
        <v>2476</v>
      </c>
      <c r="BC90" s="57">
        <f>'2019'!AS9</f>
        <v>0</v>
      </c>
      <c r="BD90" s="57">
        <f>'2019'!AT9</f>
        <v>31</v>
      </c>
      <c r="BE90" s="57">
        <f>'2019'!AU9</f>
        <v>0</v>
      </c>
      <c r="BF90" s="57">
        <f>'2019'!AV9</f>
        <v>0</v>
      </c>
      <c r="BG90" s="58">
        <f>'2019'!AW9</f>
        <v>0</v>
      </c>
      <c r="BH90" s="58">
        <f>'2019'!AX9</f>
        <v>0</v>
      </c>
      <c r="BI90" s="58">
        <f>'2019'!AY9</f>
        <v>0</v>
      </c>
      <c r="BJ90" s="58">
        <f>'2019'!AZ9</f>
        <v>0</v>
      </c>
      <c r="BK90" s="57">
        <f>'2019'!BA9</f>
        <v>0</v>
      </c>
      <c r="BL90" s="57">
        <f>'2019'!BB9</f>
        <v>3076</v>
      </c>
      <c r="BM90" s="57">
        <f>'2019'!BC9</f>
        <v>0</v>
      </c>
      <c r="BN90" s="57">
        <f>'2019'!BD9</f>
        <v>0</v>
      </c>
      <c r="BO90" s="59">
        <f>'2019'!BE9</f>
        <v>23</v>
      </c>
      <c r="BP90" s="56">
        <f>'2019'!BF9</f>
        <v>0</v>
      </c>
      <c r="BQ90" s="57">
        <f>'2019'!BG9</f>
        <v>2333</v>
      </c>
      <c r="BR90" s="57">
        <f>'2019'!BH9</f>
        <v>0</v>
      </c>
      <c r="BS90" s="57">
        <f>'2019'!BI9</f>
        <v>29</v>
      </c>
      <c r="BT90" s="57">
        <f>'2019'!BJ9</f>
        <v>0</v>
      </c>
      <c r="BU90" s="57">
        <f>'2019'!BK9</f>
        <v>0</v>
      </c>
      <c r="BV90" s="58">
        <f>'2019'!BL9</f>
        <v>0</v>
      </c>
      <c r="BW90" s="58">
        <f>'2019'!BM9</f>
        <v>0</v>
      </c>
      <c r="BX90" s="58">
        <f>'2019'!BN9</f>
        <v>0</v>
      </c>
      <c r="BY90" s="58">
        <f>'2019'!BO9</f>
        <v>0</v>
      </c>
      <c r="BZ90" s="57">
        <f>'2019'!BP9</f>
        <v>0</v>
      </c>
      <c r="CA90" s="57">
        <f>'2019'!BQ9</f>
        <v>3997</v>
      </c>
      <c r="CB90" s="57">
        <f>'2019'!BR9</f>
        <v>0</v>
      </c>
      <c r="CC90" s="57">
        <f>'2019'!BS9</f>
        <v>0</v>
      </c>
      <c r="CD90" s="59">
        <f>'2019'!BT9</f>
        <v>30</v>
      </c>
      <c r="CE90" s="56">
        <f>'2019'!BU9</f>
        <v>159</v>
      </c>
      <c r="CF90" s="57">
        <f>'2019'!BV9</f>
        <v>2071</v>
      </c>
      <c r="CG90" s="57">
        <f>'2019'!BW9</f>
        <v>1</v>
      </c>
      <c r="CH90" s="57">
        <f>'2019'!BX9</f>
        <v>23</v>
      </c>
      <c r="CI90" s="57">
        <f>'2019'!BY9</f>
        <v>31</v>
      </c>
      <c r="CJ90" s="57">
        <f>'2019'!BZ9</f>
        <v>7</v>
      </c>
      <c r="CK90" s="58">
        <f>'2019'!CA9</f>
        <v>5.0999999999999996</v>
      </c>
      <c r="CL90" s="58">
        <f>'2019'!CB9</f>
        <v>85.5</v>
      </c>
      <c r="CM90" s="58">
        <f>'2019'!CC9</f>
        <v>3.42</v>
      </c>
      <c r="CN90" s="58">
        <f>'2019'!CD9</f>
        <v>11.9</v>
      </c>
      <c r="CO90" s="57">
        <f>'2019'!CE9</f>
        <v>298</v>
      </c>
      <c r="CP90" s="57">
        <f>'2019'!CF9</f>
        <v>3957</v>
      </c>
      <c r="CQ90" s="57">
        <f>'2019'!CG9</f>
        <v>29</v>
      </c>
      <c r="CR90" s="57">
        <f>'2019'!CH9</f>
        <v>0</v>
      </c>
      <c r="CS90" s="59">
        <f>'2019'!CI9</f>
        <v>34</v>
      </c>
      <c r="CT90" s="56">
        <f>'2019'!CJ9</f>
        <v>230</v>
      </c>
      <c r="CU90" s="57">
        <f>'2019'!CK9</f>
        <v>2562</v>
      </c>
      <c r="CV90" s="57">
        <f>'2019'!CL9</f>
        <v>2</v>
      </c>
      <c r="CW90" s="57">
        <f>'2019'!CM9</f>
        <v>33</v>
      </c>
      <c r="CX90" s="57">
        <f>'2019'!CN9</f>
        <v>30</v>
      </c>
      <c r="CY90" s="57">
        <f>'2019'!CO9</f>
        <v>9</v>
      </c>
      <c r="CZ90" s="58">
        <f>'2019'!CP9</f>
        <v>7.7</v>
      </c>
      <c r="DA90" s="58">
        <f>'2019'!CQ9</f>
        <v>120.4</v>
      </c>
      <c r="DB90" s="58">
        <f>'2019'!CR9</f>
        <v>4.97</v>
      </c>
      <c r="DC90" s="58">
        <f>'2019'!CS9</f>
        <v>60.4</v>
      </c>
      <c r="DD90" s="57">
        <f>'2019'!CT9</f>
        <v>536</v>
      </c>
      <c r="DE90" s="57">
        <f>'2019'!CU9</f>
        <v>4355</v>
      </c>
      <c r="DF90" s="57">
        <f>'2019'!CV9</f>
        <v>36</v>
      </c>
      <c r="DG90" s="57">
        <f>'2019'!CW9</f>
        <v>0</v>
      </c>
      <c r="DH90" s="59">
        <f>'2019'!CX9</f>
        <v>39</v>
      </c>
      <c r="DI90" s="56">
        <f>'2019'!CY9</f>
        <v>559</v>
      </c>
      <c r="DJ90" s="57">
        <f>'2019'!CZ9</f>
        <v>3919</v>
      </c>
      <c r="DK90" s="57">
        <f>'2019'!DA9</f>
        <v>6</v>
      </c>
      <c r="DL90" s="57">
        <f>'2019'!DB9</f>
        <v>48</v>
      </c>
      <c r="DM90" s="57">
        <f>'2019'!DC9</f>
        <v>79</v>
      </c>
      <c r="DN90" s="57">
        <f>'2019'!DD9</f>
        <v>19</v>
      </c>
      <c r="DO90" s="58">
        <f>'2019'!DE9</f>
        <v>7.1</v>
      </c>
      <c r="DP90" s="58">
        <f>'2019'!DF9</f>
        <v>87.1</v>
      </c>
      <c r="DQ90" s="58">
        <f>'2019'!DG9</f>
        <v>3.54</v>
      </c>
      <c r="DR90" s="58">
        <f>'2019'!DH9</f>
        <v>47.8</v>
      </c>
      <c r="DS90" s="57">
        <f>'2019'!DI9</f>
        <v>458</v>
      </c>
      <c r="DT90" s="57">
        <f>'2019'!DJ9</f>
        <v>3405</v>
      </c>
      <c r="DU90" s="57">
        <f>'2019'!DK9</f>
        <v>39</v>
      </c>
      <c r="DV90" s="57">
        <f>'2019'!DL9</f>
        <v>0</v>
      </c>
      <c r="DW90" s="59">
        <f>'2019'!DM9</f>
        <v>28</v>
      </c>
    </row>
    <row r="91" spans="1:127" ht="15.75" customHeight="1" x14ac:dyDescent="0.2">
      <c r="A91" s="33">
        <f t="shared" si="12"/>
        <v>89</v>
      </c>
      <c r="B91" s="11">
        <f>'2021'!A8</f>
        <v>6</v>
      </c>
      <c r="C91" s="11">
        <v>2021</v>
      </c>
      <c r="D91" s="34" t="str">
        <f>'2021'!B8</f>
        <v>Chuba Hubbard</v>
      </c>
      <c r="E91" s="224" t="str" cm="1">
        <f t="array" ref="E91">_xlfn.IFS(F91&gt;=13,"Cornerstone",AND(F91&gt;=12,F91&lt;13),"Elite",AND(F91&gt;=11,F91&lt;12),"Elite Upside",AND(F91&gt;=9,F91&lt;11),"Upside",AND(F91&gt;=7,F91&lt;9),"Upside Lite",AND(F91&gt;=6,F91&lt;7),"Outlier",AND(F91&gt;=5,F91&lt;6),"Outlier Lite",F91&lt;5,"Purgatory")</f>
        <v>Upside Lite</v>
      </c>
      <c r="F91" s="14">
        <f>'2021'!C8</f>
        <v>8.6499999999999986</v>
      </c>
      <c r="G91" s="14">
        <f t="shared" si="19"/>
        <v>72.399999999999991</v>
      </c>
      <c r="H91" s="35">
        <f t="shared" si="13"/>
        <v>0.27407612114637236</v>
      </c>
      <c r="I91" s="36" t="str">
        <f>'2021'!D8</f>
        <v>Oklahoma State</v>
      </c>
      <c r="J91" s="37">
        <f>'2021'!E8</f>
        <v>3</v>
      </c>
      <c r="K91" s="38">
        <f>'2021'!F8</f>
        <v>36322</v>
      </c>
      <c r="L91" s="39">
        <f>'2021'!G8</f>
        <v>26.315068493150687</v>
      </c>
      <c r="M91" s="39" t="str">
        <f>'2021'!H8</f>
        <v>JR</v>
      </c>
      <c r="N91" s="39">
        <f>'2021'!I8</f>
        <v>21.898630136986302</v>
      </c>
      <c r="O91" s="39" t="str">
        <f t="shared" si="14"/>
        <v>BELL COW</v>
      </c>
      <c r="P91" s="39" t="str">
        <f t="shared" si="17"/>
        <v>HORSE</v>
      </c>
      <c r="Q91" s="37">
        <f>'2021'!J8</f>
        <v>72</v>
      </c>
      <c r="R91" s="37">
        <f>'2021'!K8</f>
        <v>210</v>
      </c>
      <c r="S91" s="39">
        <f t="shared" si="18"/>
        <v>28.480804646794478</v>
      </c>
      <c r="T91" s="37">
        <f>'2021'!L8</f>
        <v>4.51</v>
      </c>
      <c r="U91" s="40">
        <f>'2021'!M8</f>
        <v>4</v>
      </c>
      <c r="V91" s="41">
        <f>'2021'!N8</f>
        <v>0</v>
      </c>
      <c r="W91" s="42">
        <f>'2021'!O8</f>
        <v>0</v>
      </c>
      <c r="X91" s="42">
        <f>'2021'!P8</f>
        <v>0.1511842509996924</v>
      </c>
      <c r="Y91" s="42">
        <f>'2021'!Q8</f>
        <v>0.38671411625148278</v>
      </c>
      <c r="Z91" s="42">
        <f>'2021'!R8</f>
        <v>0.14462193823216188</v>
      </c>
      <c r="AA91" s="42">
        <f>'2021'!S8</f>
        <v>0.26566802724182231</v>
      </c>
      <c r="AB91" s="42">
        <f>'2021'!T8</f>
        <v>0.2391012245176401</v>
      </c>
      <c r="AC91" s="42">
        <f>'2021'!U8</f>
        <v>6.584362139917696E-2</v>
      </c>
      <c r="AD91" s="42">
        <f>'2021'!V8</f>
        <v>1.9734345351043642E-2</v>
      </c>
      <c r="AE91" s="42">
        <f>'2021'!W8</f>
        <v>4.27889833751103E-2</v>
      </c>
      <c r="AF91" s="43">
        <f>'2021'!X8</f>
        <v>3.851008503759927E-2</v>
      </c>
      <c r="AG91" s="44">
        <f>'2021'!Y8</f>
        <v>19.238356164383561</v>
      </c>
      <c r="AH91" s="45">
        <f>'2021'!Z8</f>
        <v>101.51801629838111</v>
      </c>
      <c r="AI91" s="45">
        <f>'2021'!AA8</f>
        <v>28.47800925925926</v>
      </c>
      <c r="AJ91" s="45">
        <f>'2021'!AB8</f>
        <v>0.2347560975609756</v>
      </c>
      <c r="AK91" s="45">
        <f>'2021'!AC8</f>
        <v>6.4</v>
      </c>
      <c r="AL91" s="45">
        <f t="shared" si="15"/>
        <v>12.128205128205128</v>
      </c>
      <c r="AM91" s="45">
        <f t="shared" si="16"/>
        <v>5.6737588652482268E-2</v>
      </c>
      <c r="AN91" s="45">
        <f>'2021'!AD8</f>
        <v>96</v>
      </c>
      <c r="AO91" s="45">
        <f>'2021'!AE8</f>
        <v>3.96</v>
      </c>
      <c r="AP91" s="46">
        <f>'2021'!AF8</f>
        <v>49.2</v>
      </c>
      <c r="AQ91" s="47">
        <f>'2021'!AG8</f>
        <v>5</v>
      </c>
      <c r="AR91" s="48">
        <f>'2021'!AH8</f>
        <v>4</v>
      </c>
      <c r="AS91" s="48">
        <f>'2021'!AI8</f>
        <v>7</v>
      </c>
      <c r="AT91" s="48">
        <f>IF(AH91&gt;113.25,10,IF(AH91&gt;=107.84,9,IF(AH91&gt;=105.37,8,IF(AH91&gt;=103.25,7,IF(AH91&gt;=100.55,6,IF(AH91&gt;=98.75,5,IF(AH91&gt;=96.08,4,IF(AH91&gt;=94.39,3,IF(AH91&gt;=88.43,2,IF(AH91&gt;=85.16,1,IF(AH91&lt;85.16,0,FALSE)))))))))))</f>
        <v>6</v>
      </c>
      <c r="AU91" s="48">
        <f>'2021'!AK8</f>
        <v>5</v>
      </c>
      <c r="AV91" s="48">
        <f>'2021'!AL8</f>
        <v>6</v>
      </c>
      <c r="AW91" s="48">
        <f>'2021'!AM8</f>
        <v>4</v>
      </c>
      <c r="AX91" s="48">
        <f>'2021'!AN8</f>
        <v>4</v>
      </c>
      <c r="AY91" s="49">
        <f>IF(U91=1,10,IF(U91=2,7,IF(U91=3,6,IF(U91=4,4,IF(U91=5,3,IF(U91=6,2,IF(U91=7,1,IF(U91=0,0,"-"))))))))</f>
        <v>4</v>
      </c>
      <c r="AZ91" s="50">
        <f>'2021'!AP8</f>
        <v>1</v>
      </c>
      <c r="BA91" s="56">
        <f>'2021'!AQ8</f>
        <v>0</v>
      </c>
      <c r="BB91" s="57">
        <f>'2021'!AR8</f>
        <v>2221</v>
      </c>
      <c r="BC91" s="57">
        <f>'2021'!AS8</f>
        <v>0</v>
      </c>
      <c r="BD91" s="57">
        <f>'2021'!AT8</f>
        <v>32</v>
      </c>
      <c r="BE91" s="57">
        <f>'2021'!AU8</f>
        <v>0</v>
      </c>
      <c r="BF91" s="57">
        <f>'2021'!AV8</f>
        <v>0</v>
      </c>
      <c r="BG91" s="58">
        <f>'2021'!AW8</f>
        <v>0</v>
      </c>
      <c r="BH91" s="58">
        <f>'2021'!AX8</f>
        <v>0</v>
      </c>
      <c r="BI91" s="58">
        <f>'2021'!AY8</f>
        <v>0</v>
      </c>
      <c r="BJ91" s="58">
        <f>'2021'!AZ8</f>
        <v>0</v>
      </c>
      <c r="BK91" s="57">
        <f>'2021'!BA8</f>
        <v>0</v>
      </c>
      <c r="BL91" s="57">
        <f>'2021'!BB8</f>
        <v>4211</v>
      </c>
      <c r="BM91" s="57">
        <f>'2021'!BC8</f>
        <v>0</v>
      </c>
      <c r="BN91" s="57">
        <f>'2021'!BD8</f>
        <v>0</v>
      </c>
      <c r="BO91" s="59">
        <f>'2021'!BE8</f>
        <v>29</v>
      </c>
      <c r="BP91" s="56">
        <f>'2021'!BF8</f>
        <v>0</v>
      </c>
      <c r="BQ91" s="57">
        <f>'2021'!BG8</f>
        <v>2337</v>
      </c>
      <c r="BR91" s="57">
        <f>'2021'!BH8</f>
        <v>0</v>
      </c>
      <c r="BS91" s="57">
        <f>'2021'!BI8</f>
        <v>34</v>
      </c>
      <c r="BT91" s="57">
        <f>'2021'!BJ8</f>
        <v>0</v>
      </c>
      <c r="BU91" s="57">
        <f>'2021'!BK8</f>
        <v>0</v>
      </c>
      <c r="BV91" s="58">
        <f>'2021'!BL8</f>
        <v>0</v>
      </c>
      <c r="BW91" s="58">
        <f>'2021'!BM8</f>
        <v>0</v>
      </c>
      <c r="BX91" s="58">
        <f>'2021'!BN8</f>
        <v>0</v>
      </c>
      <c r="BY91" s="58">
        <f>'2021'!BO8</f>
        <v>0</v>
      </c>
      <c r="BZ91" s="57">
        <f>'2021'!BP8</f>
        <v>0</v>
      </c>
      <c r="CA91" s="57">
        <f>'2021'!BQ8</f>
        <v>5059</v>
      </c>
      <c r="CB91" s="57">
        <f>'2021'!BR8</f>
        <v>0</v>
      </c>
      <c r="CC91" s="57">
        <f>'2021'!BS8</f>
        <v>0</v>
      </c>
      <c r="CD91" s="59">
        <f>'2021'!BT8</f>
        <v>37</v>
      </c>
      <c r="CE91" s="56">
        <f>'2021'!BU8</f>
        <v>754</v>
      </c>
      <c r="CF91" s="57">
        <f>'2021'!BV8</f>
        <v>2474</v>
      </c>
      <c r="CG91" s="57">
        <f>'2021'!BW8</f>
        <v>7</v>
      </c>
      <c r="CH91" s="57">
        <f>'2021'!BX8</f>
        <v>30</v>
      </c>
      <c r="CI91" s="57">
        <f>'2021'!BY8</f>
        <v>122</v>
      </c>
      <c r="CJ91" s="57">
        <f>'2021'!BZ8</f>
        <v>27</v>
      </c>
      <c r="CK91" s="58">
        <f>'2021'!CA8</f>
        <v>6.2</v>
      </c>
      <c r="CL91" s="58">
        <f>'2021'!CB8</f>
        <v>94</v>
      </c>
      <c r="CM91" s="58">
        <f>'2021'!CC8</f>
        <v>3.87</v>
      </c>
      <c r="CN91" s="58">
        <f>'2021'!CD8</f>
        <v>31.4</v>
      </c>
      <c r="CO91" s="57">
        <f>'2021'!CE8</f>
        <v>229</v>
      </c>
      <c r="CP91" s="57">
        <f>'2021'!CF8</f>
        <v>4028</v>
      </c>
      <c r="CQ91" s="57">
        <f>'2021'!CG8</f>
        <v>8</v>
      </c>
      <c r="CR91" s="57">
        <f>'2021'!CH8</f>
        <v>0</v>
      </c>
      <c r="CS91" s="59">
        <f>'2021'!CI8</f>
        <v>33</v>
      </c>
      <c r="CT91" s="56">
        <f>'2021'!CJ8</f>
        <v>2090</v>
      </c>
      <c r="CU91" s="57">
        <f>'2021'!CK8</f>
        <v>2985</v>
      </c>
      <c r="CV91" s="57">
        <f>'2021'!CL8</f>
        <v>21</v>
      </c>
      <c r="CW91" s="57">
        <f>'2021'!CM8</f>
        <v>27</v>
      </c>
      <c r="CX91" s="57">
        <f>'2021'!CN8</f>
        <v>328</v>
      </c>
      <c r="CY91" s="57">
        <f>'2021'!CO8</f>
        <v>77</v>
      </c>
      <c r="CZ91" s="58">
        <f>'2021'!CP8</f>
        <v>6.4</v>
      </c>
      <c r="DA91" s="58">
        <f>'2021'!CQ8</f>
        <v>96</v>
      </c>
      <c r="DB91" s="58">
        <f>'2021'!CR8</f>
        <v>3.96</v>
      </c>
      <c r="DC91" s="58">
        <f>'2021'!CS8</f>
        <v>49.2</v>
      </c>
      <c r="DD91" s="57">
        <f>'2021'!CT8</f>
        <v>192</v>
      </c>
      <c r="DE91" s="57">
        <f>'2021'!CU8</f>
        <v>2916</v>
      </c>
      <c r="DF91" s="57">
        <f>'2021'!CV8</f>
        <v>23</v>
      </c>
      <c r="DG91" s="57">
        <f>'2021'!CW8</f>
        <v>0</v>
      </c>
      <c r="DH91" s="59">
        <f>'2021'!CX8</f>
        <v>23</v>
      </c>
      <c r="DI91" s="56">
        <f>'2021'!CY8</f>
        <v>627</v>
      </c>
      <c r="DJ91" s="57">
        <f>'2021'!CZ8</f>
        <v>2060</v>
      </c>
      <c r="DK91" s="57">
        <f>'2021'!DA8</f>
        <v>5</v>
      </c>
      <c r="DL91" s="57">
        <f>'2021'!DB8</f>
        <v>17</v>
      </c>
      <c r="DM91" s="57">
        <f>'2021'!DC8</f>
        <v>133</v>
      </c>
      <c r="DN91" s="57">
        <f>'2021'!DD8</f>
        <v>22</v>
      </c>
      <c r="DO91" s="58">
        <f>'2021'!DE8</f>
        <v>4.7</v>
      </c>
      <c r="DP91" s="58">
        <f>'2021'!DF8</f>
        <v>44.3</v>
      </c>
      <c r="DQ91" s="58">
        <f>'2021'!DG8</f>
        <v>2.5</v>
      </c>
      <c r="DR91" s="58">
        <f>'2021'!DH8</f>
        <v>32.700000000000003</v>
      </c>
      <c r="DS91" s="57">
        <f>'2021'!DI8</f>
        <v>52</v>
      </c>
      <c r="DT91" s="57">
        <f>'2021'!DJ8</f>
        <v>2635</v>
      </c>
      <c r="DU91" s="57">
        <f>'2021'!DK8</f>
        <v>8</v>
      </c>
      <c r="DV91" s="57">
        <f>'2021'!DL8</f>
        <v>0</v>
      </c>
      <c r="DW91" s="59">
        <f>'2021'!DM8</f>
        <v>18</v>
      </c>
    </row>
    <row r="92" spans="1:127" ht="15.75" customHeight="1" x14ac:dyDescent="0.2">
      <c r="A92" s="33">
        <f t="shared" si="12"/>
        <v>89</v>
      </c>
      <c r="B92" s="11">
        <f>'2019'!A10</f>
        <v>8</v>
      </c>
      <c r="C92" s="11">
        <v>2019</v>
      </c>
      <c r="D92" s="34" t="str">
        <f>'2019'!B10</f>
        <v>Bryce Love</v>
      </c>
      <c r="E92" s="224" t="str" cm="1">
        <f t="array" ref="E92">_xlfn.IFS(F92&gt;=13,"Cornerstone",AND(F92&gt;=12,F92&lt;13),"Elite",AND(F92&gt;=11,F92&lt;12),"Elite Upside",AND(F92&gt;=9,F92&lt;11),"Upside",AND(F92&gt;=7,F92&lt;9),"Upside Lite",AND(F92&gt;=6,F92&lt;7),"Outlier",AND(F92&gt;=5,F92&lt;6),"Outlier Lite",F92&lt;5,"Purgatory")</f>
        <v>Upside Lite</v>
      </c>
      <c r="F92" s="14">
        <f>'2019'!C10</f>
        <v>8.6499999999999986</v>
      </c>
      <c r="G92" s="14">
        <f t="shared" si="19"/>
        <v>72.399999999999991</v>
      </c>
      <c r="H92" s="35">
        <f t="shared" si="13"/>
        <v>0.27407612114637236</v>
      </c>
      <c r="I92" s="36" t="str">
        <f>'2019'!D10</f>
        <v>Stanford</v>
      </c>
      <c r="J92" s="37">
        <f>'2019'!E10</f>
        <v>5</v>
      </c>
      <c r="K92" s="38">
        <f>'2019'!F10</f>
        <v>35619</v>
      </c>
      <c r="L92" s="39">
        <f>'2019'!G10</f>
        <v>28.241095890410961</v>
      </c>
      <c r="M92" s="39" t="str">
        <f>'2019'!H10</f>
        <v>SR</v>
      </c>
      <c r="N92" s="39">
        <f>'2019'!I10</f>
        <v>21.81095890410959</v>
      </c>
      <c r="O92" s="39" t="str">
        <f t="shared" si="14"/>
        <v>JITTERBUG</v>
      </c>
      <c r="P92" s="39" t="str">
        <f t="shared" si="17"/>
        <v>3DOWN</v>
      </c>
      <c r="Q92" s="37">
        <f>'2019'!J10</f>
        <v>69</v>
      </c>
      <c r="R92" s="37">
        <f>'2019'!K10</f>
        <v>200</v>
      </c>
      <c r="S92" s="39">
        <f t="shared" si="18"/>
        <v>29.534509814661302</v>
      </c>
      <c r="T92" s="37">
        <f>'2019'!L10</f>
        <v>4.3499999999999996</v>
      </c>
      <c r="U92" s="40">
        <f>'2019'!M10</f>
        <v>4</v>
      </c>
      <c r="V92" s="41">
        <f>'2019'!N10</f>
        <v>0</v>
      </c>
      <c r="W92" s="42">
        <f>'2019'!O10</f>
        <v>7.7415122191241595E-2</v>
      </c>
      <c r="X92" s="42">
        <f>'2019'!P10</f>
        <v>0.1804857621440536</v>
      </c>
      <c r="Y92" s="42">
        <f>'2019'!Q10</f>
        <v>0.39496416099981618</v>
      </c>
      <c r="Z92" s="42">
        <f>'2019'!R10</f>
        <v>0.16818090046436504</v>
      </c>
      <c r="AA92" s="42">
        <f>'2019'!S10</f>
        <v>0.2815725307320906</v>
      </c>
      <c r="AB92" s="42">
        <f>'2019'!T10</f>
        <v>0.23933665112227701</v>
      </c>
      <c r="AC92" s="42">
        <f>'2019'!U10</f>
        <v>1.2653374233128834E-2</v>
      </c>
      <c r="AD92" s="42">
        <f>'2019'!V10</f>
        <v>2.7887323943661974E-2</v>
      </c>
      <c r="AE92" s="42">
        <f>'2019'!W10</f>
        <v>2.7887323943661974E-2</v>
      </c>
      <c r="AF92" s="43">
        <f>'2019'!X10</f>
        <v>2.3704225352112678E-2</v>
      </c>
      <c r="AG92" s="44">
        <f>'2019'!Y10</f>
        <v>19.164383561643834</v>
      </c>
      <c r="AH92" s="45">
        <f>'2019'!Z10</f>
        <v>111.71280676140373</v>
      </c>
      <c r="AI92" s="45">
        <f>'2019'!AA10</f>
        <v>29.531611006091154</v>
      </c>
      <c r="AJ92" s="45">
        <f>'2019'!AB10</f>
        <v>0.29007633587786258</v>
      </c>
      <c r="AK92" s="45">
        <f>'2019'!AC10</f>
        <v>8.1</v>
      </c>
      <c r="AL92" s="45">
        <f t="shared" si="15"/>
        <v>9.408163265306122</v>
      </c>
      <c r="AM92" s="45">
        <f t="shared" si="16"/>
        <v>0.10810810810810811</v>
      </c>
      <c r="AN92" s="45">
        <f>'2019'!AD10</f>
        <v>134.1</v>
      </c>
      <c r="AO92" s="45">
        <f>'2019'!AE10</f>
        <v>4.5999999999999996</v>
      </c>
      <c r="AP92" s="46">
        <f>'2019'!AF10</f>
        <v>66.400000000000006</v>
      </c>
      <c r="AQ92" s="47">
        <f>'2019'!AG10</f>
        <v>5</v>
      </c>
      <c r="AR92" s="48">
        <f>'2019'!AH10</f>
        <v>2</v>
      </c>
      <c r="AS92" s="48">
        <f>'2019'!AI10</f>
        <v>7</v>
      </c>
      <c r="AT92" s="48">
        <f>IF(AH92&gt;113.25,10,IF(AH92&gt;=107.84,9,IF(AH92&gt;=105.37,8,IF(AH92&gt;=103.25,7,IF(AH92&gt;=100.55,6,IF(AH92&gt;=98.75,5,IF(AH92&gt;=96.08,4,IF(AH92&gt;=94.39,3,IF(AH92&gt;=88.43,2,IF(AH92&gt;=85.16,1,IF(AH92&lt;85.16,0,FALSE)))))))))))</f>
        <v>9</v>
      </c>
      <c r="AU92" s="48">
        <f>'2019'!AK10</f>
        <v>8</v>
      </c>
      <c r="AV92" s="48">
        <f>'2019'!AL10</f>
        <v>9</v>
      </c>
      <c r="AW92" s="48">
        <f>'2019'!AM10</f>
        <v>7</v>
      </c>
      <c r="AX92" s="48">
        <f>'2019'!AN10</f>
        <v>7</v>
      </c>
      <c r="AY92" s="49">
        <f>IF(U92=1,10,IF(U92=2,7,IF(U92=3,6,IF(U92=4,4,IF(U92=5,3,IF(U92=6,2,IF(U92=7,1,IF(U92=0,0,"-"))))))))</f>
        <v>4</v>
      </c>
      <c r="AZ92" s="50">
        <f>'2019'!AP10</f>
        <v>0</v>
      </c>
      <c r="BA92" s="56">
        <f>'2019'!AQ10</f>
        <v>0</v>
      </c>
      <c r="BB92" s="57">
        <f>'2019'!AR10</f>
        <v>2064</v>
      </c>
      <c r="BC92" s="57">
        <f>'2019'!AS10</f>
        <v>0</v>
      </c>
      <c r="BD92" s="57">
        <f>'2019'!AT10</f>
        <v>22</v>
      </c>
      <c r="BE92" s="57">
        <f>'2019'!AU10</f>
        <v>0</v>
      </c>
      <c r="BF92" s="57">
        <f>'2019'!AV10</f>
        <v>0</v>
      </c>
      <c r="BG92" s="58">
        <f>'2019'!AW10</f>
        <v>0</v>
      </c>
      <c r="BH92" s="58">
        <f>'2019'!AX10</f>
        <v>0</v>
      </c>
      <c r="BI92" s="58">
        <f>'2019'!AY10</f>
        <v>0</v>
      </c>
      <c r="BJ92" s="58">
        <f>'2019'!AZ10</f>
        <v>0</v>
      </c>
      <c r="BK92" s="57">
        <f>'2019'!BA10</f>
        <v>0</v>
      </c>
      <c r="BL92" s="57">
        <f>'2019'!BB10</f>
        <v>2988</v>
      </c>
      <c r="BM92" s="57">
        <f>'2019'!BC10</f>
        <v>0</v>
      </c>
      <c r="BN92" s="57">
        <f>'2019'!BD10</f>
        <v>0</v>
      </c>
      <c r="BO92" s="59">
        <f>'2019'!BE10</f>
        <v>20</v>
      </c>
      <c r="BP92" s="56">
        <f>'2019'!BF10</f>
        <v>226</v>
      </c>
      <c r="BQ92" s="57">
        <f>'2019'!BG10</f>
        <v>3132</v>
      </c>
      <c r="BR92" s="57">
        <f>'2019'!BH10</f>
        <v>2</v>
      </c>
      <c r="BS92" s="57">
        <f>'2019'!BI10</f>
        <v>33</v>
      </c>
      <c r="BT92" s="57">
        <f>'2019'!BJ10</f>
        <v>29</v>
      </c>
      <c r="BU92" s="57">
        <f>'2019'!BK10</f>
        <v>8</v>
      </c>
      <c r="BV92" s="58">
        <f>'2019'!BL10</f>
        <v>7.8</v>
      </c>
      <c r="BW92" s="58">
        <f>'2019'!BM10</f>
        <v>156.69999999999999</v>
      </c>
      <c r="BX92" s="58">
        <f>'2019'!BN10</f>
        <v>4.3099999999999996</v>
      </c>
      <c r="BY92" s="58">
        <f>'2019'!BO10</f>
        <v>65</v>
      </c>
      <c r="BZ92" s="57">
        <f>'2019'!BP10</f>
        <v>246</v>
      </c>
      <c r="CA92" s="57">
        <f>'2019'!BQ10</f>
        <v>2965</v>
      </c>
      <c r="CB92" s="57">
        <f>'2019'!BR10</f>
        <v>15</v>
      </c>
      <c r="CC92" s="57">
        <f>'2019'!BS10</f>
        <v>0</v>
      </c>
      <c r="CD92" s="59">
        <f>'2019'!BT10</f>
        <v>30</v>
      </c>
      <c r="CE92" s="56">
        <f>'2019'!BU10</f>
        <v>779</v>
      </c>
      <c r="CF92" s="57">
        <f>'2019'!BV10</f>
        <v>2720</v>
      </c>
      <c r="CG92" s="57">
        <f>'2019'!BW10</f>
        <v>3</v>
      </c>
      <c r="CH92" s="57">
        <f>'2019'!BX10</f>
        <v>20</v>
      </c>
      <c r="CI92" s="57">
        <f>'2019'!BY10</f>
        <v>112</v>
      </c>
      <c r="CJ92" s="57">
        <f>'2019'!BZ10</f>
        <v>31</v>
      </c>
      <c r="CK92" s="58">
        <f>'2019'!CA10</f>
        <v>7</v>
      </c>
      <c r="CL92" s="58">
        <f>'2019'!CB10</f>
        <v>134.1</v>
      </c>
      <c r="CM92" s="58">
        <f>'2019'!CC10</f>
        <v>4.5999999999999996</v>
      </c>
      <c r="CN92" s="58">
        <f>'2019'!CD10</f>
        <v>56.6</v>
      </c>
      <c r="CO92" s="57">
        <f>'2019'!CE10</f>
        <v>83</v>
      </c>
      <c r="CP92" s="57">
        <f>'2019'!CF10</f>
        <v>2056</v>
      </c>
      <c r="CQ92" s="57">
        <f>'2019'!CG10</f>
        <v>8</v>
      </c>
      <c r="CR92" s="57">
        <f>'2019'!CH10</f>
        <v>0</v>
      </c>
      <c r="CS92" s="59">
        <f>'2019'!CI10</f>
        <v>15</v>
      </c>
      <c r="CT92" s="56">
        <f>'2019'!CJ10</f>
        <v>2116</v>
      </c>
      <c r="CU92" s="57">
        <f>'2019'!CK10</f>
        <v>2833</v>
      </c>
      <c r="CV92" s="57">
        <f>'2019'!CL10</f>
        <v>19</v>
      </c>
      <c r="CW92" s="57">
        <f>'2019'!CM10</f>
        <v>31</v>
      </c>
      <c r="CX92" s="57">
        <f>'2019'!CN10</f>
        <v>262</v>
      </c>
      <c r="CY92" s="57">
        <f>'2019'!CO10</f>
        <v>76</v>
      </c>
      <c r="CZ92" s="58">
        <f>'2019'!CP10</f>
        <v>8.1</v>
      </c>
      <c r="DA92" s="58">
        <f>'2019'!CQ10</f>
        <v>125.1</v>
      </c>
      <c r="DB92" s="58">
        <f>'2019'!CR10</f>
        <v>4.3</v>
      </c>
      <c r="DC92" s="58">
        <f>'2019'!CS10</f>
        <v>66.400000000000006</v>
      </c>
      <c r="DD92" s="57">
        <f>'2019'!CT10</f>
        <v>33</v>
      </c>
      <c r="DE92" s="57">
        <f>'2019'!CU10</f>
        <v>2608</v>
      </c>
      <c r="DF92" s="57">
        <f>'2019'!CV10</f>
        <v>6</v>
      </c>
      <c r="DG92" s="57">
        <f>'2019'!CW10</f>
        <v>0</v>
      </c>
      <c r="DH92" s="59">
        <f>'2019'!CX10</f>
        <v>23</v>
      </c>
      <c r="DI92" s="56">
        <f>'2019'!CY10</f>
        <v>734</v>
      </c>
      <c r="DJ92" s="57">
        <f>'2019'!CZ10</f>
        <v>1403</v>
      </c>
      <c r="DK92" s="57">
        <f>'2019'!DA10</f>
        <v>6</v>
      </c>
      <c r="DL92" s="57">
        <f>'2019'!DB10</f>
        <v>16</v>
      </c>
      <c r="DM92" s="57">
        <f>'2019'!DC10</f>
        <v>165</v>
      </c>
      <c r="DN92" s="57">
        <f>'2019'!DD10</f>
        <v>43</v>
      </c>
      <c r="DO92" s="58">
        <f>'2019'!DE10</f>
        <v>4.4000000000000004</v>
      </c>
      <c r="DP92" s="58">
        <f>'2019'!DF10</f>
        <v>94.1</v>
      </c>
      <c r="DQ92" s="58">
        <f>'2019'!DG10</f>
        <v>3.55</v>
      </c>
      <c r="DR92" s="58">
        <f>'2019'!DH10</f>
        <v>41.3</v>
      </c>
      <c r="DS92" s="57">
        <f>'2019'!DI10</f>
        <v>99</v>
      </c>
      <c r="DT92" s="57">
        <f>'2019'!DJ10</f>
        <v>3550</v>
      </c>
      <c r="DU92" s="57">
        <f>'2019'!DK10</f>
        <v>20</v>
      </c>
      <c r="DV92" s="57">
        <f>'2019'!DL10</f>
        <v>0</v>
      </c>
      <c r="DW92" s="59">
        <f>'2019'!DM10</f>
        <v>29</v>
      </c>
    </row>
    <row r="93" spans="1:127" ht="15.75" customHeight="1" x14ac:dyDescent="0.2">
      <c r="A93" s="33">
        <f t="shared" si="12"/>
        <v>91</v>
      </c>
      <c r="B93" s="11">
        <f>'2025'!A15</f>
        <v>13</v>
      </c>
      <c r="C93" s="11">
        <v>2025</v>
      </c>
      <c r="D93" s="34" t="str">
        <f>'2025'!B15</f>
        <v>Jordan James</v>
      </c>
      <c r="E93" s="224" t="str" cm="1">
        <f t="array" ref="E93">_xlfn.IFS(F93&gt;=13,"Cornerstone",AND(F93&gt;=12,F93&lt;13),"Elite",AND(F93&gt;=11,F93&lt;12),"Elite Upside",AND(F93&gt;=9,F93&lt;11),"Upside",AND(F93&gt;=7,F93&lt;9),"Upside Lite",AND(F93&gt;=6,F93&lt;7),"Outlier",AND(F93&gt;=5,F93&lt;6),"Outlier Lite",F93&lt;5,"Purgatory")</f>
        <v>Upside Lite</v>
      </c>
      <c r="F93" s="14">
        <f>'2025'!C15</f>
        <v>8.4333333333333336</v>
      </c>
      <c r="G93" s="14">
        <f t="shared" si="19"/>
        <v>72.099999999999994</v>
      </c>
      <c r="H93" s="35">
        <f t="shared" si="13"/>
        <v>0.1823773572277845</v>
      </c>
      <c r="I93" s="36" t="str">
        <f>'2025'!D15</f>
        <v>Oregon</v>
      </c>
      <c r="J93" s="37">
        <f>'2025'!E15</f>
        <v>2</v>
      </c>
      <c r="K93" s="38">
        <f>'2025'!F15</f>
        <v>38075</v>
      </c>
      <c r="L93" s="39">
        <f>'2025'!G15</f>
        <v>21.512328767123286</v>
      </c>
      <c r="M93" s="39" t="str">
        <f>'2025'!H15</f>
        <v>JR</v>
      </c>
      <c r="N93" s="39">
        <f>'2025'!I15</f>
        <v>21.093150684931508</v>
      </c>
      <c r="O93" s="39" t="str">
        <f t="shared" si="14"/>
        <v>BELL CALF</v>
      </c>
      <c r="P93" s="39" t="str">
        <f t="shared" si="17"/>
        <v>3DOWN</v>
      </c>
      <c r="Q93" s="37">
        <f>'2025'!J15</f>
        <v>69</v>
      </c>
      <c r="R93" s="37">
        <f>'2025'!K15</f>
        <v>205</v>
      </c>
      <c r="S93" s="39">
        <f t="shared" si="18"/>
        <v>30.272872560027835</v>
      </c>
      <c r="T93" s="37">
        <f>'2025'!L15</f>
        <v>4.55</v>
      </c>
      <c r="U93" s="40">
        <f>'2025'!M15</f>
        <v>5</v>
      </c>
      <c r="V93" s="41">
        <f>'2025'!N15</f>
        <v>0</v>
      </c>
      <c r="W93" s="42">
        <f>'2025'!O15</f>
        <v>0</v>
      </c>
      <c r="X93" s="42">
        <f>'2025'!P15</f>
        <v>3.9352776667998399E-2</v>
      </c>
      <c r="Y93" s="42">
        <f>'2025'!Q15</f>
        <v>0.12043658261196839</v>
      </c>
      <c r="Z93" s="42">
        <f>'2025'!R15</f>
        <v>0.24085564990202482</v>
      </c>
      <c r="AA93" s="42">
        <f>'2025'!S15</f>
        <v>0.24085564990202482</v>
      </c>
      <c r="AB93" s="42">
        <f>'2025'!T15</f>
        <v>0.24085564990202482</v>
      </c>
      <c r="AC93" s="42">
        <f>'2025'!U15</f>
        <v>2.7179508297986248E-2</v>
      </c>
      <c r="AD93" s="42">
        <f>'2025'!V15</f>
        <v>5.2900587784308714E-2</v>
      </c>
      <c r="AE93" s="42">
        <f>'2025'!W15</f>
        <v>5.2900587784308714E-2</v>
      </c>
      <c r="AF93" s="43">
        <f>'2025'!X15</f>
        <v>5.2900587784308714E-2</v>
      </c>
      <c r="AG93" s="44">
        <f>'2025'!Y15</f>
        <v>20.449315068493149</v>
      </c>
      <c r="AH93" s="45">
        <f>'2025'!Z15</f>
        <v>95.661738692057028</v>
      </c>
      <c r="AI93" s="45">
        <f>'2025'!AA15</f>
        <v>30.269901281243438</v>
      </c>
      <c r="AJ93" s="45">
        <f>'2025'!AB15</f>
        <v>0.30555555555555558</v>
      </c>
      <c r="AK93" s="45">
        <f>'2025'!AC15</f>
        <v>7.0740740740740744</v>
      </c>
      <c r="AL93" s="45">
        <f t="shared" si="15"/>
        <v>8.2142857142857135</v>
      </c>
      <c r="AM93" s="45">
        <f t="shared" si="16"/>
        <v>0.10038610038610038</v>
      </c>
      <c r="AN93" s="45">
        <f>'2025'!AD15</f>
        <v>108.3</v>
      </c>
      <c r="AO93" s="45">
        <f>'2025'!AE15</f>
        <v>4.04</v>
      </c>
      <c r="AP93" s="46">
        <f>'2025'!AF15</f>
        <v>37.4</v>
      </c>
      <c r="AQ93" s="47">
        <f>'2025'!AG15</f>
        <v>6</v>
      </c>
      <c r="AR93" s="48">
        <f>'2025'!AH15</f>
        <v>5</v>
      </c>
      <c r="AS93" s="48">
        <f>'2025'!AI15</f>
        <v>4</v>
      </c>
      <c r="AT93" s="48">
        <f>'2025'!AJ15</f>
        <v>3</v>
      </c>
      <c r="AU93" s="48">
        <f>'2025'!AK15</f>
        <v>8</v>
      </c>
      <c r="AV93" s="48">
        <f>'2025'!AL15</f>
        <v>8</v>
      </c>
      <c r="AW93" s="48">
        <f>'2025'!AM15</f>
        <v>5</v>
      </c>
      <c r="AX93" s="48">
        <f>'2025'!AN15</f>
        <v>5</v>
      </c>
      <c r="AY93" s="49">
        <f>'2025'!AO15</f>
        <v>3</v>
      </c>
      <c r="AZ93" s="50">
        <f>'2025'!AP15</f>
        <v>1</v>
      </c>
      <c r="BA93" s="56">
        <f>'2025'!AQ15</f>
        <v>0</v>
      </c>
      <c r="BB93" s="57">
        <f>'2025'!AR15</f>
        <v>1</v>
      </c>
      <c r="BC93" s="57">
        <f>'2025'!AS15</f>
        <v>0</v>
      </c>
      <c r="BD93" s="57">
        <f>'2025'!AT15</f>
        <v>0</v>
      </c>
      <c r="BE93" s="57">
        <f>'2025'!AU15</f>
        <v>0</v>
      </c>
      <c r="BF93" s="57">
        <f>'2025'!AV15</f>
        <v>0</v>
      </c>
      <c r="BG93" s="58">
        <f>'2025'!AW15</f>
        <v>0</v>
      </c>
      <c r="BH93" s="58">
        <f>'2025'!AX15</f>
        <v>0</v>
      </c>
      <c r="BI93" s="58">
        <f>'2025'!AY15</f>
        <v>0</v>
      </c>
      <c r="BJ93" s="58">
        <f>'2025'!AZ15</f>
        <v>0</v>
      </c>
      <c r="BK93" s="57">
        <f>'2025'!BA15</f>
        <v>0</v>
      </c>
      <c r="BL93" s="57">
        <f>'2025'!BB15</f>
        <v>0</v>
      </c>
      <c r="BM93" s="57">
        <f>'2025'!BC15</f>
        <v>0</v>
      </c>
      <c r="BN93" s="57">
        <f>'2025'!BD15</f>
        <v>0</v>
      </c>
      <c r="BO93" s="59">
        <f>'2025'!BE15</f>
        <v>0</v>
      </c>
      <c r="BP93" s="56">
        <f>'2025'!BF15</f>
        <v>0</v>
      </c>
      <c r="BQ93" s="57">
        <f>'2025'!BG15</f>
        <v>1</v>
      </c>
      <c r="BR93" s="57">
        <f>'2025'!BH15</f>
        <v>0</v>
      </c>
      <c r="BS93" s="57">
        <f>'2025'!BI15</f>
        <v>0</v>
      </c>
      <c r="BT93" s="57">
        <f>'2025'!BJ15</f>
        <v>0</v>
      </c>
      <c r="BU93" s="57">
        <f>'2025'!BK15</f>
        <v>0</v>
      </c>
      <c r="BV93" s="58">
        <f>'2025'!BL15</f>
        <v>0</v>
      </c>
      <c r="BW93" s="58">
        <f>'2025'!BM15</f>
        <v>0</v>
      </c>
      <c r="BX93" s="58">
        <f>'2025'!BN15</f>
        <v>0</v>
      </c>
      <c r="BY93" s="58">
        <f>'2025'!BO15</f>
        <v>0</v>
      </c>
      <c r="BZ93" s="57">
        <f>'2025'!BP15</f>
        <v>0</v>
      </c>
      <c r="CA93" s="57">
        <f>'2025'!BQ15</f>
        <v>0</v>
      </c>
      <c r="CB93" s="57">
        <f>'2025'!BR15</f>
        <v>0</v>
      </c>
      <c r="CC93" s="57">
        <f>'2025'!BS15</f>
        <v>0</v>
      </c>
      <c r="CD93" s="59">
        <f>'2025'!BT15</f>
        <v>0</v>
      </c>
      <c r="CE93" s="56">
        <f>'2025'!BU15</f>
        <v>191</v>
      </c>
      <c r="CF93" s="57">
        <f>'2025'!BV15</f>
        <v>2158</v>
      </c>
      <c r="CG93" s="57">
        <f>'2025'!BW15</f>
        <v>5</v>
      </c>
      <c r="CH93" s="57">
        <f>'2025'!BX15</f>
        <v>26</v>
      </c>
      <c r="CI93" s="57">
        <f>'2025'!BY15</f>
        <v>45</v>
      </c>
      <c r="CJ93" s="57">
        <f>'2025'!BZ15</f>
        <v>7</v>
      </c>
      <c r="CK93" s="58">
        <f>'2025'!CA15</f>
        <v>4.2444444444444445</v>
      </c>
      <c r="CL93" s="58">
        <f>'2025'!CB15</f>
        <v>40.6</v>
      </c>
      <c r="CM93" s="58">
        <f>'2025'!CC15</f>
        <v>2.33</v>
      </c>
      <c r="CN93" s="58">
        <f>'2025'!CD15</f>
        <v>12.6</v>
      </c>
      <c r="CO93" s="57">
        <f>'2025'!CE15</f>
        <v>6</v>
      </c>
      <c r="CP93" s="57">
        <f>'2025'!CF15</f>
        <v>2848</v>
      </c>
      <c r="CQ93" s="57">
        <f>'2025'!CG15</f>
        <v>1</v>
      </c>
      <c r="CR93" s="57">
        <f>'2025'!CH15</f>
        <v>0</v>
      </c>
      <c r="CS93" s="59">
        <f>'2025'!CI15</f>
        <v>23</v>
      </c>
      <c r="CT93" s="56">
        <f>'2025'!CJ15</f>
        <v>764</v>
      </c>
      <c r="CU93" s="57">
        <f>'2025'!CK15</f>
        <v>2583</v>
      </c>
      <c r="CV93" s="57">
        <f>'2025'!CL15</f>
        <v>11</v>
      </c>
      <c r="CW93" s="57">
        <f>'2025'!CM15</f>
        <v>33.6</v>
      </c>
      <c r="CX93" s="57">
        <f>'2025'!CN15</f>
        <v>108</v>
      </c>
      <c r="CY93" s="57">
        <f>'2025'!CO15</f>
        <v>33</v>
      </c>
      <c r="CZ93" s="58">
        <f>'2025'!CP15</f>
        <v>7.0740740740740744</v>
      </c>
      <c r="DA93" s="58">
        <f>'2025'!CQ15</f>
        <v>108.3</v>
      </c>
      <c r="DB93" s="58">
        <f>'2025'!CR15</f>
        <v>4.04</v>
      </c>
      <c r="DC93" s="58">
        <f>'2025'!CS15</f>
        <v>37.4</v>
      </c>
      <c r="DD93" s="57">
        <f>'2025'!CT15</f>
        <v>132</v>
      </c>
      <c r="DE93" s="57">
        <f>'2025'!CU15</f>
        <v>4856.5999999999995</v>
      </c>
      <c r="DF93" s="57">
        <f>'2025'!CV15</f>
        <v>15</v>
      </c>
      <c r="DG93" s="57">
        <f>'2025'!CW15</f>
        <v>1</v>
      </c>
      <c r="DH93" s="59">
        <f>'2025'!CX15</f>
        <v>49</v>
      </c>
      <c r="DI93" s="56">
        <f>'2025'!CY15</f>
        <v>1268</v>
      </c>
      <c r="DJ93" s="57">
        <f>'2025'!CZ15</f>
        <v>2211</v>
      </c>
      <c r="DK93" s="57">
        <f>'2025'!DA15</f>
        <v>15</v>
      </c>
      <c r="DL93" s="57">
        <f>'2025'!DB15</f>
        <v>27.599999999999998</v>
      </c>
      <c r="DM93" s="57">
        <f>'2025'!DC15</f>
        <v>233</v>
      </c>
      <c r="DN93" s="57">
        <f>'2025'!DD15</f>
        <v>57</v>
      </c>
      <c r="DO93" s="58">
        <f>'2025'!DE15</f>
        <v>5.4420600858369097</v>
      </c>
      <c r="DP93" s="58">
        <f>'2025'!DF15</f>
        <v>79.7</v>
      </c>
      <c r="DQ93" s="58">
        <f>'2025'!DG15</f>
        <v>3.18</v>
      </c>
      <c r="DR93" s="58">
        <f>'2025'!DH15</f>
        <v>18.399999999999999</v>
      </c>
      <c r="DS93" s="57">
        <f>'2025'!DI15</f>
        <v>207</v>
      </c>
      <c r="DT93" s="57">
        <f>'2025'!DJ15</f>
        <v>3913</v>
      </c>
      <c r="DU93" s="57">
        <f>'2025'!DK15</f>
        <v>26</v>
      </c>
      <c r="DV93" s="57">
        <f>'2025'!DL15</f>
        <v>0</v>
      </c>
      <c r="DW93" s="59">
        <f>'2025'!DM15</f>
        <v>24</v>
      </c>
    </row>
    <row r="94" spans="1:127" ht="15.75" customHeight="1" x14ac:dyDescent="0.2">
      <c r="A94" s="33">
        <f t="shared" si="12"/>
        <v>92</v>
      </c>
      <c r="B94" s="11">
        <f>'2018'!A9</f>
        <v>7</v>
      </c>
      <c r="C94" s="11">
        <v>2018</v>
      </c>
      <c r="D94" s="34" t="str">
        <f>'2018'!B9</f>
        <v>Ronald Jones</v>
      </c>
      <c r="E94" s="224" t="str" cm="1">
        <f t="array" ref="E94">_xlfn.IFS(F94&gt;=13,"Cornerstone",AND(F94&gt;=12,F94&lt;13),"Elite",AND(F94&gt;=11,F94&lt;12),"Elite Upside",AND(F94&gt;=9,F94&lt;11),"Upside",AND(F94&gt;=7,F94&lt;9),"Upside Lite",AND(F94&gt;=6,F94&lt;7),"Outlier",AND(F94&gt;=5,F94&lt;6),"Outlier Lite",F94&lt;5,"Purgatory")</f>
        <v>Upside Lite</v>
      </c>
      <c r="F94" s="14">
        <f>'2018'!C9</f>
        <v>8.2999999999999989</v>
      </c>
      <c r="G94" s="14">
        <f t="shared" si="19"/>
        <v>71.8</v>
      </c>
      <c r="H94" s="35">
        <f t="shared" si="13"/>
        <v>0.12594734866249868</v>
      </c>
      <c r="I94" s="36" t="str">
        <f>'2018'!D9</f>
        <v>USC</v>
      </c>
      <c r="J94" s="37">
        <f>'2018'!E9</f>
        <v>5</v>
      </c>
      <c r="K94" s="38">
        <f>'2018'!F9</f>
        <v>35645</v>
      </c>
      <c r="L94" s="39">
        <f>'2018'!G9</f>
        <v>28.169863013698631</v>
      </c>
      <c r="M94" s="39" t="str">
        <f>'2018'!H9</f>
        <v>JR</v>
      </c>
      <c r="N94" s="39">
        <f>'2018'!I9</f>
        <v>20.742465753424657</v>
      </c>
      <c r="O94" s="39" t="str">
        <f t="shared" si="14"/>
        <v>BELL COW</v>
      </c>
      <c r="P94" s="39" t="str">
        <f t="shared" si="17"/>
        <v>HORSE</v>
      </c>
      <c r="Q94" s="37">
        <f>'2018'!J9</f>
        <v>72</v>
      </c>
      <c r="R94" s="37">
        <f>'2018'!K9</f>
        <v>200</v>
      </c>
      <c r="S94" s="39">
        <f t="shared" si="18"/>
        <v>27.124575854089979</v>
      </c>
      <c r="T94" s="37">
        <f>'2018'!L9</f>
        <v>4.6500000000000004</v>
      </c>
      <c r="U94" s="40">
        <f>'2018'!M9</f>
        <v>2</v>
      </c>
      <c r="V94" s="41">
        <f>'2018'!N9</f>
        <v>0</v>
      </c>
      <c r="W94" s="42">
        <f>'2018'!O9</f>
        <v>1.4626765299260255E-2</v>
      </c>
      <c r="X94" s="42">
        <f>'2018'!P9</f>
        <v>0.16669385092154623</v>
      </c>
      <c r="Y94" s="42">
        <f>'2018'!Q9</f>
        <v>0.18655272492744276</v>
      </c>
      <c r="Z94" s="42">
        <f>'2018'!R9</f>
        <v>0.25684272821423287</v>
      </c>
      <c r="AA94" s="42">
        <f>'2018'!S9</f>
        <v>0.25684272821423287</v>
      </c>
      <c r="AB94" s="42">
        <f>'2018'!T9</f>
        <v>0.21831631898209794</v>
      </c>
      <c r="AC94" s="42">
        <f>'2018'!U9</f>
        <v>2.1152240467575842E-2</v>
      </c>
      <c r="AD94" s="42">
        <f>'2018'!V9</f>
        <v>4.4625719769673701E-2</v>
      </c>
      <c r="AE94" s="42">
        <f>'2018'!W9</f>
        <v>4.4625719769673701E-2</v>
      </c>
      <c r="AF94" s="43">
        <f>'2018'!X9</f>
        <v>3.7931861804222644E-2</v>
      </c>
      <c r="AG94" s="44">
        <f>'2018'!Y9</f>
        <v>18.087671232876712</v>
      </c>
      <c r="AH94" s="45">
        <f>'2018'!Z9</f>
        <v>85.555548470486684</v>
      </c>
      <c r="AI94" s="45">
        <f>'2018'!AA9</f>
        <v>27.121913580246911</v>
      </c>
      <c r="AJ94" s="45">
        <f>'2018'!AB9</f>
        <v>0.22222222222222221</v>
      </c>
      <c r="AK94" s="45">
        <f>'2018'!AC9</f>
        <v>6.4</v>
      </c>
      <c r="AL94" s="45">
        <f t="shared" si="15"/>
        <v>9.1219512195121943</v>
      </c>
      <c r="AM94" s="45">
        <f t="shared" si="16"/>
        <v>5.0909090909090911E-2</v>
      </c>
      <c r="AN94" s="45">
        <f>'2018'!AD9</f>
        <v>84.3</v>
      </c>
      <c r="AO94" s="45">
        <f>'2018'!AE9</f>
        <v>3.9</v>
      </c>
      <c r="AP94" s="46">
        <f>'2018'!AF9</f>
        <v>48.2</v>
      </c>
      <c r="AQ94" s="47">
        <f>'2018'!AG9</f>
        <v>4</v>
      </c>
      <c r="AR94" s="48">
        <f>'2018'!AH9</f>
        <v>4</v>
      </c>
      <c r="AS94" s="48">
        <f>'2018'!AI9</f>
        <v>10</v>
      </c>
      <c r="AT94" s="48">
        <f>IF(AH94&gt;113.25,10,IF(AH94&gt;=107.84,9,IF(AH94&gt;=105.37,8,IF(AH94&gt;=103.25,7,IF(AH94&gt;=100.55,6,IF(AH94&gt;=98.75,5,IF(AH94&gt;=96.08,4,IF(AH94&gt;=94.39,3,IF(AH94&gt;=88.43,2,IF(AH94&gt;=85.16,1,IF(AH94&lt;85.16,0,FALSE)))))))))))</f>
        <v>1</v>
      </c>
      <c r="AU94" s="48">
        <f>'2018'!AK9</f>
        <v>5</v>
      </c>
      <c r="AV94" s="48">
        <f>'2018'!AL9</f>
        <v>6</v>
      </c>
      <c r="AW94" s="48">
        <f>'2018'!AM9</f>
        <v>2</v>
      </c>
      <c r="AX94" s="48">
        <f>'2018'!AN9</f>
        <v>4</v>
      </c>
      <c r="AY94" s="49">
        <f>IF(U94=1,10,IF(U94=2,7,IF(U94=3,6,IF(U94=4,4,IF(U94=5,3,IF(U94=6,2,IF(U94=7,1,IF(U94=0,0,"-"))))))))</f>
        <v>7</v>
      </c>
      <c r="AZ94" s="50">
        <f>'2018'!AP9</f>
        <v>0</v>
      </c>
      <c r="BA94" s="56">
        <f>'2018'!AQ9</f>
        <v>0</v>
      </c>
      <c r="BB94" s="57">
        <f>'2018'!AR9</f>
        <v>2419</v>
      </c>
      <c r="BC94" s="57">
        <f>'2018'!AS9</f>
        <v>0</v>
      </c>
      <c r="BD94" s="57">
        <f>'2018'!AT9</f>
        <v>0</v>
      </c>
      <c r="BE94" s="57">
        <f>'2018'!AU9</f>
        <v>0</v>
      </c>
      <c r="BF94" s="57">
        <f>'2018'!AV9</f>
        <v>0</v>
      </c>
      <c r="BG94" s="58">
        <f>'2018'!AW9</f>
        <v>0</v>
      </c>
      <c r="BH94" s="58">
        <f>'2018'!AX9</f>
        <v>0</v>
      </c>
      <c r="BI94" s="58">
        <f>'2018'!AY9</f>
        <v>0</v>
      </c>
      <c r="BJ94" s="58">
        <f>'2018'!AZ9</f>
        <v>0</v>
      </c>
      <c r="BK94" s="57">
        <f>'2018'!BA9</f>
        <v>0</v>
      </c>
      <c r="BL94" s="57">
        <f>'2018'!BB9</f>
        <v>3180</v>
      </c>
      <c r="BM94" s="57">
        <f>'2018'!BC9</f>
        <v>0</v>
      </c>
      <c r="BN94" s="57">
        <f>'2018'!BD9</f>
        <v>0</v>
      </c>
      <c r="BO94" s="59">
        <f>'2018'!BE9</f>
        <v>0</v>
      </c>
      <c r="BP94" s="56">
        <f>'2018'!BF9</f>
        <v>14</v>
      </c>
      <c r="BQ94" s="57">
        <f>'2018'!BG9</f>
        <v>2092</v>
      </c>
      <c r="BR94" s="57">
        <f>'2018'!BH9</f>
        <v>0</v>
      </c>
      <c r="BS94" s="57">
        <f>'2018'!BI9</f>
        <v>0</v>
      </c>
      <c r="BT94" s="57">
        <f>'2018'!BJ9</f>
        <v>2</v>
      </c>
      <c r="BU94" s="57">
        <f>'2018'!BK9</f>
        <v>0</v>
      </c>
      <c r="BV94" s="58">
        <f>'2018'!BL9</f>
        <v>7</v>
      </c>
      <c r="BW94" s="58">
        <f>'2018'!BM9</f>
        <v>0</v>
      </c>
      <c r="BX94" s="58">
        <f>'2018'!BN9</f>
        <v>0</v>
      </c>
      <c r="BY94" s="58">
        <f>'2018'!BO9</f>
        <v>0</v>
      </c>
      <c r="BZ94" s="57">
        <f>'2018'!BP9</f>
        <v>73</v>
      </c>
      <c r="CA94" s="57">
        <f>'2018'!BQ9</f>
        <v>3856</v>
      </c>
      <c r="CB94" s="57">
        <f>'2018'!BR9</f>
        <v>9</v>
      </c>
      <c r="CC94" s="57">
        <f>'2018'!BS9</f>
        <v>0</v>
      </c>
      <c r="CD94" s="59">
        <f>'2018'!BT9</f>
        <v>0</v>
      </c>
      <c r="CE94" s="56">
        <f>'2018'!BU9</f>
        <v>983</v>
      </c>
      <c r="CF94" s="57">
        <f>'2018'!BV9</f>
        <v>2355</v>
      </c>
      <c r="CG94" s="57">
        <f>'2018'!BW9</f>
        <v>8</v>
      </c>
      <c r="CH94" s="57">
        <f>'2018'!BX9</f>
        <v>0</v>
      </c>
      <c r="CI94" s="57">
        <f>'2018'!BY9</f>
        <v>153</v>
      </c>
      <c r="CJ94" s="57">
        <f>'2018'!BZ9</f>
        <v>34</v>
      </c>
      <c r="CK94" s="58">
        <f>'2018'!CA9</f>
        <v>6.4</v>
      </c>
      <c r="CL94" s="58">
        <f>'2018'!CB9</f>
        <v>84.3</v>
      </c>
      <c r="CM94" s="58">
        <f>'2018'!CC9</f>
        <v>3.75</v>
      </c>
      <c r="CN94" s="58">
        <f>'2018'!CD9</f>
        <v>48.2</v>
      </c>
      <c r="CO94" s="57">
        <f>'2018'!CE9</f>
        <v>39</v>
      </c>
      <c r="CP94" s="57">
        <f>'2018'!CF9</f>
        <v>3776</v>
      </c>
      <c r="CQ94" s="57">
        <f>'2018'!CG9</f>
        <v>7</v>
      </c>
      <c r="CR94" s="57">
        <f>'2018'!CH9</f>
        <v>0</v>
      </c>
      <c r="CS94" s="59">
        <f>'2018'!CI9</f>
        <v>0</v>
      </c>
      <c r="CT94" s="56">
        <f>'2018'!CJ9</f>
        <v>1081</v>
      </c>
      <c r="CU94" s="57">
        <f>'2018'!CK9</f>
        <v>2609</v>
      </c>
      <c r="CV94" s="57">
        <f>'2018'!CL9</f>
        <v>12</v>
      </c>
      <c r="CW94" s="57">
        <f>'2018'!CM9</f>
        <v>0</v>
      </c>
      <c r="CX94" s="57">
        <f>'2018'!CN9</f>
        <v>177</v>
      </c>
      <c r="CY94" s="57">
        <f>'2018'!CO9</f>
        <v>33</v>
      </c>
      <c r="CZ94" s="58">
        <f>'2018'!CP9</f>
        <v>6.1</v>
      </c>
      <c r="DA94" s="58">
        <f>'2018'!CQ9</f>
        <v>68.400000000000006</v>
      </c>
      <c r="DB94" s="58">
        <f>'2018'!CR9</f>
        <v>3.9</v>
      </c>
      <c r="DC94" s="58">
        <f>'2018'!CS9</f>
        <v>45.9</v>
      </c>
      <c r="DD94" s="57">
        <f>'2018'!CT9</f>
        <v>76</v>
      </c>
      <c r="DE94" s="57">
        <f>'2018'!CU9</f>
        <v>3593</v>
      </c>
      <c r="DF94" s="57">
        <f>'2018'!CV9</f>
        <v>11</v>
      </c>
      <c r="DG94" s="57">
        <f>'2018'!CW9</f>
        <v>0</v>
      </c>
      <c r="DH94" s="59">
        <f>'2018'!CX9</f>
        <v>0</v>
      </c>
      <c r="DI94" s="56">
        <f>'2018'!CY9</f>
        <v>1550</v>
      </c>
      <c r="DJ94" s="57">
        <f>'2018'!CZ9</f>
        <v>2591</v>
      </c>
      <c r="DK94" s="57">
        <f>'2018'!DA9</f>
        <v>19</v>
      </c>
      <c r="DL94" s="57">
        <f>'2018'!DB9</f>
        <v>0</v>
      </c>
      <c r="DM94" s="57">
        <f>'2018'!DC9</f>
        <v>261</v>
      </c>
      <c r="DN94" s="57">
        <f>'2018'!DD9</f>
        <v>58</v>
      </c>
      <c r="DO94" s="58">
        <f>'2018'!DE9</f>
        <v>5.9</v>
      </c>
      <c r="DP94" s="58">
        <f>'2018'!DF9</f>
        <v>75.099999999999994</v>
      </c>
      <c r="DQ94" s="58">
        <f>'2018'!DG9</f>
        <v>3.5</v>
      </c>
      <c r="DR94" s="58">
        <f>'2018'!DH9</f>
        <v>46.4</v>
      </c>
      <c r="DS94" s="57">
        <f>'2018'!DI9</f>
        <v>186</v>
      </c>
      <c r="DT94" s="57">
        <f>'2018'!DJ9</f>
        <v>4168</v>
      </c>
      <c r="DU94" s="57">
        <f>'2018'!DK9</f>
        <v>14</v>
      </c>
      <c r="DV94" s="57">
        <f>'2018'!DL9</f>
        <v>0</v>
      </c>
      <c r="DW94" s="59">
        <f>'2018'!DM9</f>
        <v>0</v>
      </c>
    </row>
    <row r="95" spans="1:127" ht="15.75" customHeight="1" x14ac:dyDescent="0.2">
      <c r="A95" s="33">
        <f t="shared" si="12"/>
        <v>93</v>
      </c>
      <c r="B95" s="11">
        <f>'2017'!A12</f>
        <v>10</v>
      </c>
      <c r="C95" s="11">
        <v>2017</v>
      </c>
      <c r="D95" s="34" t="str">
        <f>'2017'!B12</f>
        <v>Samaje Perine</v>
      </c>
      <c r="E95" s="224" t="str" cm="1">
        <f t="array" ref="E95">_xlfn.IFS(F95&gt;=13,"Cornerstone",AND(F95&gt;=12,F95&lt;13),"Elite",AND(F95&gt;=11,F95&lt;12),"Elite Upside",AND(F95&gt;=9,F95&lt;11),"Upside",AND(F95&gt;=7,F95&lt;9),"Upside Lite",AND(F95&gt;=6,F95&lt;7),"Outlier",AND(F95&gt;=5,F95&lt;6),"Outlier Lite",F95&lt;5,"Purgatory")</f>
        <v>Upside Lite</v>
      </c>
      <c r="F95" s="14">
        <f>'2017'!C12</f>
        <v>8.2722222222222221</v>
      </c>
      <c r="G95" s="14">
        <f t="shared" si="19"/>
        <v>71.5</v>
      </c>
      <c r="H95" s="35">
        <f t="shared" si="13"/>
        <v>0.11419109687806465</v>
      </c>
      <c r="I95" s="36" t="str">
        <f>'2017'!D12</f>
        <v>Oklahoma</v>
      </c>
      <c r="J95" s="37">
        <f>'2017'!E12</f>
        <v>3</v>
      </c>
      <c r="K95" s="38">
        <f>'2017'!F12</f>
        <v>34958</v>
      </c>
      <c r="L95" s="39">
        <f>'2017'!G12</f>
        <v>30.052054794520547</v>
      </c>
      <c r="M95" s="39" t="str">
        <f>'2017'!H12</f>
        <v>JR</v>
      </c>
      <c r="N95" s="39">
        <f>'2017'!I12</f>
        <v>21.627397260273973</v>
      </c>
      <c r="O95" s="39" t="str">
        <f t="shared" si="14"/>
        <v>BRUISER</v>
      </c>
      <c r="P95" s="39" t="str">
        <f t="shared" si="17"/>
        <v>SLASHER</v>
      </c>
      <c r="Q95" s="37">
        <f>'2017'!J12</f>
        <v>71</v>
      </c>
      <c r="R95" s="37">
        <f>'2017'!K12</f>
        <v>233</v>
      </c>
      <c r="S95" s="39">
        <f t="shared" si="18"/>
        <v>32.496544025026161</v>
      </c>
      <c r="T95" s="37">
        <f>'2017'!L12</f>
        <v>4.66</v>
      </c>
      <c r="U95" s="55">
        <f>'2017'!M12</f>
        <v>4</v>
      </c>
      <c r="V95" s="41">
        <f>'2017'!N12</f>
        <v>0</v>
      </c>
      <c r="W95" s="42">
        <f>'2017'!O12</f>
        <v>0</v>
      </c>
      <c r="X95" s="42">
        <f>'2017'!P12</f>
        <v>0.3014401589140871</v>
      </c>
      <c r="Y95" s="42">
        <f>'2017'!Q12</f>
        <v>0.21151893225010882</v>
      </c>
      <c r="Z95" s="42">
        <f>'2017'!R12</f>
        <v>0.16209095951192456</v>
      </c>
      <c r="AA95" s="42">
        <f>'2017'!S12</f>
        <v>0.23176555921300585</v>
      </c>
      <c r="AB95" s="42">
        <f>'2017'!T12</f>
        <v>0.20858900329170527</v>
      </c>
      <c r="AC95" s="42">
        <f>'2017'!U12</f>
        <v>2.5961058412381426E-2</v>
      </c>
      <c r="AD95" s="42">
        <f>'2017'!V12</f>
        <v>2.564102564102564E-2</v>
      </c>
      <c r="AE95" s="42">
        <f>'2017'!W12</f>
        <v>2.5801042026703531E-2</v>
      </c>
      <c r="AF95" s="43">
        <f>'2017'!X12</f>
        <v>2.3220937824033179E-2</v>
      </c>
      <c r="AG95" s="44">
        <f>'2017'!Y12</f>
        <v>18.972602739726028</v>
      </c>
      <c r="AH95" s="45">
        <f>'2017'!Z12</f>
        <v>98.819408479669704</v>
      </c>
      <c r="AI95" s="45">
        <f>'2017'!AA12</f>
        <v>32.493354493156119</v>
      </c>
      <c r="AJ95" s="45">
        <f>'2017'!AB12</f>
        <v>0.28244274809160308</v>
      </c>
      <c r="AK95" s="45">
        <f>'2017'!AC12</f>
        <v>6</v>
      </c>
      <c r="AL95" s="45">
        <f t="shared" si="15"/>
        <v>8.1538461538461533</v>
      </c>
      <c r="AM95" s="45">
        <f t="shared" si="16"/>
        <v>4.8543689320388349E-2</v>
      </c>
      <c r="AN95" s="45">
        <f>'2017'!AD12</f>
        <v>100.4</v>
      </c>
      <c r="AO95" s="45">
        <f>'2017'!AE12</f>
        <v>3.61</v>
      </c>
      <c r="AP95" s="46">
        <f>'2017'!AF12</f>
        <v>47.3</v>
      </c>
      <c r="AQ95" s="47">
        <f>'2017'!AG12</f>
        <v>4</v>
      </c>
      <c r="AR95" s="48">
        <f>'2017'!AH12</f>
        <v>2</v>
      </c>
      <c r="AS95" s="48">
        <f>'2017'!AI12</f>
        <v>8</v>
      </c>
      <c r="AT95" s="48">
        <f>IF(AH95&gt;113.25,10,IF(AH95&gt;=107.84,9,IF(AH95&gt;=105.37,8,IF(AH95&gt;=103.25,7,IF(AH95&gt;=100.55,6,IF(AH95&gt;=98.75,5,IF(AH95&gt;=96.08,4,IF(AH95&gt;=94.39,3,IF(AH95&gt;=88.43,2,IF(AH95&gt;=85.16,1,IF(AH95&lt;85.16,0,FALSE)))))))))))</f>
        <v>5</v>
      </c>
      <c r="AU95" s="48">
        <f>'2017'!AK12</f>
        <v>8</v>
      </c>
      <c r="AV95" s="48">
        <f>'2017'!AL12</f>
        <v>4</v>
      </c>
      <c r="AW95" s="48">
        <f>'2017'!AM12</f>
        <v>6</v>
      </c>
      <c r="AX95" s="48">
        <f>'2017'!AN12</f>
        <v>4</v>
      </c>
      <c r="AY95" s="49">
        <f>IF(U95=1,10,IF(U95=2,7,IF(U95=3,6,IF(U95=4,4,IF(U95=5,3,IF(U95=6,2,IF(U95=7,1,IF(U95=0,0,"-"))))))))</f>
        <v>4</v>
      </c>
      <c r="AZ95" s="50">
        <f>'2017'!AP12</f>
        <v>0.75</v>
      </c>
      <c r="BA95" s="56">
        <f>'2017'!AQ12</f>
        <v>0</v>
      </c>
      <c r="BB95" s="57">
        <f>'2017'!AR12</f>
        <v>2098</v>
      </c>
      <c r="BC95" s="57">
        <f>'2017'!AS12</f>
        <v>0</v>
      </c>
      <c r="BD95" s="57">
        <f>'2017'!AT12</f>
        <v>0</v>
      </c>
      <c r="BE95" s="57">
        <f>'2017'!AU12</f>
        <v>0</v>
      </c>
      <c r="BF95" s="57">
        <f>'2017'!AV12</f>
        <v>0</v>
      </c>
      <c r="BG95" s="58">
        <f>'2017'!AW12</f>
        <v>0</v>
      </c>
      <c r="BH95" s="58">
        <f>'2017'!AX12</f>
        <v>0</v>
      </c>
      <c r="BI95" s="58">
        <f>'2017'!AY12</f>
        <v>0</v>
      </c>
      <c r="BJ95" s="58">
        <f>'2017'!AZ12</f>
        <v>0</v>
      </c>
      <c r="BK95" s="57">
        <f>'2017'!BA12</f>
        <v>0</v>
      </c>
      <c r="BL95" s="57">
        <f>'2017'!BB12</f>
        <v>4374</v>
      </c>
      <c r="BM95" s="57">
        <f>'2017'!BC12</f>
        <v>0</v>
      </c>
      <c r="BN95" s="57">
        <f>'2017'!BD12</f>
        <v>0</v>
      </c>
      <c r="BO95" s="59">
        <f>'2017'!BE12</f>
        <v>0</v>
      </c>
      <c r="BP95" s="56">
        <f>'2017'!BF12</f>
        <v>0</v>
      </c>
      <c r="BQ95" s="57">
        <f>'2017'!BG12</f>
        <v>2911</v>
      </c>
      <c r="BR95" s="57">
        <f>'2017'!BH12</f>
        <v>0</v>
      </c>
      <c r="BS95" s="57">
        <f>'2017'!BI12</f>
        <v>0</v>
      </c>
      <c r="BT95" s="57">
        <f>'2017'!BJ12</f>
        <v>0</v>
      </c>
      <c r="BU95" s="57">
        <f>'2017'!BK12</f>
        <v>0</v>
      </c>
      <c r="BV95" s="58">
        <f>'2017'!BL12</f>
        <v>0</v>
      </c>
      <c r="BW95" s="58">
        <f>'2017'!BM12</f>
        <v>0</v>
      </c>
      <c r="BX95" s="58">
        <f>'2017'!BN12</f>
        <v>0</v>
      </c>
      <c r="BY95" s="58">
        <f>'2017'!BO12</f>
        <v>0</v>
      </c>
      <c r="BZ95" s="57">
        <f>'2017'!BP12</f>
        <v>0</v>
      </c>
      <c r="CA95" s="57">
        <f>'2017'!BQ12</f>
        <v>2588</v>
      </c>
      <c r="CB95" s="57">
        <f>'2017'!BR12</f>
        <v>0</v>
      </c>
      <c r="CC95" s="57">
        <f>'2017'!BS12</f>
        <v>0</v>
      </c>
      <c r="CD95" s="59">
        <f>'2017'!BT12</f>
        <v>0</v>
      </c>
      <c r="CE95" s="56">
        <f>'2017'!BU12</f>
        <v>1713</v>
      </c>
      <c r="CF95" s="57">
        <f>'2017'!BV12</f>
        <v>3395</v>
      </c>
      <c r="CG95" s="57">
        <f>'2017'!BW12</f>
        <v>21</v>
      </c>
      <c r="CH95" s="57">
        <f>'2017'!BX12</f>
        <v>0</v>
      </c>
      <c r="CI95" s="57">
        <f>'2017'!BY12</f>
        <v>262</v>
      </c>
      <c r="CJ95" s="57">
        <f>'2017'!BZ12</f>
        <v>74</v>
      </c>
      <c r="CK95" s="58">
        <f>'2017'!CA12</f>
        <v>6.5</v>
      </c>
      <c r="CL95" s="58">
        <f>'2017'!CB12</f>
        <v>100.4</v>
      </c>
      <c r="CM95" s="58">
        <f>'2017'!CC12</f>
        <v>3.61</v>
      </c>
      <c r="CN95" s="58">
        <f>'2017'!CD12</f>
        <v>47.3</v>
      </c>
      <c r="CO95" s="57">
        <f>'2017'!CE12</f>
        <v>108</v>
      </c>
      <c r="CP95" s="57">
        <f>'2017'!CF12</f>
        <v>2646</v>
      </c>
      <c r="CQ95" s="57">
        <f>'2017'!CG12</f>
        <v>15</v>
      </c>
      <c r="CR95" s="57">
        <f>'2017'!CH12</f>
        <v>0</v>
      </c>
      <c r="CS95" s="59">
        <f>'2017'!CI12</f>
        <v>0</v>
      </c>
      <c r="CT95" s="56">
        <f>'2017'!CJ12</f>
        <v>1354</v>
      </c>
      <c r="CU95" s="57">
        <f>'2017'!CK12</f>
        <v>2887</v>
      </c>
      <c r="CV95" s="57">
        <f>'2017'!CL12</f>
        <v>16</v>
      </c>
      <c r="CW95" s="57">
        <f>'2017'!CM12</f>
        <v>0</v>
      </c>
      <c r="CX95" s="57">
        <f>'2017'!CN12</f>
        <v>226</v>
      </c>
      <c r="CY95" s="57">
        <f>'2017'!CO12</f>
        <v>50</v>
      </c>
      <c r="CZ95" s="58">
        <f>'2017'!CP12</f>
        <v>6</v>
      </c>
      <c r="DA95" s="58">
        <f>'2017'!CQ12</f>
        <v>79.8</v>
      </c>
      <c r="DB95" s="58">
        <f>'2017'!CR12</f>
        <v>3.55</v>
      </c>
      <c r="DC95" s="58">
        <f>'2017'!CS12</f>
        <v>43.1</v>
      </c>
      <c r="DD95" s="57">
        <f>'2017'!CT12</f>
        <v>104</v>
      </c>
      <c r="DE95" s="57">
        <f>'2017'!CU12</f>
        <v>4006</v>
      </c>
      <c r="DF95" s="57">
        <f>'2017'!CV12</f>
        <v>14</v>
      </c>
      <c r="DG95" s="57">
        <f>'2017'!CW12</f>
        <v>0</v>
      </c>
      <c r="DH95" s="59">
        <f>'2017'!CX12</f>
        <v>0</v>
      </c>
      <c r="DI95" s="56">
        <f>'2017'!CY12</f>
        <v>1063</v>
      </c>
      <c r="DJ95" s="57">
        <f>'2017'!CZ12</f>
        <v>3078</v>
      </c>
      <c r="DK95" s="57">
        <f>'2017'!DA12</f>
        <v>12</v>
      </c>
      <c r="DL95" s="57">
        <f>'2017'!DB12</f>
        <v>0</v>
      </c>
      <c r="DM95" s="57">
        <f>'2017'!DC12</f>
        <v>196</v>
      </c>
      <c r="DN95" s="57">
        <f>'2017'!DD12</f>
        <v>31</v>
      </c>
      <c r="DO95" s="58">
        <f>'2017'!DE12</f>
        <v>5.4</v>
      </c>
      <c r="DP95" s="58">
        <f>'2017'!DF12</f>
        <v>55.4</v>
      </c>
      <c r="DQ95" s="58">
        <f>'2017'!DG12</f>
        <v>3.26</v>
      </c>
      <c r="DR95" s="58">
        <f>'2017'!DH12</f>
        <v>36.4</v>
      </c>
      <c r="DS95" s="57">
        <f>'2017'!DI12</f>
        <v>106</v>
      </c>
      <c r="DT95" s="57">
        <f>'2017'!DJ12</f>
        <v>4134</v>
      </c>
      <c r="DU95" s="57">
        <f>'2017'!DK12</f>
        <v>10</v>
      </c>
      <c r="DV95" s="57">
        <f>'2017'!DL12</f>
        <v>0</v>
      </c>
      <c r="DW95" s="59">
        <f>'2017'!DM12</f>
        <v>0</v>
      </c>
    </row>
    <row r="96" spans="1:127" ht="15.75" customHeight="1" x14ac:dyDescent="0.2">
      <c r="A96" s="33">
        <f t="shared" si="12"/>
        <v>94</v>
      </c>
      <c r="B96" s="11">
        <f>'2019'!A11</f>
        <v>9</v>
      </c>
      <c r="C96" s="11">
        <v>2019</v>
      </c>
      <c r="D96" s="34" t="str">
        <f>'2019'!B11</f>
        <v>Benny Snell Jr.</v>
      </c>
      <c r="E96" s="224" t="str" cm="1">
        <f t="array" ref="E96">_xlfn.IFS(F96&gt;=13,"Cornerstone",AND(F96&gt;=12,F96&lt;13),"Elite",AND(F96&gt;=11,F96&lt;12),"Elite Upside",AND(F96&gt;=9,F96&lt;11),"Upside",AND(F96&gt;=7,F96&lt;9),"Upside Lite",AND(F96&gt;=6,F96&lt;7),"Outlier",AND(F96&gt;=5,F96&lt;6),"Outlier Lite",F96&lt;5,"Purgatory")</f>
        <v>Upside Lite</v>
      </c>
      <c r="F96" s="14">
        <f>'2019'!C11</f>
        <v>8.25</v>
      </c>
      <c r="G96" s="14">
        <f t="shared" si="19"/>
        <v>71.2</v>
      </c>
      <c r="H96" s="35">
        <f t="shared" si="13"/>
        <v>0.10478609545051715</v>
      </c>
      <c r="I96" s="36" t="str">
        <f>'2019'!D11</f>
        <v>Kentucky</v>
      </c>
      <c r="J96" s="37">
        <f>'2019'!E11</f>
        <v>1</v>
      </c>
      <c r="K96" s="38">
        <f>'2019'!F11</f>
        <v>35853</v>
      </c>
      <c r="L96" s="39">
        <f>'2019'!G11</f>
        <v>27.6</v>
      </c>
      <c r="M96" s="39" t="str">
        <f>'2019'!H11</f>
        <v>JR</v>
      </c>
      <c r="N96" s="39">
        <f>'2019'!I11</f>
        <v>21.169863013698631</v>
      </c>
      <c r="O96" s="39" t="str">
        <f t="shared" si="14"/>
        <v>BELL CALF</v>
      </c>
      <c r="P96" s="39" t="str">
        <f t="shared" si="17"/>
        <v>HORSE</v>
      </c>
      <c r="Q96" s="37">
        <f>'2019'!J11</f>
        <v>70</v>
      </c>
      <c r="R96" s="37">
        <f>'2019'!K11</f>
        <v>224</v>
      </c>
      <c r="S96" s="39">
        <f t="shared" si="18"/>
        <v>32.14029742345199</v>
      </c>
      <c r="T96" s="37">
        <f>'2019'!L11</f>
        <v>4.66</v>
      </c>
      <c r="U96" s="40">
        <f>'2019'!M11</f>
        <v>4</v>
      </c>
      <c r="V96" s="41">
        <f>'2019'!N11</f>
        <v>0</v>
      </c>
      <c r="W96" s="42">
        <f>'2019'!O11</f>
        <v>0</v>
      </c>
      <c r="X96" s="42">
        <f>'2019'!P11</f>
        <v>0.2066630056745378</v>
      </c>
      <c r="Y96" s="42">
        <f>'2019'!Q11</f>
        <v>0.30892700087950747</v>
      </c>
      <c r="Z96" s="42">
        <f>'2019'!R11</f>
        <v>0.33169899808143255</v>
      </c>
      <c r="AA96" s="42">
        <f>'2019'!S11</f>
        <v>0.33169899808143255</v>
      </c>
      <c r="AB96" s="42">
        <f>'2019'!T11</f>
        <v>0.33169899808143255</v>
      </c>
      <c r="AC96" s="42">
        <f>'2019'!U11</f>
        <v>2.902698282910875E-2</v>
      </c>
      <c r="AD96" s="42">
        <f>'2019'!V11</f>
        <v>5.0023820867079564E-2</v>
      </c>
      <c r="AE96" s="42">
        <f>'2019'!W11</f>
        <v>5.0023820867079564E-2</v>
      </c>
      <c r="AF96" s="43">
        <f>'2019'!X11</f>
        <v>5.0023820867079564E-2</v>
      </c>
      <c r="AG96" s="44">
        <f>'2019'!Y11</f>
        <v>18.523287671232875</v>
      </c>
      <c r="AH96" s="45">
        <f>'2019'!Z11</f>
        <v>95.002349783030098</v>
      </c>
      <c r="AI96" s="45">
        <f>'2019'!AA11</f>
        <v>32.137142857142855</v>
      </c>
      <c r="AJ96" s="45">
        <f>'2019'!AB11</f>
        <v>0.23655913978494625</v>
      </c>
      <c r="AK96" s="45">
        <f>'2019'!AC11</f>
        <v>5.9</v>
      </c>
      <c r="AL96" s="45">
        <f t="shared" si="15"/>
        <v>7.4137931034482758</v>
      </c>
      <c r="AM96" s="45">
        <f t="shared" si="16"/>
        <v>5.5737704918032788E-2</v>
      </c>
      <c r="AN96" s="45">
        <f>'2019'!AD11</f>
        <v>94.5</v>
      </c>
      <c r="AO96" s="45">
        <f>'2019'!AE11</f>
        <v>4.04</v>
      </c>
      <c r="AP96" s="46">
        <f>'2019'!AF11</f>
        <v>39</v>
      </c>
      <c r="AQ96" s="47">
        <f>'2019'!AG11</f>
        <v>9</v>
      </c>
      <c r="AR96" s="48">
        <f>'2019'!AH11</f>
        <v>5</v>
      </c>
      <c r="AS96" s="48">
        <f>'2019'!AI11</f>
        <v>9</v>
      </c>
      <c r="AT96" s="48">
        <f>IF(AH96&gt;113.25,10,IF(AH96&gt;=107.84,9,IF(AH96&gt;=105.37,8,IF(AH96&gt;=103.25,7,IF(AH96&gt;=100.55,6,IF(AH96&gt;=98.75,5,IF(AH96&gt;=96.08,4,IF(AH96&gt;=94.39,3,IF(AH96&gt;=88.43,2,IF(AH96&gt;=85.16,1,IF(AH96&lt;85.16,0,FALSE)))))))))))</f>
        <v>3</v>
      </c>
      <c r="AU96" s="48">
        <f>'2019'!AK11</f>
        <v>5</v>
      </c>
      <c r="AV96" s="48">
        <f>'2019'!AL11</f>
        <v>4</v>
      </c>
      <c r="AW96" s="48">
        <f>'2019'!AM11</f>
        <v>3</v>
      </c>
      <c r="AX96" s="48">
        <f>'2019'!AN11</f>
        <v>5</v>
      </c>
      <c r="AY96" s="49">
        <f>IF(U96=1,10,IF(U96=2,7,IF(U96=3,6,IF(U96=4,4,IF(U96=5,3,IF(U96=6,2,IF(U96=7,1,IF(U96=0,0,"-"))))))))</f>
        <v>4</v>
      </c>
      <c r="AZ96" s="50">
        <f>'2019'!AP11</f>
        <v>0</v>
      </c>
      <c r="BA96" s="56">
        <f>'2019'!AQ11</f>
        <v>0</v>
      </c>
      <c r="BB96" s="57">
        <f>'2019'!AR11</f>
        <v>1840</v>
      </c>
      <c r="BC96" s="57">
        <f>'2019'!AS11</f>
        <v>0</v>
      </c>
      <c r="BD96" s="57">
        <f>'2019'!AT11</f>
        <v>21</v>
      </c>
      <c r="BE96" s="57">
        <f>'2019'!AU11</f>
        <v>0</v>
      </c>
      <c r="BF96" s="57">
        <f>'2019'!AV11</f>
        <v>0</v>
      </c>
      <c r="BG96" s="58">
        <f>'2019'!AW11</f>
        <v>0</v>
      </c>
      <c r="BH96" s="58">
        <f>'2019'!AX11</f>
        <v>0</v>
      </c>
      <c r="BI96" s="58">
        <f>'2019'!AY11</f>
        <v>0</v>
      </c>
      <c r="BJ96" s="58">
        <f>'2019'!AZ11</f>
        <v>0</v>
      </c>
      <c r="BK96" s="57">
        <f>'2019'!BA11</f>
        <v>0</v>
      </c>
      <c r="BL96" s="57">
        <f>'2019'!BB11</f>
        <v>2774</v>
      </c>
      <c r="BM96" s="57">
        <f>'2019'!BC11</f>
        <v>0</v>
      </c>
      <c r="BN96" s="57">
        <f>'2019'!BD11</f>
        <v>0</v>
      </c>
      <c r="BO96" s="59">
        <f>'2019'!BE11</f>
        <v>14</v>
      </c>
      <c r="BP96" s="56">
        <f>'2019'!BF11</f>
        <v>0</v>
      </c>
      <c r="BQ96" s="57">
        <f>'2019'!BG11</f>
        <v>1952</v>
      </c>
      <c r="BR96" s="57">
        <f>'2019'!BH11</f>
        <v>0</v>
      </c>
      <c r="BS96" s="57">
        <f>'2019'!BI11</f>
        <v>22</v>
      </c>
      <c r="BT96" s="57">
        <f>'2019'!BJ11</f>
        <v>0</v>
      </c>
      <c r="BU96" s="57">
        <f>'2019'!BK11</f>
        <v>0</v>
      </c>
      <c r="BV96" s="58">
        <f>'2019'!BL11</f>
        <v>0</v>
      </c>
      <c r="BW96" s="58">
        <f>'2019'!BM11</f>
        <v>0</v>
      </c>
      <c r="BX96" s="58">
        <f>'2019'!BN11</f>
        <v>0</v>
      </c>
      <c r="BY96" s="58">
        <f>'2019'!BO11</f>
        <v>0</v>
      </c>
      <c r="BZ96" s="57">
        <f>'2019'!BP11</f>
        <v>0</v>
      </c>
      <c r="CA96" s="57">
        <f>'2019'!BQ11</f>
        <v>2512</v>
      </c>
      <c r="CB96" s="57">
        <f>'2019'!BR11</f>
        <v>0</v>
      </c>
      <c r="CC96" s="57">
        <f>'2019'!BS11</f>
        <v>0</v>
      </c>
      <c r="CD96" s="59">
        <f>'2019'!BT11</f>
        <v>10</v>
      </c>
      <c r="CE96" s="56">
        <f>'2019'!BU11</f>
        <v>1090</v>
      </c>
      <c r="CF96" s="57">
        <f>'2019'!BV11</f>
        <v>3044</v>
      </c>
      <c r="CG96" s="57">
        <f>'2019'!BW11</f>
        <v>13</v>
      </c>
      <c r="CH96" s="57">
        <f>'2019'!BX11</f>
        <v>30</v>
      </c>
      <c r="CI96" s="57">
        <f>'2019'!BY11</f>
        <v>186</v>
      </c>
      <c r="CJ96" s="57">
        <f>'2019'!BZ11</f>
        <v>44</v>
      </c>
      <c r="CK96" s="58">
        <f>'2019'!CA11</f>
        <v>5.9</v>
      </c>
      <c r="CL96" s="58">
        <f>'2019'!CB11</f>
        <v>94.5</v>
      </c>
      <c r="CM96" s="58">
        <f>'2019'!CC11</f>
        <v>4.04</v>
      </c>
      <c r="CN96" s="58">
        <f>'2019'!CD11</f>
        <v>39</v>
      </c>
      <c r="CO96" s="57">
        <f>'2019'!CE11</f>
        <v>39</v>
      </c>
      <c r="CP96" s="57">
        <f>'2019'!CF11</f>
        <v>2419</v>
      </c>
      <c r="CQ96" s="57">
        <f>'2019'!CG11</f>
        <v>2</v>
      </c>
      <c r="CR96" s="57">
        <f>'2019'!CH11</f>
        <v>0</v>
      </c>
      <c r="CS96" s="59">
        <f>'2019'!CI11</f>
        <v>17</v>
      </c>
      <c r="CT96" s="56">
        <f>'2019'!CJ11</f>
        <v>1334</v>
      </c>
      <c r="CU96" s="57">
        <f>'2019'!CK11</f>
        <v>2102</v>
      </c>
      <c r="CV96" s="57">
        <f>'2019'!CL11</f>
        <v>19</v>
      </c>
      <c r="CW96" s="57">
        <f>'2019'!CM11</f>
        <v>27</v>
      </c>
      <c r="CX96" s="57">
        <f>'2019'!CN11</f>
        <v>264</v>
      </c>
      <c r="CY96" s="57">
        <f>'2019'!CO11</f>
        <v>44</v>
      </c>
      <c r="CZ96" s="58">
        <f>'2019'!CP11</f>
        <v>5.0999999999999996</v>
      </c>
      <c r="DA96" s="58">
        <f>'2019'!CQ11</f>
        <v>54</v>
      </c>
      <c r="DB96" s="58">
        <f>'2019'!CR11</f>
        <v>3.36</v>
      </c>
      <c r="DC96" s="58">
        <f>'2019'!CS11</f>
        <v>34.200000000000003</v>
      </c>
      <c r="DD96" s="57">
        <f>'2019'!CT11</f>
        <v>71</v>
      </c>
      <c r="DE96" s="57">
        <f>'2019'!CU11</f>
        <v>2446</v>
      </c>
      <c r="DF96" s="57">
        <f>'2019'!CV11</f>
        <v>10</v>
      </c>
      <c r="DG96" s="57">
        <f>'2019'!CW11</f>
        <v>0</v>
      </c>
      <c r="DH96" s="59">
        <f>'2019'!CX11</f>
        <v>10</v>
      </c>
      <c r="DI96" s="56">
        <f>'2019'!CY11</f>
        <v>1451</v>
      </c>
      <c r="DJ96" s="57">
        <f>'2019'!CZ11</f>
        <v>2592</v>
      </c>
      <c r="DK96" s="57">
        <f>'2019'!DA11</f>
        <v>16</v>
      </c>
      <c r="DL96" s="57">
        <f>'2019'!DB11</f>
        <v>27</v>
      </c>
      <c r="DM96" s="57">
        <f>'2019'!DC11</f>
        <v>288</v>
      </c>
      <c r="DN96" s="57">
        <f>'2019'!DD11</f>
        <v>46</v>
      </c>
      <c r="DO96" s="58">
        <f>'2019'!DE11</f>
        <v>5</v>
      </c>
      <c r="DP96" s="58">
        <f>'2019'!DF11</f>
        <v>52.9</v>
      </c>
      <c r="DQ96" s="58">
        <f>'2019'!DG11</f>
        <v>3.23</v>
      </c>
      <c r="DR96" s="58">
        <f>'2019'!DH11</f>
        <v>29.5</v>
      </c>
      <c r="DS96" s="57">
        <f>'2019'!DI11</f>
        <v>105</v>
      </c>
      <c r="DT96" s="57">
        <f>'2019'!DJ11</f>
        <v>2099</v>
      </c>
      <c r="DU96" s="57">
        <f>'2019'!DK11</f>
        <v>17</v>
      </c>
      <c r="DV96" s="57">
        <f>'2019'!DL11</f>
        <v>0</v>
      </c>
      <c r="DW96" s="59">
        <f>'2019'!DM11</f>
        <v>14</v>
      </c>
    </row>
    <row r="97" spans="1:127" ht="15.75" customHeight="1" x14ac:dyDescent="0.2">
      <c r="A97" s="33">
        <f t="shared" si="12"/>
        <v>95</v>
      </c>
      <c r="B97" s="11">
        <f>'2025'!A16</f>
        <v>14</v>
      </c>
      <c r="C97" s="11">
        <v>2025</v>
      </c>
      <c r="D97" s="34" t="str">
        <f>'2025'!B16</f>
        <v>Devin Neal</v>
      </c>
      <c r="E97" s="224" t="str" cm="1">
        <f t="array" ref="E97">_xlfn.IFS(F97&gt;=13,"Cornerstone",AND(F97&gt;=12,F97&lt;13),"Elite",AND(F97&gt;=11,F97&lt;12),"Elite Upside",AND(F97&gt;=9,F97&lt;11),"Upside",AND(F97&gt;=7,F97&lt;9),"Upside Lite",AND(F97&gt;=6,F97&lt;7),"Outlier",AND(F97&gt;=5,F97&lt;6),"Outlier Lite",F97&lt;5,"Purgatory")</f>
        <v>Upside Lite</v>
      </c>
      <c r="F97" s="14">
        <f>'2025'!C16</f>
        <v>8.2166666666666668</v>
      </c>
      <c r="G97" s="14">
        <f t="shared" si="19"/>
        <v>70.899999999999991</v>
      </c>
      <c r="H97" s="35">
        <f t="shared" si="13"/>
        <v>9.0678593309195879E-2</v>
      </c>
      <c r="I97" s="36" t="str">
        <f>'2025'!D16</f>
        <v>Kansas</v>
      </c>
      <c r="J97" s="37">
        <f>'2025'!E16</f>
        <v>3</v>
      </c>
      <c r="K97" s="38">
        <f>'2025'!F16</f>
        <v>37845</v>
      </c>
      <c r="L97" s="39">
        <f>'2025'!G16</f>
        <v>22.142465753424659</v>
      </c>
      <c r="M97" s="39" t="str">
        <f>'2025'!H16</f>
        <v>JR</v>
      </c>
      <c r="N97" s="39">
        <f>'2025'!I16</f>
        <v>21.723287671232878</v>
      </c>
      <c r="O97" s="39" t="str">
        <f t="shared" si="14"/>
        <v>BELL COW</v>
      </c>
      <c r="P97" s="39" t="str">
        <f t="shared" si="17"/>
        <v>SLASHER</v>
      </c>
      <c r="Q97" s="37">
        <f>'2025'!J16</f>
        <v>71</v>
      </c>
      <c r="R97" s="37">
        <f>'2025'!K16</f>
        <v>213</v>
      </c>
      <c r="S97" s="39">
        <f t="shared" si="18"/>
        <v>29.707141104423055</v>
      </c>
      <c r="T97" s="37">
        <f>'2025'!L16</f>
        <v>4.58</v>
      </c>
      <c r="U97" s="40">
        <f>'2025'!M16</f>
        <v>6</v>
      </c>
      <c r="V97" s="41">
        <f>'2025'!N16</f>
        <v>0</v>
      </c>
      <c r="W97" s="42">
        <f>'2025'!O16</f>
        <v>0.21236274455158574</v>
      </c>
      <c r="X97" s="42">
        <f>'2025'!P16</f>
        <v>0.22378897891893787</v>
      </c>
      <c r="Y97" s="42">
        <f>'2025'!Q16</f>
        <v>0.26318484383000512</v>
      </c>
      <c r="Z97" s="42">
        <f>'2025'!R16</f>
        <v>0.30301828421845872</v>
      </c>
      <c r="AA97" s="42">
        <f>'2025'!S16</f>
        <v>0.30301828421845872</v>
      </c>
      <c r="AB97" s="42">
        <f>'2025'!T16</f>
        <v>0.27271645579661286</v>
      </c>
      <c r="AC97" s="42">
        <f>'2025'!U16</f>
        <v>9.4201874617304893E-2</v>
      </c>
      <c r="AD97" s="42">
        <f>'2025'!V16</f>
        <v>0.10616219667943805</v>
      </c>
      <c r="AE97" s="42">
        <f>'2025'!W16</f>
        <v>0.10616219667943805</v>
      </c>
      <c r="AF97" s="43">
        <f>'2025'!X16</f>
        <v>9.554597701149424E-2</v>
      </c>
      <c r="AG97" s="44">
        <f>'2025'!Y16</f>
        <v>18.065753424657533</v>
      </c>
      <c r="AH97" s="45">
        <f>'2025'!Z16</f>
        <v>96.816122944114213</v>
      </c>
      <c r="AI97" s="45">
        <f>'2025'!AA16</f>
        <v>29.704225352112676</v>
      </c>
      <c r="AJ97" s="45">
        <f>'2025'!AB16</f>
        <v>0.29556650246305421</v>
      </c>
      <c r="AK97" s="45">
        <f>'2025'!AC16</f>
        <v>5.7889908256880735</v>
      </c>
      <c r="AL97" s="45">
        <f t="shared" si="15"/>
        <v>9.413333333333334</v>
      </c>
      <c r="AM97" s="45">
        <f t="shared" si="16"/>
        <v>0.10655737704918032</v>
      </c>
      <c r="AN97" s="45">
        <f>'2025'!AD16</f>
        <v>106.3</v>
      </c>
      <c r="AO97" s="45">
        <f>'2025'!AE16</f>
        <v>3.73</v>
      </c>
      <c r="AP97" s="46">
        <f>'2025'!AF16</f>
        <v>48</v>
      </c>
      <c r="AQ97" s="47">
        <f>'2025'!AG16</f>
        <v>7</v>
      </c>
      <c r="AR97" s="48">
        <f>'2025'!AH16</f>
        <v>9</v>
      </c>
      <c r="AS97" s="48">
        <f>'2025'!AI16</f>
        <v>10</v>
      </c>
      <c r="AT97" s="48">
        <f>'2025'!AJ16</f>
        <v>4</v>
      </c>
      <c r="AU97" s="48">
        <f>'2025'!AK16</f>
        <v>8</v>
      </c>
      <c r="AV97" s="48">
        <f>'2025'!AL16</f>
        <v>3</v>
      </c>
      <c r="AW97" s="48">
        <f>'2025'!AM16</f>
        <v>5</v>
      </c>
      <c r="AX97" s="48">
        <f>'2025'!AN16</f>
        <v>3</v>
      </c>
      <c r="AY97" s="49">
        <f>'2025'!AO16</f>
        <v>2</v>
      </c>
      <c r="AZ97" s="50">
        <f>'2025'!AP16</f>
        <v>0</v>
      </c>
      <c r="BA97" s="56">
        <f>'2025'!AQ16</f>
        <v>0</v>
      </c>
      <c r="BB97" s="57">
        <f>'2025'!AR16</f>
        <v>1</v>
      </c>
      <c r="BC97" s="57">
        <f>'2025'!AS16</f>
        <v>0</v>
      </c>
      <c r="BD97" s="57">
        <f>'2025'!AT16</f>
        <v>0</v>
      </c>
      <c r="BE97" s="57">
        <f>'2025'!AU16</f>
        <v>0</v>
      </c>
      <c r="BF97" s="57">
        <f>'2025'!AV16</f>
        <v>0</v>
      </c>
      <c r="BG97" s="58">
        <f>'2025'!AW16</f>
        <v>0</v>
      </c>
      <c r="BH97" s="58">
        <f>'2025'!AX16</f>
        <v>0</v>
      </c>
      <c r="BI97" s="58">
        <f>'2025'!AY16</f>
        <v>0</v>
      </c>
      <c r="BJ97" s="58">
        <f>'2025'!AZ16</f>
        <v>0</v>
      </c>
      <c r="BK97" s="57">
        <f>'2025'!BA16</f>
        <v>0</v>
      </c>
      <c r="BL97" s="57">
        <f>'2025'!BB16</f>
        <v>1</v>
      </c>
      <c r="BM97" s="57">
        <f>'2025'!BC16</f>
        <v>0</v>
      </c>
      <c r="BN97" s="57">
        <f>'2025'!BD16</f>
        <v>0</v>
      </c>
      <c r="BO97" s="59">
        <f>'2025'!BE16</f>
        <v>0</v>
      </c>
      <c r="BP97" s="56">
        <f>'2025'!BF16</f>
        <v>705</v>
      </c>
      <c r="BQ97" s="57">
        <f>'2025'!BG16</f>
        <v>1555.4</v>
      </c>
      <c r="BR97" s="57">
        <f>'2025'!BH16</f>
        <v>8</v>
      </c>
      <c r="BS97" s="57">
        <f>'2025'!BI16</f>
        <v>14.3</v>
      </c>
      <c r="BT97" s="57">
        <f>'2025'!BJ16</f>
        <v>159</v>
      </c>
      <c r="BU97" s="57">
        <f>'2025'!BK16</f>
        <v>27</v>
      </c>
      <c r="BV97" s="58">
        <f>'2025'!BL16</f>
        <v>4.4339622641509431</v>
      </c>
      <c r="BW97" s="58">
        <f>'2025'!BM16</f>
        <v>51.4</v>
      </c>
      <c r="BX97" s="58">
        <f>'2025'!BN16</f>
        <v>2.94</v>
      </c>
      <c r="BY97" s="58">
        <f>'2025'!BO16</f>
        <v>31.1</v>
      </c>
      <c r="BZ97" s="57">
        <f>'2025'!BP16</f>
        <v>57</v>
      </c>
      <c r="CA97" s="57">
        <f>'2025'!BQ16</f>
        <v>2032.8000000000002</v>
      </c>
      <c r="CB97" s="57">
        <f>'2025'!BR16</f>
        <v>7</v>
      </c>
      <c r="CC97" s="57">
        <f>'2025'!BS16</f>
        <v>1</v>
      </c>
      <c r="CD97" s="59">
        <f>'2025'!BT16</f>
        <v>14.3</v>
      </c>
      <c r="CE97" s="56">
        <f>'2025'!BU16</f>
        <v>1093</v>
      </c>
      <c r="CF97" s="57">
        <f>'2025'!BV16</f>
        <v>2394.6</v>
      </c>
      <c r="CG97" s="57">
        <f>'2025'!BW16</f>
        <v>9</v>
      </c>
      <c r="CH97" s="57">
        <f>'2025'!BX16</f>
        <v>28.6</v>
      </c>
      <c r="CI97" s="57">
        <f>'2025'!BY16</f>
        <v>179</v>
      </c>
      <c r="CJ97" s="57">
        <f>'2025'!BZ16</f>
        <v>38</v>
      </c>
      <c r="CK97" s="58">
        <f>'2025'!CA16</f>
        <v>6.1061452513966481</v>
      </c>
      <c r="CL97" s="58">
        <f>'2025'!CB16</f>
        <v>69.099999999999994</v>
      </c>
      <c r="CM97" s="58">
        <f>'2025'!CC16</f>
        <v>2.88</v>
      </c>
      <c r="CN97" s="58">
        <f>'2025'!CD16</f>
        <v>48</v>
      </c>
      <c r="CO97" s="57">
        <f>'2025'!CE16</f>
        <v>183</v>
      </c>
      <c r="CP97" s="57">
        <f>'2025'!CF16</f>
        <v>3307.2000000000003</v>
      </c>
      <c r="CQ97" s="57">
        <f>'2025'!CG16</f>
        <v>21</v>
      </c>
      <c r="CR97" s="57">
        <f>'2025'!CH16</f>
        <v>1</v>
      </c>
      <c r="CS97" s="59">
        <f>'2025'!CI16</f>
        <v>32.5</v>
      </c>
      <c r="CT97" s="56">
        <f>'2025'!CJ16</f>
        <v>828</v>
      </c>
      <c r="CU97" s="57">
        <f>'2025'!CK16</f>
        <v>1782.8999999999999</v>
      </c>
      <c r="CV97" s="57">
        <f>'2025'!CL16</f>
        <v>9</v>
      </c>
      <c r="CW97" s="57">
        <f>'2025'!CM16</f>
        <v>21.599999999999998</v>
      </c>
      <c r="CX97" s="57">
        <f>'2025'!CN16</f>
        <v>203</v>
      </c>
      <c r="CY97" s="57">
        <f>'2025'!CO16</f>
        <v>60</v>
      </c>
      <c r="CZ97" s="58">
        <f>'2025'!CP16</f>
        <v>4.0788177339901477</v>
      </c>
      <c r="DA97" s="58">
        <f>'2025'!CQ16</f>
        <v>106.3</v>
      </c>
      <c r="DB97" s="58">
        <f>'2025'!CR16</f>
        <v>3.59</v>
      </c>
      <c r="DC97" s="58">
        <f>'2025'!CS16</f>
        <v>46</v>
      </c>
      <c r="DD97" s="57">
        <f>'2025'!CT16</f>
        <v>200</v>
      </c>
      <c r="DE97" s="57">
        <f>'2025'!CU16</f>
        <v>2123.1</v>
      </c>
      <c r="DF97" s="57">
        <f>'2025'!CV16</f>
        <v>21</v>
      </c>
      <c r="DG97" s="57">
        <f>'2025'!CW16</f>
        <v>1</v>
      </c>
      <c r="DH97" s="59">
        <f>'2025'!CX16</f>
        <v>9</v>
      </c>
      <c r="DI97" s="56">
        <f>'2025'!CY16</f>
        <v>1262</v>
      </c>
      <c r="DJ97" s="57">
        <f>'2025'!CZ16</f>
        <v>2537</v>
      </c>
      <c r="DK97" s="57">
        <f>'2025'!DA16</f>
        <v>16</v>
      </c>
      <c r="DL97" s="57">
        <f>'2025'!DB16</f>
        <v>28.799999999999997</v>
      </c>
      <c r="DM97" s="57">
        <f>'2025'!DC16</f>
        <v>218</v>
      </c>
      <c r="DN97" s="57">
        <f>'2025'!DD16</f>
        <v>46</v>
      </c>
      <c r="DO97" s="58">
        <f>'2025'!DE16</f>
        <v>5.7889908256880735</v>
      </c>
      <c r="DP97" s="58">
        <f>'2025'!DF16</f>
        <v>84.2</v>
      </c>
      <c r="DQ97" s="58">
        <f>'2025'!DG16</f>
        <v>3.73</v>
      </c>
      <c r="DR97" s="58">
        <f>'2025'!DH16</f>
        <v>37.1</v>
      </c>
      <c r="DS97" s="57">
        <f>'2025'!DI16</f>
        <v>266</v>
      </c>
      <c r="DT97" s="57">
        <f>'2025'!DJ16</f>
        <v>2505.6000000000004</v>
      </c>
      <c r="DU97" s="57">
        <f>'2025'!DK16</f>
        <v>26</v>
      </c>
      <c r="DV97" s="57">
        <f>'2025'!DL16</f>
        <v>1</v>
      </c>
      <c r="DW97" s="59">
        <f>'2025'!DM16</f>
        <v>15.600000000000001</v>
      </c>
    </row>
    <row r="98" spans="1:127" ht="15.75" customHeight="1" x14ac:dyDescent="0.2">
      <c r="A98" s="33">
        <f t="shared" si="12"/>
        <v>96</v>
      </c>
      <c r="B98" s="11">
        <f>'2022'!A8</f>
        <v>6</v>
      </c>
      <c r="C98" s="11">
        <v>2022</v>
      </c>
      <c r="D98" s="34" t="str">
        <f>'2022'!B8</f>
        <v>Brian Robinson Jr.</v>
      </c>
      <c r="E98" s="224" t="str" cm="1">
        <f t="array" ref="E98">_xlfn.IFS(F98&gt;=13,"Cornerstone",AND(F98&gt;=12,F98&lt;13),"Elite",AND(F98&gt;=11,F98&lt;12),"Elite Upside",AND(F98&gt;=9,F98&lt;11),"Upside",AND(F98&gt;=7,F98&lt;9),"Upside Lite",AND(F98&gt;=6,F98&lt;7),"Outlier",AND(F98&gt;=5,F98&lt;6),"Outlier Lite",F98&lt;5,"Purgatory")</f>
        <v>Upside Lite</v>
      </c>
      <c r="F98" s="14">
        <f>'2022'!C8</f>
        <v>8.216666666666665</v>
      </c>
      <c r="G98" s="14">
        <f t="shared" si="19"/>
        <v>70.599999999999994</v>
      </c>
      <c r="H98" s="35">
        <f t="shared" si="13"/>
        <v>9.0678593309195116E-2</v>
      </c>
      <c r="I98" s="36" t="str">
        <f>'2022'!D8</f>
        <v>Alabama</v>
      </c>
      <c r="J98" s="37">
        <f>'2022'!E8</f>
        <v>1</v>
      </c>
      <c r="K98" s="38">
        <f>'2022'!F8</f>
        <v>36241</v>
      </c>
      <c r="L98" s="39">
        <f>'2022'!G8</f>
        <v>26.536986301369861</v>
      </c>
      <c r="M98" s="39" t="str">
        <f>'2022'!H8</f>
        <v>RS SR</v>
      </c>
      <c r="N98" s="39">
        <f>'2022'!I8</f>
        <v>23.117808219178084</v>
      </c>
      <c r="O98" s="39" t="str">
        <f t="shared" si="14"/>
        <v>BRUISER</v>
      </c>
      <c r="P98" s="39" t="str">
        <f t="shared" si="17"/>
        <v>3DOWN</v>
      </c>
      <c r="Q98" s="37">
        <f>'2022'!J8</f>
        <v>74</v>
      </c>
      <c r="R98" s="37">
        <f>'2022'!K8</f>
        <v>225</v>
      </c>
      <c r="S98" s="39">
        <f t="shared" si="18"/>
        <v>28.887970485948276</v>
      </c>
      <c r="T98" s="37">
        <f>'2022'!L8</f>
        <v>4.53</v>
      </c>
      <c r="U98" s="40">
        <f>'2022'!M8</f>
        <v>3</v>
      </c>
      <c r="V98" s="41">
        <f>'2022'!N8</f>
        <v>2.654013189641306E-2</v>
      </c>
      <c r="W98" s="42">
        <f>'2022'!O8</f>
        <v>3.4738186462324391E-2</v>
      </c>
      <c r="X98" s="42">
        <f>'2022'!P8</f>
        <v>8.4939759036144577E-2</v>
      </c>
      <c r="Y98" s="42">
        <f>'2022'!Q8</f>
        <v>7.214884249396393E-2</v>
      </c>
      <c r="Z98" s="42">
        <f>'2022'!R8</f>
        <v>0.22381537621193501</v>
      </c>
      <c r="AA98" s="42">
        <f>'2022'!S8</f>
        <v>0.22381537621193501</v>
      </c>
      <c r="AB98" s="42">
        <f>'2022'!T8</f>
        <v>0.22381537621193501</v>
      </c>
      <c r="AC98" s="42">
        <f>'2022'!U8</f>
        <v>5.5841924398625431E-3</v>
      </c>
      <c r="AD98" s="42">
        <f>'2022'!V8</f>
        <v>5.8348117484723044E-2</v>
      </c>
      <c r="AE98" s="42">
        <f>'2022'!W8</f>
        <v>5.8348117484723044E-2</v>
      </c>
      <c r="AF98" s="43">
        <f>'2022'!X8</f>
        <v>5.8348117484723044E-2</v>
      </c>
      <c r="AG98" s="44">
        <f>'2022'!Y8</f>
        <v>22.471232876712328</v>
      </c>
      <c r="AH98" s="45">
        <f>'2022'!Z8</f>
        <v>106.86111607764175</v>
      </c>
      <c r="AI98" s="45">
        <f>'2022'!AA8</f>
        <v>28.885135135135133</v>
      </c>
      <c r="AJ98" s="45">
        <f>'2022'!AB8</f>
        <v>0.29151291512915128</v>
      </c>
      <c r="AK98" s="45">
        <f>'2022'!AC8</f>
        <v>5.3</v>
      </c>
      <c r="AL98" s="45">
        <f t="shared" si="15"/>
        <v>8.5769230769230766</v>
      </c>
      <c r="AM98" s="45">
        <f t="shared" si="16"/>
        <v>0.11437908496732026</v>
      </c>
      <c r="AN98" s="45">
        <f>'2022'!AD8</f>
        <v>100.3</v>
      </c>
      <c r="AO98" s="45">
        <f>'2022'!AE8</f>
        <v>4.05</v>
      </c>
      <c r="AP98" s="46">
        <f>'2022'!AF8</f>
        <v>34.299999999999997</v>
      </c>
      <c r="AQ98" s="47">
        <f>'2022'!AG8</f>
        <v>4</v>
      </c>
      <c r="AR98" s="48">
        <f>'2022'!AH8</f>
        <v>6</v>
      </c>
      <c r="AS98" s="48">
        <f>'2022'!AI8</f>
        <v>1</v>
      </c>
      <c r="AT98" s="48">
        <f>IF(AH98&gt;113.25,10,IF(AH98&gt;=107.84,9,IF(AH98&gt;=105.37,8,IF(AH98&gt;=103.25,7,IF(AH98&gt;=100.55,6,IF(AH98&gt;=98.75,5,IF(AH98&gt;=96.08,4,IF(AH98&gt;=94.39,3,IF(AH98&gt;=88.43,2,IF(AH98&gt;=85.16,1,IF(AH98&lt;85.16,0,FALSE)))))))))))</f>
        <v>8</v>
      </c>
      <c r="AU98" s="48">
        <f>'2022'!AK8</f>
        <v>8</v>
      </c>
      <c r="AV98" s="48">
        <f>'2022'!AL8</f>
        <v>2</v>
      </c>
      <c r="AW98" s="48">
        <f>'2022'!AM8</f>
        <v>4</v>
      </c>
      <c r="AX98" s="48">
        <f>'2022'!AN8</f>
        <v>5</v>
      </c>
      <c r="AY98" s="49">
        <f>IF(U98=1,10,IF(U98=2,7,IF(U98=3,6,IF(U98=4,4,IF(U98=5,3,IF(U98=6,2,IF(U98=7,1,IF(U98=0,0,"-"))))))))</f>
        <v>6</v>
      </c>
      <c r="AZ98" s="50">
        <f>'2022'!AP8</f>
        <v>1</v>
      </c>
      <c r="BA98" s="56">
        <f>'2022'!AQ8</f>
        <v>165</v>
      </c>
      <c r="BB98" s="57">
        <f>'2022'!AR8</f>
        <v>3509</v>
      </c>
      <c r="BC98" s="57">
        <f>'2022'!AS8</f>
        <v>2</v>
      </c>
      <c r="BD98" s="57">
        <f>'2022'!AT8</f>
        <v>36</v>
      </c>
      <c r="BE98" s="57">
        <f>'2022'!AU8</f>
        <v>24</v>
      </c>
      <c r="BF98" s="57">
        <f>'2022'!AV8</f>
        <v>6</v>
      </c>
      <c r="BG98" s="58">
        <f>'2022'!AW8</f>
        <v>6.9</v>
      </c>
      <c r="BH98" s="58">
        <f>'2022'!AX8</f>
        <v>111.5</v>
      </c>
      <c r="BI98" s="58">
        <f>'2022'!AY8</f>
        <v>4.46</v>
      </c>
      <c r="BJ98" s="58">
        <f>'2022'!AZ8</f>
        <v>19.399999999999999</v>
      </c>
      <c r="BK98" s="57">
        <f>'2022'!BA8</f>
        <v>0</v>
      </c>
      <c r="BL98" s="57">
        <f>'2022'!BB8</f>
        <v>2708</v>
      </c>
      <c r="BM98" s="57">
        <f>'2022'!BC8</f>
        <v>0</v>
      </c>
      <c r="BN98" s="57">
        <f>'2022'!BD8</f>
        <v>0</v>
      </c>
      <c r="BO98" s="59">
        <f>'2022'!BE8</f>
        <v>28</v>
      </c>
      <c r="BP98" s="56">
        <f>'2022'!BF8</f>
        <v>272</v>
      </c>
      <c r="BQ98" s="57">
        <f>'2022'!BG8</f>
        <v>2976</v>
      </c>
      <c r="BR98" s="57">
        <f>'2022'!BH8</f>
        <v>2</v>
      </c>
      <c r="BS98" s="57">
        <f>'2022'!BI8</f>
        <v>33</v>
      </c>
      <c r="BT98" s="57">
        <f>'2022'!BJ8</f>
        <v>63</v>
      </c>
      <c r="BU98" s="57">
        <f>'2022'!BK8</f>
        <v>10</v>
      </c>
      <c r="BV98" s="58">
        <f>'2022'!BL8</f>
        <v>4.3</v>
      </c>
      <c r="BW98" s="58">
        <f>'2022'!BM8</f>
        <v>48.9</v>
      </c>
      <c r="BX98" s="58">
        <f>'2022'!BN8</f>
        <v>3.08</v>
      </c>
      <c r="BY98" s="58">
        <f>'2022'!BO8</f>
        <v>13.2</v>
      </c>
      <c r="BZ98" s="57">
        <f>'2022'!BP8</f>
        <v>0</v>
      </c>
      <c r="CA98" s="57">
        <f>'2022'!BQ8</f>
        <v>4854</v>
      </c>
      <c r="CB98" s="57">
        <f>'2022'!BR8</f>
        <v>0</v>
      </c>
      <c r="CC98" s="57">
        <f>'2022'!BS8</f>
        <v>0</v>
      </c>
      <c r="CD98" s="59">
        <f>'2022'!BT8</f>
        <v>52</v>
      </c>
      <c r="CE98" s="56">
        <f>'2022'!BU8</f>
        <v>440</v>
      </c>
      <c r="CF98" s="57">
        <f>'2022'!BV8</f>
        <v>2191</v>
      </c>
      <c r="CG98" s="57">
        <f>'2022'!BW8</f>
        <v>5</v>
      </c>
      <c r="CH98" s="57">
        <f>'2022'!BX8</f>
        <v>27</v>
      </c>
      <c r="CI98" s="57">
        <f>'2022'!BY8</f>
        <v>96</v>
      </c>
      <c r="CJ98" s="57">
        <f>'2022'!BZ8</f>
        <v>18</v>
      </c>
      <c r="CK98" s="58">
        <f>'2022'!CA8</f>
        <v>4.5999999999999996</v>
      </c>
      <c r="CL98" s="58">
        <f>'2022'!CB8</f>
        <v>57.2</v>
      </c>
      <c r="CM98" s="58">
        <f>'2022'!CC8</f>
        <v>2.92</v>
      </c>
      <c r="CN98" s="58">
        <f>'2022'!CD8</f>
        <v>24.1</v>
      </c>
      <c r="CO98" s="57">
        <f>'2022'!CE8</f>
        <v>124</v>
      </c>
      <c r="CP98" s="57">
        <f>'2022'!CF8</f>
        <v>4449</v>
      </c>
      <c r="CQ98" s="57">
        <f>'2022'!CG8</f>
        <v>11</v>
      </c>
      <c r="CR98" s="57">
        <f>'2022'!CH8</f>
        <v>0</v>
      </c>
      <c r="CS98" s="59">
        <f>'2022'!CI8</f>
        <v>49</v>
      </c>
      <c r="CT98" s="56">
        <f>'2022'!CJ8</f>
        <v>482</v>
      </c>
      <c r="CU98" s="57">
        <f>'2022'!CK8</f>
        <v>2385</v>
      </c>
      <c r="CV98" s="57">
        <f>'2022'!CL8</f>
        <v>6</v>
      </c>
      <c r="CW98" s="57">
        <f>'2022'!CM8</f>
        <v>37</v>
      </c>
      <c r="CX98" s="57">
        <f>'2022'!CN8</f>
        <v>91</v>
      </c>
      <c r="CY98" s="57">
        <f>'2022'!CO8</f>
        <v>23</v>
      </c>
      <c r="CZ98" s="58">
        <f>'2022'!CP8</f>
        <v>5.3</v>
      </c>
      <c r="DA98" s="58">
        <f>'2022'!CQ8</f>
        <v>100.3</v>
      </c>
      <c r="DB98" s="58">
        <f>'2022'!CR8</f>
        <v>4.05</v>
      </c>
      <c r="DC98" s="58">
        <f>'2022'!CS8</f>
        <v>18</v>
      </c>
      <c r="DD98" s="57">
        <f>'2022'!CT8</f>
        <v>26</v>
      </c>
      <c r="DE98" s="57">
        <f>'2022'!CU8</f>
        <v>4656</v>
      </c>
      <c r="DF98" s="57">
        <f>'2022'!CV8</f>
        <v>6</v>
      </c>
      <c r="DG98" s="57">
        <f>'2022'!CW8</f>
        <v>0</v>
      </c>
      <c r="DH98" s="59">
        <f>'2022'!CX8</f>
        <v>42</v>
      </c>
      <c r="DI98" s="56">
        <f>'2022'!CY8</f>
        <v>1343</v>
      </c>
      <c r="DJ98" s="57">
        <f>'2022'!CZ8</f>
        <v>2250</v>
      </c>
      <c r="DK98" s="57">
        <f>'2022'!DA8</f>
        <v>14</v>
      </c>
      <c r="DL98" s="57">
        <f>'2022'!DB8</f>
        <v>21</v>
      </c>
      <c r="DM98" s="57">
        <f>'2022'!DC8</f>
        <v>271</v>
      </c>
      <c r="DN98" s="57">
        <f>'2022'!DD8</f>
        <v>79</v>
      </c>
      <c r="DO98" s="58">
        <f>'2022'!DE8</f>
        <v>5</v>
      </c>
      <c r="DP98" s="58">
        <f>'2022'!DF8</f>
        <v>92.4</v>
      </c>
      <c r="DQ98" s="58">
        <f>'2022'!DG8</f>
        <v>3.29</v>
      </c>
      <c r="DR98" s="58">
        <f>'2022'!DH8</f>
        <v>34.299999999999997</v>
      </c>
      <c r="DS98" s="57">
        <f>'2022'!DI8</f>
        <v>296</v>
      </c>
      <c r="DT98" s="57">
        <f>'2022'!DJ8</f>
        <v>5073</v>
      </c>
      <c r="DU98" s="57">
        <f>'2022'!DK8</f>
        <v>35</v>
      </c>
      <c r="DV98" s="57">
        <f>'2022'!DL8</f>
        <v>0</v>
      </c>
      <c r="DW98" s="59">
        <f>'2022'!DM8</f>
        <v>48</v>
      </c>
    </row>
    <row r="99" spans="1:127" ht="15.75" customHeight="1" x14ac:dyDescent="0.2">
      <c r="A99" s="33">
        <f t="shared" si="12"/>
        <v>97</v>
      </c>
      <c r="B99" s="11">
        <f>'2019'!A12</f>
        <v>10</v>
      </c>
      <c r="C99" s="11">
        <v>2019</v>
      </c>
      <c r="D99" s="34" t="str">
        <f>'2019'!B12</f>
        <v>Trayveon Williams</v>
      </c>
      <c r="E99" s="224" t="str" cm="1">
        <f t="array" ref="E99">_xlfn.IFS(F99&gt;=13,"Cornerstone",AND(F99&gt;=12,F99&lt;13),"Elite",AND(F99&gt;=11,F99&lt;12),"Elite Upside",AND(F99&gt;=9,F99&lt;11),"Upside",AND(F99&gt;=7,F99&lt;9),"Upside Lite",AND(F99&gt;=6,F99&lt;7),"Outlier",AND(F99&gt;=5,F99&lt;6),"Outlier Lite",F99&lt;5,"Purgatory")</f>
        <v>Upside Lite</v>
      </c>
      <c r="F99" s="14">
        <f>'2019'!C12</f>
        <v>8.2055555555555557</v>
      </c>
      <c r="G99" s="14">
        <f t="shared" si="19"/>
        <v>70.3</v>
      </c>
      <c r="H99" s="35">
        <f t="shared" si="13"/>
        <v>8.5976092595422118E-2</v>
      </c>
      <c r="I99" s="36" t="str">
        <f>'2019'!D12</f>
        <v>Texas A&amp;M</v>
      </c>
      <c r="J99" s="37">
        <f>'2019'!E12</f>
        <v>1</v>
      </c>
      <c r="K99" s="38">
        <f>'2019'!F12</f>
        <v>35721</v>
      </c>
      <c r="L99" s="39">
        <f>'2019'!G12</f>
        <v>27.961643835616439</v>
      </c>
      <c r="M99" s="39" t="str">
        <f>'2019'!H12</f>
        <v>JR</v>
      </c>
      <c r="N99" s="39">
        <f>'2019'!I12</f>
        <v>21.531506849315068</v>
      </c>
      <c r="O99" s="39" t="str">
        <f t="shared" si="14"/>
        <v>BELL CALF</v>
      </c>
      <c r="P99" s="39" t="str">
        <f t="shared" si="17"/>
        <v>SLASHER</v>
      </c>
      <c r="Q99" s="37">
        <f>'2019'!J12</f>
        <v>68</v>
      </c>
      <c r="R99" s="37">
        <f>'2019'!K12</f>
        <v>206</v>
      </c>
      <c r="S99" s="39">
        <f t="shared" si="18"/>
        <v>31.32184586168481</v>
      </c>
      <c r="T99" s="37">
        <f>'2019'!L12</f>
        <v>4.51</v>
      </c>
      <c r="U99" s="40">
        <f>'2019'!M12</f>
        <v>6</v>
      </c>
      <c r="V99" s="41">
        <f>'2019'!N12</f>
        <v>0</v>
      </c>
      <c r="W99" s="42">
        <f>'2019'!O12</f>
        <v>0</v>
      </c>
      <c r="X99" s="42">
        <f>'2019'!P12</f>
        <v>0.18876626585406028</v>
      </c>
      <c r="Y99" s="42">
        <f>'2019'!Q12</f>
        <v>0.18737001323501606</v>
      </c>
      <c r="Z99" s="42">
        <f>'2019'!R12</f>
        <v>0.33240906866742781</v>
      </c>
      <c r="AA99" s="42">
        <f>'2019'!S12</f>
        <v>0.33240906866742781</v>
      </c>
      <c r="AB99" s="42">
        <f>'2019'!T12</f>
        <v>0.33240906866742781</v>
      </c>
      <c r="AC99" s="42">
        <f>'2019'!U12</f>
        <v>5.8787507654623393E-2</v>
      </c>
      <c r="AD99" s="42">
        <f>'2019'!V12</f>
        <v>8.5870889159561509E-2</v>
      </c>
      <c r="AE99" s="42">
        <f>'2019'!W12</f>
        <v>8.5870889159561509E-2</v>
      </c>
      <c r="AF99" s="43">
        <f>'2019'!X12</f>
        <v>8.5870889159561509E-2</v>
      </c>
      <c r="AG99" s="44">
        <f>'2019'!Y12</f>
        <v>18.884931506849316</v>
      </c>
      <c r="AH99" s="45">
        <f>'2019'!Z12</f>
        <v>99.584339797459563</v>
      </c>
      <c r="AI99" s="45">
        <f>'2019'!AA12</f>
        <v>31.318771626297579</v>
      </c>
      <c r="AJ99" s="45">
        <f>'2019'!AB12</f>
        <v>0.25641025641025639</v>
      </c>
      <c r="AK99" s="45">
        <f>'2019'!AC12</f>
        <v>6.8</v>
      </c>
      <c r="AL99" s="45">
        <f t="shared" si="15"/>
        <v>8.432835820895523</v>
      </c>
      <c r="AM99" s="45">
        <f t="shared" si="16"/>
        <v>9.3959731543624164E-2</v>
      </c>
      <c r="AN99" s="45">
        <f>'2019'!AD12</f>
        <v>91.4</v>
      </c>
      <c r="AO99" s="45">
        <f>'2019'!AE12</f>
        <v>3.79</v>
      </c>
      <c r="AP99" s="46">
        <f>'2019'!AF12</f>
        <v>48.7</v>
      </c>
      <c r="AQ99" s="47">
        <f>'2019'!AG12</f>
        <v>9</v>
      </c>
      <c r="AR99" s="48">
        <f>'2019'!AH12</f>
        <v>8</v>
      </c>
      <c r="AS99" s="48">
        <f>'2019'!AI12</f>
        <v>8</v>
      </c>
      <c r="AT99" s="48">
        <f>IF(AH99&gt;113.25,10,IF(AH99&gt;=107.84,9,IF(AH99&gt;=105.37,8,IF(AH99&gt;=103.25,7,IF(AH99&gt;=100.55,6,IF(AH99&gt;=98.75,5,IF(AH99&gt;=96.08,4,IF(AH99&gt;=94.39,3,IF(AH99&gt;=88.43,2,IF(AH99&gt;=85.16,1,IF(AH99&lt;85.16,0,FALSE)))))))))))</f>
        <v>5</v>
      </c>
      <c r="AU99" s="48">
        <f>'2019'!AK12</f>
        <v>6</v>
      </c>
      <c r="AV99" s="48">
        <f>'2019'!AL12</f>
        <v>7</v>
      </c>
      <c r="AW99" s="48">
        <f>'2019'!AM12</f>
        <v>3</v>
      </c>
      <c r="AX99" s="48">
        <f>'2019'!AN12</f>
        <v>3</v>
      </c>
      <c r="AY99" s="49">
        <f>IF(U99=1,10,IF(U99=2,7,IF(U99=3,6,IF(U99=4,4,IF(U99=5,3,IF(U99=6,2,IF(U99=7,1,IF(U99=0,0,"-"))))))))</f>
        <v>2</v>
      </c>
      <c r="AZ99" s="50">
        <f>'2019'!AP12</f>
        <v>0</v>
      </c>
      <c r="BA99" s="56">
        <f>'2019'!AQ12</f>
        <v>0</v>
      </c>
      <c r="BB99" s="57">
        <f>'2019'!AR12</f>
        <v>1949</v>
      </c>
      <c r="BC99" s="57">
        <f>'2019'!AS12</f>
        <v>0</v>
      </c>
      <c r="BD99" s="57">
        <f>'2019'!AT12</f>
        <v>20</v>
      </c>
      <c r="BE99" s="57">
        <f>'2019'!AU12</f>
        <v>0</v>
      </c>
      <c r="BF99" s="57">
        <f>'2019'!AV12</f>
        <v>0</v>
      </c>
      <c r="BG99" s="58">
        <f>'2019'!AW12</f>
        <v>0</v>
      </c>
      <c r="BH99" s="58">
        <f>'2019'!AX12</f>
        <v>0</v>
      </c>
      <c r="BI99" s="58">
        <f>'2019'!AY12</f>
        <v>0</v>
      </c>
      <c r="BJ99" s="58">
        <f>'2019'!AZ12</f>
        <v>0</v>
      </c>
      <c r="BK99" s="57">
        <f>'2019'!BA12</f>
        <v>0</v>
      </c>
      <c r="BL99" s="57">
        <f>'2019'!BB12</f>
        <v>3971</v>
      </c>
      <c r="BM99" s="57">
        <f>'2019'!BC12</f>
        <v>0</v>
      </c>
      <c r="BN99" s="57">
        <f>'2019'!BD12</f>
        <v>0</v>
      </c>
      <c r="BO99" s="59">
        <f>'2019'!BE12</f>
        <v>39</v>
      </c>
      <c r="BP99" s="56">
        <f>'2019'!BF12</f>
        <v>0</v>
      </c>
      <c r="BQ99" s="57">
        <f>'2019'!BG12</f>
        <v>2198</v>
      </c>
      <c r="BR99" s="57">
        <f>'2019'!BH12</f>
        <v>0</v>
      </c>
      <c r="BS99" s="57">
        <f>'2019'!BI12</f>
        <v>13</v>
      </c>
      <c r="BT99" s="57">
        <f>'2019'!BJ12</f>
        <v>0</v>
      </c>
      <c r="BU99" s="57">
        <f>'2019'!BK12</f>
        <v>0</v>
      </c>
      <c r="BV99" s="58">
        <f>'2019'!BL12</f>
        <v>0</v>
      </c>
      <c r="BW99" s="58">
        <f>'2019'!BM12</f>
        <v>0</v>
      </c>
      <c r="BX99" s="58">
        <f>'2019'!BN12</f>
        <v>0</v>
      </c>
      <c r="BY99" s="58">
        <f>'2019'!BO12</f>
        <v>0</v>
      </c>
      <c r="BZ99" s="57">
        <f>'2019'!BP12</f>
        <v>0</v>
      </c>
      <c r="CA99" s="57">
        <f>'2019'!BQ12</f>
        <v>3323</v>
      </c>
      <c r="CB99" s="57">
        <f>'2019'!BR12</f>
        <v>0</v>
      </c>
      <c r="CC99" s="57">
        <f>'2019'!BS12</f>
        <v>0</v>
      </c>
      <c r="CD99" s="59">
        <f>'2019'!BT12</f>
        <v>25</v>
      </c>
      <c r="CE99" s="56">
        <f>'2019'!BU12</f>
        <v>1055</v>
      </c>
      <c r="CF99" s="57">
        <f>'2019'!BV12</f>
        <v>2754</v>
      </c>
      <c r="CG99" s="57">
        <f>'2019'!BW12</f>
        <v>8</v>
      </c>
      <c r="CH99" s="57">
        <f>'2019'!BX12</f>
        <v>28</v>
      </c>
      <c r="CI99" s="57">
        <f>'2019'!BY12</f>
        <v>156</v>
      </c>
      <c r="CJ99" s="57">
        <f>'2019'!BZ12</f>
        <v>40</v>
      </c>
      <c r="CK99" s="58">
        <f>'2019'!CA12</f>
        <v>6.8</v>
      </c>
      <c r="CL99" s="58">
        <f>'2019'!CB12</f>
        <v>91.4</v>
      </c>
      <c r="CM99" s="58">
        <f>'2019'!CC12</f>
        <v>3.72</v>
      </c>
      <c r="CN99" s="58">
        <f>'2019'!CD12</f>
        <v>47.1</v>
      </c>
      <c r="CO99" s="57">
        <f>'2019'!CE12</f>
        <v>91</v>
      </c>
      <c r="CP99" s="57">
        <f>'2019'!CF12</f>
        <v>3317</v>
      </c>
      <c r="CQ99" s="57">
        <f>'2019'!CG12</f>
        <v>19</v>
      </c>
      <c r="CR99" s="57">
        <f>'2019'!CH12</f>
        <v>0</v>
      </c>
      <c r="CS99" s="59">
        <f>'2019'!CI12</f>
        <v>25</v>
      </c>
      <c r="CT99" s="56">
        <f>'2019'!CJ12</f>
        <v>799</v>
      </c>
      <c r="CU99" s="57">
        <f>'2019'!CK12</f>
        <v>2023</v>
      </c>
      <c r="CV99" s="57">
        <f>'2019'!CL12</f>
        <v>8</v>
      </c>
      <c r="CW99" s="57">
        <f>'2019'!CM12</f>
        <v>26</v>
      </c>
      <c r="CX99" s="57">
        <f>'2019'!CN12</f>
        <v>173</v>
      </c>
      <c r="CY99" s="57">
        <f>'2019'!CO12</f>
        <v>17</v>
      </c>
      <c r="CZ99" s="58">
        <f>'2019'!CP12</f>
        <v>4.5999999999999996</v>
      </c>
      <c r="DA99" s="58">
        <f>'2019'!CQ12</f>
        <v>27.3</v>
      </c>
      <c r="DB99" s="58">
        <f>'2019'!CR12</f>
        <v>2.77</v>
      </c>
      <c r="DC99" s="58">
        <f>'2019'!CS12</f>
        <v>34.799999999999997</v>
      </c>
      <c r="DD99" s="57">
        <f>'2019'!CT12</f>
        <v>192</v>
      </c>
      <c r="DE99" s="57">
        <f>'2019'!CU12</f>
        <v>3266</v>
      </c>
      <c r="DF99" s="57">
        <f>'2019'!CV12</f>
        <v>20</v>
      </c>
      <c r="DG99" s="57">
        <f>'2019'!CW12</f>
        <v>0</v>
      </c>
      <c r="DH99" s="59">
        <f>'2019'!CX12</f>
        <v>22</v>
      </c>
      <c r="DI99" s="56">
        <f>'2019'!CY12</f>
        <v>1756</v>
      </c>
      <c r="DJ99" s="57">
        <f>'2019'!CZ12</f>
        <v>2847</v>
      </c>
      <c r="DK99" s="57">
        <f>'2019'!DA12</f>
        <v>18</v>
      </c>
      <c r="DL99" s="57">
        <f>'2019'!DB12</f>
        <v>28</v>
      </c>
      <c r="DM99" s="57">
        <f>'2019'!DC12</f>
        <v>270</v>
      </c>
      <c r="DN99" s="57">
        <f>'2019'!DD12</f>
        <v>47</v>
      </c>
      <c r="DO99" s="58">
        <f>'2019'!DE12</f>
        <v>6.5</v>
      </c>
      <c r="DP99" s="58">
        <f>'2019'!DF12</f>
        <v>74.900000000000006</v>
      </c>
      <c r="DQ99" s="58">
        <f>'2019'!DG12</f>
        <v>3.79</v>
      </c>
      <c r="DR99" s="58">
        <f>'2019'!DH12</f>
        <v>48.7</v>
      </c>
      <c r="DS99" s="57">
        <f>'2019'!DI12</f>
        <v>282</v>
      </c>
      <c r="DT99" s="57">
        <f>'2019'!DJ12</f>
        <v>3284</v>
      </c>
      <c r="DU99" s="57">
        <f>'2019'!DK12</f>
        <v>28</v>
      </c>
      <c r="DV99" s="57">
        <f>'2019'!DL12</f>
        <v>0</v>
      </c>
      <c r="DW99" s="59">
        <f>'2019'!DM12</f>
        <v>25</v>
      </c>
    </row>
    <row r="100" spans="1:127" ht="15.75" customHeight="1" x14ac:dyDescent="0.2">
      <c r="A100" s="33">
        <f t="shared" si="12"/>
        <v>98</v>
      </c>
      <c r="B100" s="11">
        <f>'2018'!A10</f>
        <v>8</v>
      </c>
      <c r="C100" s="11">
        <v>2018</v>
      </c>
      <c r="D100" s="34" t="str">
        <f>'2018'!B10</f>
        <v>John Kelly</v>
      </c>
      <c r="E100" s="224" t="str" cm="1">
        <f t="array" ref="E100">_xlfn.IFS(F100&gt;=13,"Cornerstone",AND(F100&gt;=12,F100&lt;13),"Elite",AND(F100&gt;=11,F100&lt;12),"Elite Upside",AND(F100&gt;=9,F100&lt;11),"Upside",AND(F100&gt;=7,F100&lt;9),"Upside Lite",AND(F100&gt;=6,F100&lt;7),"Outlier",AND(F100&gt;=5,F100&lt;6),"Outlier Lite",F100&lt;5,"Purgatory")</f>
        <v>Upside Lite</v>
      </c>
      <c r="F100" s="14">
        <f>'2018'!C10</f>
        <v>8.1944444444444446</v>
      </c>
      <c r="G100" s="14">
        <f t="shared" si="19"/>
        <v>70</v>
      </c>
      <c r="H100" s="35">
        <f t="shared" si="13"/>
        <v>8.1273591881648358E-2</v>
      </c>
      <c r="I100" s="36" t="str">
        <f>'2018'!D10</f>
        <v>Tennessee</v>
      </c>
      <c r="J100" s="37">
        <f>'2018'!E10</f>
        <v>1</v>
      </c>
      <c r="K100" s="38">
        <f>'2018'!F10</f>
        <v>35342</v>
      </c>
      <c r="L100" s="39">
        <f>'2018'!G10</f>
        <v>29</v>
      </c>
      <c r="M100" s="39" t="str">
        <f>'2018'!H10</f>
        <v>JR</v>
      </c>
      <c r="N100" s="39">
        <f>'2018'!I10</f>
        <v>21.572602739726026</v>
      </c>
      <c r="O100" s="39" t="str">
        <f t="shared" si="14"/>
        <v>BELL CALF</v>
      </c>
      <c r="P100" s="39" t="str">
        <f t="shared" si="17"/>
        <v>3DOWN</v>
      </c>
      <c r="Q100" s="37">
        <f>'2018'!J10</f>
        <v>70</v>
      </c>
      <c r="R100" s="37">
        <f>'2018'!K10</f>
        <v>216</v>
      </c>
      <c r="S100" s="39">
        <f t="shared" si="18"/>
        <v>30.9924296583287</v>
      </c>
      <c r="T100" s="37">
        <f>'2018'!L10</f>
        <v>4.6399999999999997</v>
      </c>
      <c r="U100" s="40">
        <f>'2018'!M10</f>
        <v>6</v>
      </c>
      <c r="V100" s="41">
        <f>'2018'!N10</f>
        <v>0</v>
      </c>
      <c r="W100" s="42">
        <f>'2018'!O10</f>
        <v>0</v>
      </c>
      <c r="X100" s="42">
        <f>'2018'!P10</f>
        <v>3.0054644808743168E-2</v>
      </c>
      <c r="Y100" s="42">
        <f>'2018'!Q10</f>
        <v>0.1144244105409154</v>
      </c>
      <c r="Z100" s="42">
        <f>'2018'!R10</f>
        <v>0.30833094760950475</v>
      </c>
      <c r="AA100" s="42">
        <f>'2018'!S10</f>
        <v>0.30833094760950475</v>
      </c>
      <c r="AB100" s="42">
        <f>'2018'!T10</f>
        <v>0.30833094760950475</v>
      </c>
      <c r="AC100" s="42">
        <f>'2018'!U10</f>
        <v>1.6451612903225808E-2</v>
      </c>
      <c r="AD100" s="42">
        <f>'2018'!V10</f>
        <v>0.14347408829174665</v>
      </c>
      <c r="AE100" s="42">
        <f>'2018'!W10</f>
        <v>0.14347408829174665</v>
      </c>
      <c r="AF100" s="43">
        <f>'2018'!X10</f>
        <v>0.14347408829174665</v>
      </c>
      <c r="AG100" s="44">
        <f>'2018'!Y10</f>
        <v>20.934246575342467</v>
      </c>
      <c r="AH100" s="45">
        <f>'2018'!Z10</f>
        <v>93.19912276733011</v>
      </c>
      <c r="AI100" s="45">
        <f>'2018'!AA10</f>
        <v>30.98938775510204</v>
      </c>
      <c r="AJ100" s="45">
        <f>'2018'!AB10</f>
        <v>0.31632653061224492</v>
      </c>
      <c r="AK100" s="45">
        <f>'2018'!AC10</f>
        <v>6.2</v>
      </c>
      <c r="AL100" s="45">
        <f t="shared" si="15"/>
        <v>8.1395348837209305</v>
      </c>
      <c r="AM100" s="45">
        <f t="shared" si="16"/>
        <v>0.16371681415929204</v>
      </c>
      <c r="AN100" s="45">
        <f>'2018'!AD10</f>
        <v>131.6</v>
      </c>
      <c r="AO100" s="45">
        <f>'2018'!AE10</f>
        <v>4.28</v>
      </c>
      <c r="AP100" s="46">
        <f>'2018'!AF10</f>
        <v>39.4</v>
      </c>
      <c r="AQ100" s="47">
        <f>'2018'!AG10</f>
        <v>8</v>
      </c>
      <c r="AR100" s="48">
        <f>'2018'!AH10</f>
        <v>10</v>
      </c>
      <c r="AS100" s="48">
        <f>'2018'!AI10</f>
        <v>3</v>
      </c>
      <c r="AT100" s="48">
        <f>IF(AH100&gt;113.25,10,IF(AH100&gt;=107.84,9,IF(AH100&gt;=105.37,8,IF(AH100&gt;=103.25,7,IF(AH100&gt;=100.55,6,IF(AH100&gt;=98.75,5,IF(AH100&gt;=96.08,4,IF(AH100&gt;=94.39,3,IF(AH100&gt;=88.43,2,IF(AH100&gt;=85.16,1,IF(AH100&lt;85.16,0,FALSE)))))))))))</f>
        <v>2</v>
      </c>
      <c r="AU100" s="48">
        <f>'2018'!AK10</f>
        <v>8</v>
      </c>
      <c r="AV100" s="48">
        <f>'2018'!AL10</f>
        <v>5</v>
      </c>
      <c r="AW100" s="48">
        <f>'2018'!AM10</f>
        <v>7</v>
      </c>
      <c r="AX100" s="48">
        <f>'2018'!AN10</f>
        <v>6</v>
      </c>
      <c r="AY100" s="49">
        <f>IF(U100=1,10,IF(U100=2,7,IF(U100=3,6,IF(U100=4,4,IF(U100=5,3,IF(U100=6,2,IF(U100=7,1,IF(U100=0,0,"-"))))))))</f>
        <v>2</v>
      </c>
      <c r="AZ100" s="50">
        <f>'2018'!AP10</f>
        <v>0.25</v>
      </c>
      <c r="BA100" s="56">
        <f>'2018'!AQ10</f>
        <v>0</v>
      </c>
      <c r="BB100" s="57">
        <f>'2018'!AR10</f>
        <v>2261</v>
      </c>
      <c r="BC100" s="57">
        <f>'2018'!AS10</f>
        <v>0</v>
      </c>
      <c r="BD100" s="57">
        <f>'2018'!AT10</f>
        <v>0</v>
      </c>
      <c r="BE100" s="57">
        <f>'2018'!AU10</f>
        <v>0</v>
      </c>
      <c r="BF100" s="57">
        <f>'2018'!AV10</f>
        <v>0</v>
      </c>
      <c r="BG100" s="58">
        <f>'2018'!AW10</f>
        <v>0</v>
      </c>
      <c r="BH100" s="58">
        <f>'2018'!AX10</f>
        <v>0</v>
      </c>
      <c r="BI100" s="58">
        <f>'2018'!AY10</f>
        <v>0</v>
      </c>
      <c r="BJ100" s="58">
        <f>'2018'!AZ10</f>
        <v>0</v>
      </c>
      <c r="BK100" s="57">
        <f>'2018'!BA10</f>
        <v>0</v>
      </c>
      <c r="BL100" s="57">
        <f>'2018'!BB10</f>
        <v>1979</v>
      </c>
      <c r="BM100" s="57">
        <f>'2018'!BC10</f>
        <v>0</v>
      </c>
      <c r="BN100" s="57">
        <f>'2018'!BD10</f>
        <v>0</v>
      </c>
      <c r="BO100" s="59">
        <f>'2018'!BE10</f>
        <v>0</v>
      </c>
      <c r="BP100" s="56">
        <f>'2018'!BF10</f>
        <v>0</v>
      </c>
      <c r="BQ100" s="57">
        <f>'2018'!BG10</f>
        <v>1903</v>
      </c>
      <c r="BR100" s="57">
        <f>'2018'!BH10</f>
        <v>0</v>
      </c>
      <c r="BS100" s="57">
        <f>'2018'!BI10</f>
        <v>0</v>
      </c>
      <c r="BT100" s="57">
        <f>'2018'!BJ10</f>
        <v>0</v>
      </c>
      <c r="BU100" s="57">
        <f>'2018'!BK10</f>
        <v>0</v>
      </c>
      <c r="BV100" s="58">
        <f>'2018'!BL10</f>
        <v>0</v>
      </c>
      <c r="BW100" s="58">
        <f>'2018'!BM10</f>
        <v>0</v>
      </c>
      <c r="BX100" s="58">
        <f>'2018'!BN10</f>
        <v>0</v>
      </c>
      <c r="BY100" s="58">
        <f>'2018'!BO10</f>
        <v>0</v>
      </c>
      <c r="BZ100" s="57">
        <f>'2018'!BP10</f>
        <v>0</v>
      </c>
      <c r="CA100" s="57">
        <f>'2018'!BQ10</f>
        <v>2914</v>
      </c>
      <c r="CB100" s="57">
        <f>'2018'!BR10</f>
        <v>0</v>
      </c>
      <c r="CC100" s="57">
        <f>'2018'!BS10</f>
        <v>0</v>
      </c>
      <c r="CD100" s="59">
        <f>'2018'!BT10</f>
        <v>0</v>
      </c>
      <c r="CE100" s="56">
        <f>'2018'!BU10</f>
        <v>165</v>
      </c>
      <c r="CF100" s="57">
        <f>'2018'!BV10</f>
        <v>2908</v>
      </c>
      <c r="CG100" s="57">
        <f>'2018'!BW10</f>
        <v>1</v>
      </c>
      <c r="CH100" s="57">
        <f>'2018'!BX10</f>
        <v>0</v>
      </c>
      <c r="CI100" s="57">
        <f>'2018'!BY10</f>
        <v>40</v>
      </c>
      <c r="CJ100" s="57">
        <f>'2018'!BZ10</f>
        <v>11</v>
      </c>
      <c r="CK100" s="58">
        <f>'2018'!CA10</f>
        <v>4.0999999999999996</v>
      </c>
      <c r="CL100" s="58">
        <f>'2018'!CB10</f>
        <v>68.8</v>
      </c>
      <c r="CM100" s="58">
        <f>'2018'!CC10</f>
        <v>2.5</v>
      </c>
      <c r="CN100" s="58">
        <f>'2018'!CD10</f>
        <v>33.9</v>
      </c>
      <c r="CO100" s="57">
        <f>'2018'!CE10</f>
        <v>0</v>
      </c>
      <c r="CP100" s="57">
        <f>'2018'!CF10</f>
        <v>2582</v>
      </c>
      <c r="CQ100" s="57">
        <f>'2018'!CG10</f>
        <v>0</v>
      </c>
      <c r="CR100" s="57">
        <f>'2018'!CH10</f>
        <v>0</v>
      </c>
      <c r="CS100" s="59">
        <f>'2018'!CI10</f>
        <v>0</v>
      </c>
      <c r="CT100" s="56">
        <f>'2018'!CJ10</f>
        <v>609</v>
      </c>
      <c r="CU100" s="57">
        <f>'2018'!CK10</f>
        <v>2668</v>
      </c>
      <c r="CV100" s="57">
        <f>'2018'!CL10</f>
        <v>5</v>
      </c>
      <c r="CW100" s="57">
        <f>'2018'!CM10</f>
        <v>0</v>
      </c>
      <c r="CX100" s="57">
        <f>'2018'!CN10</f>
        <v>98</v>
      </c>
      <c r="CY100" s="57">
        <f>'2018'!CO10</f>
        <v>31</v>
      </c>
      <c r="CZ100" s="58">
        <f>'2018'!CP10</f>
        <v>6.2</v>
      </c>
      <c r="DA100" s="58">
        <f>'2018'!CQ10</f>
        <v>131.6</v>
      </c>
      <c r="DB100" s="58">
        <f>'2018'!CR10</f>
        <v>4.28</v>
      </c>
      <c r="DC100" s="58">
        <f>'2018'!CS10</f>
        <v>39.4</v>
      </c>
      <c r="DD100" s="57">
        <f>'2018'!CT10</f>
        <v>51</v>
      </c>
      <c r="DE100" s="57">
        <f>'2018'!CU10</f>
        <v>3100</v>
      </c>
      <c r="DF100" s="57">
        <f>'2018'!CV10</f>
        <v>6</v>
      </c>
      <c r="DG100" s="57">
        <f>'2018'!CW10</f>
        <v>0</v>
      </c>
      <c r="DH100" s="59">
        <f>'2018'!CX10</f>
        <v>0</v>
      </c>
      <c r="DI100" s="56">
        <f>'2018'!CY10</f>
        <v>778</v>
      </c>
      <c r="DJ100" s="57">
        <f>'2018'!CZ10</f>
        <v>1409</v>
      </c>
      <c r="DK100" s="57">
        <f>'2018'!DA10</f>
        <v>9</v>
      </c>
      <c r="DL100" s="57">
        <f>'2018'!DB10</f>
        <v>0</v>
      </c>
      <c r="DM100" s="57">
        <f>'2018'!DC10</f>
        <v>189</v>
      </c>
      <c r="DN100" s="57">
        <f>'2018'!DD10</f>
        <v>38</v>
      </c>
      <c r="DO100" s="58">
        <f>'2018'!DE10</f>
        <v>4.0999999999999996</v>
      </c>
      <c r="DP100" s="58">
        <f>'2018'!DF10</f>
        <v>74.099999999999994</v>
      </c>
      <c r="DQ100" s="58">
        <f>'2018'!DG10</f>
        <v>3.22</v>
      </c>
      <c r="DR100" s="58">
        <f>'2018'!DH10</f>
        <v>38</v>
      </c>
      <c r="DS100" s="57">
        <f>'2018'!DI10</f>
        <v>299</v>
      </c>
      <c r="DT100" s="57">
        <f>'2018'!DJ10</f>
        <v>2084</v>
      </c>
      <c r="DU100" s="57">
        <f>'2018'!DK10</f>
        <v>37</v>
      </c>
      <c r="DV100" s="57">
        <f>'2018'!DL10</f>
        <v>0</v>
      </c>
      <c r="DW100" s="59">
        <f>'2018'!DM10</f>
        <v>0</v>
      </c>
    </row>
    <row r="101" spans="1:127" ht="15.75" customHeight="1" x14ac:dyDescent="0.2">
      <c r="A101" s="33">
        <f t="shared" si="12"/>
        <v>99</v>
      </c>
      <c r="B101" s="11">
        <f>'2023'!A12</f>
        <v>10</v>
      </c>
      <c r="C101" s="11">
        <v>2023</v>
      </c>
      <c r="D101" s="34" t="str">
        <f>'2023'!B12</f>
        <v>Chase Brown</v>
      </c>
      <c r="E101" s="224" t="str" cm="1">
        <f t="array" ref="E101">_xlfn.IFS(F101&gt;=13,"Cornerstone",AND(F101&gt;=12,F101&lt;13),"Elite",AND(F101&gt;=11,F101&lt;12),"Elite Upside",AND(F101&gt;=9,F101&lt;11),"Upside",AND(F101&gt;=7,F101&lt;9),"Upside Lite",AND(F101&gt;=6,F101&lt;7),"Outlier",AND(F101&gt;=5,F101&lt;6),"Outlier Lite",F101&lt;5,"Purgatory")</f>
        <v>Upside Lite</v>
      </c>
      <c r="F101" s="14">
        <f>'2023'!C12</f>
        <v>8.1611111111111114</v>
      </c>
      <c r="G101" s="14">
        <f t="shared" si="19"/>
        <v>69.699999999999989</v>
      </c>
      <c r="H101" s="35">
        <f t="shared" si="13"/>
        <v>6.716608974032709E-2</v>
      </c>
      <c r="I101" s="36" t="str">
        <f>'2023'!D12</f>
        <v>Illinois</v>
      </c>
      <c r="J101" s="37">
        <f>'2023'!E12</f>
        <v>2</v>
      </c>
      <c r="K101" s="38">
        <f>'2023'!F12</f>
        <v>36606</v>
      </c>
      <c r="L101" s="39">
        <f>'2023'!G12</f>
        <v>25.536986301369861</v>
      </c>
      <c r="M101" s="39" t="str">
        <f>'2023'!H12</f>
        <v>RS SR</v>
      </c>
      <c r="N101" s="39">
        <f>'2023'!I12</f>
        <v>23.115068493150684</v>
      </c>
      <c r="O101" s="39" t="str">
        <f t="shared" si="14"/>
        <v>DYNAMIC</v>
      </c>
      <c r="P101" s="39" t="str">
        <f t="shared" si="17"/>
        <v>3DOWN</v>
      </c>
      <c r="Q101" s="37">
        <f>'2023'!J12</f>
        <v>69</v>
      </c>
      <c r="R101" s="37">
        <f>'2023'!K12</f>
        <v>209</v>
      </c>
      <c r="S101" s="39">
        <f t="shared" si="18"/>
        <v>30.863562756321059</v>
      </c>
      <c r="T101" s="37">
        <f>'2023'!L12</f>
        <v>4.43</v>
      </c>
      <c r="U101" s="40">
        <f>'2023'!M12</f>
        <v>5</v>
      </c>
      <c r="V101" s="41">
        <f>'2023'!N12</f>
        <v>7.3956682514527208E-2</v>
      </c>
      <c r="W101" s="42">
        <f>'2023'!O12</f>
        <v>4.2026616857342982E-3</v>
      </c>
      <c r="X101" s="42">
        <f>'2023'!P12</f>
        <v>0.21561604584527222</v>
      </c>
      <c r="Y101" s="42">
        <f>'2023'!Q12</f>
        <v>0.28986606014657568</v>
      </c>
      <c r="Z101" s="42">
        <f>'2023'!R12</f>
        <v>0.37987012987012986</v>
      </c>
      <c r="AA101" s="42">
        <f>'2023'!S12</f>
        <v>0.37987012987012986</v>
      </c>
      <c r="AB101" s="42">
        <f>'2023'!T12</f>
        <v>0.37987012987012986</v>
      </c>
      <c r="AC101" s="42">
        <f>'2023'!U12</f>
        <v>7.577374599786553E-2</v>
      </c>
      <c r="AD101" s="42">
        <f>'2023'!V12</f>
        <v>8.7177624409734839E-2</v>
      </c>
      <c r="AE101" s="42">
        <f>'2023'!W12</f>
        <v>8.7177624409734839E-2</v>
      </c>
      <c r="AF101" s="43">
        <f>'2023'!X12</f>
        <v>8.7177624409734839E-2</v>
      </c>
      <c r="AG101" s="44">
        <f>'2023'!Y12</f>
        <v>20.460273972602739</v>
      </c>
      <c r="AH101" s="45">
        <f>'2023'!Z12</f>
        <v>108.53289234423696</v>
      </c>
      <c r="AI101" s="45">
        <f>'2023'!AA12</f>
        <v>30.860533501365261</v>
      </c>
      <c r="AJ101" s="45">
        <f>'2023'!AB12</f>
        <v>0.25882352941176473</v>
      </c>
      <c r="AK101" s="45">
        <f>'2023'!AC12</f>
        <v>5.9</v>
      </c>
      <c r="AL101" s="45">
        <f t="shared" si="15"/>
        <v>10.63265306122449</v>
      </c>
      <c r="AM101" s="45">
        <f t="shared" si="16"/>
        <v>7.5842696629213488E-2</v>
      </c>
      <c r="AN101" s="45">
        <f>'2023'!AD12</f>
        <v>116.9</v>
      </c>
      <c r="AO101" s="45">
        <f>'2023'!AE12</f>
        <v>4.1399999999999997</v>
      </c>
      <c r="AP101" s="46">
        <f>'2023'!AF12</f>
        <v>41.3</v>
      </c>
      <c r="AQ101" s="47">
        <f>'2023'!AG12</f>
        <v>10</v>
      </c>
      <c r="AR101" s="48">
        <f>'2023'!AH12</f>
        <v>8</v>
      </c>
      <c r="AS101" s="48">
        <f>'2023'!AI12</f>
        <v>4</v>
      </c>
      <c r="AT101" s="48">
        <f>IF(AH101&gt;113.25,10,IF(AH101&gt;=107.84,9,IF(AH101&gt;=105.37,8,IF(AH101&gt;=103.25,7,IF(AH101&gt;=100.55,6,IF(AH101&gt;=98.75,5,IF(AH101&gt;=96.08,4,IF(AH101&gt;=94.39,3,IF(AH101&gt;=88.43,2,IF(AH101&gt;=85.16,1,IF(AH101&lt;85.16,0,FALSE)))))))))))</f>
        <v>9</v>
      </c>
      <c r="AU101" s="48">
        <f>'2023'!AK12</f>
        <v>6</v>
      </c>
      <c r="AV101" s="48">
        <f>'2023'!AL12</f>
        <v>4</v>
      </c>
      <c r="AW101" s="48">
        <f>'2023'!AM12</f>
        <v>5</v>
      </c>
      <c r="AX101" s="48">
        <f>'2023'!AN12</f>
        <v>5</v>
      </c>
      <c r="AY101" s="49">
        <f>'2023'!AO12</f>
        <v>3</v>
      </c>
      <c r="AZ101" s="50">
        <f>'2023'!AP12</f>
        <v>0</v>
      </c>
      <c r="BA101" s="56">
        <f>'2023'!AQ12</f>
        <v>345</v>
      </c>
      <c r="BB101" s="57">
        <f>'2023'!AR12</f>
        <v>2593</v>
      </c>
      <c r="BC101" s="57">
        <f>'2023'!AS12</f>
        <v>0</v>
      </c>
      <c r="BD101" s="57">
        <f>'2023'!AT12</f>
        <v>32</v>
      </c>
      <c r="BE101" s="57">
        <f>'2023'!AU12</f>
        <v>71</v>
      </c>
      <c r="BF101" s="57">
        <f>'2023'!AV12</f>
        <v>15</v>
      </c>
      <c r="BG101" s="58">
        <f>'2023'!AW12</f>
        <v>4.9000000000000004</v>
      </c>
      <c r="BH101" s="58">
        <f>'2023'!AX12</f>
        <v>60.1</v>
      </c>
      <c r="BI101" s="58">
        <f>'2023'!AY12</f>
        <v>3.04</v>
      </c>
      <c r="BJ101" s="58">
        <f>'2023'!AZ12</f>
        <v>27.8</v>
      </c>
      <c r="BK101" s="57">
        <f>'2023'!BA12</f>
        <v>75</v>
      </c>
      <c r="BL101" s="57">
        <f>'2023'!BB12</f>
        <v>3086</v>
      </c>
      <c r="BM101" s="57">
        <f>'2023'!BC12</f>
        <v>1</v>
      </c>
      <c r="BN101" s="57">
        <f>'2023'!BD12</f>
        <v>0</v>
      </c>
      <c r="BO101" s="59">
        <f>'2023'!BE12</f>
        <v>20</v>
      </c>
      <c r="BP101" s="56">
        <f>'2023'!BF12</f>
        <v>18</v>
      </c>
      <c r="BQ101" s="57">
        <f>'2023'!BG12</f>
        <v>1874</v>
      </c>
      <c r="BR101" s="57">
        <f>'2023'!BH12</f>
        <v>0</v>
      </c>
      <c r="BS101" s="57">
        <f>'2023'!BI12</f>
        <v>19</v>
      </c>
      <c r="BT101" s="57">
        <f>'2023'!BJ12</f>
        <v>3</v>
      </c>
      <c r="BU101" s="57">
        <f>'2023'!BK12</f>
        <v>1</v>
      </c>
      <c r="BV101" s="58">
        <f>'2023'!BL12</f>
        <v>6</v>
      </c>
      <c r="BW101" s="58">
        <f>'2023'!BM12</f>
        <v>155.6</v>
      </c>
      <c r="BX101" s="58">
        <f>'2023'!BN12</f>
        <v>4.67</v>
      </c>
      <c r="BY101" s="58">
        <f>'2023'!BO12</f>
        <v>0</v>
      </c>
      <c r="BZ101" s="57">
        <f>'2023'!BP12</f>
        <v>0</v>
      </c>
      <c r="CA101" s="57">
        <f>'2023'!BQ12</f>
        <v>2409</v>
      </c>
      <c r="CB101" s="57">
        <f>'2023'!BR12</f>
        <v>0</v>
      </c>
      <c r="CC101" s="57">
        <f>'2023'!BS12</f>
        <v>0</v>
      </c>
      <c r="CD101" s="59">
        <f>'2023'!BT12</f>
        <v>19</v>
      </c>
      <c r="CE101" s="56">
        <f>'2023'!BU12</f>
        <v>538</v>
      </c>
      <c r="CF101" s="57">
        <f>'2023'!BV12</f>
        <v>1569</v>
      </c>
      <c r="CG101" s="57">
        <f>'2023'!BW12</f>
        <v>3</v>
      </c>
      <c r="CH101" s="57">
        <f>'2023'!BX12</f>
        <v>9</v>
      </c>
      <c r="CI101" s="57">
        <f>'2023'!BY12</f>
        <v>102</v>
      </c>
      <c r="CJ101" s="57">
        <f>'2023'!BZ12</f>
        <v>20</v>
      </c>
      <c r="CK101" s="58">
        <f>'2023'!CA12</f>
        <v>5.3</v>
      </c>
      <c r="CL101" s="58">
        <f>'2023'!CB12</f>
        <v>59.9</v>
      </c>
      <c r="CM101" s="58">
        <f>'2023'!CC12</f>
        <v>3.26</v>
      </c>
      <c r="CN101" s="58">
        <f>'2023'!CD12</f>
        <v>41.3</v>
      </c>
      <c r="CO101" s="57">
        <f>'2023'!CE12</f>
        <v>64</v>
      </c>
      <c r="CP101" s="57">
        <f>'2023'!CF12</f>
        <v>1223</v>
      </c>
      <c r="CQ101" s="57">
        <f>'2023'!CG12</f>
        <v>7</v>
      </c>
      <c r="CR101" s="57">
        <f>'2023'!CH12</f>
        <v>0</v>
      </c>
      <c r="CS101" s="59">
        <f>'2023'!CI12</f>
        <v>10</v>
      </c>
      <c r="CT101" s="56">
        <f>'2023'!CJ12</f>
        <v>1005</v>
      </c>
      <c r="CU101" s="57">
        <f>'2023'!CK12</f>
        <v>2083</v>
      </c>
      <c r="CV101" s="57">
        <f>'2023'!CL12</f>
        <v>5</v>
      </c>
      <c r="CW101" s="57">
        <f>'2023'!CM12</f>
        <v>12</v>
      </c>
      <c r="CX101" s="57">
        <f>'2023'!CN12</f>
        <v>170</v>
      </c>
      <c r="CY101" s="57">
        <f>'2023'!CO12</f>
        <v>44</v>
      </c>
      <c r="CZ101" s="58">
        <f>'2023'!CP12</f>
        <v>5.9</v>
      </c>
      <c r="DA101" s="58">
        <f>'2023'!CQ12</f>
        <v>116.9</v>
      </c>
      <c r="DB101" s="58">
        <f>'2023'!CR12</f>
        <v>4.1399999999999997</v>
      </c>
      <c r="DC101" s="58">
        <f>'2023'!CS12</f>
        <v>41.1</v>
      </c>
      <c r="DD101" s="57">
        <f>'2023'!CT12</f>
        <v>142</v>
      </c>
      <c r="DE101" s="57">
        <f>'2023'!CU12</f>
        <v>1874</v>
      </c>
      <c r="DF101" s="57">
        <f>'2023'!CV12</f>
        <v>14</v>
      </c>
      <c r="DG101" s="57">
        <f>'2023'!CW12</f>
        <v>0</v>
      </c>
      <c r="DH101" s="59">
        <f>'2023'!CX12</f>
        <v>13</v>
      </c>
      <c r="DI101" s="56">
        <f>'2023'!CY12</f>
        <v>1632</v>
      </c>
      <c r="DJ101" s="57">
        <f>'2023'!CZ12</f>
        <v>2175</v>
      </c>
      <c r="DK101" s="57">
        <f>'2023'!DA12</f>
        <v>10</v>
      </c>
      <c r="DL101" s="57">
        <f>'2023'!DB12</f>
        <v>18</v>
      </c>
      <c r="DM101" s="57">
        <f>'2023'!DC12</f>
        <v>329</v>
      </c>
      <c r="DN101" s="57">
        <f>'2023'!DD12</f>
        <v>82</v>
      </c>
      <c r="DO101" s="58">
        <f>'2023'!DE12</f>
        <v>5</v>
      </c>
      <c r="DP101" s="58">
        <f>'2023'!DF12</f>
        <v>70.3</v>
      </c>
      <c r="DQ101" s="58">
        <f>'2023'!DG12</f>
        <v>2.84</v>
      </c>
      <c r="DR101" s="58">
        <f>'2023'!DH12</f>
        <v>32</v>
      </c>
      <c r="DS101" s="57">
        <f>'2023'!DI12</f>
        <v>240</v>
      </c>
      <c r="DT101" s="57">
        <f>'2023'!DJ12</f>
        <v>2753</v>
      </c>
      <c r="DU101" s="57">
        <f>'2023'!DK12</f>
        <v>27</v>
      </c>
      <c r="DV101" s="57">
        <f>'2023'!DL12</f>
        <v>0</v>
      </c>
      <c r="DW101" s="59">
        <f>'2023'!DM12</f>
        <v>15</v>
      </c>
    </row>
    <row r="102" spans="1:127" ht="15.75" customHeight="1" x14ac:dyDescent="0.2">
      <c r="A102" s="33">
        <f t="shared" si="12"/>
        <v>100</v>
      </c>
      <c r="B102" s="11">
        <f>'2016'!A8</f>
        <v>6</v>
      </c>
      <c r="C102" s="11">
        <v>2016</v>
      </c>
      <c r="D102" s="34" t="str">
        <f>'2016'!B8</f>
        <v>Jonathan Williams</v>
      </c>
      <c r="E102" s="224" t="str" cm="1">
        <f t="array" ref="E102">_xlfn.IFS(F102&gt;=13,"Cornerstone",AND(F102&gt;=12,F102&lt;13),"Elite",AND(F102&gt;=11,F102&lt;12),"Elite Upside",AND(F102&gt;=9,F102&lt;11),"Upside",AND(F102&gt;=7,F102&lt;9),"Upside Lite",AND(F102&gt;=6,F102&lt;7),"Outlier",AND(F102&gt;=5,F102&lt;6),"Outlier Lite",F102&lt;5,"Purgatory")</f>
        <v>Upside Lite</v>
      </c>
      <c r="F102" s="14">
        <f>'2016'!C8</f>
        <v>8.155555555555555</v>
      </c>
      <c r="G102" s="14">
        <f t="shared" si="19"/>
        <v>69.399999999999991</v>
      </c>
      <c r="H102" s="35">
        <f t="shared" si="13"/>
        <v>6.4814839383439835E-2</v>
      </c>
      <c r="I102" s="36" t="str">
        <f>'2016'!D8</f>
        <v>Arkansas</v>
      </c>
      <c r="J102" s="37">
        <f>'2016'!E8</f>
        <v>1</v>
      </c>
      <c r="K102" s="38">
        <f>'2016'!F8</f>
        <v>34367</v>
      </c>
      <c r="L102" s="39">
        <f>'2016'!G8</f>
        <v>31.671232876712327</v>
      </c>
      <c r="M102" s="39" t="str">
        <f>'2016'!H8</f>
        <v>SR</v>
      </c>
      <c r="N102" s="39">
        <f>'2016'!I8</f>
        <v>22.246575342465754</v>
      </c>
      <c r="O102" s="39" t="str">
        <f t="shared" si="14"/>
        <v>BELL COW</v>
      </c>
      <c r="P102" s="39" t="str">
        <f t="shared" si="17"/>
        <v>SLASHER</v>
      </c>
      <c r="Q102" s="37">
        <f>'2016'!J8</f>
        <v>71</v>
      </c>
      <c r="R102" s="37">
        <f>'2016'!K8</f>
        <v>220</v>
      </c>
      <c r="S102" s="39">
        <f t="shared" si="18"/>
        <v>30.683432126634145</v>
      </c>
      <c r="T102" s="37">
        <f>'2016'!L8</f>
        <v>4.5599999999999996</v>
      </c>
      <c r="U102" s="55">
        <f>'2016'!M8</f>
        <v>5</v>
      </c>
      <c r="V102" s="41">
        <f>'2016'!N8</f>
        <v>0</v>
      </c>
      <c r="W102" s="42">
        <f>'2016'!O8</f>
        <v>9.4976418155856529E-2</v>
      </c>
      <c r="X102" s="42">
        <f>'2016'!P8</f>
        <v>0.22678488100793281</v>
      </c>
      <c r="Y102" s="42">
        <f>'2016'!Q8</f>
        <v>0.24592648730579766</v>
      </c>
      <c r="Z102" s="42">
        <f>'2016'!R8</f>
        <v>0</v>
      </c>
      <c r="AA102" s="42">
        <f>'2016'!S8</f>
        <v>0.24592648730579766</v>
      </c>
      <c r="AB102" s="42">
        <f>'2016'!T8</f>
        <v>0.24592648730579766</v>
      </c>
      <c r="AC102" s="42">
        <f>'2016'!U8</f>
        <v>4.2553191489361701E-2</v>
      </c>
      <c r="AD102" s="42">
        <f>'2016'!V8</f>
        <v>0</v>
      </c>
      <c r="AE102" s="42">
        <f>'2016'!W8</f>
        <v>2.1276595744680851E-2</v>
      </c>
      <c r="AF102" s="43">
        <f>'2016'!X8</f>
        <v>2.1276595744680851E-2</v>
      </c>
      <c r="AG102" s="44">
        <f>'2016'!Y8</f>
        <v>19.591780821917808</v>
      </c>
      <c r="AH102" s="45">
        <f>'2016'!Z8</f>
        <v>101.76379767300138</v>
      </c>
      <c r="AI102" s="45">
        <f>'2016'!AA8</f>
        <v>30.68042055147788</v>
      </c>
      <c r="AJ102" s="45">
        <f>'2016'!AB8</f>
        <v>0.30805687203791471</v>
      </c>
      <c r="AK102" s="45">
        <f>'2016'!AC8</f>
        <v>5.6587677725118484</v>
      </c>
      <c r="AL102" s="45">
        <f t="shared" si="15"/>
        <v>16.695652173913043</v>
      </c>
      <c r="AM102" s="45">
        <f>DF102/SUM(CX102,DF102)</f>
        <v>3.6529680365296802E-2</v>
      </c>
      <c r="AN102" s="45">
        <f>'2016'!AD8</f>
        <v>101.9</v>
      </c>
      <c r="AO102" s="45">
        <f>'2016'!AE8</f>
        <v>3.48</v>
      </c>
      <c r="AP102" s="46">
        <f>'2016'!AF8</f>
        <v>34.299999999999997</v>
      </c>
      <c r="AQ102" s="47">
        <f>'2016'!AG8</f>
        <v>6</v>
      </c>
      <c r="AR102" s="48">
        <f>'2016'!AH8</f>
        <v>2</v>
      </c>
      <c r="AS102" s="48">
        <f>'2016'!AI8</f>
        <v>6</v>
      </c>
      <c r="AT102" s="48">
        <f>'2016'!AJ8</f>
        <v>6</v>
      </c>
      <c r="AU102" s="48">
        <f>'2016'!AK8</f>
        <v>10</v>
      </c>
      <c r="AV102" s="48">
        <f>'2016'!AL8</f>
        <v>3</v>
      </c>
      <c r="AW102" s="48">
        <f>'2016'!AM8</f>
        <v>8</v>
      </c>
      <c r="AX102" s="48">
        <f>'2016'!AN8</f>
        <v>4</v>
      </c>
      <c r="AY102" s="49">
        <f>'2016'!AO8</f>
        <v>3</v>
      </c>
      <c r="AZ102" s="50">
        <f>'2016'!AP8</f>
        <v>1</v>
      </c>
      <c r="BA102" s="56">
        <f>'2016'!AQ8</f>
        <v>0</v>
      </c>
      <c r="BB102" s="57">
        <f>'2016'!AR8</f>
        <v>1</v>
      </c>
      <c r="BC102" s="57">
        <f>'2016'!AS8</f>
        <v>0</v>
      </c>
      <c r="BD102" s="57">
        <f>'2016'!AT8</f>
        <v>0</v>
      </c>
      <c r="BE102" s="57">
        <f>'2016'!AU8</f>
        <v>0</v>
      </c>
      <c r="BF102" s="57">
        <f>'2016'!AV8</f>
        <v>0</v>
      </c>
      <c r="BG102" s="58">
        <f>'2016'!AW8</f>
        <v>0</v>
      </c>
      <c r="BH102" s="58">
        <f>'2016'!AX8</f>
        <v>0</v>
      </c>
      <c r="BI102" s="58">
        <f>'2016'!AY8</f>
        <v>0</v>
      </c>
      <c r="BJ102" s="58">
        <f>'2016'!AZ8</f>
        <v>0</v>
      </c>
      <c r="BK102" s="57">
        <f>'2016'!BA8</f>
        <v>0</v>
      </c>
      <c r="BL102" s="57">
        <f>'2016'!BB8</f>
        <v>1</v>
      </c>
      <c r="BM102" s="57">
        <f>'2016'!BC8</f>
        <v>0</v>
      </c>
      <c r="BN102" s="57">
        <f>'2016'!BD8</f>
        <v>0</v>
      </c>
      <c r="BO102" s="59">
        <f>'2016'!BE8</f>
        <v>0</v>
      </c>
      <c r="BP102" s="56">
        <f>'2016'!BF8</f>
        <v>231</v>
      </c>
      <c r="BQ102" s="57">
        <f>'2016'!BG8</f>
        <v>1305.7</v>
      </c>
      <c r="BR102" s="57">
        <f>'2016'!BH8</f>
        <v>0</v>
      </c>
      <c r="BS102" s="57">
        <f>'2016'!BI8</f>
        <v>11</v>
      </c>
      <c r="BT102" s="57">
        <f>'2016'!BJ8</f>
        <v>0</v>
      </c>
      <c r="BU102" s="57">
        <f>'2016'!BK8</f>
        <v>0</v>
      </c>
      <c r="BV102" s="58">
        <f>'2016'!BL8</f>
        <v>0</v>
      </c>
      <c r="BW102" s="58">
        <f>'2016'!BM8</f>
        <v>0</v>
      </c>
      <c r="BX102" s="58">
        <f>'2016'!BN8</f>
        <v>0</v>
      </c>
      <c r="BY102" s="58">
        <f>'2016'!BO8</f>
        <v>0</v>
      </c>
      <c r="BZ102" s="57">
        <f>'2016'!BP8</f>
        <v>208</v>
      </c>
      <c r="CA102" s="57">
        <f>'2016'!BQ8</f>
        <v>3316.5</v>
      </c>
      <c r="CB102" s="57">
        <f>'2016'!BR8</f>
        <v>8</v>
      </c>
      <c r="CC102" s="57">
        <f>'2016'!BS8</f>
        <v>2</v>
      </c>
      <c r="CD102" s="59">
        <f>'2016'!BT8</f>
        <v>20.9</v>
      </c>
      <c r="CE102" s="56">
        <f>'2016'!BU8</f>
        <v>900</v>
      </c>
      <c r="CF102" s="57">
        <f>'2016'!BV8</f>
        <v>2504</v>
      </c>
      <c r="CG102" s="57">
        <f>'2016'!BW8</f>
        <v>4</v>
      </c>
      <c r="CH102" s="57">
        <f>'2016'!BX8</f>
        <v>14</v>
      </c>
      <c r="CI102" s="57">
        <f>'2016'!BY8</f>
        <v>0</v>
      </c>
      <c r="CJ102" s="57">
        <f>'2016'!BZ8</f>
        <v>0</v>
      </c>
      <c r="CK102" s="58">
        <f>'2016'!CA8</f>
        <v>0</v>
      </c>
      <c r="CL102" s="58">
        <f>'2016'!CB8</f>
        <v>0</v>
      </c>
      <c r="CM102" s="58">
        <f>'2016'!CC8</f>
        <v>0</v>
      </c>
      <c r="CN102" s="58">
        <f>'2016'!CD8</f>
        <v>0</v>
      </c>
      <c r="CO102" s="57">
        <f>'2016'!CE8</f>
        <v>72</v>
      </c>
      <c r="CP102" s="57">
        <f>'2016'!CF8</f>
        <v>1782</v>
      </c>
      <c r="CQ102" s="57">
        <f>'2016'!CG8</f>
        <v>7</v>
      </c>
      <c r="CR102" s="57">
        <f>'2016'!CH8</f>
        <v>2</v>
      </c>
      <c r="CS102" s="59">
        <f>'2016'!CI8</f>
        <v>15</v>
      </c>
      <c r="CT102" s="56">
        <f>'2016'!CJ8</f>
        <v>1194</v>
      </c>
      <c r="CU102" s="57">
        <f>'2016'!CK8</f>
        <v>2834</v>
      </c>
      <c r="CV102" s="57">
        <f>'2016'!CL8</f>
        <v>12</v>
      </c>
      <c r="CW102" s="57">
        <f>'2016'!CM8</f>
        <v>31.2</v>
      </c>
      <c r="CX102" s="57">
        <f>'2016'!CN8</f>
        <v>211</v>
      </c>
      <c r="CY102" s="57">
        <f>'2016'!CO8</f>
        <v>65</v>
      </c>
      <c r="CZ102" s="58">
        <f>'2016'!CP8</f>
        <v>5.6587677725118484</v>
      </c>
      <c r="DA102" s="58">
        <f>'2016'!CQ8</f>
        <v>101.9</v>
      </c>
      <c r="DB102" s="58">
        <f>'2016'!CR8</f>
        <v>3.48</v>
      </c>
      <c r="DC102" s="58">
        <f>'2016'!CS8</f>
        <v>34.299999999999997</v>
      </c>
      <c r="DD102" s="57">
        <f>'2016'!CT8</f>
        <v>104</v>
      </c>
      <c r="DE102" s="57">
        <f>'2016'!CU8</f>
        <v>2444</v>
      </c>
      <c r="DF102" s="57">
        <f>'2016'!CV8</f>
        <v>8</v>
      </c>
      <c r="DG102" s="57">
        <f>'2016'!CW8</f>
        <v>0</v>
      </c>
      <c r="DH102" s="59">
        <f>'2016'!CX8</f>
        <v>20.8</v>
      </c>
      <c r="DI102" s="56">
        <f>'2016'!CY8</f>
        <v>0</v>
      </c>
      <c r="DJ102" s="57">
        <f>'2016'!CZ8</f>
        <v>1</v>
      </c>
      <c r="DK102" s="57">
        <f>'2016'!DA8</f>
        <v>0</v>
      </c>
      <c r="DL102" s="57">
        <f>'2016'!DB8</f>
        <v>0</v>
      </c>
      <c r="DM102" s="57">
        <f>'2016'!DC8</f>
        <v>0</v>
      </c>
      <c r="DN102" s="57">
        <f>'2016'!DD8</f>
        <v>0</v>
      </c>
      <c r="DO102" s="58">
        <f>'2016'!DE8</f>
        <v>0</v>
      </c>
      <c r="DP102" s="58">
        <f>'2016'!DF8</f>
        <v>0</v>
      </c>
      <c r="DQ102" s="58">
        <f>'2016'!DG8</f>
        <v>0</v>
      </c>
      <c r="DR102" s="58">
        <f>'2016'!DH8</f>
        <v>0</v>
      </c>
      <c r="DS102" s="57">
        <f>'2016'!DI8</f>
        <v>0</v>
      </c>
      <c r="DT102" s="57">
        <f>'2016'!DJ8</f>
        <v>1</v>
      </c>
      <c r="DU102" s="57">
        <f>'2016'!DK8</f>
        <v>0</v>
      </c>
      <c r="DV102" s="57">
        <f>'2016'!DL8</f>
        <v>0</v>
      </c>
      <c r="DW102" s="59">
        <f>'2016'!DM8</f>
        <v>0</v>
      </c>
    </row>
    <row r="103" spans="1:127" ht="15.75" customHeight="1" x14ac:dyDescent="0.2">
      <c r="A103" s="33">
        <f t="shared" si="12"/>
        <v>101</v>
      </c>
      <c r="B103" s="11">
        <f>'2016'!A9</f>
        <v>7</v>
      </c>
      <c r="C103" s="11">
        <v>2016</v>
      </c>
      <c r="D103" s="34" t="str">
        <f>'2016'!B9</f>
        <v>Paul Perkins</v>
      </c>
      <c r="E103" s="224" t="str" cm="1">
        <f t="array" ref="E103">_xlfn.IFS(F103&gt;=13,"Cornerstone",AND(F103&gt;=12,F103&lt;13),"Elite",AND(F103&gt;=11,F103&lt;12),"Elite Upside",AND(F103&gt;=9,F103&lt;11),"Upside",AND(F103&gt;=7,F103&lt;9),"Upside Lite",AND(F103&gt;=6,F103&lt;7),"Outlier",AND(F103&gt;=5,F103&lt;6),"Outlier Lite",F103&lt;5,"Purgatory")</f>
        <v>Upside Lite</v>
      </c>
      <c r="F103" s="14">
        <f>'2016'!C9</f>
        <v>8.1388888888888893</v>
      </c>
      <c r="G103" s="14">
        <f t="shared" si="19"/>
        <v>69.099999999999994</v>
      </c>
      <c r="H103" s="35">
        <f t="shared" si="13"/>
        <v>5.7761088312779575E-2</v>
      </c>
      <c r="I103" s="36" t="str">
        <f>'2016'!D9</f>
        <v>UCLA</v>
      </c>
      <c r="J103" s="37">
        <f>'2016'!E9</f>
        <v>5</v>
      </c>
      <c r="K103" s="38">
        <f>'2016'!F9</f>
        <v>34654</v>
      </c>
      <c r="L103" s="39">
        <f>'2016'!G9</f>
        <v>30.884931506849316</v>
      </c>
      <c r="M103" s="39" t="str">
        <f>'2016'!H9</f>
        <v>JR</v>
      </c>
      <c r="N103" s="39">
        <f>'2016'!I9</f>
        <v>21.460273972602739</v>
      </c>
      <c r="O103" s="39" t="str">
        <f t="shared" si="14"/>
        <v>BELL CALF</v>
      </c>
      <c r="P103" s="39" t="str">
        <f t="shared" si="17"/>
        <v>SLASHER</v>
      </c>
      <c r="Q103" s="37">
        <f>'2016'!J9</f>
        <v>70</v>
      </c>
      <c r="R103" s="37">
        <f>'2016'!K9</f>
        <v>208</v>
      </c>
      <c r="S103" s="39">
        <f t="shared" si="18"/>
        <v>29.84456189320542</v>
      </c>
      <c r="T103" s="37">
        <f>'2016'!L9</f>
        <v>4.54</v>
      </c>
      <c r="U103" s="55">
        <f>'2016'!M9</f>
        <v>5</v>
      </c>
      <c r="V103" s="41">
        <f>'2016'!N9</f>
        <v>0</v>
      </c>
      <c r="W103" s="42">
        <f>'2016'!O9</f>
        <v>0</v>
      </c>
      <c r="X103" s="42">
        <f>'2016'!P9</f>
        <v>0.14918454935622319</v>
      </c>
      <c r="Y103" s="42">
        <f>'2016'!Q9</f>
        <v>0.29105140263755058</v>
      </c>
      <c r="Z103" s="42">
        <f>'2016'!R9</f>
        <v>0.26098016220412612</v>
      </c>
      <c r="AA103" s="42">
        <f>'2016'!S9</f>
        <v>0.27601578242083835</v>
      </c>
      <c r="AB103" s="42">
        <f>'2016'!T9</f>
        <v>0.2346134150577126</v>
      </c>
      <c r="AC103" s="42">
        <f>'2016'!U9</f>
        <v>5.9858840346645223E-2</v>
      </c>
      <c r="AD103" s="42">
        <f>'2016'!V9</f>
        <v>6.5766701280719972E-2</v>
      </c>
      <c r="AE103" s="42">
        <f>'2016'!W9</f>
        <v>6.5766701280719972E-2</v>
      </c>
      <c r="AF103" s="43">
        <f>'2016'!X9</f>
        <v>5.5901696088611973E-2</v>
      </c>
      <c r="AG103" s="44">
        <f>'2016'!Y9</f>
        <v>19.805479452054794</v>
      </c>
      <c r="AH103" s="45">
        <f>'2016'!Z9</f>
        <v>97.919665042917714</v>
      </c>
      <c r="AI103" s="45">
        <f>'2016'!AA9</f>
        <v>29.841632653061225</v>
      </c>
      <c r="AJ103" s="45">
        <f>'2016'!AB9</f>
        <v>0.30932203389830509</v>
      </c>
      <c r="AK103" s="45">
        <f>'2016'!AC9</f>
        <v>6.3012048192771086</v>
      </c>
      <c r="AL103" s="45">
        <f t="shared" si="15"/>
        <v>9.3000000000000007</v>
      </c>
      <c r="AM103" s="45">
        <f t="shared" ref="AM103:AM130" si="21">DU103/SUM(DM103,DU103)</f>
        <v>0.11278195488721804</v>
      </c>
      <c r="AN103" s="45">
        <f>'2016'!AD9</f>
        <v>115.6</v>
      </c>
      <c r="AO103" s="45">
        <f>'2016'!AE9</f>
        <v>3.58</v>
      </c>
      <c r="AP103" s="46">
        <f>'2016'!AF9</f>
        <v>41.9</v>
      </c>
      <c r="AQ103" s="47">
        <f>'2016'!AG9</f>
        <v>5</v>
      </c>
      <c r="AR103" s="48">
        <f>'2016'!AH9</f>
        <v>6</v>
      </c>
      <c r="AS103" s="48">
        <f>'2016'!AI9</f>
        <v>5</v>
      </c>
      <c r="AT103" s="48">
        <f>'2016'!AJ9</f>
        <v>4</v>
      </c>
      <c r="AU103" s="48">
        <f>'2016'!AK9</f>
        <v>10</v>
      </c>
      <c r="AV103" s="48">
        <f>'2016'!AL9</f>
        <v>5</v>
      </c>
      <c r="AW103" s="48">
        <f>'2016'!AM9</f>
        <v>9</v>
      </c>
      <c r="AX103" s="48">
        <f>'2016'!AN9</f>
        <v>5</v>
      </c>
      <c r="AY103" s="49">
        <f>'2016'!AO9</f>
        <v>3</v>
      </c>
      <c r="AZ103" s="50">
        <f>'2016'!AP9</f>
        <v>0</v>
      </c>
      <c r="BA103" s="56">
        <f>'2016'!AQ9</f>
        <v>0</v>
      </c>
      <c r="BB103" s="57">
        <f>'2016'!AR9</f>
        <v>1</v>
      </c>
      <c r="BC103" s="57">
        <f>'2016'!AS9</f>
        <v>0</v>
      </c>
      <c r="BD103" s="57">
        <f>'2016'!AT9</f>
        <v>0</v>
      </c>
      <c r="BE103" s="57">
        <f>'2016'!AU9</f>
        <v>0</v>
      </c>
      <c r="BF103" s="57">
        <f>'2016'!AV9</f>
        <v>0</v>
      </c>
      <c r="BG103" s="58">
        <f>'2016'!AW9</f>
        <v>0</v>
      </c>
      <c r="BH103" s="58">
        <f>'2016'!AX9</f>
        <v>0</v>
      </c>
      <c r="BI103" s="58">
        <f>'2016'!AY9</f>
        <v>0</v>
      </c>
      <c r="BJ103" s="58">
        <f>'2016'!AZ9</f>
        <v>0</v>
      </c>
      <c r="BK103" s="57">
        <f>'2016'!BA9</f>
        <v>0</v>
      </c>
      <c r="BL103" s="57">
        <f>'2016'!BB9</f>
        <v>1</v>
      </c>
      <c r="BM103" s="57">
        <f>'2016'!BC9</f>
        <v>0</v>
      </c>
      <c r="BN103" s="57">
        <f>'2016'!BD9</f>
        <v>0</v>
      </c>
      <c r="BO103" s="59">
        <f>'2016'!BE9</f>
        <v>0</v>
      </c>
      <c r="BP103" s="56">
        <f>'2016'!BF9</f>
        <v>0</v>
      </c>
      <c r="BQ103" s="57">
        <f>'2016'!BG9</f>
        <v>1</v>
      </c>
      <c r="BR103" s="57">
        <f>'2016'!BH9</f>
        <v>0</v>
      </c>
      <c r="BS103" s="57">
        <f>'2016'!BI9</f>
        <v>0</v>
      </c>
      <c r="BT103" s="57">
        <f>'2016'!BJ9</f>
        <v>0</v>
      </c>
      <c r="BU103" s="57">
        <f>'2016'!BK9</f>
        <v>0</v>
      </c>
      <c r="BV103" s="58">
        <f>'2016'!BL9</f>
        <v>0</v>
      </c>
      <c r="BW103" s="58">
        <f>'2016'!BM9</f>
        <v>0</v>
      </c>
      <c r="BX103" s="58">
        <f>'2016'!BN9</f>
        <v>0</v>
      </c>
      <c r="BY103" s="58">
        <f>'2016'!BO9</f>
        <v>0</v>
      </c>
      <c r="BZ103" s="57">
        <f>'2016'!BP9</f>
        <v>0</v>
      </c>
      <c r="CA103" s="57">
        <f>'2016'!BQ9</f>
        <v>1</v>
      </c>
      <c r="CB103" s="57">
        <f>'2016'!BR9</f>
        <v>0</v>
      </c>
      <c r="CC103" s="57">
        <f>'2016'!BS9</f>
        <v>0</v>
      </c>
      <c r="CD103" s="59">
        <f>'2016'!BT9</f>
        <v>0</v>
      </c>
      <c r="CE103" s="56">
        <f>'2016'!BU9</f>
        <v>573</v>
      </c>
      <c r="CF103" s="57">
        <f>'2016'!BV9</f>
        <v>2556</v>
      </c>
      <c r="CG103" s="57">
        <f>'2016'!BW9</f>
        <v>6</v>
      </c>
      <c r="CH103" s="57">
        <f>'2016'!BX9</f>
        <v>36</v>
      </c>
      <c r="CI103" s="57">
        <f>'2016'!BY9</f>
        <v>0</v>
      </c>
      <c r="CJ103" s="57">
        <f>'2016'!BZ9</f>
        <v>0</v>
      </c>
      <c r="CK103" s="58">
        <f>'2016'!CA9</f>
        <v>0</v>
      </c>
      <c r="CL103" s="58">
        <f>'2016'!CB9</f>
        <v>0</v>
      </c>
      <c r="CM103" s="58">
        <f>'2016'!CC9</f>
        <v>0</v>
      </c>
      <c r="CN103" s="58">
        <f>'2016'!CD9</f>
        <v>0</v>
      </c>
      <c r="CO103" s="57">
        <f>'2016'!CE9</f>
        <v>296</v>
      </c>
      <c r="CP103" s="57">
        <f>'2016'!CF9</f>
        <v>3269</v>
      </c>
      <c r="CQ103" s="57">
        <f>'2016'!CG9</f>
        <v>24</v>
      </c>
      <c r="CR103" s="57">
        <f>'2016'!CH9</f>
        <v>0</v>
      </c>
      <c r="CS103" s="59">
        <f>'2016'!CI9</f>
        <v>25</v>
      </c>
      <c r="CT103" s="56">
        <f>'2016'!CJ9</f>
        <v>1569</v>
      </c>
      <c r="CU103" s="57">
        <f>'2016'!CK9</f>
        <v>2723.5</v>
      </c>
      <c r="CV103" s="57">
        <f>'2016'!CL9</f>
        <v>9</v>
      </c>
      <c r="CW103" s="57">
        <f>'2016'!CM9</f>
        <v>26</v>
      </c>
      <c r="CX103" s="57">
        <f>'2016'!CN9</f>
        <v>249</v>
      </c>
      <c r="CY103" s="57">
        <f>'2016'!CO9</f>
        <v>31</v>
      </c>
      <c r="CZ103" s="58">
        <f>'2016'!CP9</f>
        <v>6.3012048192771086</v>
      </c>
      <c r="DA103" s="58">
        <f>'2016'!CQ9</f>
        <v>43</v>
      </c>
      <c r="DB103" s="58">
        <f>'2016'!CR9</f>
        <v>2.88</v>
      </c>
      <c r="DC103" s="58">
        <f>'2016'!CS9</f>
        <v>41.9</v>
      </c>
      <c r="DD103" s="57">
        <f>'2016'!CT9</f>
        <v>201</v>
      </c>
      <c r="DE103" s="57">
        <f>'2016'!CU9</f>
        <v>3357.9</v>
      </c>
      <c r="DF103" s="57">
        <f>'2016'!CV9</f>
        <v>26</v>
      </c>
      <c r="DG103" s="57">
        <f>'2016'!CW9</f>
        <v>2</v>
      </c>
      <c r="DH103" s="59">
        <f>'2016'!CX9</f>
        <v>23.400000000000002</v>
      </c>
      <c r="DI103" s="56">
        <f>'2016'!CY9</f>
        <v>1333</v>
      </c>
      <c r="DJ103" s="57">
        <f>'2016'!CZ9</f>
        <v>2298.4</v>
      </c>
      <c r="DK103" s="57">
        <f>'2016'!DA9</f>
        <v>14</v>
      </c>
      <c r="DL103" s="57">
        <f>'2016'!DB9</f>
        <v>26</v>
      </c>
      <c r="DM103" s="57">
        <f>'2016'!DC9</f>
        <v>236</v>
      </c>
      <c r="DN103" s="57">
        <f>'2016'!DD9</f>
        <v>73</v>
      </c>
      <c r="DO103" s="58">
        <f>'2016'!DE9</f>
        <v>5.648305084745763</v>
      </c>
      <c r="DP103" s="58">
        <f>'2016'!DF9</f>
        <v>115.6</v>
      </c>
      <c r="DQ103" s="58">
        <f>'2016'!DG9</f>
        <v>3.58</v>
      </c>
      <c r="DR103" s="58">
        <f>'2016'!DH9</f>
        <v>39.9</v>
      </c>
      <c r="DS103" s="57">
        <f>'2016'!DI9</f>
        <v>247</v>
      </c>
      <c r="DT103" s="57">
        <f>'2016'!DJ9</f>
        <v>3755.7</v>
      </c>
      <c r="DU103" s="57">
        <f>'2016'!DK9</f>
        <v>30</v>
      </c>
      <c r="DV103" s="57">
        <f>'2016'!DL9</f>
        <v>1</v>
      </c>
      <c r="DW103" s="59">
        <f>'2016'!DM9</f>
        <v>23.400000000000002</v>
      </c>
    </row>
    <row r="104" spans="1:127" ht="15.75" customHeight="1" x14ac:dyDescent="0.2">
      <c r="A104" s="33">
        <f t="shared" si="12"/>
        <v>102</v>
      </c>
      <c r="B104" s="11">
        <f>'2025'!A17</f>
        <v>15</v>
      </c>
      <c r="C104" s="11">
        <v>2025</v>
      </c>
      <c r="D104" s="34" t="str">
        <f>'2025'!B17</f>
        <v>Jaydon Blue</v>
      </c>
      <c r="E104" s="224" t="str" cm="1">
        <f t="array" ref="E104">_xlfn.IFS(F104&gt;=13,"Cornerstone",AND(F104&gt;=12,F104&lt;13),"Elite",AND(F104&gt;=11,F104&lt;12),"Elite Upside",AND(F104&gt;=9,F104&lt;11),"Upside",AND(F104&gt;=7,F104&lt;9),"Upside Lite",AND(F104&gt;=6,F104&lt;7),"Outlier",AND(F104&gt;=5,F104&lt;6),"Outlier Lite",F104&lt;5,"Purgatory")</f>
        <v>Upside Lite</v>
      </c>
      <c r="F104" s="14">
        <f>'2025'!C17</f>
        <v>8.0833333333333321</v>
      </c>
      <c r="G104" s="14">
        <f t="shared" si="19"/>
        <v>68.8</v>
      </c>
      <c r="H104" s="35">
        <f t="shared" si="13"/>
        <v>3.4248584743910043E-2</v>
      </c>
      <c r="I104" s="36" t="str">
        <f>'2025'!D17</f>
        <v>Texas</v>
      </c>
      <c r="J104" s="37">
        <f>'2025'!E17</f>
        <v>1</v>
      </c>
      <c r="K104" s="38">
        <f>'2025'!F17</f>
        <v>37994</v>
      </c>
      <c r="L104" s="39">
        <f>'2025'!G17</f>
        <v>21.734246575342464</v>
      </c>
      <c r="M104" s="39" t="str">
        <f>'2025'!H17</f>
        <v>JR</v>
      </c>
      <c r="N104" s="39">
        <f>'2025'!I17</f>
        <v>21.315068493150687</v>
      </c>
      <c r="O104" s="39" t="str">
        <f t="shared" si="14"/>
        <v>JITTERBUG</v>
      </c>
      <c r="P104" s="39" t="str">
        <f t="shared" si="17"/>
        <v>+RECEIVER</v>
      </c>
      <c r="Q104" s="37">
        <f>'2025'!J17</f>
        <v>69</v>
      </c>
      <c r="R104" s="37">
        <f>'2025'!K17</f>
        <v>196</v>
      </c>
      <c r="S104" s="39">
        <f t="shared" si="18"/>
        <v>28.943819618368078</v>
      </c>
      <c r="T104" s="37">
        <f>'2025'!L17</f>
        <v>4.28</v>
      </c>
      <c r="U104" s="40">
        <f>'2025'!M17</f>
        <v>5</v>
      </c>
      <c r="V104" s="41">
        <f>'2025'!N17</f>
        <v>0</v>
      </c>
      <c r="W104" s="42">
        <f>'2025'!O17</f>
        <v>0</v>
      </c>
      <c r="X104" s="42">
        <f>'2025'!P17</f>
        <v>8.5350713842333968E-3</v>
      </c>
      <c r="Y104" s="42">
        <f>'2025'!Q17</f>
        <v>8.00299177262528E-2</v>
      </c>
      <c r="Z104" s="42">
        <f>'2025'!R17</f>
        <v>0.16651432053625839</v>
      </c>
      <c r="AA104" s="42">
        <f>'2025'!S17</f>
        <v>0.16651432053625839</v>
      </c>
      <c r="AB104" s="42">
        <f>'2025'!T17</f>
        <v>0.16651432053625839</v>
      </c>
      <c r="AC104" s="42">
        <f>'2025'!U17</f>
        <v>3.3848890645846709E-2</v>
      </c>
      <c r="AD104" s="42">
        <f>'2025'!V17</f>
        <v>8.7278813964610236E-2</v>
      </c>
      <c r="AE104" s="42">
        <f>'2025'!W17</f>
        <v>8.7278813964610236E-2</v>
      </c>
      <c r="AF104" s="43">
        <f>'2025'!X17</f>
        <v>8.7278813964610236E-2</v>
      </c>
      <c r="AG104" s="44">
        <f>'2025'!Y17</f>
        <v>20.671232876712327</v>
      </c>
      <c r="AH104" s="45">
        <f>'2025'!Z17</f>
        <v>116.8183293447773</v>
      </c>
      <c r="AI104" s="45">
        <f>'2025'!AA17</f>
        <v>28.940978785969335</v>
      </c>
      <c r="AJ104" s="45">
        <f>'2025'!AB17</f>
        <v>0.27692307692307694</v>
      </c>
      <c r="AK104" s="45">
        <f>'2025'!AC17</f>
        <v>6.1230769230769226</v>
      </c>
      <c r="AL104" s="45">
        <f t="shared" si="15"/>
        <v>9.127272727272727</v>
      </c>
      <c r="AM104" s="45">
        <f t="shared" si="21"/>
        <v>0.23295454545454544</v>
      </c>
      <c r="AN104" s="45">
        <f>'2025'!AD17</f>
        <v>113.1</v>
      </c>
      <c r="AO104" s="45">
        <f>'2025'!AE17</f>
        <v>3.83</v>
      </c>
      <c r="AP104" s="46">
        <f>'2025'!AF17</f>
        <v>39.6</v>
      </c>
      <c r="AQ104" s="47">
        <f>'2025'!AG17</f>
        <v>2</v>
      </c>
      <c r="AR104" s="48">
        <f>'2025'!AH17</f>
        <v>8</v>
      </c>
      <c r="AS104" s="48">
        <f>'2025'!AI17</f>
        <v>3</v>
      </c>
      <c r="AT104" s="48">
        <f>'2025'!AJ17</f>
        <v>10</v>
      </c>
      <c r="AU104" s="48">
        <f>'2025'!AK17</f>
        <v>7</v>
      </c>
      <c r="AV104" s="48">
        <f>'2025'!AL17</f>
        <v>5</v>
      </c>
      <c r="AW104" s="48">
        <f>'2025'!AM17</f>
        <v>5</v>
      </c>
      <c r="AX104" s="48">
        <f>'2025'!AN17</f>
        <v>3</v>
      </c>
      <c r="AY104" s="49">
        <f>'2025'!AO17</f>
        <v>3</v>
      </c>
      <c r="AZ104" s="50">
        <f>'2025'!AP17</f>
        <v>0.75</v>
      </c>
      <c r="BA104" s="56">
        <f>'2025'!AQ17</f>
        <v>0</v>
      </c>
      <c r="BB104" s="57">
        <f>'2025'!AR17</f>
        <v>1</v>
      </c>
      <c r="BC104" s="57">
        <f>'2025'!AS17</f>
        <v>0</v>
      </c>
      <c r="BD104" s="57">
        <f>'2025'!AT17</f>
        <v>0</v>
      </c>
      <c r="BE104" s="57">
        <f>'2025'!AU17</f>
        <v>0</v>
      </c>
      <c r="BF104" s="57">
        <f>'2025'!AV17</f>
        <v>0</v>
      </c>
      <c r="BG104" s="58">
        <f>'2025'!AW17</f>
        <v>0</v>
      </c>
      <c r="BH104" s="58">
        <f>'2025'!AX17</f>
        <v>0</v>
      </c>
      <c r="BI104" s="58">
        <f>'2025'!AY17</f>
        <v>0</v>
      </c>
      <c r="BJ104" s="58">
        <f>'2025'!AZ17</f>
        <v>0</v>
      </c>
      <c r="BK104" s="57">
        <f>'2025'!BA17</f>
        <v>0</v>
      </c>
      <c r="BL104" s="57">
        <f>'2025'!BB17</f>
        <v>0</v>
      </c>
      <c r="BM104" s="57">
        <f>'2025'!BC17</f>
        <v>0</v>
      </c>
      <c r="BN104" s="57">
        <f>'2025'!BD17</f>
        <v>0</v>
      </c>
      <c r="BO104" s="59">
        <f>'2025'!BE17</f>
        <v>0</v>
      </c>
      <c r="BP104" s="56">
        <f>'2025'!BF17</f>
        <v>0</v>
      </c>
      <c r="BQ104" s="57">
        <f>'2025'!BG17</f>
        <v>1</v>
      </c>
      <c r="BR104" s="57">
        <f>'2025'!BH17</f>
        <v>0</v>
      </c>
      <c r="BS104" s="57">
        <f>'2025'!BI17</f>
        <v>0</v>
      </c>
      <c r="BT104" s="57">
        <f>'2025'!BJ17</f>
        <v>0</v>
      </c>
      <c r="BU104" s="57">
        <f>'2025'!BK17</f>
        <v>0</v>
      </c>
      <c r="BV104" s="58">
        <f>'2025'!BL17</f>
        <v>0</v>
      </c>
      <c r="BW104" s="58">
        <f>'2025'!BM17</f>
        <v>0</v>
      </c>
      <c r="BX104" s="58">
        <f>'2025'!BN17</f>
        <v>0</v>
      </c>
      <c r="BY104" s="58">
        <f>'2025'!BO17</f>
        <v>0</v>
      </c>
      <c r="BZ104" s="57">
        <f>'2025'!BP17</f>
        <v>0</v>
      </c>
      <c r="CA104" s="57">
        <f>'2025'!BQ17</f>
        <v>0</v>
      </c>
      <c r="CB104" s="57">
        <f>'2025'!BR17</f>
        <v>0</v>
      </c>
      <c r="CC104" s="57">
        <f>'2025'!BS17</f>
        <v>0</v>
      </c>
      <c r="CD104" s="59">
        <f>'2025'!BT17</f>
        <v>0</v>
      </c>
      <c r="CE104" s="56">
        <f>'2025'!BU17</f>
        <v>33</v>
      </c>
      <c r="CF104" s="57">
        <f>'2025'!BV17</f>
        <v>1693.8</v>
      </c>
      <c r="CG104" s="57">
        <f>'2025'!BW17</f>
        <v>0</v>
      </c>
      <c r="CH104" s="57">
        <f>'2025'!BX17</f>
        <v>19.8</v>
      </c>
      <c r="CI104" s="57">
        <f>'2025'!BY17</f>
        <v>15</v>
      </c>
      <c r="CJ104" s="57">
        <f>'2025'!BZ17</f>
        <v>1</v>
      </c>
      <c r="CK104" s="58">
        <f>'2025'!CA17</f>
        <v>2.2000000000000002</v>
      </c>
      <c r="CL104" s="58">
        <f>'2025'!CB17</f>
        <v>11.6</v>
      </c>
      <c r="CM104" s="58">
        <f>'2025'!CC17</f>
        <v>1.73</v>
      </c>
      <c r="CN104" s="58">
        <f>'2025'!CD17</f>
        <v>0</v>
      </c>
      <c r="CO104" s="57">
        <f>'2025'!CE17</f>
        <v>0</v>
      </c>
      <c r="CP104" s="57">
        <f>'2025'!CF17</f>
        <v>2172.6</v>
      </c>
      <c r="CQ104" s="57">
        <f>'2025'!CG17</f>
        <v>0</v>
      </c>
      <c r="CR104" s="57">
        <f>'2025'!CH17</f>
        <v>0</v>
      </c>
      <c r="CS104" s="59">
        <f>'2025'!CI17</f>
        <v>15.299999999999999</v>
      </c>
      <c r="CT104" s="56">
        <f>'2025'!CJ17</f>
        <v>398</v>
      </c>
      <c r="CU104" s="57">
        <f>'2025'!CK17</f>
        <v>2637.6</v>
      </c>
      <c r="CV104" s="57">
        <f>'2025'!CL17</f>
        <v>3</v>
      </c>
      <c r="CW104" s="57">
        <f>'2025'!CM17</f>
        <v>29.400000000000002</v>
      </c>
      <c r="CX104" s="57">
        <f>'2025'!CN17</f>
        <v>65</v>
      </c>
      <c r="CY104" s="57">
        <f>'2025'!CO17</f>
        <v>18</v>
      </c>
      <c r="CZ104" s="58">
        <f>'2025'!CP17</f>
        <v>6.1230769230769226</v>
      </c>
      <c r="DA104" s="58">
        <f>'2025'!CQ17</f>
        <v>84.2</v>
      </c>
      <c r="DB104" s="58">
        <f>'2025'!CR17</f>
        <v>3.17</v>
      </c>
      <c r="DC104" s="58">
        <f>'2025'!CS17</f>
        <v>38.9</v>
      </c>
      <c r="DD104" s="57">
        <f>'2025'!CT17</f>
        <v>137</v>
      </c>
      <c r="DE104" s="57">
        <f>'2025'!CU17</f>
        <v>4047.4000000000005</v>
      </c>
      <c r="DF104" s="57">
        <f>'2025'!CV17</f>
        <v>14</v>
      </c>
      <c r="DG104" s="57">
        <f>'2025'!CW17</f>
        <v>1</v>
      </c>
      <c r="DH104" s="59">
        <f>'2025'!CX17</f>
        <v>25.2</v>
      </c>
      <c r="DI104" s="56">
        <f>'2025'!CY17</f>
        <v>728</v>
      </c>
      <c r="DJ104" s="57">
        <f>'2025'!CZ17</f>
        <v>2382</v>
      </c>
      <c r="DK104" s="57">
        <f>'2025'!DA17</f>
        <v>8</v>
      </c>
      <c r="DL104" s="57">
        <f>'2025'!DB17</f>
        <v>19.8</v>
      </c>
      <c r="DM104" s="57">
        <f>'2025'!DC17</f>
        <v>135</v>
      </c>
      <c r="DN104" s="57">
        <f>'2025'!DD17</f>
        <v>37</v>
      </c>
      <c r="DO104" s="58">
        <f>'2025'!DE17</f>
        <v>5.3925925925925924</v>
      </c>
      <c r="DP104" s="58">
        <f>'2025'!DF17</f>
        <v>113.1</v>
      </c>
      <c r="DQ104" s="58">
        <f>'2025'!DG17</f>
        <v>3.83</v>
      </c>
      <c r="DR104" s="58">
        <f>'2025'!DH17</f>
        <v>39.6</v>
      </c>
      <c r="DS104" s="57">
        <f>'2025'!DI17</f>
        <v>365</v>
      </c>
      <c r="DT104" s="57">
        <f>'2025'!DJ17</f>
        <v>4182</v>
      </c>
      <c r="DU104" s="57">
        <f>'2025'!DK17</f>
        <v>41</v>
      </c>
      <c r="DV104" s="57">
        <f>'2025'!DL17</f>
        <v>6</v>
      </c>
      <c r="DW104" s="59">
        <f>'2025'!DM17</f>
        <v>30.799999999999997</v>
      </c>
    </row>
    <row r="105" spans="1:127" ht="15.75" customHeight="1" x14ac:dyDescent="0.2">
      <c r="A105" s="33">
        <f t="shared" si="12"/>
        <v>103</v>
      </c>
      <c r="B105" s="11">
        <f>'2021'!A9</f>
        <v>7</v>
      </c>
      <c r="C105" s="11">
        <v>2021</v>
      </c>
      <c r="D105" s="34" t="str">
        <f>'2021'!B9</f>
        <v>Khalil Herbert</v>
      </c>
      <c r="E105" s="224" t="str" cm="1">
        <f t="array" ref="E105">_xlfn.IFS(F105&gt;=13,"Cornerstone",AND(F105&gt;=12,F105&lt;13),"Elite",AND(F105&gt;=11,F105&lt;12),"Elite Upside",AND(F105&gt;=9,F105&lt;11),"Upside",AND(F105&gt;=7,F105&lt;9),"Upside Lite",AND(F105&gt;=6,F105&lt;7),"Outlier",AND(F105&gt;=5,F105&lt;6),"Outlier Lite",F105&lt;5,"Purgatory")</f>
        <v>Upside Lite</v>
      </c>
      <c r="F105" s="14">
        <f>'2021'!C9</f>
        <v>8.06111111111111</v>
      </c>
      <c r="G105" s="14">
        <f t="shared" si="19"/>
        <v>68.5</v>
      </c>
      <c r="H105" s="35">
        <f t="shared" si="13"/>
        <v>2.4843583316362529E-2</v>
      </c>
      <c r="I105" s="36" t="str">
        <f>'2021'!D9</f>
        <v>Virginia Tech</v>
      </c>
      <c r="J105" s="37">
        <f>'2021'!E9</f>
        <v>4</v>
      </c>
      <c r="K105" s="38">
        <f>'2021'!F9</f>
        <v>35906</v>
      </c>
      <c r="L105" s="39">
        <f>'2021'!G9</f>
        <v>27.454794520547946</v>
      </c>
      <c r="M105" s="39" t="str">
        <f>'2021'!H9</f>
        <v>RS SR</v>
      </c>
      <c r="N105" s="39">
        <f>'2021'!I9</f>
        <v>23.038356164383561</v>
      </c>
      <c r="O105" s="39" t="str">
        <f t="shared" si="14"/>
        <v>DYNAMIC</v>
      </c>
      <c r="P105" s="39" t="str">
        <f t="shared" si="17"/>
        <v>3DOWN</v>
      </c>
      <c r="Q105" s="37">
        <f>'2021'!J9</f>
        <v>69</v>
      </c>
      <c r="R105" s="37">
        <f>'2021'!K9</f>
        <v>210</v>
      </c>
      <c r="S105" s="39">
        <f t="shared" si="18"/>
        <v>31.011235305394365</v>
      </c>
      <c r="T105" s="37">
        <f>'2021'!L9</f>
        <v>4.5</v>
      </c>
      <c r="U105" s="40">
        <f>'2021'!M9</f>
        <v>6</v>
      </c>
      <c r="V105" s="41">
        <f>'2021'!N9</f>
        <v>4.2951541850220265E-2</v>
      </c>
      <c r="W105" s="42">
        <f>'2021'!O9</f>
        <v>0.14101790384228524</v>
      </c>
      <c r="X105" s="42">
        <f>'2021'!P9</f>
        <v>0.11655368467089439</v>
      </c>
      <c r="Y105" s="42">
        <f>'2021'!Q9</f>
        <v>7.6421800947867297E-2</v>
      </c>
      <c r="Z105" s="42">
        <f>'2021'!R9</f>
        <v>0.27867161716171618</v>
      </c>
      <c r="AA105" s="42">
        <f>'2021'!S9</f>
        <v>0.27867161716171618</v>
      </c>
      <c r="AB105" s="42">
        <f>'2021'!T9</f>
        <v>0.25080445544554458</v>
      </c>
      <c r="AC105" s="42">
        <f>'2021'!U9</f>
        <v>-3.6036036036036037E-4</v>
      </c>
      <c r="AD105" s="42">
        <f>'2021'!V9</f>
        <v>8.1105573176257356E-2</v>
      </c>
      <c r="AE105" s="42">
        <f>'2021'!W9</f>
        <v>8.1105573176257356E-2</v>
      </c>
      <c r="AF105" s="43">
        <f>'2021'!X9</f>
        <v>7.2995015858631621E-2</v>
      </c>
      <c r="AG105" s="44">
        <f>'2021'!Y9</f>
        <v>22.391780821917809</v>
      </c>
      <c r="AH105" s="45">
        <f>'2021'!Z9</f>
        <v>102.42341106538638</v>
      </c>
      <c r="AI105" s="45">
        <f>'2021'!AA9</f>
        <v>31.008191556395715</v>
      </c>
      <c r="AJ105" s="45">
        <f>'2021'!AB9</f>
        <v>0.42857142857142855</v>
      </c>
      <c r="AK105" s="45">
        <f>'2021'!AC9</f>
        <v>9.1999999999999993</v>
      </c>
      <c r="AL105" s="45">
        <f t="shared" si="15"/>
        <v>10.714285714285714</v>
      </c>
      <c r="AM105" s="45">
        <f t="shared" si="21"/>
        <v>6.0606060606060608E-2</v>
      </c>
      <c r="AN105" s="45">
        <f>'2021'!AD9</f>
        <v>218.3</v>
      </c>
      <c r="AO105" s="45">
        <f>'2021'!AE9</f>
        <v>5.21</v>
      </c>
      <c r="AP105" s="46">
        <f>'2021'!AF9</f>
        <v>72.7</v>
      </c>
      <c r="AQ105" s="47">
        <f>'2021'!AG9</f>
        <v>6</v>
      </c>
      <c r="AR105" s="48">
        <f>'2021'!AH9</f>
        <v>7</v>
      </c>
      <c r="AS105" s="48">
        <f>'2021'!AI9</f>
        <v>1</v>
      </c>
      <c r="AT105" s="48">
        <f>IF(AH105&gt;113.25,10,IF(AH105&gt;=107.84,9,IF(AH105&gt;=105.37,8,IF(AH105&gt;=103.25,7,IF(AH105&gt;=100.55,6,IF(AH105&gt;=98.75,5,IF(AH105&gt;=96.08,4,IF(AH105&gt;=94.39,3,IF(AH105&gt;=88.43,2,IF(AH105&gt;=85.16,1,IF(AH105&lt;85.16,0,FALSE)))))))))))</f>
        <v>6</v>
      </c>
      <c r="AU105" s="48">
        <f>'2021'!AK9</f>
        <v>10</v>
      </c>
      <c r="AV105" s="48">
        <f>'2021'!AL9</f>
        <v>10</v>
      </c>
      <c r="AW105" s="48">
        <f>'2021'!AM9</f>
        <v>10</v>
      </c>
      <c r="AX105" s="48">
        <f>'2021'!AN9</f>
        <v>9</v>
      </c>
      <c r="AY105" s="49">
        <f>IF(U105=1,10,IF(U105=2,7,IF(U105=3,6,IF(U105=4,4,IF(U105=5,3,IF(U105=6,2,IF(U105=7,1,IF(U105=0,0,"-"))))))))</f>
        <v>2</v>
      </c>
      <c r="AZ105" s="50">
        <f>'2021'!AP9</f>
        <v>0</v>
      </c>
      <c r="BA105" s="56">
        <f>'2021'!AQ9</f>
        <v>189</v>
      </c>
      <c r="BB105" s="57">
        <f>'2021'!AR9</f>
        <v>2563</v>
      </c>
      <c r="BC105" s="57">
        <f>'2021'!AS9</f>
        <v>3</v>
      </c>
      <c r="BD105" s="57">
        <f>'2021'!AT9</f>
        <v>27</v>
      </c>
      <c r="BE105" s="57">
        <f>'2021'!AU9</f>
        <v>44</v>
      </c>
      <c r="BF105" s="57">
        <f>'2021'!AV9</f>
        <v>4</v>
      </c>
      <c r="BG105" s="58">
        <f>'2021'!AW9</f>
        <v>4.3</v>
      </c>
      <c r="BH105" s="58">
        <f>'2021'!AX9</f>
        <v>19.600000000000001</v>
      </c>
      <c r="BI105" s="58">
        <f>'2021'!AY9</f>
        <v>2.5</v>
      </c>
      <c r="BJ105" s="58">
        <f>'2021'!AZ9</f>
        <v>42.9</v>
      </c>
      <c r="BK105" s="57">
        <f>'2021'!BA9</f>
        <v>45</v>
      </c>
      <c r="BL105" s="57">
        <f>'2021'!BB9</f>
        <v>2885</v>
      </c>
      <c r="BM105" s="57">
        <f>'2021'!BC9</f>
        <v>7</v>
      </c>
      <c r="BN105" s="57">
        <f>'2021'!BD9</f>
        <v>0</v>
      </c>
      <c r="BO105" s="59">
        <f>'2021'!BE9</f>
        <v>16</v>
      </c>
      <c r="BP105" s="56">
        <f>'2021'!BF9</f>
        <v>663</v>
      </c>
      <c r="BQ105" s="57">
        <f>'2021'!BG9</f>
        <v>2254</v>
      </c>
      <c r="BR105" s="57">
        <f>'2021'!BH9</f>
        <v>4</v>
      </c>
      <c r="BS105" s="57">
        <f>'2021'!BI9</f>
        <v>19</v>
      </c>
      <c r="BT105" s="57">
        <f>'2021'!BJ9</f>
        <v>120</v>
      </c>
      <c r="BU105" s="57">
        <f>'2021'!BK9</f>
        <v>21</v>
      </c>
      <c r="BV105" s="58">
        <f>'2021'!BL9</f>
        <v>5.5</v>
      </c>
      <c r="BW105" s="58">
        <f>'2021'!BM9</f>
        <v>51</v>
      </c>
      <c r="BX105" s="58">
        <f>'2021'!BN9</f>
        <v>2.97</v>
      </c>
      <c r="BY105" s="58">
        <f>'2021'!BO9</f>
        <v>52.8</v>
      </c>
      <c r="BZ105" s="57">
        <f>'2021'!BP9</f>
        <v>38</v>
      </c>
      <c r="CA105" s="57">
        <f>'2021'!BQ9</f>
        <v>2717</v>
      </c>
      <c r="CB105" s="57">
        <f>'2021'!BR9</f>
        <v>8</v>
      </c>
      <c r="CC105" s="57">
        <f>'2021'!BS9</f>
        <v>0</v>
      </c>
      <c r="CD105" s="59">
        <f>'2021'!BT9</f>
        <v>14</v>
      </c>
      <c r="CE105" s="56">
        <f>'2021'!BU9</f>
        <v>494</v>
      </c>
      <c r="CF105" s="57">
        <f>'2021'!BV9</f>
        <v>2266</v>
      </c>
      <c r="CG105" s="57">
        <f>'2021'!BW9</f>
        <v>5</v>
      </c>
      <c r="CH105" s="57">
        <f>'2021'!BX9</f>
        <v>19</v>
      </c>
      <c r="CI105" s="57">
        <f>'2021'!BY9</f>
        <v>113</v>
      </c>
      <c r="CJ105" s="57">
        <f>'2021'!BZ9</f>
        <v>25</v>
      </c>
      <c r="CK105" s="58">
        <f>'2021'!CA9</f>
        <v>4.4000000000000004</v>
      </c>
      <c r="CL105" s="58">
        <f>'2021'!CB9</f>
        <v>69.900000000000006</v>
      </c>
      <c r="CM105" s="58">
        <f>'2021'!CC9</f>
        <v>3.16</v>
      </c>
      <c r="CN105" s="58">
        <f>'2021'!CD9</f>
        <v>44.9</v>
      </c>
      <c r="CO105" s="57">
        <f>'2021'!CE9</f>
        <v>39</v>
      </c>
      <c r="CP105" s="57">
        <f>'2021'!CF9</f>
        <v>2307</v>
      </c>
      <c r="CQ105" s="57">
        <f>'2021'!CG9</f>
        <v>2</v>
      </c>
      <c r="CR105" s="57">
        <f>'2021'!CH9</f>
        <v>0</v>
      </c>
      <c r="CS105" s="59">
        <f>'2021'!CI9</f>
        <v>18</v>
      </c>
      <c r="CT105" s="56">
        <f>'2021'!CJ9</f>
        <v>388</v>
      </c>
      <c r="CU105" s="57">
        <f>'2021'!CK9</f>
        <v>2289</v>
      </c>
      <c r="CV105" s="57">
        <f>'2021'!CL9</f>
        <v>2</v>
      </c>
      <c r="CW105" s="57">
        <f>'2021'!CM9</f>
        <v>22</v>
      </c>
      <c r="CX105" s="57">
        <f>'2021'!CN9</f>
        <v>42</v>
      </c>
      <c r="CY105" s="57">
        <f>'2021'!CO9</f>
        <v>18</v>
      </c>
      <c r="CZ105" s="58">
        <f>'2021'!CP9</f>
        <v>9.1999999999999993</v>
      </c>
      <c r="DA105" s="58">
        <f>'2021'!CQ9</f>
        <v>218.3</v>
      </c>
      <c r="DB105" s="58">
        <f>'2021'!CR9</f>
        <v>5.21</v>
      </c>
      <c r="DC105" s="58">
        <f>'2021'!CS9</f>
        <v>72.7</v>
      </c>
      <c r="DD105" s="57">
        <f>'2021'!CT9</f>
        <v>-1</v>
      </c>
      <c r="DE105" s="57">
        <f>'2021'!CU9</f>
        <v>2775</v>
      </c>
      <c r="DF105" s="57">
        <f>'2021'!CV9</f>
        <v>1</v>
      </c>
      <c r="DG105" s="57">
        <f>'2021'!CW9</f>
        <v>0</v>
      </c>
      <c r="DH105" s="59">
        <f>'2021'!CX9</f>
        <v>25</v>
      </c>
      <c r="DI105" s="56">
        <f>'2021'!CY9</f>
        <v>1172</v>
      </c>
      <c r="DJ105" s="57">
        <f>'2021'!CZ9</f>
        <v>2641</v>
      </c>
      <c r="DK105" s="57">
        <f>'2021'!DA9</f>
        <v>8</v>
      </c>
      <c r="DL105" s="57">
        <f>'2021'!DB9</f>
        <v>27</v>
      </c>
      <c r="DM105" s="57">
        <f>'2021'!DC9</f>
        <v>155</v>
      </c>
      <c r="DN105" s="57">
        <f>'2021'!DD9</f>
        <v>42</v>
      </c>
      <c r="DO105" s="58">
        <f>'2021'!DE9</f>
        <v>7.6</v>
      </c>
      <c r="DP105" s="58">
        <f>'2021'!DF9</f>
        <v>126.3</v>
      </c>
      <c r="DQ105" s="58">
        <f>'2021'!DG9</f>
        <v>4.74</v>
      </c>
      <c r="DR105" s="58">
        <f>'2021'!DH9</f>
        <v>55.3</v>
      </c>
      <c r="DS105" s="57">
        <f>'2021'!DI9</f>
        <v>179</v>
      </c>
      <c r="DT105" s="57">
        <f>'2021'!DJ9</f>
        <v>2207</v>
      </c>
      <c r="DU105" s="57">
        <f>'2021'!DK9</f>
        <v>10</v>
      </c>
      <c r="DV105" s="57">
        <f>'2021'!DL9</f>
        <v>0</v>
      </c>
      <c r="DW105" s="59">
        <f>'2021'!DM9</f>
        <v>13</v>
      </c>
    </row>
    <row r="106" spans="1:127" ht="15.75" customHeight="1" x14ac:dyDescent="0.2">
      <c r="A106" s="33">
        <f t="shared" si="12"/>
        <v>104</v>
      </c>
      <c r="B106" s="11">
        <f>'2017'!A13</f>
        <v>11</v>
      </c>
      <c r="C106" s="11">
        <v>2017</v>
      </c>
      <c r="D106" s="34" t="str">
        <f>'2017'!B13</f>
        <v>Jeremy McNichols</v>
      </c>
      <c r="E106" s="224" t="str" cm="1">
        <f t="array" ref="E106">_xlfn.IFS(F106&gt;=13,"Cornerstone",AND(F106&gt;=12,F106&lt;13),"Elite",AND(F106&gt;=11,F106&lt;12),"Elite Upside",AND(F106&gt;=9,F106&lt;11),"Upside",AND(F106&gt;=7,F106&lt;9),"Upside Lite",AND(F106&gt;=6,F106&lt;7),"Outlier",AND(F106&gt;=5,F106&lt;6),"Outlier Lite",F106&lt;5,"Purgatory")</f>
        <v>Upside Lite</v>
      </c>
      <c r="F106" s="14">
        <f>'2017'!C13</f>
        <v>8.0500000000000007</v>
      </c>
      <c r="G106" s="14">
        <f t="shared" si="19"/>
        <v>68.100000000000009</v>
      </c>
      <c r="H106" s="35">
        <f t="shared" si="13"/>
        <v>2.0141082602589525E-2</v>
      </c>
      <c r="I106" s="36" t="str">
        <f>'2017'!D13</f>
        <v>Boise State</v>
      </c>
      <c r="J106" s="37">
        <f>'2017'!E13</f>
        <v>7</v>
      </c>
      <c r="K106" s="38">
        <f>'2017'!F13</f>
        <v>35059</v>
      </c>
      <c r="L106" s="39">
        <f>'2017'!G13</f>
        <v>29.775342465753425</v>
      </c>
      <c r="M106" s="39" t="str">
        <f>'2017'!H13</f>
        <v>JR</v>
      </c>
      <c r="N106" s="39">
        <f>'2017'!I13</f>
        <v>21.350684931506848</v>
      </c>
      <c r="O106" s="39" t="str">
        <f t="shared" si="14"/>
        <v>DYNAMIC</v>
      </c>
      <c r="P106" s="39" t="str">
        <f t="shared" si="17"/>
        <v>SLASHER</v>
      </c>
      <c r="Q106" s="37">
        <f>'2017'!J13</f>
        <v>69</v>
      </c>
      <c r="R106" s="37">
        <f>'2017'!K13</f>
        <v>212</v>
      </c>
      <c r="S106" s="39">
        <f t="shared" si="18"/>
        <v>31.306580403540977</v>
      </c>
      <c r="T106" s="37">
        <f>'2017'!L13</f>
        <v>4.49</v>
      </c>
      <c r="U106" s="55">
        <f>'2017'!M13</f>
        <v>5</v>
      </c>
      <c r="V106" s="41">
        <f>'2017'!N13</f>
        <v>0</v>
      </c>
      <c r="W106" s="42">
        <f>'2017'!O13</f>
        <v>0</v>
      </c>
      <c r="X106" s="42">
        <f>'2017'!P13</f>
        <v>4.4508670520231212E-2</v>
      </c>
      <c r="Y106" s="42">
        <f>'2017'!Q13</f>
        <v>0.27730061349693252</v>
      </c>
      <c r="Z106" s="42">
        <f>'2017'!R13</f>
        <v>0.35486495281483893</v>
      </c>
      <c r="AA106" s="42">
        <f>'2017'!S13</f>
        <v>0.35486495281483893</v>
      </c>
      <c r="AB106" s="42">
        <f>'2017'!T13</f>
        <v>0.23066221932964531</v>
      </c>
      <c r="AC106" s="42">
        <f>'2017'!U13</f>
        <v>0.11458333333333333</v>
      </c>
      <c r="AD106" s="42">
        <f>'2017'!V13</f>
        <v>0.12454873646209386</v>
      </c>
      <c r="AE106" s="42">
        <f>'2017'!W13</f>
        <v>0.12454873646209386</v>
      </c>
      <c r="AF106" s="43">
        <f>'2017'!X13</f>
        <v>8.0956678700361009E-2</v>
      </c>
      <c r="AG106" s="44">
        <f>'2017'!Y13</f>
        <v>19.693150684931506</v>
      </c>
      <c r="AH106" s="45">
        <f>'2017'!Z13</f>
        <v>104.32310210825561</v>
      </c>
      <c r="AI106" s="45">
        <f>'2017'!AA13</f>
        <v>31.303507666456625</v>
      </c>
      <c r="AJ106" s="45">
        <f>'2017'!AB13</f>
        <v>0.20588235294117646</v>
      </c>
      <c r="AK106" s="45">
        <f>'2017'!AC13</f>
        <v>9.4</v>
      </c>
      <c r="AL106" s="45">
        <f t="shared" si="15"/>
        <v>10.419047619047619</v>
      </c>
      <c r="AM106" s="45">
        <f t="shared" si="21"/>
        <v>0.1111111111111111</v>
      </c>
      <c r="AN106" s="45">
        <f>'2017'!AD13</f>
        <v>68.900000000000006</v>
      </c>
      <c r="AO106" s="45">
        <f>'2017'!AE13</f>
        <v>3.54</v>
      </c>
      <c r="AP106" s="46">
        <f>'2017'!AF13</f>
        <v>52.4</v>
      </c>
      <c r="AQ106" s="47">
        <f>'2017'!AG13</f>
        <v>5</v>
      </c>
      <c r="AR106" s="48">
        <f>'2017'!AH13</f>
        <v>8</v>
      </c>
      <c r="AS106" s="48">
        <f>'2017'!AI13</f>
        <v>6</v>
      </c>
      <c r="AT106" s="48">
        <f>IF(AH106&gt;113.25,10,IF(AH106&gt;=107.84,9,IF(AH106&gt;=105.37,8,IF(AH106&gt;=103.25,7,IF(AH106&gt;=100.55,6,IF(AH106&gt;=98.75,5,IF(AH106&gt;=96.08,4,IF(AH106&gt;=94.39,3,IF(AH106&gt;=88.43,2,IF(AH106&gt;=85.16,1,IF(AH106&lt;85.16,0,FALSE)))))))))))</f>
        <v>7</v>
      </c>
      <c r="AU106" s="48">
        <f>'2017'!AK13</f>
        <v>4</v>
      </c>
      <c r="AV106" s="48">
        <f>'2017'!AL13</f>
        <v>10</v>
      </c>
      <c r="AW106" s="48">
        <f>'2017'!AM13</f>
        <v>3</v>
      </c>
      <c r="AX106" s="48">
        <f>'2017'!AN13</f>
        <v>4</v>
      </c>
      <c r="AY106" s="49">
        <f>IF(U106=1,10,IF(U106=2,7,IF(U106=3,6,IF(U106=4,4,IF(U106=5,3,IF(U106=6,2,IF(U106=7,1,IF(U106=0,0,"-"))))))))</f>
        <v>3</v>
      </c>
      <c r="AZ106" s="50">
        <f>'2017'!AP13</f>
        <v>0</v>
      </c>
      <c r="BA106" s="56">
        <f>'2017'!AQ13</f>
        <v>0</v>
      </c>
      <c r="BB106" s="57">
        <f>'2017'!AR13</f>
        <v>2186</v>
      </c>
      <c r="BC106" s="57">
        <f>'2017'!AS13</f>
        <v>0</v>
      </c>
      <c r="BD106" s="57">
        <f>'2017'!AT13</f>
        <v>0</v>
      </c>
      <c r="BE106" s="57">
        <f>'2017'!AU13</f>
        <v>0</v>
      </c>
      <c r="BF106" s="57">
        <f>'2017'!AV13</f>
        <v>0</v>
      </c>
      <c r="BG106" s="58">
        <f>'2017'!AW13</f>
        <v>0</v>
      </c>
      <c r="BH106" s="58">
        <f>'2017'!AX13</f>
        <v>0</v>
      </c>
      <c r="BI106" s="58">
        <f>'2017'!AY13</f>
        <v>0</v>
      </c>
      <c r="BJ106" s="58">
        <f>'2017'!AZ13</f>
        <v>0</v>
      </c>
      <c r="BK106" s="57">
        <f>'2017'!BA13</f>
        <v>0</v>
      </c>
      <c r="BL106" s="57">
        <f>'2017'!BB13</f>
        <v>2901</v>
      </c>
      <c r="BM106" s="57">
        <f>'2017'!BC13</f>
        <v>0</v>
      </c>
      <c r="BN106" s="57">
        <f>'2017'!BD13</f>
        <v>0</v>
      </c>
      <c r="BO106" s="59">
        <f>'2017'!BE13</f>
        <v>0</v>
      </c>
      <c r="BP106" s="56">
        <f>'2017'!BF13</f>
        <v>0</v>
      </c>
      <c r="BQ106" s="57">
        <f>'2017'!BG13</f>
        <v>2578</v>
      </c>
      <c r="BR106" s="57">
        <f>'2017'!BH13</f>
        <v>0</v>
      </c>
      <c r="BS106" s="57">
        <f>'2017'!BI13</f>
        <v>0</v>
      </c>
      <c r="BT106" s="57">
        <f>'2017'!BJ13</f>
        <v>0</v>
      </c>
      <c r="BU106" s="57">
        <f>'2017'!BK13</f>
        <v>0</v>
      </c>
      <c r="BV106" s="58">
        <f>'2017'!BL13</f>
        <v>0</v>
      </c>
      <c r="BW106" s="58">
        <f>'2017'!BM13</f>
        <v>0</v>
      </c>
      <c r="BX106" s="58">
        <f>'2017'!BN13</f>
        <v>0</v>
      </c>
      <c r="BY106" s="58">
        <f>'2017'!BO13</f>
        <v>0</v>
      </c>
      <c r="BZ106" s="57">
        <f>'2017'!BP13</f>
        <v>0</v>
      </c>
      <c r="CA106" s="57">
        <f>'2017'!BQ13</f>
        <v>3610</v>
      </c>
      <c r="CB106" s="57">
        <f>'2017'!BR13</f>
        <v>0</v>
      </c>
      <c r="CC106" s="57">
        <f>'2017'!BS13</f>
        <v>0</v>
      </c>
      <c r="CD106" s="59">
        <f>'2017'!BT13</f>
        <v>0</v>
      </c>
      <c r="CE106" s="56">
        <f>'2017'!BU13</f>
        <v>159</v>
      </c>
      <c r="CF106" s="57">
        <f>'2017'!BV13</f>
        <v>2994</v>
      </c>
      <c r="CG106" s="57">
        <f>'2017'!BW13</f>
        <v>1</v>
      </c>
      <c r="CH106" s="57">
        <f>'2017'!BX13</f>
        <v>0</v>
      </c>
      <c r="CI106" s="57">
        <f>'2017'!BY13</f>
        <v>17</v>
      </c>
      <c r="CJ106" s="57">
        <f>'2017'!BZ13</f>
        <v>1</v>
      </c>
      <c r="CK106" s="58">
        <f>'2017'!CA13</f>
        <v>9.4</v>
      </c>
      <c r="CL106" s="58">
        <f>'2017'!CB13</f>
        <v>9.6</v>
      </c>
      <c r="CM106" s="58">
        <f>'2017'!CC13</f>
        <v>3.06</v>
      </c>
      <c r="CN106" s="58">
        <f>'2017'!CD13</f>
        <v>45.3</v>
      </c>
      <c r="CO106" s="57">
        <f>'2017'!CE13</f>
        <v>149</v>
      </c>
      <c r="CP106" s="57">
        <f>'2017'!CF13</f>
        <v>3926</v>
      </c>
      <c r="CQ106" s="57">
        <f>'2017'!CG13</f>
        <v>15</v>
      </c>
      <c r="CR106" s="57">
        <f>'2017'!CH13</f>
        <v>0</v>
      </c>
      <c r="CS106" s="59">
        <f>'2017'!CI13</f>
        <v>0</v>
      </c>
      <c r="CT106" s="56">
        <f>'2017'!CJ13</f>
        <v>1346</v>
      </c>
      <c r="CU106" s="57">
        <f>'2017'!CK13</f>
        <v>2488</v>
      </c>
      <c r="CV106" s="57">
        <f>'2017'!CL13</f>
        <v>20</v>
      </c>
      <c r="CW106" s="57">
        <f>'2017'!CM13</f>
        <v>0</v>
      </c>
      <c r="CX106" s="57">
        <f>'2017'!CN13</f>
        <v>238</v>
      </c>
      <c r="CY106" s="57">
        <f>'2017'!CO13</f>
        <v>49</v>
      </c>
      <c r="CZ106" s="58">
        <f>'2017'!CP13</f>
        <v>5.7</v>
      </c>
      <c r="DA106" s="58">
        <f>'2017'!CQ13</f>
        <v>68.900000000000006</v>
      </c>
      <c r="DB106" s="58">
        <f>'2017'!CR13</f>
        <v>3.5</v>
      </c>
      <c r="DC106" s="58">
        <f>'2017'!CS13</f>
        <v>52.4</v>
      </c>
      <c r="DD106" s="57">
        <f>'2017'!CT13</f>
        <v>462</v>
      </c>
      <c r="DE106" s="57">
        <f>'2017'!CU13</f>
        <v>4032</v>
      </c>
      <c r="DF106" s="57">
        <f>'2017'!CV13</f>
        <v>51</v>
      </c>
      <c r="DG106" s="57">
        <f>'2017'!CW13</f>
        <v>0</v>
      </c>
      <c r="DH106" s="59">
        <f>'2017'!CX13</f>
        <v>0</v>
      </c>
      <c r="DI106" s="56">
        <f>'2017'!CY13</f>
        <v>1698</v>
      </c>
      <c r="DJ106" s="57">
        <f>'2017'!CZ13</f>
        <v>2268</v>
      </c>
      <c r="DK106" s="57">
        <f>'2017'!DA13</f>
        <v>23</v>
      </c>
      <c r="DL106" s="57">
        <f>'2017'!DB13</f>
        <v>0</v>
      </c>
      <c r="DM106" s="57">
        <f>'2017'!DC13</f>
        <v>312</v>
      </c>
      <c r="DN106" s="57">
        <f>'2017'!DD13</f>
        <v>62</v>
      </c>
      <c r="DO106" s="58">
        <f>'2017'!DE13</f>
        <v>5.4</v>
      </c>
      <c r="DP106" s="58">
        <f>'2017'!DF13</f>
        <v>66.5</v>
      </c>
      <c r="DQ106" s="58">
        <f>'2017'!DG13</f>
        <v>3.54</v>
      </c>
      <c r="DR106" s="58">
        <f>'2017'!DH13</f>
        <v>38.5</v>
      </c>
      <c r="DS106" s="57">
        <f>'2017'!DI13</f>
        <v>483</v>
      </c>
      <c r="DT106" s="57">
        <f>'2017'!DJ13</f>
        <v>3878</v>
      </c>
      <c r="DU106" s="57">
        <f>'2017'!DK13</f>
        <v>39</v>
      </c>
      <c r="DV106" s="57">
        <f>'2017'!DL13</f>
        <v>0</v>
      </c>
      <c r="DW106" s="59">
        <f>'2017'!DM13</f>
        <v>0</v>
      </c>
    </row>
    <row r="107" spans="1:127" ht="15.75" customHeight="1" x14ac:dyDescent="0.2">
      <c r="A107" s="33">
        <f t="shared" si="12"/>
        <v>105</v>
      </c>
      <c r="B107" s="11">
        <f>'2023'!A13</f>
        <v>11</v>
      </c>
      <c r="C107" s="11">
        <v>2023</v>
      </c>
      <c r="D107" s="34" t="str">
        <f>'2023'!B13</f>
        <v>Roschon Johnson</v>
      </c>
      <c r="E107" s="224" t="str" cm="1">
        <f t="array" ref="E107">_xlfn.IFS(F107&gt;=13,"Cornerstone",AND(F107&gt;=12,F107&lt;13),"Elite",AND(F107&gt;=11,F107&lt;12),"Elite Upside",AND(F107&gt;=9,F107&lt;11),"Upside",AND(F107&gt;=7,F107&lt;9),"Upside Lite",AND(F107&gt;=6,F107&lt;7),"Outlier",AND(F107&gt;=5,F107&lt;6),"Outlier Lite",F107&lt;5,"Purgatory")</f>
        <v>Upside Lite</v>
      </c>
      <c r="F107" s="14">
        <f>'2023'!C13</f>
        <v>8.0333333333333332</v>
      </c>
      <c r="G107" s="14">
        <f t="shared" si="19"/>
        <v>67.800000000000011</v>
      </c>
      <c r="H107" s="35">
        <f t="shared" si="13"/>
        <v>1.3087331531928512E-2</v>
      </c>
      <c r="I107" s="36" t="str">
        <f>'2023'!D13</f>
        <v>Texas</v>
      </c>
      <c r="J107" s="37">
        <f>'2023'!E13</f>
        <v>3</v>
      </c>
      <c r="K107" s="38">
        <f>'2023'!F13</f>
        <v>36922</v>
      </c>
      <c r="L107" s="39">
        <f>'2023'!G13</f>
        <v>24.671232876712327</v>
      </c>
      <c r="M107" s="39" t="str">
        <f>'2023'!H13</f>
        <v>SR</v>
      </c>
      <c r="N107" s="39">
        <f>'2023'!I13</f>
        <v>22.24931506849315</v>
      </c>
      <c r="O107" s="39" t="str">
        <f t="shared" si="14"/>
        <v>BELL COW</v>
      </c>
      <c r="P107" s="39" t="str">
        <f t="shared" si="17"/>
        <v>3DOWN</v>
      </c>
      <c r="Q107" s="37">
        <f>'2023'!J13</f>
        <v>72</v>
      </c>
      <c r="R107" s="37">
        <f>'2023'!K13</f>
        <v>219</v>
      </c>
      <c r="S107" s="39">
        <f t="shared" si="18"/>
        <v>29.701410560228528</v>
      </c>
      <c r="T107" s="37">
        <f>'2023'!L13</f>
        <v>4.58</v>
      </c>
      <c r="U107" s="40">
        <f>'2023'!M13</f>
        <v>4</v>
      </c>
      <c r="V107" s="41">
        <f>'2023'!N13</f>
        <v>0</v>
      </c>
      <c r="W107" s="42">
        <f>'2023'!O13</f>
        <v>0.1334214002642008</v>
      </c>
      <c r="X107" s="42">
        <f>'2023'!P13</f>
        <v>9.8653765250315523E-2</v>
      </c>
      <c r="Y107" s="42">
        <f>'2023'!Q13</f>
        <v>0.1279183833627624</v>
      </c>
      <c r="Z107" s="42">
        <f>'2023'!R13</f>
        <v>0.14121663563004347</v>
      </c>
      <c r="AA107" s="42">
        <f>'2023'!S13</f>
        <v>0.14121663563004347</v>
      </c>
      <c r="AB107" s="42">
        <f>'2023'!T13</f>
        <v>0.12709497206703912</v>
      </c>
      <c r="AC107" s="42">
        <f>'2023'!U13</f>
        <v>3.0683918669131238E-2</v>
      </c>
      <c r="AD107" s="42">
        <f>'2023'!V13</f>
        <v>4.4186688760011042E-2</v>
      </c>
      <c r="AE107" s="42">
        <f>'2023'!W13</f>
        <v>4.4186688760011042E-2</v>
      </c>
      <c r="AF107" s="43">
        <f>'2023'!X13</f>
        <v>3.9768019884009936E-2</v>
      </c>
      <c r="AG107" s="44" t="str">
        <f>'2023'!Y13</f>
        <v>N/A</v>
      </c>
      <c r="AH107" s="45">
        <f>'2023'!Z13</f>
        <v>99.543337674934321</v>
      </c>
      <c r="AI107" s="45">
        <f>'2023'!AA13</f>
        <v>29.69849537037037</v>
      </c>
      <c r="AJ107" s="45">
        <f>'2023'!AB13</f>
        <v>0.48936170212765956</v>
      </c>
      <c r="AK107" s="45">
        <f>'2023'!AC13</f>
        <v>5.9</v>
      </c>
      <c r="AL107" s="45">
        <f t="shared" si="15"/>
        <v>7.5</v>
      </c>
      <c r="AM107" s="45">
        <f t="shared" si="21"/>
        <v>0.12962962962962962</v>
      </c>
      <c r="AN107" s="45">
        <f>'2023'!AD13</f>
        <v>198</v>
      </c>
      <c r="AO107" s="45">
        <f>'2023'!AE13</f>
        <v>4.28</v>
      </c>
      <c r="AP107" s="46">
        <f>'2023'!AF13</f>
        <v>39.6</v>
      </c>
      <c r="AQ107" s="47">
        <f>'2023'!AG13</f>
        <v>1</v>
      </c>
      <c r="AR107" s="48">
        <f>'2023'!AH13</f>
        <v>4</v>
      </c>
      <c r="AS107" s="48">
        <f>'2023'!AI13</f>
        <v>0</v>
      </c>
      <c r="AT107" s="48">
        <f>IF(AH107&gt;113.25,10,IF(AH107&gt;=107.84,9,IF(AH107&gt;=105.37,8,IF(AH107&gt;=103.25,7,IF(AH107&gt;=100.55,6,IF(AH107&gt;=98.75,5,IF(AH107&gt;=96.08,4,IF(AH107&gt;=94.39,3,IF(AH107&gt;=88.43,2,IF(AH107&gt;=85.16,1,IF(AH107&lt;85.16,0,FALSE)))))))))))</f>
        <v>5</v>
      </c>
      <c r="AU107" s="48">
        <f>'2023'!AK13</f>
        <v>10</v>
      </c>
      <c r="AV107" s="48">
        <f>'2023'!AL13</f>
        <v>4</v>
      </c>
      <c r="AW107" s="48">
        <f>'2023'!AM13</f>
        <v>9</v>
      </c>
      <c r="AX107" s="48">
        <f>'2023'!AN13</f>
        <v>6</v>
      </c>
      <c r="AY107" s="49">
        <f>'2023'!AO13</f>
        <v>4</v>
      </c>
      <c r="AZ107" s="50">
        <f>'2023'!AP13</f>
        <v>1.5</v>
      </c>
      <c r="BA107" s="56">
        <f>'2023'!AQ13</f>
        <v>0</v>
      </c>
      <c r="BB107" s="57">
        <f>'2023'!AR13</f>
        <v>2143</v>
      </c>
      <c r="BC107" s="57">
        <f>'2023'!AS13</f>
        <v>0</v>
      </c>
      <c r="BD107" s="57">
        <f>'2023'!AT13</f>
        <v>24</v>
      </c>
      <c r="BE107" s="57">
        <f>'2023'!AU13</f>
        <v>0</v>
      </c>
      <c r="BF107" s="57">
        <f>'2023'!AV13</f>
        <v>0</v>
      </c>
      <c r="BG107" s="58">
        <f>'2023'!AW13</f>
        <v>0</v>
      </c>
      <c r="BH107" s="58">
        <f>'2023'!AX13</f>
        <v>0</v>
      </c>
      <c r="BI107" s="58">
        <f>'2023'!AY13</f>
        <v>0</v>
      </c>
      <c r="BJ107" s="58">
        <f>'2023'!AZ13</f>
        <v>0</v>
      </c>
      <c r="BK107" s="57">
        <f>'2023'!BA13</f>
        <v>0</v>
      </c>
      <c r="BL107" s="57">
        <f>'2023'!BB13</f>
        <v>3615</v>
      </c>
      <c r="BM107" s="57">
        <f>'2023'!BC13</f>
        <v>0</v>
      </c>
      <c r="BN107" s="57">
        <f>'2023'!BD13</f>
        <v>0</v>
      </c>
      <c r="BO107" s="59">
        <f>'2023'!BE13</f>
        <v>28</v>
      </c>
      <c r="BP107" s="56">
        <f>'2023'!BF13</f>
        <v>650</v>
      </c>
      <c r="BQ107" s="57">
        <f>'2023'!BG13</f>
        <v>2295</v>
      </c>
      <c r="BR107" s="57">
        <f>'2023'!BH13</f>
        <v>7</v>
      </c>
      <c r="BS107" s="57">
        <f>'2023'!BI13</f>
        <v>26</v>
      </c>
      <c r="BT107" s="57">
        <f>'2023'!BJ13</f>
        <v>123</v>
      </c>
      <c r="BU107" s="57">
        <f>'2023'!BK13</f>
        <v>26</v>
      </c>
      <c r="BV107" s="58">
        <f>'2023'!BL13</f>
        <v>5.3</v>
      </c>
      <c r="BW107" s="58">
        <f>'2023'!BM13</f>
        <v>77.3</v>
      </c>
      <c r="BX107" s="58">
        <f>'2023'!BN13</f>
        <v>3.64</v>
      </c>
      <c r="BY107" s="58">
        <f>'2023'!BO13</f>
        <v>26.2</v>
      </c>
      <c r="BZ107" s="57">
        <f>'2023'!BP13</f>
        <v>158</v>
      </c>
      <c r="CA107" s="57">
        <f>'2023'!BQ13</f>
        <v>3761</v>
      </c>
      <c r="CB107" s="57">
        <f>'2023'!BR13</f>
        <v>23</v>
      </c>
      <c r="CC107" s="57">
        <f>'2023'!BS13</f>
        <v>0</v>
      </c>
      <c r="CD107" s="59">
        <f>'2023'!BT13</f>
        <v>32</v>
      </c>
      <c r="CE107" s="56">
        <f>'2023'!BU13</f>
        <v>418</v>
      </c>
      <c r="CF107" s="57">
        <f>'2023'!BV13</f>
        <v>1953</v>
      </c>
      <c r="CG107" s="57">
        <f>'2023'!BW13</f>
        <v>6</v>
      </c>
      <c r="CH107" s="57">
        <f>'2023'!BX13</f>
        <v>20</v>
      </c>
      <c r="CI107" s="57">
        <f>'2023'!BY13</f>
        <v>80</v>
      </c>
      <c r="CJ107" s="57">
        <f>'2023'!BZ13</f>
        <v>27</v>
      </c>
      <c r="CK107" s="58">
        <f>'2023'!CA13</f>
        <v>5.2</v>
      </c>
      <c r="CL107" s="58">
        <f>'2023'!CB13</f>
        <v>144.4</v>
      </c>
      <c r="CM107" s="58">
        <f>'2023'!CC13</f>
        <v>4.0999999999999996</v>
      </c>
      <c r="CN107" s="58">
        <f>'2023'!CD13</f>
        <v>40.9</v>
      </c>
      <c r="CO107" s="57">
        <f>'2023'!CE13</f>
        <v>51</v>
      </c>
      <c r="CP107" s="57">
        <f>'2023'!CF13</f>
        <v>2801</v>
      </c>
      <c r="CQ107" s="57">
        <f>'2023'!CG13</f>
        <v>8</v>
      </c>
      <c r="CR107" s="57">
        <f>'2023'!CH13</f>
        <v>0</v>
      </c>
      <c r="CS107" s="59">
        <f>'2023'!CI13</f>
        <v>32</v>
      </c>
      <c r="CT107" s="56">
        <f>'2023'!CJ13</f>
        <v>569</v>
      </c>
      <c r="CU107" s="57">
        <f>'2023'!CK13</f>
        <v>2392</v>
      </c>
      <c r="CV107" s="57">
        <f>'2023'!CL13</f>
        <v>5</v>
      </c>
      <c r="CW107" s="57">
        <f>'2023'!CM13</f>
        <v>25</v>
      </c>
      <c r="CX107" s="57">
        <f>'2023'!CN13</f>
        <v>95</v>
      </c>
      <c r="CY107" s="57">
        <f>'2023'!CO13</f>
        <v>36</v>
      </c>
      <c r="CZ107" s="58">
        <f>'2023'!CP13</f>
        <v>5.9</v>
      </c>
      <c r="DA107" s="58">
        <f>'2023'!CQ13</f>
        <v>144.9</v>
      </c>
      <c r="DB107" s="58">
        <f>'2023'!CR13</f>
        <v>4.0599999999999996</v>
      </c>
      <c r="DC107" s="58">
        <f>'2023'!CS13</f>
        <v>34.4</v>
      </c>
      <c r="DD107" s="57">
        <f>'2023'!CT13</f>
        <v>83</v>
      </c>
      <c r="DE107" s="57">
        <f>'2023'!CU13</f>
        <v>2705</v>
      </c>
      <c r="DF107" s="57">
        <f>'2023'!CV13</f>
        <v>11</v>
      </c>
      <c r="DG107" s="57">
        <f>'2023'!CW13</f>
        <v>0</v>
      </c>
      <c r="DH107" s="59">
        <f>'2023'!CX13</f>
        <v>29</v>
      </c>
      <c r="DI107" s="56">
        <f>'2023'!CY13</f>
        <v>600</v>
      </c>
      <c r="DJ107" s="57">
        <f>'2023'!CZ13</f>
        <v>2258.3999999999996</v>
      </c>
      <c r="DK107" s="57">
        <f>'2023'!DA13</f>
        <v>5</v>
      </c>
      <c r="DL107" s="57">
        <f>'2023'!DB13</f>
        <v>29</v>
      </c>
      <c r="DM107" s="57">
        <f>'2023'!DC13</f>
        <v>94</v>
      </c>
      <c r="DN107" s="57">
        <f>'2023'!DD13</f>
        <v>46</v>
      </c>
      <c r="DO107" s="58">
        <f>'2023'!DE13</f>
        <v>5.8</v>
      </c>
      <c r="DP107" s="58">
        <f>'2023'!DF13</f>
        <v>198</v>
      </c>
      <c r="DQ107" s="58">
        <f>'2023'!DG13</f>
        <v>4.28</v>
      </c>
      <c r="DR107" s="58">
        <f>'2023'!DH13</f>
        <v>39.6</v>
      </c>
      <c r="DS107" s="57">
        <f>'2023'!DI13</f>
        <v>128</v>
      </c>
      <c r="DT107" s="57">
        <f>'2023'!DJ13</f>
        <v>2896.8</v>
      </c>
      <c r="DU107" s="57">
        <f>'2023'!DK13</f>
        <v>14</v>
      </c>
      <c r="DV107" s="57">
        <f>'2023'!DL13</f>
        <v>0</v>
      </c>
      <c r="DW107" s="59">
        <f>'2023'!DM13</f>
        <v>22</v>
      </c>
    </row>
    <row r="108" spans="1:127" ht="15.75" customHeight="1" x14ac:dyDescent="0.2">
      <c r="A108" s="33">
        <f t="shared" si="12"/>
        <v>106</v>
      </c>
      <c r="B108" s="11">
        <f>'2016'!A10</f>
        <v>8</v>
      </c>
      <c r="C108" s="11">
        <v>2016</v>
      </c>
      <c r="D108" s="34" t="str">
        <f>'2016'!B10</f>
        <v>Kenneth Dixon</v>
      </c>
      <c r="E108" s="224" t="str" cm="1">
        <f t="array" ref="E108">_xlfn.IFS(F108&gt;=13,"Cornerstone",AND(F108&gt;=12,F108&lt;13),"Elite",AND(F108&gt;=11,F108&lt;12),"Elite Upside",AND(F108&gt;=9,F108&lt;11),"Upside",AND(F108&gt;=7,F108&lt;9),"Upside Lite",AND(F108&gt;=6,F108&lt;7),"Outlier",AND(F108&gt;=5,F108&lt;6),"Outlier Lite",F108&lt;5,"Purgatory")</f>
        <v>Upside Lite</v>
      </c>
      <c r="F108" s="14">
        <f>'2016'!C10</f>
        <v>8.0166666666666675</v>
      </c>
      <c r="G108" s="14">
        <f t="shared" si="19"/>
        <v>67.5</v>
      </c>
      <c r="H108" s="35">
        <f t="shared" si="13"/>
        <v>6.033580461268253E-3</v>
      </c>
      <c r="I108" s="36" t="str">
        <f>'2016'!D10</f>
        <v>Louisiana Tech</v>
      </c>
      <c r="J108" s="37">
        <f>'2016'!E10</f>
        <v>10</v>
      </c>
      <c r="K108" s="38">
        <f>'2016'!F10</f>
        <v>34355</v>
      </c>
      <c r="L108" s="39">
        <f>'2016'!G10</f>
        <v>31.704109589041096</v>
      </c>
      <c r="M108" s="39" t="str">
        <f>'2016'!H10</f>
        <v>SR</v>
      </c>
      <c r="N108" s="39">
        <f>'2016'!I10</f>
        <v>22.279452054794522</v>
      </c>
      <c r="O108" s="39" t="str">
        <f t="shared" si="14"/>
        <v>BELL CALF</v>
      </c>
      <c r="P108" s="39" t="str">
        <f t="shared" si="17"/>
        <v>SLASHER</v>
      </c>
      <c r="Q108" s="37">
        <f>'2016'!J10</f>
        <v>70</v>
      </c>
      <c r="R108" s="37">
        <f>'2016'!K10</f>
        <v>215</v>
      </c>
      <c r="S108" s="39">
        <f t="shared" si="18"/>
        <v>30.848946187688291</v>
      </c>
      <c r="T108" s="37">
        <f>'2016'!L10</f>
        <v>4.5599999999999996</v>
      </c>
      <c r="U108" s="55">
        <f>'2016'!M10</f>
        <v>4</v>
      </c>
      <c r="V108" s="41">
        <f>'2016'!N10</f>
        <v>0</v>
      </c>
      <c r="W108" s="42">
        <f>'2016'!O10</f>
        <v>0.17721701514059121</v>
      </c>
      <c r="X108" s="42">
        <f>'2016'!P10</f>
        <v>0.2736209721463681</v>
      </c>
      <c r="Y108" s="42">
        <f>'2016'!Q10</f>
        <v>0.29904476760764187</v>
      </c>
      <c r="Z108" s="42">
        <f>'2016'!R10</f>
        <v>0.29096939544700734</v>
      </c>
      <c r="AA108" s="42">
        <f>'2016'!S10</f>
        <v>0.29500708152732458</v>
      </c>
      <c r="AB108" s="42">
        <f>'2016'!T10</f>
        <v>0.17700424891639474</v>
      </c>
      <c r="AC108" s="42">
        <f>'2016'!U10</f>
        <v>0.1090404440919905</v>
      </c>
      <c r="AD108" s="42">
        <f>'2016'!V10</f>
        <v>0.13526461139604348</v>
      </c>
      <c r="AE108" s="42">
        <f>'2016'!W10</f>
        <v>0.13526461139604348</v>
      </c>
      <c r="AF108" s="43">
        <f>'2016'!X10</f>
        <v>8.1158766837626087E-2</v>
      </c>
      <c r="AG108" s="44">
        <f>'2016'!Y10</f>
        <v>18.624657534246577</v>
      </c>
      <c r="AH108" s="45">
        <f>'2016'!Z10</f>
        <v>99.45098408952407</v>
      </c>
      <c r="AI108" s="45">
        <f>'2016'!AA10</f>
        <v>30.845918367346936</v>
      </c>
      <c r="AJ108" s="45">
        <f>'2016'!AB10</f>
        <v>0.28063241106719367</v>
      </c>
      <c r="AK108" s="45">
        <f>'2016'!AC10</f>
        <v>5.4010152284263961</v>
      </c>
      <c r="AL108" s="45">
        <f t="shared" si="15"/>
        <v>11.067415730337078</v>
      </c>
      <c r="AM108" s="45">
        <f t="shared" si="21"/>
        <v>0.15086206896551724</v>
      </c>
      <c r="AN108" s="45">
        <f>'2016'!AD10</f>
        <v>98.8</v>
      </c>
      <c r="AO108" s="45">
        <f>'2016'!AE10</f>
        <v>3.33</v>
      </c>
      <c r="AP108" s="46">
        <f>'2016'!AF10</f>
        <v>49.2</v>
      </c>
      <c r="AQ108" s="47">
        <f>'2016'!AG10</f>
        <v>3</v>
      </c>
      <c r="AR108" s="48">
        <f>'2016'!AH10</f>
        <v>8</v>
      </c>
      <c r="AS108" s="48">
        <f>'2016'!AI10</f>
        <v>9</v>
      </c>
      <c r="AT108" s="48">
        <f>'2016'!AJ10</f>
        <v>5</v>
      </c>
      <c r="AU108" s="48">
        <f>'2016'!AK10</f>
        <v>9</v>
      </c>
      <c r="AV108" s="48">
        <f>'2016'!AL10</f>
        <v>2</v>
      </c>
      <c r="AW108" s="48">
        <f>'2016'!AM10</f>
        <v>7</v>
      </c>
      <c r="AX108" s="48">
        <f>'2016'!AN10</f>
        <v>4</v>
      </c>
      <c r="AY108" s="49">
        <f>'2016'!AO10</f>
        <v>4</v>
      </c>
      <c r="AZ108" s="50">
        <f>'2016'!AP10</f>
        <v>0</v>
      </c>
      <c r="BA108" s="56">
        <f>'2016'!AQ10</f>
        <v>0</v>
      </c>
      <c r="BB108" s="57">
        <f>'2016'!AR10</f>
        <v>1</v>
      </c>
      <c r="BC108" s="57">
        <f>'2016'!AS10</f>
        <v>0</v>
      </c>
      <c r="BD108" s="57">
        <f>'2016'!AT10</f>
        <v>0</v>
      </c>
      <c r="BE108" s="57">
        <f>'2016'!AU10</f>
        <v>0</v>
      </c>
      <c r="BF108" s="57">
        <f>'2016'!AV10</f>
        <v>0</v>
      </c>
      <c r="BG108" s="58">
        <f>'2016'!AW10</f>
        <v>0</v>
      </c>
      <c r="BH108" s="58">
        <f>'2016'!AX10</f>
        <v>0</v>
      </c>
      <c r="BI108" s="58">
        <f>'2016'!AY10</f>
        <v>0</v>
      </c>
      <c r="BJ108" s="58">
        <f>'2016'!AZ10</f>
        <v>0</v>
      </c>
      <c r="BK108" s="57">
        <f>'2016'!BA10</f>
        <v>0</v>
      </c>
      <c r="BL108" s="57">
        <f>'2016'!BB10</f>
        <v>1</v>
      </c>
      <c r="BM108" s="57">
        <f>'2016'!BC10</f>
        <v>0</v>
      </c>
      <c r="BN108" s="57">
        <f>'2016'!BD10</f>
        <v>0</v>
      </c>
      <c r="BO108" s="59">
        <f>'2016'!BE10</f>
        <v>0</v>
      </c>
      <c r="BP108" s="56">
        <f>'2016'!BF10</f>
        <v>1194</v>
      </c>
      <c r="BQ108" s="57">
        <f>'2016'!BG10</f>
        <v>2726</v>
      </c>
      <c r="BR108" s="57">
        <f>'2016'!BH10</f>
        <v>27</v>
      </c>
      <c r="BS108" s="57">
        <f>'2016'!BI10</f>
        <v>47</v>
      </c>
      <c r="BT108" s="57">
        <f>'2016'!BJ10</f>
        <v>0</v>
      </c>
      <c r="BU108" s="57">
        <f>'2016'!BK10</f>
        <v>0</v>
      </c>
      <c r="BV108" s="58">
        <f>'2016'!BL10</f>
        <v>0</v>
      </c>
      <c r="BW108" s="58">
        <f>'2016'!BM10</f>
        <v>0</v>
      </c>
      <c r="BX108" s="58">
        <f>'2016'!BN10</f>
        <v>0</v>
      </c>
      <c r="BY108" s="58">
        <f>'2016'!BO10</f>
        <v>0</v>
      </c>
      <c r="BZ108" s="57">
        <f>'2016'!BP10</f>
        <v>35</v>
      </c>
      <c r="CA108" s="57">
        <f>'2016'!BQ10</f>
        <v>4209</v>
      </c>
      <c r="CB108" s="57">
        <f>'2016'!BR10</f>
        <v>10</v>
      </c>
      <c r="CC108" s="57">
        <f>'2016'!BS10</f>
        <v>1</v>
      </c>
      <c r="CD108" s="59">
        <f>'2016'!BT10</f>
        <v>33</v>
      </c>
      <c r="CE108" s="56">
        <f>'2016'!BU10</f>
        <v>917</v>
      </c>
      <c r="CF108" s="57">
        <f>'2016'!BV10</f>
        <v>1602</v>
      </c>
      <c r="CG108" s="57">
        <f>'2016'!BW10</f>
        <v>4</v>
      </c>
      <c r="CH108" s="57">
        <f>'2016'!BX10</f>
        <v>12</v>
      </c>
      <c r="CI108" s="57">
        <f>'2016'!BY10</f>
        <v>0</v>
      </c>
      <c r="CJ108" s="57">
        <f>'2016'!BZ10</f>
        <v>0</v>
      </c>
      <c r="CK108" s="58">
        <f>'2016'!CA10</f>
        <v>0</v>
      </c>
      <c r="CL108" s="58">
        <f>'2016'!CB10</f>
        <v>0</v>
      </c>
      <c r="CM108" s="58">
        <f>'2016'!CC10</f>
        <v>0</v>
      </c>
      <c r="CN108" s="58">
        <f>'2016'!CD10</f>
        <v>0</v>
      </c>
      <c r="CO108" s="57">
        <f>'2016'!CE10</f>
        <v>85</v>
      </c>
      <c r="CP108" s="57">
        <f>'2016'!CF10</f>
        <v>2060</v>
      </c>
      <c r="CQ108" s="57">
        <f>'2016'!CG10</f>
        <v>14</v>
      </c>
      <c r="CR108" s="57">
        <f>'2016'!CH10</f>
        <v>1</v>
      </c>
      <c r="CS108" s="59">
        <f>'2016'!CI10</f>
        <v>8</v>
      </c>
      <c r="CT108" s="56">
        <f>'2016'!CJ10</f>
        <v>1293</v>
      </c>
      <c r="CU108" s="57">
        <f>'2016'!CK10</f>
        <v>2080.4</v>
      </c>
      <c r="CV108" s="57">
        <f>'2016'!CL10</f>
        <v>23</v>
      </c>
      <c r="CW108" s="57">
        <f>'2016'!CM10</f>
        <v>32.199999999999996</v>
      </c>
      <c r="CX108" s="57">
        <f>'2016'!CN10</f>
        <v>253</v>
      </c>
      <c r="CY108" s="57">
        <f>'2016'!CO10</f>
        <v>71</v>
      </c>
      <c r="CZ108" s="58">
        <f>'2016'!CP10</f>
        <v>5.1106719367588935</v>
      </c>
      <c r="DA108" s="58">
        <f>'2016'!CQ10</f>
        <v>98.8</v>
      </c>
      <c r="DB108" s="58">
        <f>'2016'!CR10</f>
        <v>3.33</v>
      </c>
      <c r="DC108" s="58">
        <f>'2016'!CS10</f>
        <v>45.6</v>
      </c>
      <c r="DD108" s="57">
        <f>'2016'!CT10</f>
        <v>385</v>
      </c>
      <c r="DE108" s="57">
        <f>'2016'!CU10</f>
        <v>3530.7999999999997</v>
      </c>
      <c r="DF108" s="57">
        <f>'2016'!CV10</f>
        <v>30</v>
      </c>
      <c r="DG108" s="57">
        <f>'2016'!CW10</f>
        <v>6</v>
      </c>
      <c r="DH108" s="59">
        <f>'2016'!CX10</f>
        <v>29.400000000000002</v>
      </c>
      <c r="DI108" s="56">
        <f>'2016'!CY10</f>
        <v>1064</v>
      </c>
      <c r="DJ108" s="57">
        <f>'2016'!CZ10</f>
        <v>1757.8000000000002</v>
      </c>
      <c r="DK108" s="57">
        <f>'2016'!DA10</f>
        <v>19</v>
      </c>
      <c r="DL108" s="57">
        <f>'2016'!DB10</f>
        <v>23.1</v>
      </c>
      <c r="DM108" s="57">
        <f>'2016'!DC10</f>
        <v>197</v>
      </c>
      <c r="DN108" s="57">
        <f>'2016'!DD10</f>
        <v>54</v>
      </c>
      <c r="DO108" s="58">
        <f>'2016'!DE10</f>
        <v>5.4010152284263961</v>
      </c>
      <c r="DP108" s="58">
        <f>'2016'!DF10</f>
        <v>98.8</v>
      </c>
      <c r="DQ108" s="58">
        <f>'2016'!DG10</f>
        <v>3.27</v>
      </c>
      <c r="DR108" s="58">
        <f>'2016'!DH10</f>
        <v>49.2</v>
      </c>
      <c r="DS108" s="57">
        <f>'2016'!DI10</f>
        <v>480</v>
      </c>
      <c r="DT108" s="57">
        <f>'2016'!DJ10</f>
        <v>3548.6000000000004</v>
      </c>
      <c r="DU108" s="57">
        <f>'2016'!DK10</f>
        <v>35</v>
      </c>
      <c r="DV108" s="57">
        <f>'2016'!DL10</f>
        <v>7</v>
      </c>
      <c r="DW108" s="59">
        <f>'2016'!DM10</f>
        <v>24.200000000000003</v>
      </c>
    </row>
    <row r="109" spans="1:127" ht="15.75" customHeight="1" x14ac:dyDescent="0.2">
      <c r="A109" s="33">
        <f t="shared" si="12"/>
        <v>107</v>
      </c>
      <c r="B109" s="11">
        <f>'2023'!A14</f>
        <v>12</v>
      </c>
      <c r="C109" s="11">
        <v>2023</v>
      </c>
      <c r="D109" s="34" t="str">
        <f>'2023'!B14</f>
        <v>Evan Hull</v>
      </c>
      <c r="E109" s="224" t="str" cm="1">
        <f t="array" ref="E109">_xlfn.IFS(F109&gt;=13,"Cornerstone",AND(F109&gt;=12,F109&lt;13),"Elite",AND(F109&gt;=11,F109&lt;12),"Elite Upside",AND(F109&gt;=9,F109&lt;11),"Upside",AND(F109&gt;=7,F109&lt;9),"Upside Lite",AND(F109&gt;=6,F109&lt;7),"Outlier",AND(F109&gt;=5,F109&lt;6),"Outlier Lite",F109&lt;5,"Purgatory")</f>
        <v>Upside Lite</v>
      </c>
      <c r="F109" s="14">
        <f>'2023'!C14</f>
        <v>7.9888888888888898</v>
      </c>
      <c r="G109" s="14">
        <f t="shared" si="19"/>
        <v>67.2</v>
      </c>
      <c r="H109" s="35">
        <f t="shared" si="13"/>
        <v>-5.7226713231661392E-3</v>
      </c>
      <c r="I109" s="36" t="str">
        <f>'2023'!D14</f>
        <v>Northwestern</v>
      </c>
      <c r="J109" s="37">
        <f>'2023'!E14</f>
        <v>2</v>
      </c>
      <c r="K109" s="38">
        <f>'2023'!F14</f>
        <v>36825</v>
      </c>
      <c r="L109" s="39">
        <f>'2023'!G14</f>
        <v>24.936986301369863</v>
      </c>
      <c r="M109" s="39" t="str">
        <f>'2023'!H14</f>
        <v>RS JR</v>
      </c>
      <c r="N109" s="39">
        <f>'2023'!I14</f>
        <v>22.515068493150686</v>
      </c>
      <c r="O109" s="39" t="str">
        <f t="shared" si="14"/>
        <v>DYNAMIC</v>
      </c>
      <c r="P109" s="39" t="str">
        <f t="shared" si="17"/>
        <v>+RECEIVER</v>
      </c>
      <c r="Q109" s="37">
        <f>'2023'!J14</f>
        <v>70</v>
      </c>
      <c r="R109" s="37">
        <f>'2023'!K14</f>
        <v>209</v>
      </c>
      <c r="S109" s="39">
        <f t="shared" si="18"/>
        <v>29.988045363845824</v>
      </c>
      <c r="T109" s="37">
        <f>'2023'!L14</f>
        <v>4.47</v>
      </c>
      <c r="U109" s="40">
        <f>'2023'!M14</f>
        <v>5</v>
      </c>
      <c r="V109" s="41">
        <f>'2023'!N14</f>
        <v>0</v>
      </c>
      <c r="W109" s="42">
        <f>'2023'!O14</f>
        <v>7.9943899018232817E-2</v>
      </c>
      <c r="X109" s="42">
        <f>'2023'!P14</f>
        <v>7.7017868145409729E-2</v>
      </c>
      <c r="Y109" s="42">
        <f>'2023'!Q14</f>
        <v>0.32911065149948293</v>
      </c>
      <c r="Z109" s="42">
        <f>'2023'!R14</f>
        <v>0.36024844720496896</v>
      </c>
      <c r="AA109" s="42">
        <f>'2023'!S14</f>
        <v>0.36024844720496896</v>
      </c>
      <c r="AB109" s="42">
        <f>'2023'!T14</f>
        <v>0.36024844720496896</v>
      </c>
      <c r="AC109" s="42">
        <f>'2023'!U14</f>
        <v>0.12406015037593984</v>
      </c>
      <c r="AD109" s="42">
        <f>'2023'!V14</f>
        <v>0.21236133122028525</v>
      </c>
      <c r="AE109" s="42">
        <f>'2023'!W14</f>
        <v>0.21236133122028525</v>
      </c>
      <c r="AF109" s="43">
        <f>'2023'!X14</f>
        <v>0.21236133122028525</v>
      </c>
      <c r="AG109" s="44">
        <f>'2023'!Y14</f>
        <v>20.873972602739727</v>
      </c>
      <c r="AH109" s="45">
        <f>'2023'!Z14</f>
        <v>104.69988128434389</v>
      </c>
      <c r="AI109" s="45">
        <f>'2023'!AA14</f>
        <v>29.985102040816326</v>
      </c>
      <c r="AJ109" s="45">
        <f>'2023'!AB14</f>
        <v>0.25510204081632654</v>
      </c>
      <c r="AK109" s="45">
        <f>'2023'!AC14</f>
        <v>5.0999999999999996</v>
      </c>
      <c r="AL109" s="45">
        <f t="shared" si="15"/>
        <v>9.043010752688172</v>
      </c>
      <c r="AM109" s="45">
        <f t="shared" si="21"/>
        <v>0.19708029197080293</v>
      </c>
      <c r="AN109" s="45">
        <f>'2023'!AD14</f>
        <v>97.4</v>
      </c>
      <c r="AO109" s="45">
        <f>'2023'!AE14</f>
        <v>3.6</v>
      </c>
      <c r="AP109" s="46">
        <f>'2023'!AF14</f>
        <v>43.8</v>
      </c>
      <c r="AQ109" s="47">
        <f>'2023'!AG14</f>
        <v>10</v>
      </c>
      <c r="AR109" s="48">
        <f>'2023'!AH14</f>
        <v>10</v>
      </c>
      <c r="AS109" s="48">
        <f>'2023'!AI14</f>
        <v>3</v>
      </c>
      <c r="AT109" s="48">
        <f>IF(AH109&gt;113.25,10,IF(AH109&gt;=107.84,9,IF(AH109&gt;=105.37,8,IF(AH109&gt;=103.25,7,IF(AH109&gt;=100.55,6,IF(AH109&gt;=98.75,5,IF(AH109&gt;=96.08,4,IF(AH109&gt;=94.39,3,IF(AH109&gt;=88.43,2,IF(AH109&gt;=85.16,1,IF(AH109&lt;85.16,0,FALSE)))))))))))</f>
        <v>7</v>
      </c>
      <c r="AU109" s="48">
        <f>'2023'!AK14</f>
        <v>6</v>
      </c>
      <c r="AV109" s="48">
        <f>'2023'!AL14</f>
        <v>1</v>
      </c>
      <c r="AW109" s="48">
        <f>'2023'!AM14</f>
        <v>4</v>
      </c>
      <c r="AX109" s="48">
        <f>'2023'!AN14</f>
        <v>2</v>
      </c>
      <c r="AY109" s="49">
        <f>'2023'!AO14</f>
        <v>3</v>
      </c>
      <c r="AZ109" s="50">
        <f>'2023'!AP14</f>
        <v>0</v>
      </c>
      <c r="BA109" s="56">
        <f>'2023'!AQ14</f>
        <v>0</v>
      </c>
      <c r="BB109" s="57">
        <f>'2023'!AR14</f>
        <v>1609</v>
      </c>
      <c r="BC109" s="57">
        <f>'2023'!AS14</f>
        <v>0</v>
      </c>
      <c r="BD109" s="57">
        <f>'2023'!AT14</f>
        <v>25</v>
      </c>
      <c r="BE109" s="57">
        <f>'2023'!AU14</f>
        <v>0</v>
      </c>
      <c r="BF109" s="57">
        <f>'2023'!AV14</f>
        <v>0</v>
      </c>
      <c r="BG109" s="58">
        <f>'2023'!AW14</f>
        <v>0</v>
      </c>
      <c r="BH109" s="58">
        <f>'2023'!AX14</f>
        <v>0</v>
      </c>
      <c r="BI109" s="58">
        <f>'2023'!AY14</f>
        <v>0</v>
      </c>
      <c r="BJ109" s="58">
        <f>'2023'!AZ14</f>
        <v>0</v>
      </c>
      <c r="BK109" s="57">
        <f>'2023'!BA14</f>
        <v>0</v>
      </c>
      <c r="BL109" s="57">
        <f>'2023'!BB14</f>
        <v>3352</v>
      </c>
      <c r="BM109" s="57">
        <f>'2023'!BC14</f>
        <v>0</v>
      </c>
      <c r="BN109" s="57">
        <f>'2023'!BD14</f>
        <v>0</v>
      </c>
      <c r="BO109" s="59">
        <f>'2023'!BE14</f>
        <v>17</v>
      </c>
      <c r="BP109" s="56">
        <f>'2023'!BF14</f>
        <v>285</v>
      </c>
      <c r="BQ109" s="57">
        <f>'2023'!BG14</f>
        <v>2161</v>
      </c>
      <c r="BR109" s="57">
        <f>'2023'!BH14</f>
        <v>4</v>
      </c>
      <c r="BS109" s="57">
        <f>'2023'!BI14</f>
        <v>17</v>
      </c>
      <c r="BT109" s="57">
        <f>'2023'!BJ14</f>
        <v>46</v>
      </c>
      <c r="BU109" s="57">
        <f>'2023'!BK14</f>
        <v>9</v>
      </c>
      <c r="BV109" s="58">
        <f>'2023'!BL14</f>
        <v>6.2</v>
      </c>
      <c r="BW109" s="58">
        <f>'2023'!BM14</f>
        <v>89.3</v>
      </c>
      <c r="BX109" s="58">
        <f>'2023'!BN14</f>
        <v>4.57</v>
      </c>
      <c r="BY109" s="58">
        <f>'2023'!BO14</f>
        <v>57.2</v>
      </c>
      <c r="BZ109" s="57">
        <f>'2023'!BP14</f>
        <v>0</v>
      </c>
      <c r="CA109" s="57">
        <f>'2023'!BQ14</f>
        <v>1404</v>
      </c>
      <c r="CB109" s="57">
        <f>'2023'!BR14</f>
        <v>0</v>
      </c>
      <c r="CC109" s="57">
        <f>'2023'!BS14</f>
        <v>0</v>
      </c>
      <c r="CD109" s="59">
        <f>'2023'!BT14</f>
        <v>6</v>
      </c>
      <c r="CE109" s="56">
        <f>'2023'!BU14</f>
        <v>209</v>
      </c>
      <c r="CF109" s="57">
        <f>'2023'!BV14</f>
        <v>1465</v>
      </c>
      <c r="CG109" s="57">
        <f>'2023'!BW14</f>
        <v>2</v>
      </c>
      <c r="CH109" s="57">
        <f>'2023'!BX14</f>
        <v>16</v>
      </c>
      <c r="CI109" s="57">
        <f>'2023'!BY14</f>
        <v>25</v>
      </c>
      <c r="CJ109" s="57">
        <f>'2023'!BZ14</f>
        <v>5</v>
      </c>
      <c r="CK109" s="58">
        <f>'2023'!CA14</f>
        <v>8.4</v>
      </c>
      <c r="CL109" s="58">
        <f>'2023'!CB14</f>
        <v>92.1</v>
      </c>
      <c r="CM109" s="58">
        <f>'2023'!CC14</f>
        <v>4.76</v>
      </c>
      <c r="CN109" s="58">
        <f>'2023'!CD14</f>
        <v>74.2</v>
      </c>
      <c r="CO109" s="57">
        <f>'2023'!CE14</f>
        <v>41</v>
      </c>
      <c r="CP109" s="57">
        <f>'2023'!CF14</f>
        <v>1781</v>
      </c>
      <c r="CQ109" s="57">
        <f>'2023'!CG14</f>
        <v>6</v>
      </c>
      <c r="CR109" s="57">
        <f>'2023'!CH14</f>
        <v>0</v>
      </c>
      <c r="CS109" s="59">
        <f>'2023'!CI14</f>
        <v>12</v>
      </c>
      <c r="CT109" s="56">
        <f>'2023'!CJ14</f>
        <v>1009</v>
      </c>
      <c r="CU109" s="57">
        <f>'2023'!CK14</f>
        <v>1740</v>
      </c>
      <c r="CV109" s="57">
        <f>'2023'!CL14</f>
        <v>7</v>
      </c>
      <c r="CW109" s="57">
        <f>'2023'!CM14</f>
        <v>12</v>
      </c>
      <c r="CX109" s="57">
        <f>'2023'!CN14</f>
        <v>196</v>
      </c>
      <c r="CY109" s="57">
        <f>'2023'!CO14</f>
        <v>50</v>
      </c>
      <c r="CZ109" s="58">
        <f>'2023'!CP14</f>
        <v>5.0999999999999996</v>
      </c>
      <c r="DA109" s="58">
        <f>'2023'!CQ14</f>
        <v>97.4</v>
      </c>
      <c r="DB109" s="58">
        <f>'2023'!CR14</f>
        <v>3.6</v>
      </c>
      <c r="DC109" s="58">
        <f>'2023'!CS14</f>
        <v>43.8</v>
      </c>
      <c r="DD109" s="57">
        <f>'2023'!CT14</f>
        <v>264</v>
      </c>
      <c r="DE109" s="57">
        <f>'2023'!CU14</f>
        <v>2128</v>
      </c>
      <c r="DF109" s="57">
        <f>'2023'!CV14</f>
        <v>33</v>
      </c>
      <c r="DG109" s="57">
        <f>'2023'!CW14</f>
        <v>0</v>
      </c>
      <c r="DH109" s="59">
        <f>'2023'!CX14</f>
        <v>13</v>
      </c>
      <c r="DI109" s="56">
        <f>'2023'!CY14</f>
        <v>914</v>
      </c>
      <c r="DJ109" s="57">
        <f>'2023'!CZ14</f>
        <v>1501</v>
      </c>
      <c r="DK109" s="57">
        <f>'2023'!DA14</f>
        <v>5</v>
      </c>
      <c r="DL109" s="57">
        <f>'2023'!DB14</f>
        <v>11</v>
      </c>
      <c r="DM109" s="57">
        <f>'2023'!DC14</f>
        <v>220</v>
      </c>
      <c r="DN109" s="57">
        <f>'2023'!DD14</f>
        <v>51</v>
      </c>
      <c r="DO109" s="58">
        <f>'2023'!DE14</f>
        <v>4.2</v>
      </c>
      <c r="DP109" s="58">
        <f>'2023'!DF14</f>
        <v>62.9</v>
      </c>
      <c r="DQ109" s="58">
        <f>'2023'!DG14</f>
        <v>2.74</v>
      </c>
      <c r="DR109" s="58">
        <f>'2023'!DH14</f>
        <v>28.1</v>
      </c>
      <c r="DS109" s="57">
        <f>'2023'!DI14</f>
        <v>536</v>
      </c>
      <c r="DT109" s="57">
        <f>'2023'!DJ14</f>
        <v>2524</v>
      </c>
      <c r="DU109" s="57">
        <f>'2023'!DK14</f>
        <v>54</v>
      </c>
      <c r="DV109" s="57">
        <f>'2023'!DL14</f>
        <v>0</v>
      </c>
      <c r="DW109" s="59">
        <f>'2023'!DM14</f>
        <v>10</v>
      </c>
    </row>
    <row r="110" spans="1:127" ht="15.75" customHeight="1" x14ac:dyDescent="0.2">
      <c r="A110" s="33">
        <f t="shared" si="12"/>
        <v>108</v>
      </c>
      <c r="B110" s="11">
        <f>'2026 - WIP'!A9</f>
        <v>7</v>
      </c>
      <c r="C110" s="11">
        <v>2026</v>
      </c>
      <c r="D110" s="34" t="str">
        <f>'2026 - WIP'!B9</f>
        <v>Jadarian Price</v>
      </c>
      <c r="E110" s="224" t="str" cm="1">
        <f t="array" ref="E110">_xlfn.IFS(F110&gt;=13,"Cornerstone",AND(F110&gt;=12,F110&lt;13),"Elite",AND(F110&gt;=11,F110&lt;12),"Elite Upside",AND(F110&gt;=9,F110&lt;11),"Upside",AND(F110&gt;=7,F110&lt;9),"Upside Lite",AND(F110&gt;=6,F110&lt;7),"Outlier",AND(F110&gt;=5,F110&lt;6),"Outlier Lite",F110&lt;5,"Purgatory")</f>
        <v>Upside Lite</v>
      </c>
      <c r="F110" s="14">
        <f>'2026 - WIP'!C9</f>
        <v>7.916666666666667</v>
      </c>
      <c r="G110" s="14">
        <f t="shared" si="19"/>
        <v>66.900000000000006</v>
      </c>
      <c r="H110" s="35">
        <f t="shared" si="13"/>
        <v>-3.6288925962695937E-2</v>
      </c>
      <c r="I110" s="36" t="str">
        <f>'2026 - WIP'!D9</f>
        <v>Notre Dame</v>
      </c>
      <c r="J110" s="37">
        <f>'2026 - WIP'!E9</f>
        <v>2</v>
      </c>
      <c r="K110" s="38">
        <f>'2026 - WIP'!F9</f>
        <v>37903</v>
      </c>
      <c r="L110" s="39">
        <f>'2026 - WIP'!G9</f>
        <v>21.983561643835618</v>
      </c>
      <c r="M110" s="39" t="str">
        <f>'2026 - WIP'!H9</f>
        <v>RS JR</v>
      </c>
      <c r="N110" s="39">
        <f>'2026 - WIP'!I9</f>
        <v>22.564383561643837</v>
      </c>
      <c r="O110" s="39" t="str">
        <f t="shared" si="14"/>
        <v>DYNAMIC</v>
      </c>
      <c r="P110" s="39" t="str">
        <f>IF(OR(AND($AA110&lt;0.25,$AO110&gt;=0.133,AE110&gt;4%),(AND($O110="JITTERBUG",$AO110&gt;0.11)),(AND($O110="JITTERBUG",$AE110&gt;9.5%))),"+RECEIVER",IF(AND($AJ110&gt;=0.25,$AQ110&gt;=3.81),"3DOWN",IF($AQ110&gt;=3.81,"HORSE",IF(OR(AJ110&gt;0.28,AK110&gt;7,AR110&gt;47),"SLASHER",IF(AO110&gt;0.19,"+RECEIVER","PLODDER")))))</f>
        <v>+RECEIVER</v>
      </c>
      <c r="Q110" s="37">
        <f>'2026 - WIP'!J9</f>
        <v>71</v>
      </c>
      <c r="R110" s="37">
        <f>'2026 - WIP'!K9</f>
        <v>210</v>
      </c>
      <c r="S110" s="39">
        <f t="shared" si="18"/>
        <v>29.28873066633259</v>
      </c>
      <c r="T110" s="39">
        <f>'2026 - WIP'!L9</f>
        <v>4.41</v>
      </c>
      <c r="U110" s="55">
        <f>'2026 - WIP'!M9</f>
        <v>3</v>
      </c>
      <c r="V110" s="41">
        <f>'2026 - WIP'!N9</f>
        <v>0</v>
      </c>
      <c r="W110" s="42">
        <f>'2026 - WIP'!O9</f>
        <v>0</v>
      </c>
      <c r="X110" s="42">
        <f>'2026 - WIP'!P9</f>
        <v>5.8741502527453374E-2</v>
      </c>
      <c r="Y110" s="42">
        <f>'2026 - WIP'!Q9</f>
        <v>0.11612505775450485</v>
      </c>
      <c r="Z110" s="42">
        <f>'2026 - WIP'!R9</f>
        <v>0.13965646004480955</v>
      </c>
      <c r="AA110" s="42">
        <f>'2026 - WIP'!S9</f>
        <v>0.1278907588996572</v>
      </c>
      <c r="AB110" s="42">
        <f>'2026 - WIP'!T9</f>
        <v>0.1278907588996572</v>
      </c>
      <c r="AC110" s="42">
        <f>'2026 - WIP'!U9</f>
        <v>3.1545741324921135E-3</v>
      </c>
      <c r="AD110" s="42">
        <f>'2026 - WIP'!V9</f>
        <v>0</v>
      </c>
      <c r="AE110" s="42">
        <f>'2026 - WIP'!W9</f>
        <v>3.1545741324921135E-3</v>
      </c>
      <c r="AF110" s="43">
        <f>'2026 - WIP'!X9</f>
        <v>3.1545741324921135E-3</v>
      </c>
      <c r="AG110" s="44" t="str">
        <f>'2026 - WIP'!Y9</f>
        <v>N/A</v>
      </c>
      <c r="AH110" s="45">
        <f>'2026 - WIP'!Z9</f>
        <v>111.0439578328315</v>
      </c>
      <c r="AI110" s="45">
        <f>'2026 - WIP'!AA9</f>
        <v>29.28585598095616</v>
      </c>
      <c r="AJ110" s="45">
        <f>'2026 - WIP'!AB9</f>
        <v>0.25925925925925924</v>
      </c>
      <c r="AK110" s="45">
        <f>'2026 - WIP'!AC9</f>
        <v>6.9259259259259256</v>
      </c>
      <c r="AL110" s="45">
        <f t="shared" si="15"/>
        <v>8.3333333333333339</v>
      </c>
      <c r="AM110" s="45">
        <f t="shared" si="21"/>
        <v>0</v>
      </c>
      <c r="AN110" s="45">
        <f>'2026 - WIP'!AD9</f>
        <v>97.3</v>
      </c>
      <c r="AO110" s="45">
        <f>'2026 - WIP'!AE9</f>
        <v>4.5</v>
      </c>
      <c r="AP110" s="46">
        <f>'2026 - WIP'!AF9</f>
        <v>58.3</v>
      </c>
      <c r="AQ110" s="47">
        <f>'2026 - WIP'!AG9</f>
        <v>1</v>
      </c>
      <c r="AR110" s="48">
        <f>'2026 - WIP'!AH9</f>
        <v>0</v>
      </c>
      <c r="AS110" s="48">
        <f>'2026 - WIP'!AI9</f>
        <v>0</v>
      </c>
      <c r="AT110" s="48">
        <f>'2026 - WIP'!AJ9</f>
        <v>9</v>
      </c>
      <c r="AU110" s="48">
        <f>'2026 - WIP'!AK9</f>
        <v>6</v>
      </c>
      <c r="AV110" s="48">
        <f>'2026 - WIP'!AL9</f>
        <v>7</v>
      </c>
      <c r="AW110" s="48">
        <f>'2026 - WIP'!AM9</f>
        <v>4</v>
      </c>
      <c r="AX110" s="48">
        <f>'2026 - WIP'!AN9</f>
        <v>7</v>
      </c>
      <c r="AY110" s="49">
        <f>'2026 - WIP'!AO9</f>
        <v>6</v>
      </c>
      <c r="AZ110" s="50">
        <f>'2026 - WIP'!AP9</f>
        <v>1</v>
      </c>
      <c r="BA110" s="56">
        <f>'2026 - WIP'!AQ9</f>
        <v>0</v>
      </c>
      <c r="BB110" s="57">
        <f>'2026 - WIP'!AR9</f>
        <v>1</v>
      </c>
      <c r="BC110" s="57">
        <f>'2026 - WIP'!AS9</f>
        <v>0</v>
      </c>
      <c r="BD110" s="57">
        <f>'2026 - WIP'!AT9</f>
        <v>0</v>
      </c>
      <c r="BE110" s="57">
        <f>'2026 - WIP'!AU9</f>
        <v>0</v>
      </c>
      <c r="BF110" s="57">
        <f>'2026 - WIP'!AV9</f>
        <v>0</v>
      </c>
      <c r="BG110" s="58">
        <f>'2026 - WIP'!AW9</f>
        <v>0</v>
      </c>
      <c r="BH110" s="58">
        <f>'2026 - WIP'!AX9</f>
        <v>0</v>
      </c>
      <c r="BI110" s="58">
        <f>'2026 - WIP'!AY9</f>
        <v>0</v>
      </c>
      <c r="BJ110" s="58">
        <f>'2026 - WIP'!AZ9</f>
        <v>0</v>
      </c>
      <c r="BK110" s="57">
        <f>'2026 - WIP'!BA9</f>
        <v>0</v>
      </c>
      <c r="BL110" s="57">
        <f>'2026 - WIP'!BB9</f>
        <v>1</v>
      </c>
      <c r="BM110" s="57">
        <f>'2026 - WIP'!BC9</f>
        <v>0</v>
      </c>
      <c r="BN110" s="57">
        <f>'2026 - WIP'!BD9</f>
        <v>0</v>
      </c>
      <c r="BO110" s="59">
        <f>'2026 - WIP'!BE9</f>
        <v>0</v>
      </c>
      <c r="BP110" s="56">
        <f>'2026 - WIP'!BF9</f>
        <v>0</v>
      </c>
      <c r="BQ110" s="57">
        <f>'2026 - WIP'!BG9</f>
        <v>1</v>
      </c>
      <c r="BR110" s="57">
        <f>'2026 - WIP'!BH9</f>
        <v>0</v>
      </c>
      <c r="BS110" s="57">
        <f>'2026 - WIP'!BI9</f>
        <v>0</v>
      </c>
      <c r="BT110" s="57">
        <f>'2026 - WIP'!BJ9</f>
        <v>0</v>
      </c>
      <c r="BU110" s="57">
        <f>'2026 - WIP'!BK9</f>
        <v>0</v>
      </c>
      <c r="BV110" s="58">
        <f>'2026 - WIP'!BL9</f>
        <v>0</v>
      </c>
      <c r="BW110" s="58">
        <f>'2026 - WIP'!BM9</f>
        <v>0</v>
      </c>
      <c r="BX110" s="58">
        <f>'2026 - WIP'!BN9</f>
        <v>0</v>
      </c>
      <c r="BY110" s="58">
        <f>'2026 - WIP'!BO9</f>
        <v>0</v>
      </c>
      <c r="BZ110" s="57">
        <f>'2026 - WIP'!BP9</f>
        <v>0</v>
      </c>
      <c r="CA110" s="57">
        <f>'2026 - WIP'!BQ9</f>
        <v>1</v>
      </c>
      <c r="CB110" s="57">
        <f>'2026 - WIP'!BR9</f>
        <v>0</v>
      </c>
      <c r="CC110" s="57">
        <f>'2026 - WIP'!BS9</f>
        <v>0</v>
      </c>
      <c r="CD110" s="59">
        <f>'2026 - WIP'!BT9</f>
        <v>0</v>
      </c>
      <c r="CE110" s="56">
        <f>'2026 - WIP'!BU9</f>
        <v>272</v>
      </c>
      <c r="CF110" s="57">
        <f>'2026 - WIP'!BV9</f>
        <v>2532</v>
      </c>
      <c r="CG110" s="57">
        <f>'2026 - WIP'!BW9</f>
        <v>3</v>
      </c>
      <c r="CH110" s="57">
        <f>'2026 - WIP'!BX9</f>
        <v>28</v>
      </c>
      <c r="CI110" s="57">
        <f>'2026 - WIP'!BY9</f>
        <v>47</v>
      </c>
      <c r="CJ110" s="57">
        <f>'2026 - WIP'!BZ9</f>
        <v>14</v>
      </c>
      <c r="CK110" s="58">
        <f>'2026 - WIP'!CA9</f>
        <v>5.7872340425531918</v>
      </c>
      <c r="CL110" s="58">
        <f>'2026 - WIP'!CB9</f>
        <v>140.80000000000001</v>
      </c>
      <c r="CM110" s="58">
        <f>'2026 - WIP'!CC9</f>
        <v>4.57</v>
      </c>
      <c r="CN110" s="58">
        <f>'2026 - WIP'!CD9</f>
        <v>47.4</v>
      </c>
      <c r="CO110" s="57">
        <f>'2026 - WIP'!CE9</f>
        <v>65</v>
      </c>
      <c r="CP110" s="57">
        <f>'2026 - WIP'!CF9</f>
        <v>3205</v>
      </c>
      <c r="CQ110" s="57">
        <f>'2026 - WIP'!CG9</f>
        <v>5</v>
      </c>
      <c r="CR110" s="57">
        <f>'2026 - WIP'!CH9</f>
        <v>1</v>
      </c>
      <c r="CS110" s="59">
        <f>'2026 - WIP'!CI9</f>
        <v>31</v>
      </c>
      <c r="CT110" s="56">
        <f>'2026 - WIP'!CJ9</f>
        <v>744</v>
      </c>
      <c r="CU110" s="57">
        <f>'2026 - WIP'!CK9</f>
        <v>3323</v>
      </c>
      <c r="CV110" s="57">
        <f>'2026 - WIP'!CL9</f>
        <v>7</v>
      </c>
      <c r="CW110" s="57">
        <f>'2026 - WIP'!CM9</f>
        <v>45</v>
      </c>
      <c r="CX110" s="57">
        <f>'2026 - WIP'!CN9</f>
        <v>121</v>
      </c>
      <c r="CY110" s="57">
        <f>'2026 - WIP'!CO9</f>
        <v>27</v>
      </c>
      <c r="CZ110" s="58">
        <f>'2026 - WIP'!CP9</f>
        <v>6.1487603305785123</v>
      </c>
      <c r="DA110" s="58">
        <f>'2026 - WIP'!CQ9</f>
        <v>97.3</v>
      </c>
      <c r="DB110" s="58">
        <f>'2026 - WIP'!CR9</f>
        <v>4.5</v>
      </c>
      <c r="DC110" s="58">
        <f>'2026 - WIP'!CS9</f>
        <v>58.3</v>
      </c>
      <c r="DD110" s="57">
        <f>'2026 - WIP'!CT9</f>
        <v>10</v>
      </c>
      <c r="DE110" s="57">
        <f>'2026 - WIP'!CU9</f>
        <v>3170</v>
      </c>
      <c r="DF110" s="57">
        <f>'2026 - WIP'!CV9</f>
        <v>4</v>
      </c>
      <c r="DG110" s="57">
        <f>'2026 - WIP'!CW9</f>
        <v>0</v>
      </c>
      <c r="DH110" s="59">
        <f>'2026 - WIP'!CX9</f>
        <v>24</v>
      </c>
      <c r="DI110" s="56">
        <f>'2026 - WIP'!CY9</f>
        <v>187</v>
      </c>
      <c r="DJ110" s="57">
        <f>'2026 - WIP'!CZ9</f>
        <v>544</v>
      </c>
      <c r="DK110" s="57">
        <f>'2026 - WIP'!DA9</f>
        <v>0</v>
      </c>
      <c r="DL110" s="57">
        <f>'2026 - WIP'!DB9</f>
        <v>0</v>
      </c>
      <c r="DM110" s="57">
        <f>'2026 - WIP'!DC9</f>
        <v>27</v>
      </c>
      <c r="DN110" s="57">
        <f>'2026 - WIP'!DD9</f>
        <v>7</v>
      </c>
      <c r="DO110" s="58">
        <f>'2026 - WIP'!DE9</f>
        <v>6.9259259259259256</v>
      </c>
      <c r="DP110" s="58">
        <f>'2026 - WIP'!DF9</f>
        <v>83.5</v>
      </c>
      <c r="DQ110" s="58">
        <f>'2026 - WIP'!DG9</f>
        <v>3.22</v>
      </c>
      <c r="DR110" s="58">
        <f>'2026 - WIP'!DH9</f>
        <v>49.2</v>
      </c>
      <c r="DS110" s="57">
        <f>'2026 - WIP'!DI9</f>
        <v>0</v>
      </c>
      <c r="DT110" s="57">
        <f>'2026 - WIP'!DJ9</f>
        <v>795</v>
      </c>
      <c r="DU110" s="57">
        <f>'2026 - WIP'!DK9</f>
        <v>0</v>
      </c>
      <c r="DV110" s="57">
        <f>'2026 - WIP'!DL9</f>
        <v>0</v>
      </c>
      <c r="DW110" s="59">
        <f>'2026 - WIP'!DM9</f>
        <v>0</v>
      </c>
    </row>
    <row r="111" spans="1:127" ht="15.75" customHeight="1" x14ac:dyDescent="0.2">
      <c r="A111" s="33">
        <f t="shared" si="12"/>
        <v>109</v>
      </c>
      <c r="B111" s="11">
        <f>'2016'!A11</f>
        <v>9</v>
      </c>
      <c r="C111" s="11">
        <v>2016</v>
      </c>
      <c r="D111" s="34" t="str">
        <f>'2016'!B11</f>
        <v>Alex Collins</v>
      </c>
      <c r="E111" s="224" t="str" cm="1">
        <f t="array" ref="E111">_xlfn.IFS(F111&gt;=13,"Cornerstone",AND(F111&gt;=12,F111&lt;13),"Elite",AND(F111&gt;=11,F111&lt;12),"Elite Upside",AND(F111&gt;=9,F111&lt;11),"Upside",AND(F111&gt;=7,F111&lt;9),"Upside Lite",AND(F111&gt;=6,F111&lt;7),"Outlier",AND(F111&gt;=5,F111&lt;6),"Outlier Lite",F111&lt;5,"Purgatory")</f>
        <v>Upside Lite</v>
      </c>
      <c r="F111" s="14">
        <f>'2016'!C11</f>
        <v>7.8611111111111107</v>
      </c>
      <c r="G111" s="14">
        <f t="shared" si="19"/>
        <v>66.600000000000009</v>
      </c>
      <c r="H111" s="35">
        <f t="shared" si="13"/>
        <v>-5.9801429531565094E-2</v>
      </c>
      <c r="I111" s="36" t="str">
        <f>'2016'!D11</f>
        <v>Arkansas</v>
      </c>
      <c r="J111" s="37">
        <f>'2016'!E11</f>
        <v>1</v>
      </c>
      <c r="K111" s="38">
        <f>'2016'!F11</f>
        <v>34572</v>
      </c>
      <c r="L111" s="39">
        <f>'2016'!G11</f>
        <v>31.109589041095891</v>
      </c>
      <c r="M111" s="39" t="str">
        <f>'2016'!H11</f>
        <v>JR</v>
      </c>
      <c r="N111" s="39">
        <f>'2016'!I11</f>
        <v>21.684931506849313</v>
      </c>
      <c r="O111" s="39" t="str">
        <f t="shared" si="14"/>
        <v>BELL CALF</v>
      </c>
      <c r="P111" s="39" t="str">
        <f t="shared" ref="P111:P116" si="22">IF(OR(AND($AA111&lt;0.25,$AM111&gt;=0.133,AE111&gt;4%),(AND($O111="JITTERBUG",$AM111&gt;0.11)),(AND($O111="JITTERBUG",$AE111&gt;9.5%))),"+RECEIVER",IF(AND($AJ111&gt;=0.25,$AO111&gt;=3.81),"3DOWN",IF($AO111&gt;=3.81,"HORSE",IF(OR(AJ111&gt;0.28,AK111&gt;7,AP111&gt;47),"SLASHER",IF(AM111&gt;0.19,"+RECEIVER","PLODDER")))))</f>
        <v>PLODDER</v>
      </c>
      <c r="Q111" s="37">
        <f>'2016'!J11</f>
        <v>70</v>
      </c>
      <c r="R111" s="37">
        <f>'2016'!K11</f>
        <v>217</v>
      </c>
      <c r="S111" s="39">
        <f t="shared" si="18"/>
        <v>31.135913128969111</v>
      </c>
      <c r="T111" s="37">
        <f>'2016'!L11</f>
        <v>4.59</v>
      </c>
      <c r="U111" s="55">
        <f>'2016'!M11</f>
        <v>5</v>
      </c>
      <c r="V111" s="41">
        <f>'2016'!N11</f>
        <v>0</v>
      </c>
      <c r="W111" s="42">
        <f>'2016'!O11</f>
        <v>0</v>
      </c>
      <c r="X111" s="42">
        <f>'2016'!P11</f>
        <v>0.25408306112925805</v>
      </c>
      <c r="Y111" s="42">
        <f>'2016'!Q11</f>
        <v>0.211443728685108</v>
      </c>
      <c r="Z111" s="42">
        <f>'2016'!R11</f>
        <v>0.27108582735592379</v>
      </c>
      <c r="AA111" s="42">
        <f>'2016'!S11</f>
        <v>0.27108582735592379</v>
      </c>
      <c r="AB111" s="42">
        <f>'2016'!T11</f>
        <v>0.27108582735592379</v>
      </c>
      <c r="AC111" s="42">
        <f>'2016'!U11</f>
        <v>3.6824877250409165E-3</v>
      </c>
      <c r="AD111" s="42">
        <f>'2016'!V11</f>
        <v>1.8355991510353928E-2</v>
      </c>
      <c r="AE111" s="42">
        <f>'2016'!W11</f>
        <v>1.8355991510353928E-2</v>
      </c>
      <c r="AF111" s="43">
        <f>'2016'!X11</f>
        <v>1.8355991510353928E-2</v>
      </c>
      <c r="AG111" s="44">
        <f>'2016'!Y11</f>
        <v>19.030136986301368</v>
      </c>
      <c r="AH111" s="45">
        <f>'2016'!Z11</f>
        <v>97.777513158483714</v>
      </c>
      <c r="AI111" s="45">
        <f>'2016'!AA11</f>
        <v>31.132857142857141</v>
      </c>
      <c r="AJ111" s="45">
        <f>'2016'!AB11</f>
        <v>0.2140221402214022</v>
      </c>
      <c r="AK111" s="45">
        <f>'2016'!AC11</f>
        <v>5.8302583025830259</v>
      </c>
      <c r="AL111" s="45">
        <f t="shared" si="15"/>
        <v>5.0370370370370372</v>
      </c>
      <c r="AM111" s="45">
        <f t="shared" si="21"/>
        <v>4.5774647887323945E-2</v>
      </c>
      <c r="AN111" s="45">
        <f>'2016'!AD11</f>
        <v>65.599999999999994</v>
      </c>
      <c r="AO111" s="45">
        <f>'2016'!AE11</f>
        <v>3.38</v>
      </c>
      <c r="AP111" s="46">
        <f>'2016'!AF11</f>
        <v>38.9</v>
      </c>
      <c r="AQ111" s="47">
        <f>'2016'!AG11</f>
        <v>7</v>
      </c>
      <c r="AR111" s="48">
        <f>'2016'!AH11</f>
        <v>1</v>
      </c>
      <c r="AS111" s="48">
        <f>'2016'!AI11</f>
        <v>8</v>
      </c>
      <c r="AT111" s="48">
        <f>'2016'!AJ11</f>
        <v>4</v>
      </c>
      <c r="AU111" s="48">
        <f>'2016'!AK11</f>
        <v>6</v>
      </c>
      <c r="AV111" s="48">
        <f>'2016'!AL11</f>
        <v>4</v>
      </c>
      <c r="AW111" s="48">
        <f>'2016'!AM11</f>
        <v>4</v>
      </c>
      <c r="AX111" s="48">
        <f>'2016'!AN11</f>
        <v>4</v>
      </c>
      <c r="AY111" s="49">
        <f>'2016'!AO11</f>
        <v>3</v>
      </c>
      <c r="AZ111" s="50">
        <f>'2016'!AP11</f>
        <v>1</v>
      </c>
      <c r="BA111" s="56">
        <f>'2016'!AQ11</f>
        <v>0</v>
      </c>
      <c r="BB111" s="57">
        <f>'2016'!AR11</f>
        <v>1</v>
      </c>
      <c r="BC111" s="57">
        <f>'2016'!AS11</f>
        <v>0</v>
      </c>
      <c r="BD111" s="57">
        <f>'2016'!AT11</f>
        <v>0</v>
      </c>
      <c r="BE111" s="57">
        <f>'2016'!AU11</f>
        <v>0</v>
      </c>
      <c r="BF111" s="57">
        <f>'2016'!AV11</f>
        <v>0</v>
      </c>
      <c r="BG111" s="58">
        <f>'2016'!AW11</f>
        <v>0</v>
      </c>
      <c r="BH111" s="58">
        <f>'2016'!AX11</f>
        <v>0</v>
      </c>
      <c r="BI111" s="58">
        <f>'2016'!AY11</f>
        <v>0</v>
      </c>
      <c r="BJ111" s="58">
        <f>'2016'!AZ11</f>
        <v>0</v>
      </c>
      <c r="BK111" s="57">
        <f>'2016'!BA11</f>
        <v>0</v>
      </c>
      <c r="BL111" s="57">
        <f>'2016'!BB11</f>
        <v>1</v>
      </c>
      <c r="BM111" s="57">
        <f>'2016'!BC11</f>
        <v>0</v>
      </c>
      <c r="BN111" s="57">
        <f>'2016'!BD11</f>
        <v>0</v>
      </c>
      <c r="BO111" s="59">
        <f>'2016'!BE11</f>
        <v>0</v>
      </c>
      <c r="BP111" s="56">
        <f>'2016'!BF11</f>
        <v>0</v>
      </c>
      <c r="BQ111" s="57">
        <f>'2016'!BG11</f>
        <v>1</v>
      </c>
      <c r="BR111" s="57">
        <f>'2016'!BH11</f>
        <v>0</v>
      </c>
      <c r="BS111" s="57">
        <f>'2016'!BI11</f>
        <v>0</v>
      </c>
      <c r="BT111" s="57">
        <f>'2016'!BJ11</f>
        <v>0</v>
      </c>
      <c r="BU111" s="57">
        <f>'2016'!BK11</f>
        <v>0</v>
      </c>
      <c r="BV111" s="58">
        <f>'2016'!BL11</f>
        <v>0</v>
      </c>
      <c r="BW111" s="58">
        <f>'2016'!BM11</f>
        <v>0</v>
      </c>
      <c r="BX111" s="58">
        <f>'2016'!BN11</f>
        <v>0</v>
      </c>
      <c r="BY111" s="58">
        <f>'2016'!BO11</f>
        <v>0</v>
      </c>
      <c r="BZ111" s="57">
        <f>'2016'!BP11</f>
        <v>0</v>
      </c>
      <c r="CA111" s="57">
        <f>'2016'!BQ11</f>
        <v>1</v>
      </c>
      <c r="CB111" s="57">
        <f>'2016'!BR11</f>
        <v>0</v>
      </c>
      <c r="CC111" s="57">
        <f>'2016'!BS11</f>
        <v>0</v>
      </c>
      <c r="CD111" s="59">
        <f>'2016'!BT11</f>
        <v>0</v>
      </c>
      <c r="CE111" s="56">
        <f>'2016'!BU11</f>
        <v>1026</v>
      </c>
      <c r="CF111" s="57">
        <f>'2016'!BV11</f>
        <v>2504</v>
      </c>
      <c r="CG111" s="57">
        <f>'2016'!BW11</f>
        <v>4</v>
      </c>
      <c r="CH111" s="57">
        <f>'2016'!BX11</f>
        <v>14</v>
      </c>
      <c r="CI111" s="57">
        <f>'2016'!BY11</f>
        <v>0</v>
      </c>
      <c r="CJ111" s="57">
        <f>'2016'!BZ11</f>
        <v>0</v>
      </c>
      <c r="CK111" s="58">
        <f>'2016'!CA11</f>
        <v>0</v>
      </c>
      <c r="CL111" s="58">
        <f>'2016'!CB11</f>
        <v>0</v>
      </c>
      <c r="CM111" s="58">
        <f>'2016'!CC11</f>
        <v>0</v>
      </c>
      <c r="CN111" s="58">
        <f>'2016'!CD11</f>
        <v>0</v>
      </c>
      <c r="CO111" s="57">
        <f>'2016'!CE11</f>
        <v>63</v>
      </c>
      <c r="CP111" s="57">
        <f>'2016'!CF11</f>
        <v>1782</v>
      </c>
      <c r="CQ111" s="57">
        <f>'2016'!CG11</f>
        <v>11</v>
      </c>
      <c r="CR111" s="57">
        <f>'2016'!CH11</f>
        <v>0</v>
      </c>
      <c r="CS111" s="59">
        <f>'2016'!CI11</f>
        <v>15</v>
      </c>
      <c r="CT111" s="56">
        <f>'2016'!CJ11</f>
        <v>1107</v>
      </c>
      <c r="CU111" s="57">
        <f>'2016'!CK11</f>
        <v>2834</v>
      </c>
      <c r="CV111" s="57">
        <f>'2016'!CL11</f>
        <v>12</v>
      </c>
      <c r="CW111" s="57">
        <f>'2016'!CM11</f>
        <v>31.2</v>
      </c>
      <c r="CX111" s="57">
        <f>'2016'!CN11</f>
        <v>203</v>
      </c>
      <c r="CY111" s="57">
        <f>'2016'!CO11</f>
        <v>39</v>
      </c>
      <c r="CZ111" s="58">
        <f>'2016'!CP11</f>
        <v>5.4532019704433496</v>
      </c>
      <c r="DA111" s="58">
        <f>'2016'!CQ11</f>
        <v>65.599999999999994</v>
      </c>
      <c r="DB111" s="58">
        <f>'2016'!CR11</f>
        <v>3.38</v>
      </c>
      <c r="DC111" s="58">
        <f>'2016'!CS11</f>
        <v>38</v>
      </c>
      <c r="DD111" s="57">
        <f>'2016'!CT11</f>
        <v>9</v>
      </c>
      <c r="DE111" s="57">
        <f>'2016'!CU11</f>
        <v>2444</v>
      </c>
      <c r="DF111" s="57">
        <f>'2016'!CV11</f>
        <v>3</v>
      </c>
      <c r="DG111" s="57">
        <f>'2016'!CW11</f>
        <v>0</v>
      </c>
      <c r="DH111" s="59">
        <f>'2016'!CX11</f>
        <v>20.8</v>
      </c>
      <c r="DI111" s="56">
        <f>'2016'!CY11</f>
        <v>1580</v>
      </c>
      <c r="DJ111" s="57">
        <f>'2016'!CZ11</f>
        <v>2577.9</v>
      </c>
      <c r="DK111" s="57">
        <f>'2016'!DA11</f>
        <v>20</v>
      </c>
      <c r="DL111" s="57">
        <f>'2016'!DB11</f>
        <v>31.2</v>
      </c>
      <c r="DM111" s="57">
        <f>'2016'!DC11</f>
        <v>271</v>
      </c>
      <c r="DN111" s="57">
        <f>'2016'!DD11</f>
        <v>58</v>
      </c>
      <c r="DO111" s="58">
        <f>'2016'!DE11</f>
        <v>5.8302583025830259</v>
      </c>
      <c r="DP111" s="58">
        <f>'2016'!DF11</f>
        <v>63.5</v>
      </c>
      <c r="DQ111" s="58">
        <f>'2016'!DG11</f>
        <v>3.01</v>
      </c>
      <c r="DR111" s="58">
        <f>'2016'!DH11</f>
        <v>38.9</v>
      </c>
      <c r="DS111" s="57">
        <f>'2016'!DI11</f>
        <v>64</v>
      </c>
      <c r="DT111" s="57">
        <f>'2016'!DJ11</f>
        <v>3486.6</v>
      </c>
      <c r="DU111" s="57">
        <f>'2016'!DK11</f>
        <v>13</v>
      </c>
      <c r="DV111" s="57">
        <f>'2016'!DL11</f>
        <v>0</v>
      </c>
      <c r="DW111" s="59">
        <f>'2016'!DM11</f>
        <v>31.2</v>
      </c>
    </row>
    <row r="112" spans="1:127" ht="15.75" customHeight="1" x14ac:dyDescent="0.2">
      <c r="A112" s="33">
        <f t="shared" si="12"/>
        <v>110</v>
      </c>
      <c r="B112" s="11">
        <f>'2018'!A11</f>
        <v>9</v>
      </c>
      <c r="C112" s="11">
        <v>2018</v>
      </c>
      <c r="D112" s="34" t="str">
        <f>'2018'!B11</f>
        <v>Kerryon Johnson</v>
      </c>
      <c r="E112" s="224" t="str" cm="1">
        <f t="array" ref="E112">_xlfn.IFS(F112&gt;=13,"Cornerstone",AND(F112&gt;=12,F112&lt;13),"Elite",AND(F112&gt;=11,F112&lt;12),"Elite Upside",AND(F112&gt;=9,F112&lt;11),"Upside",AND(F112&gt;=7,F112&lt;9),"Upside Lite",AND(F112&gt;=6,F112&lt;7),"Outlier",AND(F112&gt;=5,F112&lt;6),"Outlier Lite",F112&lt;5,"Purgatory")</f>
        <v>Upside Lite</v>
      </c>
      <c r="F112" s="14">
        <f>'2018'!C11</f>
        <v>7.8555555555555561</v>
      </c>
      <c r="G112" s="14">
        <f t="shared" si="19"/>
        <v>66.3</v>
      </c>
      <c r="H112" s="35">
        <f t="shared" si="13"/>
        <v>-6.2152679888451592E-2</v>
      </c>
      <c r="I112" s="36" t="str">
        <f>'2018'!D11</f>
        <v>Auburn</v>
      </c>
      <c r="J112" s="37">
        <f>'2018'!E11</f>
        <v>1</v>
      </c>
      <c r="K112" s="38">
        <f>'2018'!F11</f>
        <v>35611</v>
      </c>
      <c r="L112" s="39">
        <f>'2018'!G11</f>
        <v>28.263013698630136</v>
      </c>
      <c r="M112" s="39" t="str">
        <f>'2018'!H11</f>
        <v>JR</v>
      </c>
      <c r="N112" s="39">
        <f>'2018'!I11</f>
        <v>20.835616438356166</v>
      </c>
      <c r="O112" s="39" t="str">
        <f t="shared" si="14"/>
        <v>BELL COW</v>
      </c>
      <c r="P112" s="39" t="str">
        <f t="shared" si="22"/>
        <v>PLODDER</v>
      </c>
      <c r="Q112" s="37">
        <f>'2018'!J11</f>
        <v>71</v>
      </c>
      <c r="R112" s="37">
        <f>'2018'!K11</f>
        <v>213</v>
      </c>
      <c r="S112" s="39">
        <f t="shared" si="18"/>
        <v>29.707141104423055</v>
      </c>
      <c r="T112" s="37">
        <f>'2018'!L11</f>
        <v>4.54</v>
      </c>
      <c r="U112" s="40">
        <f>'2018'!M11</f>
        <v>2</v>
      </c>
      <c r="V112" s="41">
        <f>'2018'!N11</f>
        <v>0</v>
      </c>
      <c r="W112" s="42">
        <f>'2018'!O11</f>
        <v>0</v>
      </c>
      <c r="X112" s="42">
        <f>'2018'!P11</f>
        <v>6.8607068607068611E-2</v>
      </c>
      <c r="Y112" s="42">
        <f>'2018'!Q11</f>
        <v>0.17801047120418848</v>
      </c>
      <c r="Z112" s="42">
        <f>'2018'!R11</f>
        <v>0.25098845484738258</v>
      </c>
      <c r="AA112" s="42">
        <f>'2018'!S11</f>
        <v>0.25098845484738258</v>
      </c>
      <c r="AB112" s="42">
        <f>'2018'!T11</f>
        <v>0.25098845484738258</v>
      </c>
      <c r="AC112" s="42">
        <f>'2018'!U11</f>
        <v>5.6740807989105767E-2</v>
      </c>
      <c r="AD112" s="42">
        <f>'2018'!V11</f>
        <v>5.9075604530149983E-2</v>
      </c>
      <c r="AE112" s="42">
        <f>'2018'!W11</f>
        <v>5.9075604530149983E-2</v>
      </c>
      <c r="AF112" s="43">
        <f>'2018'!X11</f>
        <v>5.9075604530149983E-2</v>
      </c>
      <c r="AG112" s="44">
        <f>'2018'!Y11</f>
        <v>19.183561643835617</v>
      </c>
      <c r="AH112" s="45">
        <f>'2018'!Z11</f>
        <v>100.27350314491093</v>
      </c>
      <c r="AI112" s="45">
        <f>'2018'!AA11</f>
        <v>29.704225352112676</v>
      </c>
      <c r="AJ112" s="45">
        <f>'2018'!AB11</f>
        <v>0.21428571428571427</v>
      </c>
      <c r="AK112" s="45">
        <f>'2018'!AC11</f>
        <v>4.9000000000000004</v>
      </c>
      <c r="AL112" s="45">
        <f t="shared" si="15"/>
        <v>8.1481481481481488</v>
      </c>
      <c r="AM112" s="45">
        <f t="shared" si="21"/>
        <v>7.7669902912621352E-2</v>
      </c>
      <c r="AN112" s="45">
        <f>'2018'!AD11</f>
        <v>67.5</v>
      </c>
      <c r="AO112" s="45">
        <f>'2018'!AE11</f>
        <v>2.98</v>
      </c>
      <c r="AP112" s="46">
        <f>'2018'!AF11</f>
        <v>32</v>
      </c>
      <c r="AQ112" s="47">
        <f>'2018'!AG11</f>
        <v>6</v>
      </c>
      <c r="AR112" s="48">
        <f>'2018'!AH11</f>
        <v>6</v>
      </c>
      <c r="AS112" s="48">
        <f>'2018'!AI11</f>
        <v>7</v>
      </c>
      <c r="AT112" s="48">
        <f>IF(AH112&gt;113.25,10,IF(AH112&gt;=107.84,9,IF(AH112&gt;=105.37,8,IF(AH112&gt;=103.25,7,IF(AH112&gt;=100.55,6,IF(AH112&gt;=98.75,5,IF(AH112&gt;=96.08,4,IF(AH112&gt;=94.39,3,IF(AH112&gt;=88.43,2,IF(AH112&gt;=85.16,1,IF(AH112&lt;85.16,0,FALSE)))))))))))</f>
        <v>5</v>
      </c>
      <c r="AU112" s="48">
        <f>'2018'!AK11</f>
        <v>4</v>
      </c>
      <c r="AV112" s="48">
        <f>'2018'!AL11</f>
        <v>1</v>
      </c>
      <c r="AW112" s="48">
        <f>'2018'!AM11</f>
        <v>1</v>
      </c>
      <c r="AX112" s="48">
        <f>'2018'!AN11</f>
        <v>0</v>
      </c>
      <c r="AY112" s="49">
        <f>IF(U112=1,10,IF(U112=2,7,IF(U112=3,6,IF(U112=4,4,IF(U112=5,3,IF(U112=6,2,IF(U112=7,1,IF(U112=0,0,"-"))))))))</f>
        <v>7</v>
      </c>
      <c r="AZ112" s="50">
        <f>'2018'!AP11</f>
        <v>0</v>
      </c>
      <c r="BA112" s="56">
        <f>'2018'!AQ11</f>
        <v>0</v>
      </c>
      <c r="BB112" s="57">
        <f>'2018'!AR11</f>
        <v>4596</v>
      </c>
      <c r="BC112" s="57">
        <f>'2018'!AS11</f>
        <v>0</v>
      </c>
      <c r="BD112" s="57">
        <f>'2018'!AT11</f>
        <v>0</v>
      </c>
      <c r="BE112" s="57">
        <f>'2018'!AU11</f>
        <v>0</v>
      </c>
      <c r="BF112" s="57">
        <f>'2018'!AV11</f>
        <v>0</v>
      </c>
      <c r="BG112" s="58">
        <f>'2018'!AW11</f>
        <v>0</v>
      </c>
      <c r="BH112" s="58">
        <f>'2018'!AX11</f>
        <v>0</v>
      </c>
      <c r="BI112" s="58">
        <f>'2018'!AY11</f>
        <v>0</v>
      </c>
      <c r="BJ112" s="58">
        <f>'2018'!AZ11</f>
        <v>0</v>
      </c>
      <c r="BK112" s="57">
        <f>'2018'!BA11</f>
        <v>0</v>
      </c>
      <c r="BL112" s="57">
        <f>'2018'!BB11</f>
        <v>2422</v>
      </c>
      <c r="BM112" s="57">
        <f>'2018'!BC11</f>
        <v>0</v>
      </c>
      <c r="BN112" s="57">
        <f>'2018'!BD11</f>
        <v>0</v>
      </c>
      <c r="BO112" s="59">
        <f>'2018'!BE11</f>
        <v>0</v>
      </c>
      <c r="BP112" s="56">
        <f>'2018'!BF11</f>
        <v>0</v>
      </c>
      <c r="BQ112" s="57">
        <f>'2018'!BG11</f>
        <v>3321</v>
      </c>
      <c r="BR112" s="57">
        <f>'2018'!BH11</f>
        <v>0</v>
      </c>
      <c r="BS112" s="57">
        <f>'2018'!BI11</f>
        <v>0</v>
      </c>
      <c r="BT112" s="57">
        <f>'2018'!BJ11</f>
        <v>0</v>
      </c>
      <c r="BU112" s="57">
        <f>'2018'!BK11</f>
        <v>0</v>
      </c>
      <c r="BV112" s="58">
        <f>'2018'!BL11</f>
        <v>0</v>
      </c>
      <c r="BW112" s="58">
        <f>'2018'!BM11</f>
        <v>0</v>
      </c>
      <c r="BX112" s="58">
        <f>'2018'!BN11</f>
        <v>0</v>
      </c>
      <c r="BY112" s="58">
        <f>'2018'!BO11</f>
        <v>0</v>
      </c>
      <c r="BZ112" s="57">
        <f>'2018'!BP11</f>
        <v>0</v>
      </c>
      <c r="CA112" s="57">
        <f>'2018'!BQ11</f>
        <v>2984</v>
      </c>
      <c r="CB112" s="57">
        <f>'2018'!BR11</f>
        <v>0</v>
      </c>
      <c r="CC112" s="57">
        <f>'2018'!BS11</f>
        <v>0</v>
      </c>
      <c r="CD112" s="59">
        <f>'2018'!BT11</f>
        <v>0</v>
      </c>
      <c r="CE112" s="56">
        <f>'2018'!BU11</f>
        <v>208</v>
      </c>
      <c r="CF112" s="57">
        <f>'2018'!BV11</f>
        <v>2553</v>
      </c>
      <c r="CG112" s="57">
        <f>'2018'!BW11</f>
        <v>3</v>
      </c>
      <c r="CH112" s="57">
        <f>'2018'!BX11</f>
        <v>0</v>
      </c>
      <c r="CI112" s="57">
        <f>'2018'!BY11</f>
        <v>53</v>
      </c>
      <c r="CJ112" s="57">
        <f>'2018'!BZ11</f>
        <v>11</v>
      </c>
      <c r="CK112" s="58">
        <f>'2018'!CA11</f>
        <v>3.9</v>
      </c>
      <c r="CL112" s="58">
        <f>'2018'!CB11</f>
        <v>43.1</v>
      </c>
      <c r="CM112" s="58">
        <f>'2018'!CC11</f>
        <v>2.19</v>
      </c>
      <c r="CN112" s="58">
        <f>'2018'!CD11</f>
        <v>9.1</v>
      </c>
      <c r="CO112" s="57">
        <f>'2018'!CE11</f>
        <v>122</v>
      </c>
      <c r="CP112" s="57">
        <f>'2018'!CF11</f>
        <v>2257</v>
      </c>
      <c r="CQ112" s="57">
        <f>'2018'!CG11</f>
        <v>13</v>
      </c>
      <c r="CR112" s="57">
        <f>'2018'!CH11</f>
        <v>0</v>
      </c>
      <c r="CS112" s="59">
        <f>'2018'!CI11</f>
        <v>0</v>
      </c>
      <c r="CT112" s="56">
        <f>'2018'!CJ11</f>
        <v>895</v>
      </c>
      <c r="CU112" s="57">
        <f>'2018'!CK11</f>
        <v>3527</v>
      </c>
      <c r="CV112" s="57">
        <f>'2018'!CL11</f>
        <v>11</v>
      </c>
      <c r="CW112" s="57">
        <f>'2018'!CM11</f>
        <v>0</v>
      </c>
      <c r="CX112" s="57">
        <f>'2018'!CN11</f>
        <v>182</v>
      </c>
      <c r="CY112" s="57">
        <f>'2018'!CO11</f>
        <v>39</v>
      </c>
      <c r="CZ112" s="58">
        <f>'2018'!CP11</f>
        <v>4.9000000000000004</v>
      </c>
      <c r="DA112" s="58">
        <f>'2018'!CQ11</f>
        <v>67.5</v>
      </c>
      <c r="DB112" s="58">
        <f>'2018'!CR11</f>
        <v>2.98</v>
      </c>
      <c r="DC112" s="58">
        <f>'2018'!CS11</f>
        <v>25.1</v>
      </c>
      <c r="DD112" s="57">
        <f>'2018'!CT11</f>
        <v>125</v>
      </c>
      <c r="DE112" s="57">
        <f>'2018'!CU11</f>
        <v>2203</v>
      </c>
      <c r="DF112" s="57">
        <f>'2018'!CV11</f>
        <v>17</v>
      </c>
      <c r="DG112" s="57">
        <f>'2018'!CW11</f>
        <v>0</v>
      </c>
      <c r="DH112" s="59">
        <f>'2018'!CX11</f>
        <v>0</v>
      </c>
      <c r="DI112" s="56">
        <f>'2018'!CY11</f>
        <v>1394</v>
      </c>
      <c r="DJ112" s="57">
        <f>'2018'!CZ11</f>
        <v>3056</v>
      </c>
      <c r="DK112" s="57">
        <f>'2018'!DA11</f>
        <v>18</v>
      </c>
      <c r="DL112" s="57">
        <f>'2018'!DB11</f>
        <v>0</v>
      </c>
      <c r="DM112" s="57">
        <f>'2018'!DC11</f>
        <v>285</v>
      </c>
      <c r="DN112" s="57">
        <f>'2018'!DD11</f>
        <v>50</v>
      </c>
      <c r="DO112" s="58">
        <f>'2018'!DE11</f>
        <v>4.9000000000000004</v>
      </c>
      <c r="DP112" s="58">
        <f>'2018'!DF11</f>
        <v>53.5</v>
      </c>
      <c r="DQ112" s="58">
        <f>'2018'!DG11</f>
        <v>2.9</v>
      </c>
      <c r="DR112" s="58">
        <f>'2018'!DH11</f>
        <v>32</v>
      </c>
      <c r="DS112" s="57">
        <f>'2018'!DI11</f>
        <v>193</v>
      </c>
      <c r="DT112" s="57">
        <f>'2018'!DJ11</f>
        <v>3267</v>
      </c>
      <c r="DU112" s="57">
        <f>'2018'!DK11</f>
        <v>24</v>
      </c>
      <c r="DV112" s="57">
        <f>'2018'!DL11</f>
        <v>0</v>
      </c>
      <c r="DW112" s="59">
        <f>'2018'!DM11</f>
        <v>0</v>
      </c>
    </row>
    <row r="113" spans="1:127" ht="15.75" customHeight="1" x14ac:dyDescent="0.2">
      <c r="A113" s="33">
        <f t="shared" si="12"/>
        <v>111</v>
      </c>
      <c r="B113" s="11">
        <f>'2017'!A14</f>
        <v>12</v>
      </c>
      <c r="C113" s="11">
        <v>2017</v>
      </c>
      <c r="D113" s="34" t="str">
        <f>'2017'!B14</f>
        <v>Donnel Pumphrey</v>
      </c>
      <c r="E113" s="224" t="str" cm="1">
        <f t="array" ref="E113">_xlfn.IFS(F113&gt;=13,"Cornerstone",AND(F113&gt;=12,F113&lt;13),"Elite",AND(F113&gt;=11,F113&lt;12),"Elite Upside",AND(F113&gt;=9,F113&lt;11),"Upside",AND(F113&gt;=7,F113&lt;9),"Upside Lite",AND(F113&gt;=6,F113&lt;7),"Outlier",AND(F113&gt;=5,F113&lt;6),"Outlier Lite",F113&lt;5,"Purgatory")</f>
        <v>Upside Lite</v>
      </c>
      <c r="F113" s="14">
        <f>'2017'!C14</f>
        <v>7.8500000000000014</v>
      </c>
      <c r="G113" s="14">
        <f t="shared" si="19"/>
        <v>66</v>
      </c>
      <c r="H113" s="35">
        <f t="shared" si="13"/>
        <v>-6.4503930245338098E-2</v>
      </c>
      <c r="I113" s="36" t="str">
        <f>'2017'!D14</f>
        <v>San Diego State</v>
      </c>
      <c r="J113" s="37">
        <f>'2017'!E14</f>
        <v>7</v>
      </c>
      <c r="K113" s="38">
        <f>'2017'!F14</f>
        <v>34674</v>
      </c>
      <c r="L113" s="39">
        <f>'2017'!G14</f>
        <v>30.830136986301369</v>
      </c>
      <c r="M113" s="39" t="str">
        <f>'2017'!H14</f>
        <v>SR</v>
      </c>
      <c r="N113" s="39">
        <f>'2017'!I14</f>
        <v>22.405479452054795</v>
      </c>
      <c r="O113" s="39" t="str">
        <f t="shared" si="14"/>
        <v>JITTERBUG</v>
      </c>
      <c r="P113" s="39" t="str">
        <f t="shared" si="22"/>
        <v>+RECEIVER</v>
      </c>
      <c r="Q113" s="37">
        <f>'2017'!J14</f>
        <v>68</v>
      </c>
      <c r="R113" s="37">
        <f>'2017'!K14</f>
        <v>176</v>
      </c>
      <c r="S113" s="39">
        <f t="shared" si="18"/>
        <v>26.76041199833265</v>
      </c>
      <c r="T113" s="37">
        <f>'2017'!L14</f>
        <v>4.4800000000000004</v>
      </c>
      <c r="U113" s="55">
        <f>'2017'!M14</f>
        <v>4</v>
      </c>
      <c r="V113" s="41">
        <f>'2017'!N14</f>
        <v>0</v>
      </c>
      <c r="W113" s="42">
        <f>'2017'!O14</f>
        <v>0.17849384503982621</v>
      </c>
      <c r="X113" s="42">
        <f>'2017'!P14</f>
        <v>0.39372074882995317</v>
      </c>
      <c r="Y113" s="42">
        <f>'2017'!Q14</f>
        <v>0.39760182717929199</v>
      </c>
      <c r="Z113" s="42">
        <f>'2017'!R14</f>
        <v>0.41522005961774505</v>
      </c>
      <c r="AA113" s="42">
        <f>'2017'!S14</f>
        <v>0.41522005961774505</v>
      </c>
      <c r="AB113" s="42">
        <f>'2017'!T14</f>
        <v>0.26989303875153431</v>
      </c>
      <c r="AC113" s="42">
        <f>'2017'!U14</f>
        <v>0.20925553319919518</v>
      </c>
      <c r="AD113" s="42">
        <f>'2017'!V14</f>
        <v>0.1166584280771132</v>
      </c>
      <c r="AE113" s="42">
        <f>'2017'!W14</f>
        <v>0.1629569806381542</v>
      </c>
      <c r="AF113" s="43">
        <f>'2017'!X14</f>
        <v>0.10592203741480023</v>
      </c>
      <c r="AG113" s="44">
        <f>'2017'!Y14</f>
        <v>18.747945205479454</v>
      </c>
      <c r="AH113" s="45">
        <f>'2017'!Z14</f>
        <v>87.383735780664281</v>
      </c>
      <c r="AI113" s="45">
        <f>'2017'!AA14</f>
        <v>26.757785467128027</v>
      </c>
      <c r="AJ113" s="45">
        <f>'2017'!AB14</f>
        <v>0.26213592233009708</v>
      </c>
      <c r="AK113" s="45">
        <f>'2017'!AC14</f>
        <v>6.1</v>
      </c>
      <c r="AL113" s="45">
        <f t="shared" si="15"/>
        <v>10.46</v>
      </c>
      <c r="AM113" s="45">
        <f t="shared" si="21"/>
        <v>7.161803713527852E-2</v>
      </c>
      <c r="AN113" s="45">
        <f>'2017'!AD14</f>
        <v>69.3</v>
      </c>
      <c r="AO113" s="45">
        <f>'2017'!AE14</f>
        <v>3.39</v>
      </c>
      <c r="AP113" s="46">
        <f>'2017'!AF14</f>
        <v>47</v>
      </c>
      <c r="AQ113" s="47">
        <f>'2017'!AG14</f>
        <v>7</v>
      </c>
      <c r="AR113" s="48">
        <f>'2017'!AH14</f>
        <v>9</v>
      </c>
      <c r="AS113" s="48">
        <f>'2017'!AI14</f>
        <v>9</v>
      </c>
      <c r="AT113" s="48">
        <f>IF(AH113&gt;113.25,10,IF(AH113&gt;=107.84,9,IF(AH113&gt;=105.37,8,IF(AH113&gt;=103.25,7,IF(AH113&gt;=100.55,6,IF(AH113&gt;=98.75,5,IF(AH113&gt;=96.08,4,IF(AH113&gt;=94.39,3,IF(AH113&gt;=88.43,2,IF(AH113&gt;=85.16,1,IF(AH113&lt;85.16,0,FALSE)))))))))))</f>
        <v>1</v>
      </c>
      <c r="AU113" s="48">
        <f>'2017'!AK14</f>
        <v>7</v>
      </c>
      <c r="AV113" s="48">
        <f>'2017'!AL14</f>
        <v>5</v>
      </c>
      <c r="AW113" s="48">
        <f>'2017'!AM14</f>
        <v>3</v>
      </c>
      <c r="AX113" s="48">
        <f>'2017'!AN14</f>
        <v>3</v>
      </c>
      <c r="AY113" s="49">
        <f>IF(U113=1,10,IF(U113=2,7,IF(U113=3,6,IF(U113=4,4,IF(U113=5,3,IF(U113=6,2,IF(U113=7,1,IF(U113=0,0,"-"))))))))</f>
        <v>4</v>
      </c>
      <c r="AZ113" s="50">
        <f>'2017'!AP14</f>
        <v>0</v>
      </c>
      <c r="BA113" s="56">
        <f>'2017'!AQ14</f>
        <v>0</v>
      </c>
      <c r="BB113" s="57">
        <f>'2017'!AR14</f>
        <v>2869</v>
      </c>
      <c r="BC113" s="57">
        <f>'2017'!AS14</f>
        <v>0</v>
      </c>
      <c r="BD113" s="57">
        <f>'2017'!AT14</f>
        <v>0</v>
      </c>
      <c r="BE113" s="57">
        <f>'2017'!AU14</f>
        <v>0</v>
      </c>
      <c r="BF113" s="57">
        <f>'2017'!AV14</f>
        <v>0</v>
      </c>
      <c r="BG113" s="58">
        <f>'2017'!AW14</f>
        <v>0</v>
      </c>
      <c r="BH113" s="58">
        <f>'2017'!AX14</f>
        <v>0</v>
      </c>
      <c r="BI113" s="58">
        <f>'2017'!AY14</f>
        <v>0</v>
      </c>
      <c r="BJ113" s="58">
        <f>'2017'!AZ14</f>
        <v>0</v>
      </c>
      <c r="BK113" s="57">
        <f>'2017'!BA14</f>
        <v>0</v>
      </c>
      <c r="BL113" s="57">
        <f>'2017'!BB14</f>
        <v>2287</v>
      </c>
      <c r="BM113" s="57">
        <f>'2017'!BC14</f>
        <v>0</v>
      </c>
      <c r="BN113" s="57">
        <f>'2017'!BD14</f>
        <v>0</v>
      </c>
      <c r="BO113" s="59">
        <f>'2017'!BE14</f>
        <v>0</v>
      </c>
      <c r="BP113" s="56">
        <f>'2017'!BF14</f>
        <v>752</v>
      </c>
      <c r="BQ113" s="57">
        <f>'2017'!BG14</f>
        <v>2166</v>
      </c>
      <c r="BR113" s="57">
        <f>'2017'!BH14</f>
        <v>0</v>
      </c>
      <c r="BS113" s="57">
        <f>'2017'!BI14</f>
        <v>0</v>
      </c>
      <c r="BT113" s="57">
        <f>'2017'!BJ14</f>
        <v>0</v>
      </c>
      <c r="BU113" s="57">
        <f>'2017'!BK14</f>
        <v>0</v>
      </c>
      <c r="BV113" s="58">
        <f>'2017'!BL14</f>
        <v>0</v>
      </c>
      <c r="BW113" s="58">
        <f>'2017'!BM14</f>
        <v>0</v>
      </c>
      <c r="BX113" s="58">
        <f>'2017'!BN14</f>
        <v>0</v>
      </c>
      <c r="BY113" s="58">
        <f>'2017'!BO14</f>
        <v>0</v>
      </c>
      <c r="BZ113" s="57">
        <f>'2017'!BP14</f>
        <v>234</v>
      </c>
      <c r="CA113" s="57">
        <f>'2017'!BQ14</f>
        <v>3358</v>
      </c>
      <c r="CB113" s="57">
        <f>'2017'!BR14</f>
        <v>22</v>
      </c>
      <c r="CC113" s="57">
        <f>'2017'!BS14</f>
        <v>0</v>
      </c>
      <c r="CD113" s="59">
        <f>'2017'!BT14</f>
        <v>0</v>
      </c>
      <c r="CE113" s="56">
        <f>'2017'!BU14</f>
        <v>1859</v>
      </c>
      <c r="CF113" s="57">
        <f>'2017'!BV14</f>
        <v>2809</v>
      </c>
      <c r="CG113" s="57">
        <f>'2017'!BW14</f>
        <v>20</v>
      </c>
      <c r="CH113" s="57">
        <f>'2017'!BX14</f>
        <v>0</v>
      </c>
      <c r="CI113" s="57">
        <f>'2017'!BY14</f>
        <v>275</v>
      </c>
      <c r="CJ113" s="57">
        <f>'2017'!BZ14</f>
        <v>53</v>
      </c>
      <c r="CK113" s="58">
        <f>'2017'!CA14</f>
        <v>6.8</v>
      </c>
      <c r="CL113" s="58">
        <f>'2017'!CB14</f>
        <v>61.3</v>
      </c>
      <c r="CM113" s="58">
        <f>'2017'!CC14</f>
        <v>2.99</v>
      </c>
      <c r="CN113" s="58">
        <f>'2017'!CD14</f>
        <v>43.4</v>
      </c>
      <c r="CO113" s="57">
        <f>'2017'!CE14</f>
        <v>160</v>
      </c>
      <c r="CP113" s="57">
        <f>'2017'!CF14</f>
        <v>2319</v>
      </c>
      <c r="CQ113" s="57">
        <f>'2017'!CG14</f>
        <v>23</v>
      </c>
      <c r="CR113" s="57">
        <f>'2017'!CH14</f>
        <v>0</v>
      </c>
      <c r="CS113" s="59">
        <f>'2017'!CI14</f>
        <v>0</v>
      </c>
      <c r="CT113" s="56">
        <f>'2017'!CJ14</f>
        <v>1673</v>
      </c>
      <c r="CU113" s="57">
        <f>'2017'!CK14</f>
        <v>3266</v>
      </c>
      <c r="CV113" s="57">
        <f>'2017'!CL14</f>
        <v>17</v>
      </c>
      <c r="CW113" s="57">
        <f>'2017'!CM14</f>
        <v>0</v>
      </c>
      <c r="CX113" s="57">
        <f>'2017'!CN14</f>
        <v>309</v>
      </c>
      <c r="CY113" s="57">
        <f>'2017'!CO14</f>
        <v>81</v>
      </c>
      <c r="CZ113" s="58">
        <f>'2017'!CP14</f>
        <v>5.4</v>
      </c>
      <c r="DA113" s="58">
        <f>'2017'!CQ14</f>
        <v>69.3</v>
      </c>
      <c r="DB113" s="58">
        <f>'2017'!CR14</f>
        <v>2.69</v>
      </c>
      <c r="DC113" s="58">
        <f>'2017'!CS14</f>
        <v>44.8</v>
      </c>
      <c r="DD113" s="57">
        <f>'2017'!CT14</f>
        <v>416</v>
      </c>
      <c r="DE113" s="57">
        <f>'2017'!CU14</f>
        <v>1988</v>
      </c>
      <c r="DF113" s="57">
        <f>'2017'!CV14</f>
        <v>28</v>
      </c>
      <c r="DG113" s="57">
        <f>'2017'!CW14</f>
        <v>0</v>
      </c>
      <c r="DH113" s="59">
        <f>'2017'!CX14</f>
        <v>0</v>
      </c>
      <c r="DI113" s="56">
        <f>'2017'!CY14</f>
        <v>2132</v>
      </c>
      <c r="DJ113" s="57">
        <f>'2017'!CZ14</f>
        <v>3680</v>
      </c>
      <c r="DK113" s="57">
        <f>'2017'!DA14</f>
        <v>17</v>
      </c>
      <c r="DL113" s="57">
        <f>'2017'!DB14</f>
        <v>0</v>
      </c>
      <c r="DM113" s="57">
        <f>'2017'!DC14</f>
        <v>350</v>
      </c>
      <c r="DN113" s="57">
        <f>'2017'!DD14</f>
        <v>74</v>
      </c>
      <c r="DO113" s="58">
        <f>'2017'!DE14</f>
        <v>6.1</v>
      </c>
      <c r="DP113" s="58">
        <f>'2017'!DF14</f>
        <v>68.400000000000006</v>
      </c>
      <c r="DQ113" s="58">
        <f>'2017'!DG14</f>
        <v>3.39</v>
      </c>
      <c r="DR113" s="58">
        <f>'2017'!DH14</f>
        <v>47</v>
      </c>
      <c r="DS113" s="57">
        <f>'2017'!DI14</f>
        <v>236</v>
      </c>
      <c r="DT113" s="57">
        <f>'2017'!DJ14</f>
        <v>2023</v>
      </c>
      <c r="DU113" s="57">
        <f>'2017'!DK14</f>
        <v>27</v>
      </c>
      <c r="DV113" s="57">
        <f>'2017'!DL14</f>
        <v>0</v>
      </c>
      <c r="DW113" s="59">
        <f>'2017'!DM14</f>
        <v>0</v>
      </c>
    </row>
    <row r="114" spans="1:127" ht="15.75" customHeight="1" x14ac:dyDescent="0.2">
      <c r="A114" s="33">
        <f t="shared" si="12"/>
        <v>112</v>
      </c>
      <c r="B114" s="11">
        <f>'2024'!A11</f>
        <v>9</v>
      </c>
      <c r="C114" s="11">
        <v>2024</v>
      </c>
      <c r="D114" s="34" t="str">
        <f>'2024'!B11</f>
        <v>Ray Davis</v>
      </c>
      <c r="E114" s="224" t="str" cm="1">
        <f t="array" ref="E114">_xlfn.IFS(F114&gt;=13,"Cornerstone",AND(F114&gt;=12,F114&lt;13),"Elite",AND(F114&gt;=11,F114&lt;12),"Elite Upside",AND(F114&gt;=9,F114&lt;11),"Upside",AND(F114&gt;=7,F114&lt;9),"Upside Lite",AND(F114&gt;=6,F114&lt;7),"Outlier",AND(F114&gt;=5,F114&lt;6),"Outlier Lite",F114&lt;5,"Purgatory")</f>
        <v>Upside Lite</v>
      </c>
      <c r="F114" s="14">
        <f>'2024'!C11</f>
        <v>7.7611111111111111</v>
      </c>
      <c r="G114" s="14">
        <f t="shared" si="19"/>
        <v>65.7</v>
      </c>
      <c r="H114" s="35">
        <f t="shared" si="13"/>
        <v>-0.10212393595552891</v>
      </c>
      <c r="I114" s="36" t="str">
        <f>'2024'!D11</f>
        <v>Kentucky</v>
      </c>
      <c r="J114" s="37">
        <f>'2024'!E11</f>
        <v>1</v>
      </c>
      <c r="K114" s="38">
        <f>'2024'!F11</f>
        <v>36475</v>
      </c>
      <c r="L114" s="39">
        <f>'2024'!G11</f>
        <v>25.895890410958906</v>
      </c>
      <c r="M114" s="39" t="str">
        <f>'2024'!H11</f>
        <v>RS SR</v>
      </c>
      <c r="N114" s="39">
        <f>'2024'!I11</f>
        <v>24.476712328767125</v>
      </c>
      <c r="O114" s="39" t="str">
        <f t="shared" si="14"/>
        <v>BELL CALF</v>
      </c>
      <c r="P114" s="39" t="str">
        <f t="shared" si="22"/>
        <v>3DOWN</v>
      </c>
      <c r="Q114" s="37">
        <f>'2024'!J11</f>
        <v>68</v>
      </c>
      <c r="R114" s="37">
        <f>'2024'!K11</f>
        <v>211</v>
      </c>
      <c r="S114" s="39">
        <f t="shared" si="18"/>
        <v>32.08208483891017</v>
      </c>
      <c r="T114" s="37">
        <f>'2024'!L11</f>
        <v>4.5199999999999996</v>
      </c>
      <c r="U114" s="40">
        <f>'2024'!M11</f>
        <v>4</v>
      </c>
      <c r="V114" s="41">
        <f>'2024'!N11</f>
        <v>0.23815588385124806</v>
      </c>
      <c r="W114" s="42">
        <f>'2024'!O11</f>
        <v>0.32756813417190778</v>
      </c>
      <c r="X114" s="42">
        <f>'2024'!P11</f>
        <v>0.25362318840579706</v>
      </c>
      <c r="Y114" s="42">
        <f>'2024'!Q11</f>
        <v>0.2911386328725038</v>
      </c>
      <c r="Z114" s="42">
        <f>'2024'!R11</f>
        <v>0.32976746294365622</v>
      </c>
      <c r="AA114" s="42">
        <f>'2024'!S11</f>
        <v>0.32976746294365622</v>
      </c>
      <c r="AB114" s="42">
        <f>'2024'!T11</f>
        <v>0.32976746294365622</v>
      </c>
      <c r="AC114" s="42">
        <f>'2024'!U11</f>
        <v>7.5191315180637111E-2</v>
      </c>
      <c r="AD114" s="42">
        <f>'2024'!V11</f>
        <v>0.11778391740584558</v>
      </c>
      <c r="AE114" s="42">
        <f>'2024'!W11</f>
        <v>0.11778391740584558</v>
      </c>
      <c r="AF114" s="43">
        <f>'2024'!X11</f>
        <v>0.11778391740584558</v>
      </c>
      <c r="AG114" s="44">
        <f>'2024'!Y11</f>
        <v>19.816438356164383</v>
      </c>
      <c r="AH114" s="45">
        <f>'2024'!Z11</f>
        <v>101.10175901589727</v>
      </c>
      <c r="AI114" s="45">
        <f>'2024'!AA11</f>
        <v>32.078935986159166</v>
      </c>
      <c r="AJ114" s="45">
        <f>'2024'!AB11</f>
        <v>0.27272727272727271</v>
      </c>
      <c r="AK114" s="45">
        <f>'2024'!AC11</f>
        <v>5.7</v>
      </c>
      <c r="AL114" s="45">
        <f t="shared" si="15"/>
        <v>8.2043010752688179</v>
      </c>
      <c r="AM114" s="45">
        <f t="shared" si="21"/>
        <v>0.13973799126637554</v>
      </c>
      <c r="AN114" s="45">
        <f>'2024'!AD11</f>
        <v>96.6</v>
      </c>
      <c r="AO114" s="45">
        <f>'2024'!AE11</f>
        <v>3.81</v>
      </c>
      <c r="AP114" s="46">
        <f>'2024'!AF11</f>
        <v>44.7</v>
      </c>
      <c r="AQ114" s="47">
        <f>'2024'!AG11</f>
        <v>8</v>
      </c>
      <c r="AR114" s="48">
        <f>'2024'!AH11</f>
        <v>9</v>
      </c>
      <c r="AS114" s="48">
        <f>'2024'!AI11</f>
        <v>5</v>
      </c>
      <c r="AT114" s="48">
        <f>'2024'!AJ11</f>
        <v>6</v>
      </c>
      <c r="AU114" s="48">
        <f>'2024'!AK11</f>
        <v>7</v>
      </c>
      <c r="AV114" s="48">
        <f>'2024'!AL11</f>
        <v>3</v>
      </c>
      <c r="AW114" s="48">
        <f>'2024'!AM11</f>
        <v>4</v>
      </c>
      <c r="AX114" s="48">
        <f>'2024'!AN11</f>
        <v>3</v>
      </c>
      <c r="AY114" s="49">
        <f>'2024'!AO11</f>
        <v>4</v>
      </c>
      <c r="AZ114" s="50">
        <f>'2024'!AP11</f>
        <v>0</v>
      </c>
      <c r="BA114" s="56">
        <f>'2024'!AQ11</f>
        <v>941</v>
      </c>
      <c r="BB114" s="57">
        <f>'2024'!AR11</f>
        <v>1653.6000000000001</v>
      </c>
      <c r="BC114" s="57">
        <f>'2024'!AS11</f>
        <v>8</v>
      </c>
      <c r="BD114" s="57">
        <f>'2024'!AT11</f>
        <v>14.399999999999999</v>
      </c>
      <c r="BE114" s="57">
        <f>'2024'!AU11</f>
        <v>192</v>
      </c>
      <c r="BF114" s="57">
        <f>'2024'!AV11</f>
        <v>46</v>
      </c>
      <c r="BG114" s="58">
        <f>'2024'!AW11</f>
        <v>4.901041666666667</v>
      </c>
      <c r="BH114" s="58">
        <f>'2024'!AX11</f>
        <v>78.599999999999994</v>
      </c>
      <c r="BI114" s="58">
        <f>'2024'!AY11</f>
        <v>3.39</v>
      </c>
      <c r="BJ114" s="58">
        <f>'2024'!AZ11</f>
        <v>27.2</v>
      </c>
      <c r="BK114" s="57">
        <f>'2024'!BA11</f>
        <v>181</v>
      </c>
      <c r="BL114" s="57">
        <f>'2024'!BB11</f>
        <v>3057.6000000000004</v>
      </c>
      <c r="BM114" s="57">
        <f>'2024'!BC11</f>
        <v>15</v>
      </c>
      <c r="BN114" s="57">
        <f>'2024'!BD11</f>
        <v>2</v>
      </c>
      <c r="BO114" s="59">
        <f>'2024'!BE11</f>
        <v>24</v>
      </c>
      <c r="BP114" s="56">
        <f>'2024'!BF11</f>
        <v>313</v>
      </c>
      <c r="BQ114" s="57">
        <f>'2024'!BG11</f>
        <v>572.4</v>
      </c>
      <c r="BR114" s="57">
        <f>'2024'!BH11</f>
        <v>1</v>
      </c>
      <c r="BS114" s="57">
        <f>'2024'!BI11</f>
        <v>2.8</v>
      </c>
      <c r="BT114" s="57">
        <f>'2024'!BJ11</f>
        <v>75</v>
      </c>
      <c r="BU114" s="57">
        <f>'2024'!BK11</f>
        <v>23</v>
      </c>
      <c r="BV114" s="58">
        <f>'2024'!BL11</f>
        <v>4.1733333333333329</v>
      </c>
      <c r="BW114" s="58">
        <f>'2024'!BM11</f>
        <v>97</v>
      </c>
      <c r="BX114" s="58">
        <f>'2024'!BN11</f>
        <v>3.01</v>
      </c>
      <c r="BY114" s="58">
        <f>'2024'!BO11</f>
        <v>33.5</v>
      </c>
      <c r="BZ114" s="57">
        <f>'2024'!BP11</f>
        <v>62</v>
      </c>
      <c r="CA114" s="57">
        <f>'2024'!BQ11</f>
        <v>572.4</v>
      </c>
      <c r="CB114" s="57">
        <f>'2024'!BR11</f>
        <v>12</v>
      </c>
      <c r="CC114" s="57">
        <f>'2024'!BS11</f>
        <v>0</v>
      </c>
      <c r="CD114" s="59">
        <f>'2024'!BT11</f>
        <v>6.4</v>
      </c>
      <c r="CE114" s="56">
        <f>'2024'!BU11</f>
        <v>211</v>
      </c>
      <c r="CF114" s="57">
        <f>'2024'!BV11</f>
        <v>370.5</v>
      </c>
      <c r="CG114" s="57">
        <f>'2024'!BW11</f>
        <v>1</v>
      </c>
      <c r="CH114" s="57">
        <f>'2024'!BX11</f>
        <v>2.0999999999999996</v>
      </c>
      <c r="CI114" s="57">
        <f>'2024'!BY11</f>
        <v>44</v>
      </c>
      <c r="CJ114" s="57">
        <f>'2024'!BZ11</f>
        <v>12</v>
      </c>
      <c r="CK114" s="58">
        <f>'2024'!CA11</f>
        <v>4.7954545454545459</v>
      </c>
      <c r="CL114" s="58">
        <f>'2024'!CB11</f>
        <v>89.8</v>
      </c>
      <c r="CM114" s="58">
        <f>'2024'!CC11</f>
        <v>3.39</v>
      </c>
      <c r="CN114" s="58">
        <f>'2024'!CD11</f>
        <v>19.399999999999999</v>
      </c>
      <c r="CO114" s="57">
        <f>'2024'!CE11</f>
        <v>27</v>
      </c>
      <c r="CP114" s="57">
        <f>'2024'!CF11</f>
        <v>567.90000000000009</v>
      </c>
      <c r="CQ114" s="57">
        <f>'2024'!CG11</f>
        <v>5</v>
      </c>
      <c r="CR114" s="57">
        <f>'2024'!CH11</f>
        <v>0</v>
      </c>
      <c r="CS114" s="59">
        <f>'2024'!CI11</f>
        <v>3.3000000000000003</v>
      </c>
      <c r="CT114" s="56">
        <f>'2024'!CJ11</f>
        <v>1044</v>
      </c>
      <c r="CU114" s="57">
        <f>'2024'!CK11</f>
        <v>1918.8000000000002</v>
      </c>
      <c r="CV114" s="57">
        <f>'2024'!CL11</f>
        <v>5</v>
      </c>
      <c r="CW114" s="57">
        <f>'2024'!CM11</f>
        <v>13.200000000000001</v>
      </c>
      <c r="CX114" s="57">
        <f>'2024'!CN11</f>
        <v>233</v>
      </c>
      <c r="CY114" s="57">
        <f>'2024'!CO11</f>
        <v>54</v>
      </c>
      <c r="CZ114" s="58">
        <f>'2024'!CP11</f>
        <v>4.4806866952789699</v>
      </c>
      <c r="DA114" s="58">
        <f>'2024'!CQ11</f>
        <v>72.400000000000006</v>
      </c>
      <c r="DB114" s="58">
        <f>'2024'!CR11</f>
        <v>3.16</v>
      </c>
      <c r="DC114" s="58">
        <f>'2024'!CS11</f>
        <v>34</v>
      </c>
      <c r="DD114" s="57">
        <f>'2024'!CT11</f>
        <v>169</v>
      </c>
      <c r="DE114" s="57">
        <f>'2024'!CU11</f>
        <v>2247.6000000000004</v>
      </c>
      <c r="DF114" s="57">
        <f>'2024'!CV11</f>
        <v>29</v>
      </c>
      <c r="DG114" s="57">
        <f>'2024'!CW11</f>
        <v>3</v>
      </c>
      <c r="DH114" s="59">
        <f>'2024'!CX11</f>
        <v>21.6</v>
      </c>
      <c r="DI114" s="56">
        <f>'2024'!CY11</f>
        <v>1131</v>
      </c>
      <c r="DJ114" s="57">
        <f>'2024'!CZ11</f>
        <v>1661.3999999999999</v>
      </c>
      <c r="DK114" s="57">
        <f>'2024'!DA11</f>
        <v>14</v>
      </c>
      <c r="DL114" s="57">
        <f>'2024'!DB11</f>
        <v>18.2</v>
      </c>
      <c r="DM114" s="57">
        <f>'2024'!DC11</f>
        <v>197</v>
      </c>
      <c r="DN114" s="57">
        <f>'2024'!DD11</f>
        <v>51</v>
      </c>
      <c r="DO114" s="58">
        <f>'2024'!DE11</f>
        <v>5.7</v>
      </c>
      <c r="DP114" s="58">
        <f>'2024'!DF11</f>
        <v>96.6</v>
      </c>
      <c r="DQ114" s="58">
        <f>'2024'!DG11</f>
        <v>3.81</v>
      </c>
      <c r="DR114" s="58">
        <f>'2024'!DH11</f>
        <v>44.7</v>
      </c>
      <c r="DS114" s="57">
        <f>'2024'!DI11</f>
        <v>324</v>
      </c>
      <c r="DT114" s="57">
        <f>'2024'!DJ11</f>
        <v>2750.7999999999997</v>
      </c>
      <c r="DU114" s="57">
        <f>'2024'!DK11</f>
        <v>32</v>
      </c>
      <c r="DV114" s="57">
        <f>'2024'!DL11</f>
        <v>7</v>
      </c>
      <c r="DW114" s="59">
        <f>'2024'!DM11</f>
        <v>24.7</v>
      </c>
    </row>
    <row r="115" spans="1:127" ht="15.75" customHeight="1" x14ac:dyDescent="0.2">
      <c r="A115" s="33">
        <f t="shared" si="12"/>
        <v>113</v>
      </c>
      <c r="B115" s="11">
        <f>'2020'!A12</f>
        <v>10</v>
      </c>
      <c r="C115" s="11">
        <v>2020</v>
      </c>
      <c r="D115" s="34" t="str">
        <f>'2020'!B12</f>
        <v>Anthony McFarland Jr.</v>
      </c>
      <c r="E115" s="224" t="str" cm="1">
        <f t="array" ref="E115">_xlfn.IFS(F115&gt;=13,"Cornerstone",AND(F115&gt;=12,F115&lt;13),"Elite",AND(F115&gt;=11,F115&lt;12),"Elite Upside",AND(F115&gt;=9,F115&lt;11),"Upside",AND(F115&gt;=7,F115&lt;9),"Upside Lite",AND(F115&gt;=6,F115&lt;7),"Outlier",AND(F115&gt;=5,F115&lt;6),"Outlier Lite",F115&lt;5,"Purgatory")</f>
        <v>Upside Lite</v>
      </c>
      <c r="F115" s="14">
        <f>'2020'!C12</f>
        <v>7.7555555555555555</v>
      </c>
      <c r="G115" s="14">
        <f t="shared" si="19"/>
        <v>65.400000000000006</v>
      </c>
      <c r="H115" s="35">
        <f t="shared" si="13"/>
        <v>-0.10447518631241579</v>
      </c>
      <c r="I115" s="36" t="str">
        <f>'2020'!D12</f>
        <v>Maryland</v>
      </c>
      <c r="J115" s="37">
        <f>'2020'!E12</f>
        <v>2</v>
      </c>
      <c r="K115" s="38">
        <f>'2020'!F12</f>
        <v>35858</v>
      </c>
      <c r="L115" s="39">
        <f>'2020'!G12</f>
        <v>27.586301369863012</v>
      </c>
      <c r="M115" s="39" t="str">
        <f>'2020'!H12</f>
        <v>RS SO</v>
      </c>
      <c r="N115" s="39">
        <f>'2020'!I12</f>
        <v>22.153424657534245</v>
      </c>
      <c r="O115" s="39" t="str">
        <f t="shared" si="14"/>
        <v>DYNAMIC</v>
      </c>
      <c r="P115" s="39" t="str">
        <f t="shared" si="22"/>
        <v>HORSE</v>
      </c>
      <c r="Q115" s="37">
        <f>'2020'!J12</f>
        <v>68</v>
      </c>
      <c r="R115" s="37">
        <f>'2020'!K12</f>
        <v>208</v>
      </c>
      <c r="S115" s="39">
        <f t="shared" si="18"/>
        <v>31.625941452574956</v>
      </c>
      <c r="T115" s="37">
        <f>'2020'!L12</f>
        <v>4.4400000000000004</v>
      </c>
      <c r="U115" s="40">
        <f>'2020'!M12</f>
        <v>4</v>
      </c>
      <c r="V115" s="41">
        <f>'2020'!N12</f>
        <v>0</v>
      </c>
      <c r="W115" s="42">
        <f>'2020'!O12</f>
        <v>0</v>
      </c>
      <c r="X115" s="42">
        <f>'2020'!P12</f>
        <v>0</v>
      </c>
      <c r="Y115" s="42">
        <f>'2020'!Q12</f>
        <v>0.2481489791339466</v>
      </c>
      <c r="Z115" s="42">
        <f>'2020'!R12</f>
        <v>0.17956806600339723</v>
      </c>
      <c r="AA115" s="42">
        <f>'2020'!S12</f>
        <v>0.21385852256867191</v>
      </c>
      <c r="AB115" s="42">
        <f>'2020'!T12</f>
        <v>0.21385852256867191</v>
      </c>
      <c r="AC115" s="42">
        <f>'2020'!U12</f>
        <v>4.3067846607669616E-2</v>
      </c>
      <c r="AD115" s="42">
        <f>'2020'!V12</f>
        <v>6.0344827586206899E-2</v>
      </c>
      <c r="AE115" s="42">
        <f>'2020'!W12</f>
        <v>6.0344827586206899E-2</v>
      </c>
      <c r="AF115" s="43">
        <f>'2020'!X12</f>
        <v>6.0344827586206899E-2</v>
      </c>
      <c r="AG115" s="44">
        <f>'2020'!Y12</f>
        <v>20.506849315068493</v>
      </c>
      <c r="AH115" s="45">
        <f>'2020'!Z12</f>
        <v>107.04378329856252</v>
      </c>
      <c r="AI115" s="45">
        <f>'2020'!AA12</f>
        <v>31.622837370242216</v>
      </c>
      <c r="AJ115" s="45">
        <f>'2020'!AB12</f>
        <v>0.24561403508771928</v>
      </c>
      <c r="AK115" s="45">
        <f>'2020'!AC12</f>
        <v>7.9</v>
      </c>
      <c r="AL115" s="45">
        <f t="shared" si="15"/>
        <v>10.473684210526315</v>
      </c>
      <c r="AM115" s="45">
        <f t="shared" si="21"/>
        <v>0.12977099236641221</v>
      </c>
      <c r="AN115" s="45">
        <f>'2020'!AD12</f>
        <v>85</v>
      </c>
      <c r="AO115" s="45">
        <f>'2020'!AE12</f>
        <v>3.91</v>
      </c>
      <c r="AP115" s="46">
        <f>'2020'!AF12</f>
        <v>63.1</v>
      </c>
      <c r="AQ115" s="47">
        <f>'2020'!AG12</f>
        <v>4</v>
      </c>
      <c r="AR115" s="48">
        <f>'2020'!AH12</f>
        <v>6</v>
      </c>
      <c r="AS115" s="48">
        <f>'2020'!AI12</f>
        <v>4</v>
      </c>
      <c r="AT115" s="48">
        <f>IF(AH115&gt;113.25,10,IF(AH115&gt;=107.84,9,IF(AH115&gt;=105.37,8,IF(AH115&gt;=103.25,7,IF(AH115&gt;=100.55,6,IF(AH115&gt;=98.75,5,IF(AH115&gt;=96.08,4,IF(AH115&gt;=94.39,3,IF(AH115&gt;=88.43,2,IF(AH115&gt;=85.16,1,IF(AH115&lt;85.16,0,FALSE)))))))))))</f>
        <v>8</v>
      </c>
      <c r="AU115" s="48">
        <f>'2020'!AK12</f>
        <v>6</v>
      </c>
      <c r="AV115" s="48">
        <f>'2020'!AL12</f>
        <v>9</v>
      </c>
      <c r="AW115" s="48">
        <f>'2020'!AM12</f>
        <v>2</v>
      </c>
      <c r="AX115" s="48">
        <f>'2020'!AN12</f>
        <v>4</v>
      </c>
      <c r="AY115" s="49">
        <f>IF(U115=1,10,IF(U115=2,7,IF(U115=3,6,IF(U115=4,4,IF(U115=5,3,IF(U115=6,2,IF(U115=7,1,IF(U115=0,0,"-"))))))))</f>
        <v>4</v>
      </c>
      <c r="AZ115" s="50">
        <f>'2020'!AP12</f>
        <v>0</v>
      </c>
      <c r="BA115" s="56">
        <f>'2020'!AQ12</f>
        <v>0</v>
      </c>
      <c r="BB115" s="57">
        <f>'2020'!AR12</f>
        <v>2408</v>
      </c>
      <c r="BC115" s="57">
        <f>'2020'!AS12</f>
        <v>0</v>
      </c>
      <c r="BD115" s="57">
        <f>'2020'!AT12</f>
        <v>20</v>
      </c>
      <c r="BE115" s="57">
        <f>'2020'!AU12</f>
        <v>0</v>
      </c>
      <c r="BF115" s="57">
        <f>'2020'!AV12</f>
        <v>0</v>
      </c>
      <c r="BG115" s="58">
        <f>'2020'!AW12</f>
        <v>0</v>
      </c>
      <c r="BH115" s="58">
        <f>'2020'!AX12</f>
        <v>0</v>
      </c>
      <c r="BI115" s="58">
        <f>'2020'!AY12</f>
        <v>0</v>
      </c>
      <c r="BJ115" s="58">
        <f>'2020'!AZ12</f>
        <v>0</v>
      </c>
      <c r="BK115" s="57">
        <f>'2020'!BA12</f>
        <v>0</v>
      </c>
      <c r="BL115" s="57">
        <f>'2020'!BB12</f>
        <v>2092</v>
      </c>
      <c r="BM115" s="57">
        <f>'2020'!BC12</f>
        <v>0</v>
      </c>
      <c r="BN115" s="57">
        <f>'2020'!BD12</f>
        <v>0</v>
      </c>
      <c r="BO115" s="59">
        <f>'2020'!BE12</f>
        <v>15</v>
      </c>
      <c r="BP115" s="56">
        <f>'2020'!BF12</f>
        <v>0</v>
      </c>
      <c r="BQ115" s="57">
        <f>'2020'!BG12</f>
        <v>2594</v>
      </c>
      <c r="BR115" s="57">
        <f>'2020'!BH12</f>
        <v>0</v>
      </c>
      <c r="BS115" s="57">
        <f>'2020'!BI12</f>
        <v>26</v>
      </c>
      <c r="BT115" s="57">
        <f>'2020'!BJ12</f>
        <v>0</v>
      </c>
      <c r="BU115" s="57">
        <f>'2020'!BK12</f>
        <v>0</v>
      </c>
      <c r="BV115" s="58">
        <f>'2020'!BL12</f>
        <v>0</v>
      </c>
      <c r="BW115" s="58">
        <f>'2020'!BM12</f>
        <v>0</v>
      </c>
      <c r="BX115" s="58">
        <f>'2020'!BN12</f>
        <v>0</v>
      </c>
      <c r="BY115" s="58">
        <f>'2020'!BO12</f>
        <v>0</v>
      </c>
      <c r="BZ115" s="57">
        <f>'2020'!BP12</f>
        <v>0</v>
      </c>
      <c r="CA115" s="57">
        <f>'2020'!BQ12</f>
        <v>2317</v>
      </c>
      <c r="CB115" s="57">
        <f>'2020'!BR12</f>
        <v>0</v>
      </c>
      <c r="CC115" s="57">
        <f>'2020'!BS12</f>
        <v>0</v>
      </c>
      <c r="CD115" s="59">
        <f>'2020'!BT12</f>
        <v>15</v>
      </c>
      <c r="CE115" s="56">
        <f>'2020'!BU12</f>
        <v>0</v>
      </c>
      <c r="CF115" s="57">
        <f>'2020'!BV12</f>
        <v>1940</v>
      </c>
      <c r="CG115" s="57">
        <f>'2020'!BW12</f>
        <v>0</v>
      </c>
      <c r="CH115" s="57">
        <f>'2020'!BX12</f>
        <v>19</v>
      </c>
      <c r="CI115" s="57">
        <f>'2020'!BY12</f>
        <v>0</v>
      </c>
      <c r="CJ115" s="57">
        <f>'2020'!BZ12</f>
        <v>0</v>
      </c>
      <c r="CK115" s="58">
        <f>'2020'!CA12</f>
        <v>0</v>
      </c>
      <c r="CL115" s="58">
        <f>'2020'!CB12</f>
        <v>0</v>
      </c>
      <c r="CM115" s="58">
        <f>'2020'!CC12</f>
        <v>0</v>
      </c>
      <c r="CN115" s="58">
        <f>'2020'!CD12</f>
        <v>0</v>
      </c>
      <c r="CO115" s="57">
        <f>'2020'!CE12</f>
        <v>0</v>
      </c>
      <c r="CP115" s="57">
        <f>'2020'!CF12</f>
        <v>1940</v>
      </c>
      <c r="CQ115" s="57">
        <f>'2020'!CG12</f>
        <v>0</v>
      </c>
      <c r="CR115" s="57">
        <f>'2020'!CH12</f>
        <v>0</v>
      </c>
      <c r="CS115" s="59">
        <f>'2020'!CI12</f>
        <v>15</v>
      </c>
      <c r="CT115" s="56">
        <f>'2020'!CJ12</f>
        <v>1033</v>
      </c>
      <c r="CU115" s="57">
        <f>'2020'!CK12</f>
        <v>2762</v>
      </c>
      <c r="CV115" s="57">
        <f>'2020'!CL12</f>
        <v>4</v>
      </c>
      <c r="CW115" s="57">
        <f>'2020'!CM12</f>
        <v>26</v>
      </c>
      <c r="CX115" s="57">
        <f>'2020'!CN12</f>
        <v>131</v>
      </c>
      <c r="CY115" s="57">
        <f>'2020'!CO12</f>
        <v>28</v>
      </c>
      <c r="CZ115" s="58">
        <f>'2020'!CP12</f>
        <v>7.9</v>
      </c>
      <c r="DA115" s="58">
        <f>'2020'!CQ12</f>
        <v>85</v>
      </c>
      <c r="DB115" s="58">
        <f>'2020'!CR12</f>
        <v>3.91</v>
      </c>
      <c r="DC115" s="58">
        <f>'2020'!CS12</f>
        <v>63.1</v>
      </c>
      <c r="DD115" s="57">
        <f>'2020'!CT12</f>
        <v>73</v>
      </c>
      <c r="DE115" s="57">
        <f>'2020'!CU12</f>
        <v>1695</v>
      </c>
      <c r="DF115" s="57">
        <f>'2020'!CV12</f>
        <v>2</v>
      </c>
      <c r="DG115" s="57">
        <f>'2020'!CW12</f>
        <v>0</v>
      </c>
      <c r="DH115" s="59">
        <f>'2020'!CX12</f>
        <v>12</v>
      </c>
      <c r="DI115" s="56">
        <f>'2020'!CY12</f>
        <v>614</v>
      </c>
      <c r="DJ115" s="57">
        <f>'2020'!CZ12</f>
        <v>2033</v>
      </c>
      <c r="DK115" s="57">
        <f>'2020'!DA12</f>
        <v>8</v>
      </c>
      <c r="DL115" s="57">
        <f>'2020'!DB12</f>
        <v>23</v>
      </c>
      <c r="DM115" s="57">
        <f>'2020'!DC12</f>
        <v>114</v>
      </c>
      <c r="DN115" s="57">
        <f>'2020'!DD12</f>
        <v>28</v>
      </c>
      <c r="DO115" s="58">
        <f>'2020'!DE12</f>
        <v>5.4</v>
      </c>
      <c r="DP115" s="58">
        <f>'2020'!DF12</f>
        <v>69.8</v>
      </c>
      <c r="DQ115" s="58">
        <f>'2020'!DG12</f>
        <v>2.77</v>
      </c>
      <c r="DR115" s="58">
        <f>'2020'!DH12</f>
        <v>46.3</v>
      </c>
      <c r="DS115" s="57">
        <f>'2020'!DI12</f>
        <v>126</v>
      </c>
      <c r="DT115" s="57">
        <f>'2020'!DJ12</f>
        <v>2088</v>
      </c>
      <c r="DU115" s="57">
        <f>'2020'!DK12</f>
        <v>17</v>
      </c>
      <c r="DV115" s="57">
        <f>'2020'!DL12</f>
        <v>0</v>
      </c>
      <c r="DW115" s="59">
        <f>'2020'!DM12</f>
        <v>16</v>
      </c>
    </row>
    <row r="116" spans="1:127" ht="15.75" customHeight="1" x14ac:dyDescent="0.2">
      <c r="A116" s="33">
        <f t="shared" si="12"/>
        <v>114</v>
      </c>
      <c r="B116" s="11">
        <f>'2021'!A10</f>
        <v>8</v>
      </c>
      <c r="C116" s="11">
        <v>2021</v>
      </c>
      <c r="D116" s="34" t="str">
        <f>'2021'!B10</f>
        <v>Trey Sermon</v>
      </c>
      <c r="E116" s="224" t="str" cm="1">
        <f t="array" ref="E116">_xlfn.IFS(F116&gt;=13,"Cornerstone",AND(F116&gt;=12,F116&lt;13),"Elite",AND(F116&gt;=11,F116&lt;12),"Elite Upside",AND(F116&gt;=9,F116&lt;11),"Upside",AND(F116&gt;=7,F116&lt;9),"Upside Lite",AND(F116&gt;=6,F116&lt;7),"Outlier",AND(F116&gt;=5,F116&lt;6),"Outlier Lite",F116&lt;5,"Purgatory")</f>
        <v>Upside Lite</v>
      </c>
      <c r="F116" s="14">
        <f>'2021'!C10</f>
        <v>7.7388888888888889</v>
      </c>
      <c r="G116" s="14">
        <f t="shared" si="19"/>
        <v>65.100000000000009</v>
      </c>
      <c r="H116" s="35">
        <f t="shared" si="13"/>
        <v>-0.11152893738307641</v>
      </c>
      <c r="I116" s="36" t="str">
        <f>'2021'!D10</f>
        <v>Ohio State</v>
      </c>
      <c r="J116" s="37">
        <f>'2021'!E10</f>
        <v>2</v>
      </c>
      <c r="K116" s="38">
        <f>'2021'!F10</f>
        <v>36190</v>
      </c>
      <c r="L116" s="39">
        <f>'2021'!G10</f>
        <v>26.676712328767124</v>
      </c>
      <c r="M116" s="39" t="str">
        <f>'2021'!H10</f>
        <v>SR</v>
      </c>
      <c r="N116" s="39">
        <f>'2021'!I10</f>
        <v>22.260273972602739</v>
      </c>
      <c r="O116" s="39" t="str">
        <f t="shared" si="14"/>
        <v>BELL COW</v>
      </c>
      <c r="P116" s="39" t="str">
        <f t="shared" si="22"/>
        <v>3DOWN</v>
      </c>
      <c r="Q116" s="37">
        <f>'2021'!J10</f>
        <v>72</v>
      </c>
      <c r="R116" s="37">
        <f>'2021'!K10</f>
        <v>215</v>
      </c>
      <c r="S116" s="39">
        <f t="shared" si="18"/>
        <v>29.158919043146728</v>
      </c>
      <c r="T116" s="37">
        <f>'2021'!L10</f>
        <v>4.6100000000000003</v>
      </c>
      <c r="U116" s="40">
        <f>'2021'!M10</f>
        <v>3</v>
      </c>
      <c r="V116" s="41">
        <f>'2021'!N10</f>
        <v>0</v>
      </c>
      <c r="W116" s="42">
        <f>'2021'!O10</f>
        <v>0.10436835891381346</v>
      </c>
      <c r="X116" s="42">
        <f>'2021'!P10</f>
        <v>0.1406563126252505</v>
      </c>
      <c r="Y116" s="42">
        <f>'2021'!Q10</f>
        <v>6.0581905141490637E-2</v>
      </c>
      <c r="Z116" s="42">
        <f>'2021'!R10</f>
        <v>0.23225030084235859</v>
      </c>
      <c r="AA116" s="42">
        <f>'2021'!S10</f>
        <v>0.23225030084235859</v>
      </c>
      <c r="AB116" s="42">
        <f>'2021'!T10</f>
        <v>0.23225030084235859</v>
      </c>
      <c r="AC116" s="42">
        <f>'2021'!U10</f>
        <v>1.7050912584053793E-2</v>
      </c>
      <c r="AD116" s="42">
        <f>'2021'!V10</f>
        <v>4.5238095238095237E-2</v>
      </c>
      <c r="AE116" s="42">
        <f>'2021'!W10</f>
        <v>4.5238095238095237E-2</v>
      </c>
      <c r="AF116" s="43">
        <f>'2021'!X10</f>
        <v>4.5238095238095237E-2</v>
      </c>
      <c r="AG116" s="44">
        <f>'2021'!Y10</f>
        <v>21.613698630136987</v>
      </c>
      <c r="AH116" s="45">
        <f>'2021'!Z10</f>
        <v>95.206095360288344</v>
      </c>
      <c r="AI116" s="45">
        <f>'2021'!AA10</f>
        <v>29.15605709876543</v>
      </c>
      <c r="AJ116" s="45">
        <f>'2021'!AB10</f>
        <v>0.31481481481481483</v>
      </c>
      <c r="AK116" s="45">
        <f>'2021'!AC10</f>
        <v>7.5</v>
      </c>
      <c r="AL116" s="45">
        <f t="shared" si="15"/>
        <v>12.025</v>
      </c>
      <c r="AM116" s="45">
        <f t="shared" si="21"/>
        <v>9.375E-2</v>
      </c>
      <c r="AN116" s="45">
        <f>'2021'!AD10</f>
        <v>116.9</v>
      </c>
      <c r="AO116" s="45">
        <f>'2021'!AE10</f>
        <v>4.04</v>
      </c>
      <c r="AP116" s="46">
        <f>'2021'!AF10</f>
        <v>53.1</v>
      </c>
      <c r="AQ116" s="47">
        <f>'2021'!AG10</f>
        <v>5</v>
      </c>
      <c r="AR116" s="48">
        <f>'2021'!AH10</f>
        <v>5</v>
      </c>
      <c r="AS116" s="48">
        <f>'2021'!AI10</f>
        <v>2</v>
      </c>
      <c r="AT116" s="48">
        <f>IF(AH116&gt;113.25,10,IF(AH116&gt;=107.84,9,IF(AH116&gt;=105.37,8,IF(AH116&gt;=103.25,7,IF(AH116&gt;=100.55,6,IF(AH116&gt;=98.75,5,IF(AH116&gt;=96.08,4,IF(AH116&gt;=94.39,3,IF(AH116&gt;=88.43,2,IF(AH116&gt;=85.16,1,IF(AH116&lt;85.16,0,FALSE)))))))))))</f>
        <v>3</v>
      </c>
      <c r="AU116" s="48">
        <f>'2021'!AK10</f>
        <v>8</v>
      </c>
      <c r="AV116" s="48">
        <f>'2021'!AL10</f>
        <v>8</v>
      </c>
      <c r="AW116" s="48">
        <f>'2021'!AM10</f>
        <v>5</v>
      </c>
      <c r="AX116" s="48">
        <f>'2021'!AN10</f>
        <v>5</v>
      </c>
      <c r="AY116" s="49">
        <f>IF(U116=1,10,IF(U116=2,7,IF(U116=3,6,IF(U116=4,4,IF(U116=5,3,IF(U116=6,2,IF(U116=7,1,IF(U116=0,0,"-"))))))))</f>
        <v>6</v>
      </c>
      <c r="AZ116" s="50">
        <f>'2021'!AP10</f>
        <v>0</v>
      </c>
      <c r="BA116" s="56">
        <f>'2021'!AQ10</f>
        <v>0</v>
      </c>
      <c r="BB116" s="57">
        <f>'2021'!AR10</f>
        <v>3188</v>
      </c>
      <c r="BC116" s="57">
        <f>'2021'!AS10</f>
        <v>0</v>
      </c>
      <c r="BD116" s="57">
        <f>'2021'!AT10</f>
        <v>33</v>
      </c>
      <c r="BE116" s="57">
        <f>'2021'!AU10</f>
        <v>0</v>
      </c>
      <c r="BF116" s="57">
        <f>'2021'!AV10</f>
        <v>0</v>
      </c>
      <c r="BG116" s="58">
        <f>'2021'!AW10</f>
        <v>0</v>
      </c>
      <c r="BH116" s="58">
        <f>'2021'!AX10</f>
        <v>0</v>
      </c>
      <c r="BI116" s="58">
        <f>'2021'!AY10</f>
        <v>0</v>
      </c>
      <c r="BJ116" s="58">
        <f>'2021'!AZ10</f>
        <v>0</v>
      </c>
      <c r="BK116" s="57">
        <f>'2021'!BA10</f>
        <v>0</v>
      </c>
      <c r="BL116" s="57">
        <f>'2021'!BB10</f>
        <v>4134</v>
      </c>
      <c r="BM116" s="57">
        <f>'2021'!BC10</f>
        <v>0</v>
      </c>
      <c r="BN116" s="57">
        <f>'2021'!BD10</f>
        <v>0</v>
      </c>
      <c r="BO116" s="59">
        <f>'2021'!BE10</f>
        <v>43</v>
      </c>
      <c r="BP116" s="56">
        <f>'2021'!BF10</f>
        <v>745</v>
      </c>
      <c r="BQ116" s="57">
        <f>'2021'!BG10</f>
        <v>3405</v>
      </c>
      <c r="BR116" s="57">
        <f>'2021'!BH10</f>
        <v>5</v>
      </c>
      <c r="BS116" s="57">
        <f>'2021'!BI10</f>
        <v>34</v>
      </c>
      <c r="BT116" s="57">
        <f>'2021'!BJ10</f>
        <v>120</v>
      </c>
      <c r="BU116" s="57">
        <f>'2021'!BK10</f>
        <v>39</v>
      </c>
      <c r="BV116" s="58">
        <f>'2021'!BL10</f>
        <v>6.2</v>
      </c>
      <c r="BW116" s="58">
        <f>'2021'!BM10</f>
        <v>125.1</v>
      </c>
      <c r="BX116" s="58">
        <f>'2021'!BN10</f>
        <v>4.1500000000000004</v>
      </c>
      <c r="BY116" s="58">
        <f>'2021'!BO10</f>
        <v>34.799999999999997</v>
      </c>
      <c r="BZ116" s="57">
        <f>'2021'!BP10</f>
        <v>139</v>
      </c>
      <c r="CA116" s="57">
        <f>'2021'!BQ10</f>
        <v>5065</v>
      </c>
      <c r="CB116" s="57">
        <f>'2021'!BR10</f>
        <v>16</v>
      </c>
      <c r="CC116" s="57">
        <f>'2021'!BS10</f>
        <v>0</v>
      </c>
      <c r="CD116" s="59">
        <f>'2021'!BT10</f>
        <v>47</v>
      </c>
      <c r="CE116" s="56">
        <f>'2021'!BU10</f>
        <v>947</v>
      </c>
      <c r="CF116" s="57">
        <f>'2021'!BV10</f>
        <v>3464</v>
      </c>
      <c r="CG116" s="57">
        <f>'2021'!BW10</f>
        <v>13</v>
      </c>
      <c r="CH116" s="57">
        <f>'2021'!BX10</f>
        <v>42</v>
      </c>
      <c r="CI116" s="57">
        <f>'2021'!BY10</f>
        <v>162</v>
      </c>
      <c r="CJ116" s="57">
        <f>'2021'!BZ10</f>
        <v>56</v>
      </c>
      <c r="CK116" s="58">
        <f>'2021'!CA10</f>
        <v>5.8</v>
      </c>
      <c r="CL116" s="58">
        <f>'2021'!CB10</f>
        <v>116.2</v>
      </c>
      <c r="CM116" s="58">
        <f>'2021'!CC10</f>
        <v>3.42</v>
      </c>
      <c r="CN116" s="58">
        <f>'2021'!CD10</f>
        <v>36.6</v>
      </c>
      <c r="CO116" s="57">
        <f>'2021'!CE10</f>
        <v>176</v>
      </c>
      <c r="CP116" s="57">
        <f>'2021'!CF10</f>
        <v>4520</v>
      </c>
      <c r="CQ116" s="57">
        <f>'2021'!CG10</f>
        <v>4</v>
      </c>
      <c r="CR116" s="57">
        <f>'2021'!CH10</f>
        <v>0</v>
      </c>
      <c r="CS116" s="59">
        <f>'2021'!CI10</f>
        <v>43</v>
      </c>
      <c r="CT116" s="56">
        <f>'2021'!CJ10</f>
        <v>385</v>
      </c>
      <c r="CU116" s="57">
        <f>'2021'!CK10</f>
        <v>3363</v>
      </c>
      <c r="CV116" s="57">
        <f>'2021'!CL10</f>
        <v>4</v>
      </c>
      <c r="CW116" s="57">
        <f>'2021'!CM10</f>
        <v>38</v>
      </c>
      <c r="CX116" s="57">
        <f>'2021'!CN10</f>
        <v>54</v>
      </c>
      <c r="CY116" s="57">
        <f>'2021'!CO10</f>
        <v>17</v>
      </c>
      <c r="CZ116" s="58">
        <f>'2021'!CP10</f>
        <v>7.1</v>
      </c>
      <c r="DA116" s="58">
        <f>'2021'!CQ10</f>
        <v>94.6</v>
      </c>
      <c r="DB116" s="58">
        <f>'2021'!CR10</f>
        <v>3.26</v>
      </c>
      <c r="DC116" s="58">
        <f>'2021'!CS10</f>
        <v>52.5</v>
      </c>
      <c r="DD116" s="57">
        <f>'2021'!CT10</f>
        <v>71</v>
      </c>
      <c r="DE116" s="57">
        <f>'2021'!CU10</f>
        <v>4164</v>
      </c>
      <c r="DF116" s="57">
        <f>'2021'!CV10</f>
        <v>8</v>
      </c>
      <c r="DG116" s="57">
        <f>'2021'!CW10</f>
        <v>0</v>
      </c>
      <c r="DH116" s="59">
        <f>'2021'!CX10</f>
        <v>36</v>
      </c>
      <c r="DI116" s="56">
        <f>'2021'!CY10</f>
        <v>870</v>
      </c>
      <c r="DJ116" s="57">
        <f>'2021'!CZ10</f>
        <v>2055</v>
      </c>
      <c r="DK116" s="57">
        <f>'2021'!DA10</f>
        <v>4</v>
      </c>
      <c r="DL116" s="57">
        <f>'2021'!DB10</f>
        <v>19</v>
      </c>
      <c r="DM116" s="57">
        <f>'2021'!DC10</f>
        <v>116</v>
      </c>
      <c r="DN116" s="57">
        <f>'2021'!DD10</f>
        <v>33</v>
      </c>
      <c r="DO116" s="58">
        <f>'2021'!DE10</f>
        <v>7.5</v>
      </c>
      <c r="DP116" s="58">
        <f>'2021'!DF10</f>
        <v>116.9</v>
      </c>
      <c r="DQ116" s="58">
        <f>'2021'!DG10</f>
        <v>4.04</v>
      </c>
      <c r="DR116" s="58">
        <f>'2021'!DH10</f>
        <v>53.1</v>
      </c>
      <c r="DS116" s="57">
        <f>'2021'!DI10</f>
        <v>95</v>
      </c>
      <c r="DT116" s="57">
        <f>'2021'!DJ10</f>
        <v>2100</v>
      </c>
      <c r="DU116" s="57">
        <f>'2021'!DK10</f>
        <v>12</v>
      </c>
      <c r="DV116" s="57">
        <f>'2021'!DL10</f>
        <v>0</v>
      </c>
      <c r="DW116" s="59">
        <f>'2021'!DM10</f>
        <v>22</v>
      </c>
    </row>
    <row r="117" spans="1:127" ht="15.75" customHeight="1" x14ac:dyDescent="0.2">
      <c r="A117" s="33">
        <f t="shared" si="12"/>
        <v>115</v>
      </c>
      <c r="B117" s="11">
        <f>'2026 - WIP'!A10</f>
        <v>8</v>
      </c>
      <c r="C117" s="11">
        <v>2026</v>
      </c>
      <c r="D117" s="34" t="str">
        <f>'2026 - WIP'!B10</f>
        <v>Le'Veon Moss</v>
      </c>
      <c r="E117" s="224" t="str" cm="1">
        <f t="array" ref="E117">_xlfn.IFS(F117&gt;=13,"Cornerstone",AND(F117&gt;=12,F117&lt;13),"Elite",AND(F117&gt;=11,F117&lt;12),"Elite Upside",AND(F117&gt;=9,F117&lt;11),"Upside",AND(F117&gt;=7,F117&lt;9),"Upside Lite",AND(F117&gt;=6,F117&lt;7),"Outlier",AND(F117&gt;=5,F117&lt;6),"Outlier Lite",F117&lt;5,"Purgatory")</f>
        <v>Upside Lite</v>
      </c>
      <c r="F117" s="14">
        <f>'2026 - WIP'!C10</f>
        <v>7.7333333333333334</v>
      </c>
      <c r="G117" s="14">
        <f t="shared" si="19"/>
        <v>64.8</v>
      </c>
      <c r="H117" s="35">
        <f t="shared" si="13"/>
        <v>-0.11388018773996329</v>
      </c>
      <c r="I117" s="36" t="str">
        <f>'2026 - WIP'!D10</f>
        <v>Texas A&amp;M</v>
      </c>
      <c r="J117" s="37">
        <f>'2026 - WIP'!E10</f>
        <v>1</v>
      </c>
      <c r="K117" s="38">
        <f>'2026 - WIP'!F10</f>
        <v>37575</v>
      </c>
      <c r="L117" s="39">
        <f>'2026 - WIP'!G10</f>
        <v>22.882191780821916</v>
      </c>
      <c r="M117" s="39" t="str">
        <f>'2026 - WIP'!H10</f>
        <v>SR</v>
      </c>
      <c r="N117" s="39">
        <f>'2026 - WIP'!I10</f>
        <v>23.463013698630139</v>
      </c>
      <c r="O117" s="39" t="str">
        <f t="shared" si="14"/>
        <v>FREAK</v>
      </c>
      <c r="P117" s="39" t="str">
        <f>IF(OR(AND($AA117&lt;0.25,$AO117&gt;=0.133,AE117&gt;4%),(AND($O117="JITTERBUG",$AO117&gt;0.11)),(AND($O117="JITTERBUG",$AE117&gt;9.5%))),"+RECEIVER",IF(AND($AJ117&gt;=0.25,$AQ117&gt;=3.81),"3DOWN",IF($AQ117&gt;=3.81,"HORSE",IF(OR(AJ117&gt;0.28,AK117&gt;7,AR117&gt;47),"SLASHER",IF(AO117&gt;0.19,"+RECEIVER","PLODDER")))))</f>
        <v>+RECEIVER</v>
      </c>
      <c r="Q117" s="37">
        <f>'2026 - WIP'!J10</f>
        <v>72</v>
      </c>
      <c r="R117" s="37">
        <f>'2026 - WIP'!K10</f>
        <v>215</v>
      </c>
      <c r="S117" s="39">
        <f t="shared" si="18"/>
        <v>29.158919043146728</v>
      </c>
      <c r="T117" s="39">
        <f>'2026 - WIP'!L10</f>
        <v>4.34</v>
      </c>
      <c r="U117" s="55">
        <f>'2026 - WIP'!M10</f>
        <v>4</v>
      </c>
      <c r="V117" s="41">
        <f>'2026 - WIP'!N10</f>
        <v>0</v>
      </c>
      <c r="W117" s="42">
        <f>'2026 - WIP'!O10</f>
        <v>4.8291968491469738E-2</v>
      </c>
      <c r="X117" s="42">
        <f>'2026 - WIP'!P10</f>
        <v>0.15506415506415505</v>
      </c>
      <c r="Y117" s="42">
        <f>'2026 - WIP'!Q10</f>
        <v>0.24779584907726851</v>
      </c>
      <c r="Z117" s="42">
        <f>'2026 - WIP'!R10</f>
        <v>0.11393273850377487</v>
      </c>
      <c r="AA117" s="42">
        <f>'2026 - WIP'!S10</f>
        <v>0.18086429379052169</v>
      </c>
      <c r="AB117" s="42">
        <f>'2026 - WIP'!T10</f>
        <v>0.18086429379052169</v>
      </c>
      <c r="AC117" s="42">
        <f>'2026 - WIP'!U10</f>
        <v>7.3968404924182385E-2</v>
      </c>
      <c r="AD117" s="42">
        <f>'2026 - WIP'!V10</f>
        <v>-2.0618556701030928E-3</v>
      </c>
      <c r="AE117" s="42">
        <f>'2026 - WIP'!W10</f>
        <v>3.5953274627039643E-2</v>
      </c>
      <c r="AF117" s="43">
        <f>'2026 - WIP'!X10</f>
        <v>3.5953274627039643E-2</v>
      </c>
      <c r="AG117" s="44">
        <f>'2026 - WIP'!Y10</f>
        <v>20.816438356164383</v>
      </c>
      <c r="AH117" s="45">
        <f>'2026 - WIP'!Z10</f>
        <v>121.20193056063277</v>
      </c>
      <c r="AI117" s="45">
        <f>'2026 - WIP'!AA10</f>
        <v>29.15605709876543</v>
      </c>
      <c r="AJ117" s="45">
        <f>'2026 - WIP'!AB10</f>
        <v>0.22916666666666666</v>
      </c>
      <c r="AK117" s="45">
        <f>'2026 - WIP'!AC10</f>
        <v>6.3223140495867769</v>
      </c>
      <c r="AL117" s="45">
        <f t="shared" si="15"/>
        <v>10</v>
      </c>
      <c r="AM117" s="45">
        <f t="shared" si="21"/>
        <v>2.9411764705882353E-2</v>
      </c>
      <c r="AN117" s="45">
        <f>'2026 - WIP'!AD10</f>
        <v>90.8</v>
      </c>
      <c r="AO117" s="45">
        <f>'2026 - WIP'!AE10</f>
        <v>4.4000000000000004</v>
      </c>
      <c r="AP117" s="46">
        <f>'2026 - WIP'!AF10</f>
        <v>39</v>
      </c>
      <c r="AQ117" s="47">
        <f>'2026 - WIP'!AG10</f>
        <v>3</v>
      </c>
      <c r="AR117" s="48">
        <f>'2026 - WIP'!AH10</f>
        <v>3</v>
      </c>
      <c r="AS117" s="48">
        <f>'2026 - WIP'!AI10</f>
        <v>3</v>
      </c>
      <c r="AT117" s="48">
        <f>'2026 - WIP'!AJ10</f>
        <v>10</v>
      </c>
      <c r="AU117" s="48">
        <f>'2026 - WIP'!AK10</f>
        <v>5</v>
      </c>
      <c r="AV117" s="48">
        <f>'2026 - WIP'!AL10</f>
        <v>5</v>
      </c>
      <c r="AW117" s="48">
        <f>'2026 - WIP'!AM10</f>
        <v>3</v>
      </c>
      <c r="AX117" s="48">
        <f>'2026 - WIP'!AN10</f>
        <v>6</v>
      </c>
      <c r="AY117" s="49">
        <f>'2026 - WIP'!AO10</f>
        <v>4</v>
      </c>
      <c r="AZ117" s="50">
        <f>'2026 - WIP'!AP10</f>
        <v>1</v>
      </c>
      <c r="BA117" s="56">
        <f>'2026 - WIP'!AQ10</f>
        <v>0</v>
      </c>
      <c r="BB117" s="57">
        <f>'2026 - WIP'!AR10</f>
        <v>1</v>
      </c>
      <c r="BC117" s="57">
        <f>'2026 - WIP'!AS10</f>
        <v>0</v>
      </c>
      <c r="BD117" s="57">
        <f>'2026 - WIP'!AT10</f>
        <v>0</v>
      </c>
      <c r="BE117" s="57">
        <f>'2026 - WIP'!AU10</f>
        <v>0</v>
      </c>
      <c r="BF117" s="57">
        <f>'2026 - WIP'!AV10</f>
        <v>0</v>
      </c>
      <c r="BG117" s="58">
        <f>'2026 - WIP'!AW10</f>
        <v>0</v>
      </c>
      <c r="BH117" s="58">
        <f>'2026 - WIP'!AX10</f>
        <v>0</v>
      </c>
      <c r="BI117" s="58">
        <f>'2026 - WIP'!AY10</f>
        <v>0</v>
      </c>
      <c r="BJ117" s="58">
        <f>'2026 - WIP'!AZ10</f>
        <v>0</v>
      </c>
      <c r="BK117" s="57">
        <f>'2026 - WIP'!BA10</f>
        <v>0</v>
      </c>
      <c r="BL117" s="57">
        <f>'2026 - WIP'!BB10</f>
        <v>1</v>
      </c>
      <c r="BM117" s="57">
        <f>'2026 - WIP'!BC10</f>
        <v>0</v>
      </c>
      <c r="BN117" s="57">
        <f>'2026 - WIP'!BD10</f>
        <v>0</v>
      </c>
      <c r="BO117" s="59">
        <f>'2026 - WIP'!BE10</f>
        <v>0</v>
      </c>
      <c r="BP117" s="56">
        <f>'2026 - WIP'!BF10</f>
        <v>114</v>
      </c>
      <c r="BQ117" s="57">
        <f>'2026 - WIP'!BG10</f>
        <v>990.5</v>
      </c>
      <c r="BR117" s="57">
        <f>'2026 - WIP'!BH10</f>
        <v>1</v>
      </c>
      <c r="BS117" s="57">
        <f>'2026 - WIP'!BI10</f>
        <v>0</v>
      </c>
      <c r="BT117" s="57">
        <f>'2026 - WIP'!BJ10</f>
        <v>27</v>
      </c>
      <c r="BU117" s="57">
        <f>'2026 - WIP'!BK10</f>
        <v>5</v>
      </c>
      <c r="BV117" s="58">
        <f>'2026 - WIP'!BL10</f>
        <v>0</v>
      </c>
      <c r="BW117" s="58">
        <f>'2026 - WIP'!BM10</f>
        <v>27.5</v>
      </c>
      <c r="BX117" s="58">
        <f>'2026 - WIP'!BN10</f>
        <v>3.22</v>
      </c>
      <c r="BY117" s="58">
        <f>'2026 - WIP'!BO10</f>
        <v>20.2</v>
      </c>
      <c r="BZ117" s="57">
        <f>'2026 - WIP'!BP10</f>
        <v>8</v>
      </c>
      <c r="CA117" s="57">
        <f>'2026 - WIP'!BQ10</f>
        <v>1535.8</v>
      </c>
      <c r="CB117" s="57">
        <f>'2026 - WIP'!BR10</f>
        <v>1</v>
      </c>
      <c r="CC117" s="57">
        <f>'2026 - WIP'!BS10</f>
        <v>0</v>
      </c>
      <c r="CD117" s="59">
        <f>'2026 - WIP'!BT10</f>
        <v>0</v>
      </c>
      <c r="CE117" s="56">
        <f>'2026 - WIP'!BU10</f>
        <v>484</v>
      </c>
      <c r="CF117" s="57">
        <f>'2026 - WIP'!BV10</f>
        <v>1225.8</v>
      </c>
      <c r="CG117" s="57">
        <f>'2026 - WIP'!BW10</f>
        <v>5</v>
      </c>
      <c r="CH117" s="57">
        <f>'2026 - WIP'!BX10</f>
        <v>0</v>
      </c>
      <c r="CI117" s="57">
        <f>'2026 - WIP'!BY10</f>
        <v>96</v>
      </c>
      <c r="CJ117" s="57">
        <f>'2026 - WIP'!BZ10</f>
        <v>22</v>
      </c>
      <c r="CK117" s="58">
        <f>'2026 - WIP'!CA10</f>
        <v>5.041666666666667</v>
      </c>
      <c r="CL117" s="58">
        <f>'2026 - WIP'!CB10</f>
        <v>67.3</v>
      </c>
      <c r="CM117" s="58">
        <f>'2026 - WIP'!CC10</f>
        <v>3</v>
      </c>
      <c r="CN117" s="58">
        <f>'2026 - WIP'!CD10</f>
        <v>24.2</v>
      </c>
      <c r="CO117" s="57">
        <f>'2026 - WIP'!CE10</f>
        <v>84</v>
      </c>
      <c r="CP117" s="57">
        <f>'2026 - WIP'!CF10</f>
        <v>2437.2000000000003</v>
      </c>
      <c r="CQ117" s="57">
        <f>'2026 - WIP'!CG10</f>
        <v>11</v>
      </c>
      <c r="CR117" s="57">
        <f>'2026 - WIP'!CH10</f>
        <v>0</v>
      </c>
      <c r="CS117" s="59">
        <f>'2026 - WIP'!CI10</f>
        <v>0</v>
      </c>
      <c r="CT117" s="56">
        <f>'2026 - WIP'!CJ10</f>
        <v>765</v>
      </c>
      <c r="CU117" s="57">
        <f>'2026 - WIP'!CK10</f>
        <v>1759.5</v>
      </c>
      <c r="CV117" s="57">
        <f>'2026 - WIP'!CL10</f>
        <v>10</v>
      </c>
      <c r="CW117" s="57">
        <f>'2026 - WIP'!CM10</f>
        <v>19.8</v>
      </c>
      <c r="CX117" s="57">
        <f>'2026 - WIP'!CN10</f>
        <v>121</v>
      </c>
      <c r="CY117" s="57">
        <f>'2026 - WIP'!CO10</f>
        <v>24</v>
      </c>
      <c r="CZ117" s="58">
        <f>'2026 - WIP'!CP10</f>
        <v>6.3223140495867769</v>
      </c>
      <c r="DA117" s="58">
        <f>'2026 - WIP'!CQ10</f>
        <v>90.8</v>
      </c>
      <c r="DB117" s="58">
        <f>'2026 - WIP'!CR10</f>
        <v>4.4000000000000004</v>
      </c>
      <c r="DC117" s="58">
        <f>'2026 - WIP'!CS10</f>
        <v>39</v>
      </c>
      <c r="DD117" s="57">
        <f>'2026 - WIP'!CT10</f>
        <v>140</v>
      </c>
      <c r="DE117" s="57">
        <f>'2026 - WIP'!CU10</f>
        <v>1892.7</v>
      </c>
      <c r="DF117" s="57">
        <f>'2026 - WIP'!CV10</f>
        <v>10</v>
      </c>
      <c r="DG117" s="57">
        <f>'2026 - WIP'!CW10</f>
        <v>0</v>
      </c>
      <c r="DH117" s="59">
        <f>'2026 - WIP'!CX10</f>
        <v>11.700000000000001</v>
      </c>
      <c r="DI117" s="56">
        <f>'2026 - WIP'!CY10</f>
        <v>168</v>
      </c>
      <c r="DJ117" s="57">
        <f>'2026 - WIP'!CZ10</f>
        <v>487</v>
      </c>
      <c r="DK117" s="57">
        <f>'2026 - WIP'!DA10</f>
        <v>0</v>
      </c>
      <c r="DL117" s="57">
        <f>'2026 - WIP'!DB10</f>
        <v>0</v>
      </c>
      <c r="DM117" s="57">
        <f>'2026 - WIP'!DC10</f>
        <v>33</v>
      </c>
      <c r="DN117" s="57">
        <f>'2026 - WIP'!DD10</f>
        <v>4</v>
      </c>
      <c r="DO117" s="58">
        <f>'2026 - WIP'!DE10</f>
        <v>5.0909090909090908</v>
      </c>
      <c r="DP117" s="58">
        <f>'2026 - WIP'!DF10</f>
        <v>36.4</v>
      </c>
      <c r="DQ117" s="58">
        <f>'2026 - WIP'!DG10</f>
        <v>3.09</v>
      </c>
      <c r="DR117" s="58">
        <f>'2026 - WIP'!DH10</f>
        <v>12.5</v>
      </c>
      <c r="DS117" s="57">
        <f>'2026 - WIP'!DI10</f>
        <v>-2</v>
      </c>
      <c r="DT117" s="57">
        <f>'2026 - WIP'!DJ10</f>
        <v>970</v>
      </c>
      <c r="DU117" s="57">
        <f>'2026 - WIP'!DK10</f>
        <v>1</v>
      </c>
      <c r="DV117" s="57">
        <f>'2026 - WIP'!DL10</f>
        <v>0</v>
      </c>
      <c r="DW117" s="59">
        <f>'2026 - WIP'!DM10</f>
        <v>0</v>
      </c>
    </row>
    <row r="118" spans="1:127" ht="15.75" customHeight="1" x14ac:dyDescent="0.2">
      <c r="A118" s="33">
        <f t="shared" si="12"/>
        <v>116</v>
      </c>
      <c r="B118" s="11">
        <f>'2016'!A12</f>
        <v>10</v>
      </c>
      <c r="C118" s="11">
        <v>2016</v>
      </c>
      <c r="D118" s="34" t="str">
        <f>'2016'!B12</f>
        <v>Devontae Booker</v>
      </c>
      <c r="E118" s="224" t="str" cm="1">
        <f t="array" ref="E118">_xlfn.IFS(F118&gt;=13,"Cornerstone",AND(F118&gt;=12,F118&lt;13),"Elite",AND(F118&gt;=11,F118&lt;12),"Elite Upside",AND(F118&gt;=9,F118&lt;11),"Upside",AND(F118&gt;=7,F118&lt;9),"Upside Lite",AND(F118&gt;=6,F118&lt;7),"Outlier",AND(F118&gt;=5,F118&lt;6),"Outlier Lite",F118&lt;5,"Purgatory")</f>
        <v>Upside Lite</v>
      </c>
      <c r="F118" s="14">
        <f>'2016'!C12</f>
        <v>7.6999999999999993</v>
      </c>
      <c r="G118" s="14">
        <f t="shared" si="19"/>
        <v>64.5</v>
      </c>
      <c r="H118" s="35">
        <f t="shared" si="13"/>
        <v>-0.12798768988128495</v>
      </c>
      <c r="I118" s="36" t="str">
        <f>'2016'!D12</f>
        <v>Utah</v>
      </c>
      <c r="J118" s="37">
        <f>'2016'!E12</f>
        <v>5</v>
      </c>
      <c r="K118" s="38">
        <f>'2016'!F12</f>
        <v>33751</v>
      </c>
      <c r="L118" s="39">
        <f>'2016'!G12</f>
        <v>33.358904109589041</v>
      </c>
      <c r="M118" s="39" t="str">
        <f>'2016'!H12</f>
        <v>SR</v>
      </c>
      <c r="N118" s="39">
        <f>'2016'!I12</f>
        <v>23.934246575342467</v>
      </c>
      <c r="O118" s="39" t="str">
        <f t="shared" si="14"/>
        <v>BELL COW</v>
      </c>
      <c r="P118" s="39" t="str">
        <f>IF(OR(AND($AA118&lt;0.25,$AM118&gt;=0.133,AE118&gt;4%),(AND($O118="JITTERBUG",$AM118&gt;0.11)),(AND($O118="JITTERBUG",$AE118&gt;9.5%))),"+RECEIVER",IF(AND($AJ118&gt;=0.25,$AO118&gt;=3.81),"3DOWN",IF($AO118&gt;=3.81,"HORSE",IF(OR(AJ118&gt;0.28,AK118&gt;7,AP118&gt;47),"SLASHER",IF(AM118&gt;0.19,"+RECEIVER","PLODDER")))))</f>
        <v>PLODDER</v>
      </c>
      <c r="Q118" s="37">
        <f>'2016'!J12</f>
        <v>71</v>
      </c>
      <c r="R118" s="37">
        <f>'2016'!K12</f>
        <v>219</v>
      </c>
      <c r="S118" s="39">
        <f t="shared" si="18"/>
        <v>30.543961980603989</v>
      </c>
      <c r="T118" s="37">
        <f>'2016'!L12</f>
        <v>4.5599999999999996</v>
      </c>
      <c r="U118" s="55">
        <f>'2016'!M12</f>
        <v>4</v>
      </c>
      <c r="V118" s="41">
        <f>'2016'!N12</f>
        <v>0</v>
      </c>
      <c r="W118" s="42">
        <f>'2016'!O12</f>
        <v>0</v>
      </c>
      <c r="X118" s="42">
        <f>'2016'!P12</f>
        <v>0</v>
      </c>
      <c r="Y118" s="42">
        <f>'2016'!Q12</f>
        <v>0.35756050185320992</v>
      </c>
      <c r="Z118" s="42">
        <f>'2016'!R12</f>
        <v>0.43360881542699725</v>
      </c>
      <c r="AA118" s="42">
        <f>'2016'!S12</f>
        <v>0.43360881542699725</v>
      </c>
      <c r="AB118" s="42">
        <f>'2016'!T12</f>
        <v>0.36856749311294768</v>
      </c>
      <c r="AC118" s="42">
        <f>'2016'!U12</f>
        <v>0.11906151511614335</v>
      </c>
      <c r="AD118" s="42">
        <f>'2016'!V12</f>
        <v>0.17630700778642935</v>
      </c>
      <c r="AE118" s="42">
        <f>'2016'!W12</f>
        <v>0.17630700778642935</v>
      </c>
      <c r="AF118" s="43">
        <f>'2016'!X12</f>
        <v>0.14986095661846494</v>
      </c>
      <c r="AG118" s="44">
        <f>'2016'!Y12</f>
        <v>22.279452054794522</v>
      </c>
      <c r="AH118" s="45">
        <f>'2016'!Z12</f>
        <v>101.30123495630592</v>
      </c>
      <c r="AI118" s="45">
        <f>'2016'!AA12</f>
        <v>30.540964094425711</v>
      </c>
      <c r="AJ118" s="45">
        <f>'2016'!AB12</f>
        <v>0.21348314606741572</v>
      </c>
      <c r="AK118" s="45">
        <f>'2016'!AC12</f>
        <v>5.1477663230240553</v>
      </c>
      <c r="AL118" s="45">
        <f t="shared" si="15"/>
        <v>7.7874999999999996</v>
      </c>
      <c r="AM118" s="45">
        <f t="shared" si="21"/>
        <v>0.12171052631578948</v>
      </c>
      <c r="AN118" s="45">
        <f>'2016'!AD12</f>
        <v>71.7</v>
      </c>
      <c r="AO118" s="45">
        <f>'2016'!AE12</f>
        <v>3.18</v>
      </c>
      <c r="AP118" s="46">
        <f>'2016'!AF12</f>
        <v>34.9</v>
      </c>
      <c r="AQ118" s="47">
        <f>'2016'!AG12</f>
        <v>10</v>
      </c>
      <c r="AR118" s="48">
        <f>'2016'!AH12</f>
        <v>10</v>
      </c>
      <c r="AS118" s="48">
        <f>'2016'!AI12</f>
        <v>1</v>
      </c>
      <c r="AT118" s="48">
        <f>'2016'!AJ12</f>
        <v>6</v>
      </c>
      <c r="AU118" s="48">
        <f>'2016'!AK12</f>
        <v>6</v>
      </c>
      <c r="AV118" s="48">
        <f>'2016'!AL12</f>
        <v>1</v>
      </c>
      <c r="AW118" s="48">
        <f>'2016'!AM12</f>
        <v>5</v>
      </c>
      <c r="AX118" s="48">
        <f>'2016'!AN12</f>
        <v>3</v>
      </c>
      <c r="AY118" s="49">
        <f>'2016'!AO12</f>
        <v>4</v>
      </c>
      <c r="AZ118" s="50">
        <f>'2016'!AP12</f>
        <v>0</v>
      </c>
      <c r="BA118" s="56">
        <f>'2016'!AQ12</f>
        <v>0</v>
      </c>
      <c r="BB118" s="57">
        <f>'2016'!AR12</f>
        <v>1</v>
      </c>
      <c r="BC118" s="57">
        <f>'2016'!AS12</f>
        <v>0</v>
      </c>
      <c r="BD118" s="57">
        <f>'2016'!AT12</f>
        <v>0</v>
      </c>
      <c r="BE118" s="57">
        <f>'2016'!AU12</f>
        <v>0</v>
      </c>
      <c r="BF118" s="57">
        <f>'2016'!AV12</f>
        <v>0</v>
      </c>
      <c r="BG118" s="58">
        <f>'2016'!AW12</f>
        <v>0</v>
      </c>
      <c r="BH118" s="58">
        <f>'2016'!AX12</f>
        <v>0</v>
      </c>
      <c r="BI118" s="58">
        <f>'2016'!AY12</f>
        <v>0</v>
      </c>
      <c r="BJ118" s="58">
        <f>'2016'!AZ12</f>
        <v>0</v>
      </c>
      <c r="BK118" s="57">
        <f>'2016'!BA12</f>
        <v>0</v>
      </c>
      <c r="BL118" s="57">
        <f>'2016'!BB12</f>
        <v>1</v>
      </c>
      <c r="BM118" s="57">
        <f>'2016'!BC12</f>
        <v>0</v>
      </c>
      <c r="BN118" s="57">
        <f>'2016'!BD12</f>
        <v>0</v>
      </c>
      <c r="BO118" s="59">
        <f>'2016'!BE12</f>
        <v>0</v>
      </c>
      <c r="BP118" s="56">
        <f>'2016'!BF12</f>
        <v>0</v>
      </c>
      <c r="BQ118" s="57">
        <f>'2016'!BG12</f>
        <v>1</v>
      </c>
      <c r="BR118" s="57">
        <f>'2016'!BH12</f>
        <v>0</v>
      </c>
      <c r="BS118" s="57">
        <f>'2016'!BI12</f>
        <v>0</v>
      </c>
      <c r="BT118" s="57">
        <f>'2016'!BJ12</f>
        <v>0</v>
      </c>
      <c r="BU118" s="57">
        <f>'2016'!BK12</f>
        <v>0</v>
      </c>
      <c r="BV118" s="58">
        <f>'2016'!BL12</f>
        <v>0</v>
      </c>
      <c r="BW118" s="58">
        <f>'2016'!BM12</f>
        <v>0</v>
      </c>
      <c r="BX118" s="58">
        <f>'2016'!BN12</f>
        <v>0</v>
      </c>
      <c r="BY118" s="58">
        <f>'2016'!BO12</f>
        <v>0</v>
      </c>
      <c r="BZ118" s="57">
        <f>'2016'!BP12</f>
        <v>0</v>
      </c>
      <c r="CA118" s="57">
        <f>'2016'!BQ12</f>
        <v>1</v>
      </c>
      <c r="CB118" s="57">
        <f>'2016'!BR12</f>
        <v>0</v>
      </c>
      <c r="CC118" s="57">
        <f>'2016'!BS12</f>
        <v>0</v>
      </c>
      <c r="CD118" s="59">
        <f>'2016'!BT12</f>
        <v>0</v>
      </c>
      <c r="CE118" s="56">
        <f>'2016'!BU12</f>
        <v>0</v>
      </c>
      <c r="CF118" s="57">
        <f>'2016'!BV12</f>
        <v>1</v>
      </c>
      <c r="CG118" s="57">
        <f>'2016'!BW12</f>
        <v>0</v>
      </c>
      <c r="CH118" s="57">
        <f>'2016'!BX12</f>
        <v>0</v>
      </c>
      <c r="CI118" s="57">
        <f>'2016'!BY12</f>
        <v>0</v>
      </c>
      <c r="CJ118" s="57">
        <f>'2016'!BZ12</f>
        <v>0</v>
      </c>
      <c r="CK118" s="58">
        <f>'2016'!CA12</f>
        <v>0</v>
      </c>
      <c r="CL118" s="58">
        <f>'2016'!CB12</f>
        <v>0</v>
      </c>
      <c r="CM118" s="58">
        <f>'2016'!CC12</f>
        <v>0</v>
      </c>
      <c r="CN118" s="58">
        <f>'2016'!CD12</f>
        <v>0</v>
      </c>
      <c r="CO118" s="57">
        <f>'2016'!CE12</f>
        <v>0</v>
      </c>
      <c r="CP118" s="57">
        <f>'2016'!CF12</f>
        <v>1</v>
      </c>
      <c r="CQ118" s="57">
        <f>'2016'!CG12</f>
        <v>0</v>
      </c>
      <c r="CR118" s="57">
        <f>'2016'!CH12</f>
        <v>0</v>
      </c>
      <c r="CS118" s="59">
        <f>'2016'!CI12</f>
        <v>0</v>
      </c>
      <c r="CT118" s="56">
        <f>'2016'!CJ12</f>
        <v>1498</v>
      </c>
      <c r="CU118" s="57">
        <f>'2016'!CK12</f>
        <v>2475.2000000000003</v>
      </c>
      <c r="CV118" s="57">
        <f>'2016'!CL12</f>
        <v>10</v>
      </c>
      <c r="CW118" s="57">
        <f>'2016'!CM12</f>
        <v>20.8</v>
      </c>
      <c r="CX118" s="57">
        <f>'2016'!CN12</f>
        <v>291</v>
      </c>
      <c r="CY118" s="57">
        <f>'2016'!CO12</f>
        <v>46</v>
      </c>
      <c r="CZ118" s="58">
        <f>'2016'!CP12</f>
        <v>5.1477663230240553</v>
      </c>
      <c r="DA118" s="58">
        <f>'2016'!CQ12</f>
        <v>49.4</v>
      </c>
      <c r="DB118" s="58">
        <f>'2016'!CR12</f>
        <v>3.18</v>
      </c>
      <c r="DC118" s="58">
        <f>'2016'!CS12</f>
        <v>34.9</v>
      </c>
      <c r="DD118" s="57">
        <f>'2016'!CT12</f>
        <v>306</v>
      </c>
      <c r="DE118" s="57">
        <f>'2016'!CU12</f>
        <v>2570.1</v>
      </c>
      <c r="DF118" s="57">
        <f>'2016'!CV12</f>
        <v>43</v>
      </c>
      <c r="DG118" s="57">
        <f>'2016'!CW12</f>
        <v>2</v>
      </c>
      <c r="DH118" s="59">
        <f>'2016'!CX12</f>
        <v>19.5</v>
      </c>
      <c r="DI118" s="56">
        <f>'2016'!CY12</f>
        <v>1257</v>
      </c>
      <c r="DJ118" s="57">
        <f>'2016'!CZ12</f>
        <v>1832</v>
      </c>
      <c r="DK118" s="57">
        <f>'2016'!DA12</f>
        <v>11</v>
      </c>
      <c r="DL118" s="57">
        <f>'2016'!DB12</f>
        <v>18</v>
      </c>
      <c r="DM118" s="57">
        <f>'2016'!DC12</f>
        <v>267</v>
      </c>
      <c r="DN118" s="57">
        <f>'2016'!DD12</f>
        <v>57</v>
      </c>
      <c r="DO118" s="58">
        <f>'2016'!DE12</f>
        <v>4.7078651685393256</v>
      </c>
      <c r="DP118" s="58">
        <f>'2016'!DF12</f>
        <v>71.7</v>
      </c>
      <c r="DQ118" s="58">
        <f>'2016'!DG12</f>
        <v>3.07</v>
      </c>
      <c r="DR118" s="58">
        <f>'2016'!DH12</f>
        <v>24.6</v>
      </c>
      <c r="DS118" s="57">
        <f>'2016'!DI12</f>
        <v>317</v>
      </c>
      <c r="DT118" s="57">
        <f>'2016'!DJ12</f>
        <v>1798</v>
      </c>
      <c r="DU118" s="57">
        <f>'2016'!DK12</f>
        <v>37</v>
      </c>
      <c r="DV118" s="57">
        <f>'2016'!DL12</f>
        <v>0</v>
      </c>
      <c r="DW118" s="59">
        <f>'2016'!DM12</f>
        <v>12</v>
      </c>
    </row>
    <row r="119" spans="1:127" ht="15.75" customHeight="1" x14ac:dyDescent="0.2">
      <c r="A119" s="33">
        <f t="shared" si="12"/>
        <v>117</v>
      </c>
      <c r="B119" s="11">
        <f>'2026 - WIP'!A11</f>
        <v>9</v>
      </c>
      <c r="C119" s="11">
        <v>2026</v>
      </c>
      <c r="D119" s="34" t="str">
        <f>'2026 - WIP'!B11</f>
        <v>Demond Claiborne</v>
      </c>
      <c r="E119" s="224" t="str" cm="1">
        <f t="array" ref="E119">_xlfn.IFS(F119&gt;=13,"Cornerstone",AND(F119&gt;=12,F119&lt;13),"Elite",AND(F119&gt;=11,F119&lt;12),"Elite Upside",AND(F119&gt;=9,F119&lt;11),"Upside",AND(F119&gt;=7,F119&lt;9),"Upside Lite",AND(F119&gt;=6,F119&lt;7),"Outlier",AND(F119&gt;=5,F119&lt;6),"Outlier Lite",F119&lt;5,"Purgatory")</f>
        <v>Upside Lite</v>
      </c>
      <c r="F119" s="14">
        <f>'2026 - WIP'!C11</f>
        <v>7.666666666666667</v>
      </c>
      <c r="G119" s="14">
        <f t="shared" si="19"/>
        <v>64.2</v>
      </c>
      <c r="H119" s="35">
        <f t="shared" si="13"/>
        <v>-0.14209519202260584</v>
      </c>
      <c r="I119" s="36" t="str">
        <f>'2026 - WIP'!D11</f>
        <v>Wake Forest</v>
      </c>
      <c r="J119" s="37">
        <f>'2026 - WIP'!E11</f>
        <v>4</v>
      </c>
      <c r="K119" s="38">
        <f>'2026 - WIP'!F11</f>
        <v>37903</v>
      </c>
      <c r="L119" s="39">
        <f>'2026 - WIP'!G11</f>
        <v>21.983561643835618</v>
      </c>
      <c r="M119" s="39" t="str">
        <f>'2026 - WIP'!H11</f>
        <v>SR</v>
      </c>
      <c r="N119" s="39">
        <f>'2026 - WIP'!I11</f>
        <v>22.564383561643837</v>
      </c>
      <c r="O119" s="39" t="str">
        <f t="shared" si="14"/>
        <v>DYNAMIC</v>
      </c>
      <c r="P119" s="39" t="str">
        <f>IF(OR(AND($AA119&lt;0.25,$AO119&gt;=0.133,AE119&gt;4%),(AND($O119="JITTERBUG",$AO119&gt;0.11)),(AND($O119="JITTERBUG",$AE119&gt;9.5%))),"+RECEIVER",IF(AND($AJ119&gt;=0.25,$AQ119&gt;=3.81),"3DOWN",IF($AQ119&gt;=3.81,"HORSE",IF(OR(AJ119&gt;0.28,AK119&gt;7,AR119&gt;47),"SLASHER",IF(AO119&gt;0.19,"+RECEIVER","PLODDER")))))</f>
        <v>3DOWN</v>
      </c>
      <c r="Q119" s="37">
        <f>'2026 - WIP'!J11</f>
        <v>69</v>
      </c>
      <c r="R119" s="37">
        <f>'2026 - WIP'!K11</f>
        <v>192</v>
      </c>
      <c r="S119" s="39">
        <f t="shared" si="18"/>
        <v>28.353129422074851</v>
      </c>
      <c r="T119" s="39">
        <f>'2026 - WIP'!L11</f>
        <v>4.5</v>
      </c>
      <c r="U119" s="55">
        <f>'2026 - WIP'!M11</f>
        <v>5</v>
      </c>
      <c r="V119" s="41">
        <f>'2026 - WIP'!N11</f>
        <v>0</v>
      </c>
      <c r="W119" s="42">
        <f>'2026 - WIP'!O11</f>
        <v>1.1754068716094032E-2</v>
      </c>
      <c r="X119" s="42">
        <f>'2026 - WIP'!P11</f>
        <v>0.18950259383582546</v>
      </c>
      <c r="Y119" s="42">
        <f>'2026 - WIP'!Q11</f>
        <v>0.29294064748201437</v>
      </c>
      <c r="Z119" s="42">
        <f>'2026 - WIP'!R11</f>
        <v>0.22861842105263158</v>
      </c>
      <c r="AA119" s="42">
        <f>'2026 - WIP'!S11</f>
        <v>0.26077953426732298</v>
      </c>
      <c r="AB119" s="42">
        <f>'2026 - WIP'!T11</f>
        <v>0.23470158084059067</v>
      </c>
      <c r="AC119" s="42">
        <f>'2026 - WIP'!U11</f>
        <v>8.6775425199583478E-2</v>
      </c>
      <c r="AD119" s="42">
        <f>'2026 - WIP'!V11</f>
        <v>4.1948579161028419E-2</v>
      </c>
      <c r="AE119" s="42">
        <f>'2026 - WIP'!W11</f>
        <v>6.4362002180305952E-2</v>
      </c>
      <c r="AF119" s="43">
        <f>'2026 - WIP'!X11</f>
        <v>5.7925801962275356E-2</v>
      </c>
      <c r="AG119" s="44">
        <f>'2026 - WIP'!Y11</f>
        <v>19.917808219178081</v>
      </c>
      <c r="AH119" s="45">
        <f>'2026 - WIP'!Z11</f>
        <v>93.644261545496107</v>
      </c>
      <c r="AI119" s="45">
        <f>'2026 - WIP'!AA11</f>
        <v>28.350346565847513</v>
      </c>
      <c r="AJ119" s="45">
        <f>'2026 - WIP'!AB11</f>
        <v>0.32</v>
      </c>
      <c r="AK119" s="45">
        <f>'2026 - WIP'!AC11</f>
        <v>9.8800000000000008</v>
      </c>
      <c r="AL119" s="45">
        <f t="shared" si="15"/>
        <v>8.6388888888888893</v>
      </c>
      <c r="AM119" s="45">
        <f t="shared" si="21"/>
        <v>0.2857142857142857</v>
      </c>
      <c r="AN119" s="45">
        <f>'2026 - WIP'!AD11</f>
        <v>134.4</v>
      </c>
      <c r="AO119" s="45">
        <f>'2026 - WIP'!AE11</f>
        <v>3.92</v>
      </c>
      <c r="AP119" s="46">
        <f>'2026 - WIP'!AF11</f>
        <v>72.5</v>
      </c>
      <c r="AQ119" s="47">
        <f>'2026 - WIP'!AG11</f>
        <v>5</v>
      </c>
      <c r="AR119" s="48">
        <f>'2026 - WIP'!AH11</f>
        <v>6</v>
      </c>
      <c r="AS119" s="48">
        <f>'2026 - WIP'!AI11</f>
        <v>5</v>
      </c>
      <c r="AT119" s="48">
        <f>'2026 - WIP'!AJ11</f>
        <v>2</v>
      </c>
      <c r="AU119" s="48">
        <f>'2026 - WIP'!AK11</f>
        <v>9</v>
      </c>
      <c r="AV119" s="48">
        <f>'2026 - WIP'!AL11</f>
        <v>10</v>
      </c>
      <c r="AW119" s="48">
        <f>'2026 - WIP'!AM11</f>
        <v>7</v>
      </c>
      <c r="AX119" s="48">
        <f>'2026 - WIP'!AN11</f>
        <v>4</v>
      </c>
      <c r="AY119" s="49">
        <f>'2026 - WIP'!AO11</f>
        <v>3</v>
      </c>
      <c r="AZ119" s="50">
        <f>'2026 - WIP'!AP11</f>
        <v>0</v>
      </c>
      <c r="BA119" s="56">
        <f>'2026 - WIP'!AQ11</f>
        <v>0</v>
      </c>
      <c r="BB119" s="57">
        <f>'2026 - WIP'!AR11</f>
        <v>1</v>
      </c>
      <c r="BC119" s="57">
        <f>'2026 - WIP'!AS11</f>
        <v>0</v>
      </c>
      <c r="BD119" s="57">
        <f>'2026 - WIP'!AT11</f>
        <v>0</v>
      </c>
      <c r="BE119" s="57">
        <f>'2026 - WIP'!AU11</f>
        <v>0</v>
      </c>
      <c r="BF119" s="57">
        <f>'2026 - WIP'!AV11</f>
        <v>0</v>
      </c>
      <c r="BG119" s="58">
        <f>'2026 - WIP'!AW11</f>
        <v>0</v>
      </c>
      <c r="BH119" s="58">
        <f>'2026 - WIP'!AX11</f>
        <v>0</v>
      </c>
      <c r="BI119" s="58">
        <f>'2026 - WIP'!AY11</f>
        <v>0</v>
      </c>
      <c r="BJ119" s="58">
        <f>'2026 - WIP'!AZ11</f>
        <v>0</v>
      </c>
      <c r="BK119" s="57">
        <f>'2026 - WIP'!BA11</f>
        <v>0</v>
      </c>
      <c r="BL119" s="57">
        <f>'2026 - WIP'!BB11</f>
        <v>0</v>
      </c>
      <c r="BM119" s="57">
        <f>'2026 - WIP'!BC11</f>
        <v>0</v>
      </c>
      <c r="BN119" s="57">
        <f>'2026 - WIP'!BD11</f>
        <v>0</v>
      </c>
      <c r="BO119" s="59">
        <f>'2026 - WIP'!BE11</f>
        <v>0</v>
      </c>
      <c r="BP119" s="56">
        <f>'2026 - WIP'!BF11</f>
        <v>57</v>
      </c>
      <c r="BQ119" s="57">
        <f>'2026 - WIP'!BG11</f>
        <v>1305</v>
      </c>
      <c r="BR119" s="57">
        <f>'2026 - WIP'!BH11</f>
        <v>0</v>
      </c>
      <c r="BS119" s="57">
        <f>'2026 - WIP'!BI11</f>
        <v>13</v>
      </c>
      <c r="BT119" s="57">
        <f>'2026 - WIP'!BJ11</f>
        <v>14</v>
      </c>
      <c r="BU119" s="57">
        <f>'2026 - WIP'!BK11</f>
        <v>4</v>
      </c>
      <c r="BV119" s="58">
        <f>'2026 - WIP'!BL11</f>
        <v>4.0714285714285712</v>
      </c>
      <c r="BW119" s="58">
        <f>'2026 - WIP'!BM11</f>
        <v>80</v>
      </c>
      <c r="BX119" s="58">
        <f>'2026 - WIP'!BN11</f>
        <v>3</v>
      </c>
      <c r="BY119" s="58">
        <f>'2026 - WIP'!BO11</f>
        <v>56.1</v>
      </c>
      <c r="BZ119" s="57">
        <f>'2026 - WIP'!BP11</f>
        <v>-5</v>
      </c>
      <c r="CA119" s="57">
        <f>'2026 - WIP'!BQ11</f>
        <v>3119</v>
      </c>
      <c r="CB119" s="57">
        <f>'2026 - WIP'!BR11</f>
        <v>1</v>
      </c>
      <c r="CC119" s="57">
        <f>'2026 - WIP'!BS11</f>
        <v>0</v>
      </c>
      <c r="CD119" s="59">
        <f>'2026 - WIP'!BT11</f>
        <v>33</v>
      </c>
      <c r="CE119" s="56">
        <f>'2026 - WIP'!BU11</f>
        <v>586</v>
      </c>
      <c r="CF119" s="57">
        <f>'2026 - WIP'!BV11</f>
        <v>1304</v>
      </c>
      <c r="CG119" s="57">
        <f>'2026 - WIP'!BW11</f>
        <v>5</v>
      </c>
      <c r="CH119" s="57">
        <f>'2026 - WIP'!BX11</f>
        <v>11</v>
      </c>
      <c r="CI119" s="57">
        <f>'2026 - WIP'!BY11</f>
        <v>137</v>
      </c>
      <c r="CJ119" s="57">
        <f>'2026 - WIP'!BZ11</f>
        <v>26</v>
      </c>
      <c r="CK119" s="58">
        <f>'2026 - WIP'!CA11</f>
        <v>4.2773722627737225</v>
      </c>
      <c r="CL119" s="58">
        <f>'2026 - WIP'!CB11</f>
        <v>52.9</v>
      </c>
      <c r="CM119" s="58">
        <f>'2026 - WIP'!CC11</f>
        <v>2.85</v>
      </c>
      <c r="CN119" s="58">
        <f>'2026 - WIP'!CD11</f>
        <v>33.299999999999997</v>
      </c>
      <c r="CO119" s="57">
        <f>'2026 - WIP'!CE11</f>
        <v>35</v>
      </c>
      <c r="CP119" s="57">
        <f>'2026 - WIP'!CF11</f>
        <v>1973</v>
      </c>
      <c r="CQ119" s="57">
        <f>'2026 - WIP'!CG11</f>
        <v>3</v>
      </c>
      <c r="CR119" s="57">
        <f>'2026 - WIP'!CH11</f>
        <v>2</v>
      </c>
      <c r="CS119" s="59">
        <f>'2026 - WIP'!CI11</f>
        <v>12</v>
      </c>
      <c r="CT119" s="56">
        <f>'2026 - WIP'!CJ11</f>
        <v>1053</v>
      </c>
      <c r="CU119" s="57">
        <f>'2026 - WIP'!CK11</f>
        <v>1567</v>
      </c>
      <c r="CV119" s="57">
        <f>'2026 - WIP'!CL11</f>
        <v>11</v>
      </c>
      <c r="CW119" s="57">
        <f>'2026 - WIP'!CM11</f>
        <v>18</v>
      </c>
      <c r="CX119" s="57">
        <f>'2026 - WIP'!CN11</f>
        <v>229</v>
      </c>
      <c r="CY119" s="57">
        <f>'2026 - WIP'!CO11</f>
        <v>45</v>
      </c>
      <c r="CZ119" s="58">
        <f>'2026 - WIP'!CP11</f>
        <v>4.5982532751091707</v>
      </c>
      <c r="DA119" s="58">
        <f>'2026 - WIP'!CQ11</f>
        <v>69.599999999999994</v>
      </c>
      <c r="DB119" s="58">
        <f>'2026 - WIP'!CR11</f>
        <v>3.24</v>
      </c>
      <c r="DC119" s="58">
        <f>'2026 - WIP'!CS11</f>
        <v>28.4</v>
      </c>
      <c r="DD119" s="57">
        <f>'2026 - WIP'!CT11</f>
        <v>250</v>
      </c>
      <c r="DE119" s="57">
        <f>'2026 - WIP'!CU11</f>
        <v>2881</v>
      </c>
      <c r="DF119" s="57">
        <f>'2026 - WIP'!CV11</f>
        <v>22</v>
      </c>
      <c r="DG119" s="57">
        <f>'2026 - WIP'!CW11</f>
        <v>2</v>
      </c>
      <c r="DH119" s="59">
        <f>'2026 - WIP'!CX11</f>
        <v>17</v>
      </c>
      <c r="DI119" s="56">
        <f>'2026 - WIP'!CY11</f>
        <v>247</v>
      </c>
      <c r="DJ119" s="57">
        <f>'2026 - WIP'!CZ11</f>
        <v>477</v>
      </c>
      <c r="DK119" s="57">
        <f>'2026 - WIP'!DA11</f>
        <v>0</v>
      </c>
      <c r="DL119" s="57">
        <f>'2026 - WIP'!DB11</f>
        <v>0</v>
      </c>
      <c r="DM119" s="57">
        <f>'2026 - WIP'!DC11</f>
        <v>25</v>
      </c>
      <c r="DN119" s="57">
        <f>'2026 - WIP'!DD11</f>
        <v>8</v>
      </c>
      <c r="DO119" s="58">
        <f>'2026 - WIP'!DE11</f>
        <v>9.8800000000000008</v>
      </c>
      <c r="DP119" s="58">
        <f>'2026 - WIP'!DF11</f>
        <v>134.4</v>
      </c>
      <c r="DQ119" s="58">
        <f>'2026 - WIP'!DG11</f>
        <v>3.92</v>
      </c>
      <c r="DR119" s="58">
        <f>'2026 - WIP'!DH11</f>
        <v>72.5</v>
      </c>
      <c r="DS119" s="57">
        <f>'2026 - WIP'!DI11</f>
        <v>31</v>
      </c>
      <c r="DT119" s="57">
        <f>'2026 - WIP'!DJ11</f>
        <v>739</v>
      </c>
      <c r="DU119" s="57">
        <f>'2026 - WIP'!DK11</f>
        <v>10</v>
      </c>
      <c r="DV119" s="57">
        <f>'2026 - WIP'!DL11</f>
        <v>0</v>
      </c>
      <c r="DW119" s="59">
        <f>'2026 - WIP'!DM11</f>
        <v>0</v>
      </c>
    </row>
    <row r="120" spans="1:127" ht="15.75" customHeight="1" x14ac:dyDescent="0.2">
      <c r="A120" s="33">
        <f t="shared" si="12"/>
        <v>118</v>
      </c>
      <c r="B120" s="11">
        <f>'2017'!A15</f>
        <v>13</v>
      </c>
      <c r="C120" s="11">
        <v>2017</v>
      </c>
      <c r="D120" s="34" t="str">
        <f>'2017'!B15</f>
        <v>Marlon Mack</v>
      </c>
      <c r="E120" s="224" t="str" cm="1">
        <f t="array" ref="E120">_xlfn.IFS(F120&gt;=13,"Cornerstone",AND(F120&gt;=12,F120&lt;13),"Elite",AND(F120&gt;=11,F120&lt;12),"Elite Upside",AND(F120&gt;=9,F120&lt;11),"Upside",AND(F120&gt;=7,F120&lt;9),"Upside Lite",AND(F120&gt;=6,F120&lt;7),"Outlier",AND(F120&gt;=5,F120&lt;6),"Outlier Lite",F120&lt;5,"Purgatory")</f>
        <v>Upside Lite</v>
      </c>
      <c r="F120" s="14">
        <f>'2017'!C15</f>
        <v>7.6499999999999986</v>
      </c>
      <c r="G120" s="14">
        <f t="shared" si="19"/>
        <v>63.9</v>
      </c>
      <c r="H120" s="35">
        <f t="shared" si="13"/>
        <v>-0.14914894309326723</v>
      </c>
      <c r="I120" s="36" t="str">
        <f>'2017'!D15</f>
        <v>South Florida</v>
      </c>
      <c r="J120" s="37">
        <f>'2017'!E15</f>
        <v>6</v>
      </c>
      <c r="K120" s="38">
        <f>'2017'!F15</f>
        <v>35131</v>
      </c>
      <c r="L120" s="39">
        <f>'2017'!G15</f>
        <v>29.578082191780823</v>
      </c>
      <c r="M120" s="39" t="str">
        <f>'2017'!H15</f>
        <v>JR</v>
      </c>
      <c r="N120" s="39">
        <f>'2017'!I15</f>
        <v>21.153424657534245</v>
      </c>
      <c r="O120" s="39" t="str">
        <f t="shared" si="14"/>
        <v>DYNAMIC</v>
      </c>
      <c r="P120" s="39" t="str">
        <f t="shared" ref="P120:P127" si="23">IF(OR(AND($AA120&lt;0.25,$AM120&gt;=0.133,AE120&gt;4%),(AND($O120="JITTERBUG",$AM120&gt;0.11)),(AND($O120="JITTERBUG",$AE120&gt;9.5%))),"+RECEIVER",IF(AND($AJ120&gt;=0.25,$AO120&gt;=3.81),"3DOWN",IF($AO120&gt;=3.81,"HORSE",IF(OR(AJ120&gt;0.28,AK120&gt;7,AP120&gt;47),"SLASHER",IF(AM120&gt;0.19,"+RECEIVER","PLODDER")))))</f>
        <v>HORSE</v>
      </c>
      <c r="Q120" s="37">
        <f>'2017'!J15</f>
        <v>71</v>
      </c>
      <c r="R120" s="37">
        <f>'2017'!K15</f>
        <v>213</v>
      </c>
      <c r="S120" s="39">
        <f t="shared" si="18"/>
        <v>29.707141104423055</v>
      </c>
      <c r="T120" s="37">
        <f>'2017'!L15</f>
        <v>4.5</v>
      </c>
      <c r="U120" s="55">
        <f>'2017'!M15</f>
        <v>4</v>
      </c>
      <c r="V120" s="41">
        <f>'2017'!N15</f>
        <v>0</v>
      </c>
      <c r="W120" s="42">
        <f>'2017'!O15</f>
        <v>0</v>
      </c>
      <c r="X120" s="42">
        <f>'2017'!P15</f>
        <v>0.33068927789934355</v>
      </c>
      <c r="Y120" s="42">
        <f>'2017'!Q15</f>
        <v>0.26093015154154331</v>
      </c>
      <c r="Z120" s="42">
        <f>'2017'!R15</f>
        <v>0.2124812030075188</v>
      </c>
      <c r="AA120" s="42">
        <f>'2017'!S15</f>
        <v>0.27158524045343119</v>
      </c>
      <c r="AB120" s="42">
        <f>'2017'!T15</f>
        <v>0.19010966831740181</v>
      </c>
      <c r="AC120" s="42">
        <f>'2017'!U15</f>
        <v>4.3769716088328074E-2</v>
      </c>
      <c r="AD120" s="42">
        <f>'2017'!V15</f>
        <v>7.7184631077864677E-2</v>
      </c>
      <c r="AE120" s="42">
        <f>'2017'!W15</f>
        <v>7.7184631077864677E-2</v>
      </c>
      <c r="AF120" s="43">
        <f>'2017'!X15</f>
        <v>5.4029241754505269E-2</v>
      </c>
      <c r="AG120" s="44">
        <f>'2017'!Y15</f>
        <v>18.4986301369863</v>
      </c>
      <c r="AH120" s="45">
        <f>'2017'!Z15</f>
        <v>103.88660265203475</v>
      </c>
      <c r="AI120" s="45">
        <f>'2017'!AA15</f>
        <v>29.704225352112676</v>
      </c>
      <c r="AJ120" s="45">
        <f>'2017'!AB15</f>
        <v>0.2413793103448276</v>
      </c>
      <c r="AK120" s="45">
        <f>'2017'!AC15</f>
        <v>6.8</v>
      </c>
      <c r="AL120" s="45">
        <f t="shared" si="15"/>
        <v>7.6615384615384619</v>
      </c>
      <c r="AM120" s="45">
        <f t="shared" si="21"/>
        <v>0.13861386138613863</v>
      </c>
      <c r="AN120" s="45">
        <f>'2017'!AD15</f>
        <v>93.4</v>
      </c>
      <c r="AO120" s="45">
        <f>'2017'!AE15</f>
        <v>3.85</v>
      </c>
      <c r="AP120" s="46">
        <f>'2017'!AF15</f>
        <v>52.1</v>
      </c>
      <c r="AQ120" s="47">
        <f>'2017'!AG15</f>
        <v>3</v>
      </c>
      <c r="AR120" s="48">
        <f>'2017'!AH15</f>
        <v>6</v>
      </c>
      <c r="AS120" s="48">
        <f>'2017'!AI15</f>
        <v>9</v>
      </c>
      <c r="AT120" s="48">
        <f>IF(AH120&gt;113.25,10,IF(AH120&gt;=107.84,9,IF(AH120&gt;=105.37,8,IF(AH120&gt;=103.25,7,IF(AH120&gt;=100.55,6,IF(AH120&gt;=98.75,5,IF(AH120&gt;=96.08,4,IF(AH120&gt;=94.39,3,IF(AH120&gt;=88.43,2,IF(AH120&gt;=85.16,1,IF(AH120&lt;85.16,0,FALSE)))))))))))</f>
        <v>7</v>
      </c>
      <c r="AU120" s="48">
        <f>'2017'!AK15</f>
        <v>6</v>
      </c>
      <c r="AV120" s="48">
        <f>'2017'!AL15</f>
        <v>7</v>
      </c>
      <c r="AW120" s="48">
        <f>'2017'!AM15</f>
        <v>5</v>
      </c>
      <c r="AX120" s="48">
        <f>'2017'!AN15</f>
        <v>6</v>
      </c>
      <c r="AY120" s="49">
        <f>IF(U120=1,10,IF(U120=2,7,IF(U120=3,6,IF(U120=4,4,IF(U120=5,3,IF(U120=6,2,IF(U120=7,1,IF(U120=0,0,"-"))))))))</f>
        <v>4</v>
      </c>
      <c r="AZ120" s="50">
        <f>'2017'!AP15</f>
        <v>0</v>
      </c>
      <c r="BA120" s="56">
        <f>'2017'!AQ15</f>
        <v>0</v>
      </c>
      <c r="BB120" s="57">
        <f>'2017'!AR15</f>
        <v>1776</v>
      </c>
      <c r="BC120" s="57">
        <f>'2017'!AS15</f>
        <v>0</v>
      </c>
      <c r="BD120" s="57">
        <f>'2017'!AT15</f>
        <v>0</v>
      </c>
      <c r="BE120" s="57">
        <f>'2017'!AU15</f>
        <v>0</v>
      </c>
      <c r="BF120" s="57">
        <f>'2017'!AV15</f>
        <v>0</v>
      </c>
      <c r="BG120" s="58">
        <f>'2017'!AW15</f>
        <v>0</v>
      </c>
      <c r="BH120" s="58">
        <f>'2017'!AX15</f>
        <v>0</v>
      </c>
      <c r="BI120" s="58">
        <f>'2017'!AY15</f>
        <v>0</v>
      </c>
      <c r="BJ120" s="58">
        <f>'2017'!AZ15</f>
        <v>0</v>
      </c>
      <c r="BK120" s="57">
        <f>'2017'!BA15</f>
        <v>0</v>
      </c>
      <c r="BL120" s="57">
        <f>'2017'!BB15</f>
        <v>2589</v>
      </c>
      <c r="BM120" s="57">
        <f>'2017'!BC15</f>
        <v>0</v>
      </c>
      <c r="BN120" s="57">
        <f>'2017'!BD15</f>
        <v>0</v>
      </c>
      <c r="BO120" s="59">
        <f>'2017'!BE15</f>
        <v>0</v>
      </c>
      <c r="BP120" s="56">
        <f>'2017'!BF15</f>
        <v>0</v>
      </c>
      <c r="BQ120" s="57">
        <f>'2017'!BG15</f>
        <v>1064</v>
      </c>
      <c r="BR120" s="57">
        <f>'2017'!BH15</f>
        <v>0</v>
      </c>
      <c r="BS120" s="57">
        <f>'2017'!BI15</f>
        <v>0</v>
      </c>
      <c r="BT120" s="57">
        <f>'2017'!BJ15</f>
        <v>0</v>
      </c>
      <c r="BU120" s="57">
        <f>'2017'!BK15</f>
        <v>0</v>
      </c>
      <c r="BV120" s="58">
        <f>'2017'!BL15</f>
        <v>0</v>
      </c>
      <c r="BW120" s="58">
        <f>'2017'!BM15</f>
        <v>0</v>
      </c>
      <c r="BX120" s="58">
        <f>'2017'!BN15</f>
        <v>0</v>
      </c>
      <c r="BY120" s="58">
        <f>'2017'!BO15</f>
        <v>0</v>
      </c>
      <c r="BZ120" s="57">
        <f>'2017'!BP15</f>
        <v>0</v>
      </c>
      <c r="CA120" s="57">
        <f>'2017'!BQ15</f>
        <v>2002</v>
      </c>
      <c r="CB120" s="57">
        <f>'2017'!BR15</f>
        <v>0</v>
      </c>
      <c r="CC120" s="57">
        <f>'2017'!BS15</f>
        <v>0</v>
      </c>
      <c r="CD120" s="59">
        <f>'2017'!BT15</f>
        <v>0</v>
      </c>
      <c r="CE120" s="56">
        <f>'2017'!BU15</f>
        <v>1049</v>
      </c>
      <c r="CF120" s="57">
        <f>'2017'!BV15</f>
        <v>1295</v>
      </c>
      <c r="CG120" s="57">
        <f>'2017'!BW15</f>
        <v>9</v>
      </c>
      <c r="CH120" s="57">
        <f>'2017'!BX15</f>
        <v>0</v>
      </c>
      <c r="CI120" s="57">
        <f>'2017'!BY15</f>
        <v>201</v>
      </c>
      <c r="CJ120" s="57">
        <f>'2017'!BZ15</f>
        <v>25</v>
      </c>
      <c r="CK120" s="58">
        <f>'2017'!CA15</f>
        <v>5.2</v>
      </c>
      <c r="CL120" s="58">
        <f>'2017'!CB15</f>
        <v>40.4</v>
      </c>
      <c r="CM120" s="58">
        <f>'2017'!CC15</f>
        <v>3.09</v>
      </c>
      <c r="CN120" s="58">
        <f>'2017'!CD15</f>
        <v>44.1</v>
      </c>
      <c r="CO120" s="57">
        <f>'2017'!CE15</f>
        <v>160</v>
      </c>
      <c r="CP120" s="57">
        <f>'2017'!CF15</f>
        <v>2361</v>
      </c>
      <c r="CQ120" s="57">
        <f>'2017'!CG15</f>
        <v>21</v>
      </c>
      <c r="CR120" s="57">
        <f>'2017'!CH15</f>
        <v>0</v>
      </c>
      <c r="CS120" s="59">
        <f>'2017'!CI15</f>
        <v>0</v>
      </c>
      <c r="CT120" s="56">
        <f>'2017'!CJ15</f>
        <v>1387</v>
      </c>
      <c r="CU120" s="57">
        <f>'2017'!CK15</f>
        <v>3205</v>
      </c>
      <c r="CV120" s="57">
        <f>'2017'!CL15</f>
        <v>8</v>
      </c>
      <c r="CW120" s="57">
        <f>'2017'!CM15</f>
        <v>0</v>
      </c>
      <c r="CX120" s="57">
        <f>'2017'!CN15</f>
        <v>208</v>
      </c>
      <c r="CY120" s="57">
        <f>'2017'!CO15</f>
        <v>48</v>
      </c>
      <c r="CZ120" s="58">
        <f>'2017'!CP15</f>
        <v>6.7</v>
      </c>
      <c r="DA120" s="58">
        <f>'2017'!CQ15</f>
        <v>74.900000000000006</v>
      </c>
      <c r="DB120" s="58">
        <f>'2017'!CR15</f>
        <v>3.29</v>
      </c>
      <c r="DC120" s="58">
        <f>'2017'!CS15</f>
        <v>42.3</v>
      </c>
      <c r="DD120" s="57">
        <f>'2017'!CT15</f>
        <v>111</v>
      </c>
      <c r="DE120" s="57">
        <f>'2017'!CU15</f>
        <v>2536</v>
      </c>
      <c r="DF120" s="57">
        <f>'2017'!CV15</f>
        <v>16</v>
      </c>
      <c r="DG120" s="57">
        <f>'2017'!CW15</f>
        <v>0</v>
      </c>
      <c r="DH120" s="59">
        <f>'2017'!CX15</f>
        <v>0</v>
      </c>
      <c r="DI120" s="56">
        <f>'2017'!CY15</f>
        <v>1186</v>
      </c>
      <c r="DJ120" s="57">
        <f>'2017'!CZ15</f>
        <v>3709</v>
      </c>
      <c r="DK120" s="57">
        <f>'2017'!DA15</f>
        <v>15</v>
      </c>
      <c r="DL120" s="57">
        <f>'2017'!DB15</f>
        <v>0</v>
      </c>
      <c r="DM120" s="57">
        <f>'2017'!DC15</f>
        <v>174</v>
      </c>
      <c r="DN120" s="57">
        <f>'2017'!DD15</f>
        <v>42</v>
      </c>
      <c r="DO120" s="58">
        <f>'2017'!DE15</f>
        <v>6.8</v>
      </c>
      <c r="DP120" s="58">
        <f>'2017'!DF15</f>
        <v>93.4</v>
      </c>
      <c r="DQ120" s="58">
        <f>'2017'!DG15</f>
        <v>3.85</v>
      </c>
      <c r="DR120" s="58">
        <f>'2017'!DH15</f>
        <v>52.1</v>
      </c>
      <c r="DS120" s="57">
        <f>'2017'!DI15</f>
        <v>227</v>
      </c>
      <c r="DT120" s="57">
        <f>'2017'!DJ15</f>
        <v>2941</v>
      </c>
      <c r="DU120" s="57">
        <f>'2017'!DK15</f>
        <v>28</v>
      </c>
      <c r="DV120" s="57">
        <f>'2017'!DL15</f>
        <v>0</v>
      </c>
      <c r="DW120" s="59">
        <f>'2017'!DM15</f>
        <v>0</v>
      </c>
    </row>
    <row r="121" spans="1:127" ht="15.75" customHeight="1" x14ac:dyDescent="0.2">
      <c r="A121" s="33">
        <f t="shared" si="12"/>
        <v>119</v>
      </c>
      <c r="B121" s="11">
        <f>'2024'!A12</f>
        <v>10</v>
      </c>
      <c r="C121" s="11">
        <v>2024</v>
      </c>
      <c r="D121" s="34" t="str">
        <f>'2024'!B12</f>
        <v>Will Shipley</v>
      </c>
      <c r="E121" s="224" t="str" cm="1">
        <f t="array" ref="E121">_xlfn.IFS(F121&gt;=13,"Cornerstone",AND(F121&gt;=12,F121&lt;13),"Elite",AND(F121&gt;=11,F121&lt;12),"Elite Upside",AND(F121&gt;=9,F121&lt;11),"Upside",AND(F121&gt;=7,F121&lt;9),"Upside Lite",AND(F121&gt;=6,F121&lt;7),"Outlier",AND(F121&gt;=5,F121&lt;6),"Outlier Lite",F121&lt;5,"Purgatory")</f>
        <v>Upside Lite</v>
      </c>
      <c r="F121" s="14">
        <f>'2024'!C12</f>
        <v>7.5666666666666664</v>
      </c>
      <c r="G121" s="14">
        <f t="shared" si="19"/>
        <v>63.6</v>
      </c>
      <c r="H121" s="35">
        <f t="shared" si="13"/>
        <v>-0.18441769844657002</v>
      </c>
      <c r="I121" s="36" t="str">
        <f>'2024'!D12</f>
        <v>Clemson</v>
      </c>
      <c r="J121" s="37">
        <f>'2024'!E12</f>
        <v>4</v>
      </c>
      <c r="K121" s="38">
        <f>'2024'!F12</f>
        <v>37497</v>
      </c>
      <c r="L121" s="39">
        <f>'2024'!G12</f>
        <v>23.095890410958905</v>
      </c>
      <c r="M121" s="39" t="str">
        <f>'2024'!H12</f>
        <v>JR</v>
      </c>
      <c r="N121" s="39">
        <f>'2024'!I12</f>
        <v>21.676712328767124</v>
      </c>
      <c r="O121" s="39" t="str">
        <f t="shared" si="14"/>
        <v>BELL COW</v>
      </c>
      <c r="P121" s="39" t="str">
        <f t="shared" si="23"/>
        <v>+RECEIVER</v>
      </c>
      <c r="Q121" s="37">
        <f>'2024'!J12</f>
        <v>71</v>
      </c>
      <c r="R121" s="37">
        <f>'2024'!K12</f>
        <v>206</v>
      </c>
      <c r="S121" s="39">
        <f t="shared" si="18"/>
        <v>28.730850082211973</v>
      </c>
      <c r="T121" s="37">
        <f>'2024'!L12</f>
        <v>4.55</v>
      </c>
      <c r="U121" s="40">
        <f>'2024'!M12</f>
        <v>4</v>
      </c>
      <c r="V121" s="41">
        <f>'2024'!N12</f>
        <v>0</v>
      </c>
      <c r="W121" s="42">
        <f>'2024'!O12</f>
        <v>0</v>
      </c>
      <c r="X121" s="42">
        <f>'2024'!P12</f>
        <v>0.23725055432372505</v>
      </c>
      <c r="Y121" s="42">
        <f>'2024'!Q12</f>
        <v>0.24511681348142475</v>
      </c>
      <c r="Z121" s="42">
        <f>'2024'!R12</f>
        <v>0.22162900422150481</v>
      </c>
      <c r="AA121" s="42">
        <f>'2024'!S12</f>
        <v>0.23337290885146478</v>
      </c>
      <c r="AB121" s="42">
        <f>'2024'!T12</f>
        <v>0.21003561796631831</v>
      </c>
      <c r="AC121" s="42">
        <f>'2024'!U12</f>
        <v>7.2842389968035409E-2</v>
      </c>
      <c r="AD121" s="42">
        <f>'2024'!V12</f>
        <v>8.4281961471103325E-2</v>
      </c>
      <c r="AE121" s="42">
        <f>'2024'!W12</f>
        <v>8.4281961471103325E-2</v>
      </c>
      <c r="AF121" s="43">
        <f>'2024'!X12</f>
        <v>7.5853765323992989E-2</v>
      </c>
      <c r="AG121" s="44">
        <f>'2024'!Y12</f>
        <v>19.019178082191782</v>
      </c>
      <c r="AH121" s="45">
        <f>'2024'!Z12</f>
        <v>96.128381319823163</v>
      </c>
      <c r="AI121" s="45">
        <f>'2024'!AA12</f>
        <v>28.728030152747472</v>
      </c>
      <c r="AJ121" s="45">
        <f>'2024'!AB12</f>
        <v>0.23648648648648649</v>
      </c>
      <c r="AK121" s="45">
        <f>'2024'!AC12</f>
        <v>5.5497630331753554</v>
      </c>
      <c r="AL121" s="45">
        <f t="shared" si="15"/>
        <v>6.9523809523809526</v>
      </c>
      <c r="AM121" s="45">
        <f t="shared" si="21"/>
        <v>0.15656565656565657</v>
      </c>
      <c r="AN121" s="45">
        <f>'2024'!AD12</f>
        <v>76.5</v>
      </c>
      <c r="AO121" s="45">
        <f>'2024'!AE12</f>
        <v>3.37</v>
      </c>
      <c r="AP121" s="46">
        <f>'2024'!AF12</f>
        <v>34.799999999999997</v>
      </c>
      <c r="AQ121" s="47">
        <f>'2024'!AG12</f>
        <v>4</v>
      </c>
      <c r="AR121" s="48">
        <f>'2024'!AH12</f>
        <v>8</v>
      </c>
      <c r="AS121" s="48">
        <f>'2024'!AI12</f>
        <v>8</v>
      </c>
      <c r="AT121" s="48">
        <f>'2024'!AJ12</f>
        <v>4</v>
      </c>
      <c r="AU121" s="48">
        <f>'2024'!AK12</f>
        <v>5</v>
      </c>
      <c r="AV121" s="48">
        <f>'2024'!AL12</f>
        <v>3</v>
      </c>
      <c r="AW121" s="48">
        <f>'2024'!AM12</f>
        <v>2</v>
      </c>
      <c r="AX121" s="48">
        <f>'2024'!AN12</f>
        <v>1</v>
      </c>
      <c r="AY121" s="49">
        <f>'2024'!AO12</f>
        <v>4</v>
      </c>
      <c r="AZ121" s="50">
        <f>'2024'!AP12</f>
        <v>0.5</v>
      </c>
      <c r="BA121" s="56">
        <f>'2024'!AQ12</f>
        <v>0</v>
      </c>
      <c r="BB121" s="57">
        <f>'2024'!AR12</f>
        <v>1</v>
      </c>
      <c r="BC121" s="57">
        <f>'2024'!AS12</f>
        <v>0</v>
      </c>
      <c r="BD121" s="57">
        <f>'2024'!AT12</f>
        <v>0</v>
      </c>
      <c r="BE121" s="57">
        <f>'2024'!AU12</f>
        <v>0</v>
      </c>
      <c r="BF121" s="57">
        <f>'2024'!AV12</f>
        <v>0</v>
      </c>
      <c r="BG121" s="58">
        <f>'2024'!AW12</f>
        <v>0</v>
      </c>
      <c r="BH121" s="58">
        <f>'2024'!AX12</f>
        <v>0</v>
      </c>
      <c r="BI121" s="58">
        <f>'2024'!AY12</f>
        <v>0</v>
      </c>
      <c r="BJ121" s="58">
        <f>'2024'!AZ12</f>
        <v>0</v>
      </c>
      <c r="BK121" s="57">
        <f>'2024'!BA12</f>
        <v>0</v>
      </c>
      <c r="BL121" s="57">
        <f>'2024'!BB12</f>
        <v>1</v>
      </c>
      <c r="BM121" s="57">
        <f>'2024'!BC12</f>
        <v>0</v>
      </c>
      <c r="BN121" s="57">
        <f>'2024'!BD12</f>
        <v>0</v>
      </c>
      <c r="BO121" s="59">
        <f>'2024'!BE12</f>
        <v>0</v>
      </c>
      <c r="BP121" s="56">
        <f>'2024'!BF12</f>
        <v>0</v>
      </c>
      <c r="BQ121" s="57">
        <f>'2024'!BG12</f>
        <v>1</v>
      </c>
      <c r="BR121" s="57">
        <f>'2024'!BH12</f>
        <v>0</v>
      </c>
      <c r="BS121" s="57">
        <f>'2024'!BI12</f>
        <v>0</v>
      </c>
      <c r="BT121" s="57">
        <f>'2024'!BJ12</f>
        <v>0</v>
      </c>
      <c r="BU121" s="57">
        <f>'2024'!BK12</f>
        <v>0</v>
      </c>
      <c r="BV121" s="58">
        <f>'2024'!BL12</f>
        <v>0</v>
      </c>
      <c r="BW121" s="58">
        <f>'2024'!BM12</f>
        <v>0</v>
      </c>
      <c r="BX121" s="58">
        <f>'2024'!BN12</f>
        <v>0</v>
      </c>
      <c r="BY121" s="58">
        <f>'2024'!BO12</f>
        <v>0</v>
      </c>
      <c r="BZ121" s="57">
        <f>'2024'!BP12</f>
        <v>0</v>
      </c>
      <c r="CA121" s="57">
        <f>'2024'!BQ12</f>
        <v>1</v>
      </c>
      <c r="CB121" s="57">
        <f>'2024'!BR12</f>
        <v>0</v>
      </c>
      <c r="CC121" s="57">
        <f>'2024'!BS12</f>
        <v>0</v>
      </c>
      <c r="CD121" s="59">
        <f>'2024'!BT12</f>
        <v>0</v>
      </c>
      <c r="CE121" s="56">
        <f>'2024'!BU12</f>
        <v>740</v>
      </c>
      <c r="CF121" s="57">
        <f>'2024'!BV12</f>
        <v>1696</v>
      </c>
      <c r="CG121" s="57">
        <f>'2024'!BW12</f>
        <v>11</v>
      </c>
      <c r="CH121" s="57">
        <f>'2024'!BX12</f>
        <v>20</v>
      </c>
      <c r="CI121" s="57">
        <f>'2024'!BY12</f>
        <v>148</v>
      </c>
      <c r="CJ121" s="57">
        <f>'2024'!BZ12</f>
        <v>35</v>
      </c>
      <c r="CK121" s="58">
        <f>'2024'!CA12</f>
        <v>5</v>
      </c>
      <c r="CL121" s="58">
        <f>'2024'!CB12</f>
        <v>76.5</v>
      </c>
      <c r="CM121" s="58">
        <f>'2024'!CC12</f>
        <v>3.06</v>
      </c>
      <c r="CN121" s="58">
        <f>'2024'!CD12</f>
        <v>28.9</v>
      </c>
      <c r="CO121" s="57">
        <f>'2024'!CE12</f>
        <v>116</v>
      </c>
      <c r="CP121" s="57">
        <f>'2024'!CF12</f>
        <v>1912</v>
      </c>
      <c r="CQ121" s="57">
        <f>'2024'!CG12</f>
        <v>16</v>
      </c>
      <c r="CR121" s="57">
        <f>'2024'!CH12</f>
        <v>0</v>
      </c>
      <c r="CS121" s="59">
        <f>'2024'!CI12</f>
        <v>9</v>
      </c>
      <c r="CT121" s="56">
        <f>'2024'!CJ12</f>
        <v>1171</v>
      </c>
      <c r="CU121" s="57">
        <f>'2024'!CK12</f>
        <v>2490.6</v>
      </c>
      <c r="CV121" s="57">
        <f>'2024'!CL12</f>
        <v>15</v>
      </c>
      <c r="CW121" s="57">
        <f>'2024'!CM12</f>
        <v>30.800000000000004</v>
      </c>
      <c r="CX121" s="57">
        <f>'2024'!CN12</f>
        <v>211</v>
      </c>
      <c r="CY121" s="57">
        <f>'2024'!CO12</f>
        <v>49</v>
      </c>
      <c r="CZ121" s="58">
        <f>'2024'!CP12</f>
        <v>5.5497630331753554</v>
      </c>
      <c r="DA121" s="58">
        <f>'2024'!CQ12</f>
        <v>76.2</v>
      </c>
      <c r="DB121" s="58">
        <f>'2024'!CR12</f>
        <v>3.37</v>
      </c>
      <c r="DC121" s="58">
        <f>'2024'!CS12</f>
        <v>32.700000000000003</v>
      </c>
      <c r="DD121" s="57">
        <f>'2024'!CT12</f>
        <v>237</v>
      </c>
      <c r="DE121" s="57">
        <f>'2024'!CU12</f>
        <v>3253.6</v>
      </c>
      <c r="DF121" s="57">
        <f>'2024'!CV12</f>
        <v>37</v>
      </c>
      <c r="DG121" s="57">
        <f>'2024'!CW12</f>
        <v>0</v>
      </c>
      <c r="DH121" s="59">
        <f>'2024'!CX12</f>
        <v>23.8</v>
      </c>
      <c r="DI121" s="56">
        <f>'2024'!CY12</f>
        <v>840</v>
      </c>
      <c r="DJ121" s="57">
        <f>'2024'!CZ12</f>
        <v>2091.6000000000004</v>
      </c>
      <c r="DK121" s="57">
        <f>'2024'!DA12</f>
        <v>5</v>
      </c>
      <c r="DL121" s="57">
        <f>'2024'!DB12</f>
        <v>21.6</v>
      </c>
      <c r="DM121" s="57">
        <f>'2024'!DC12</f>
        <v>167</v>
      </c>
      <c r="DN121" s="57">
        <f>'2024'!DD12</f>
        <v>27</v>
      </c>
      <c r="DO121" s="58">
        <f>'2024'!DE12</f>
        <v>5</v>
      </c>
      <c r="DP121" s="58">
        <f>'2024'!DF12</f>
        <v>51.5</v>
      </c>
      <c r="DQ121" s="58">
        <f>'2024'!DG12</f>
        <v>2.92</v>
      </c>
      <c r="DR121" s="58">
        <f>'2024'!DH12</f>
        <v>34.799999999999997</v>
      </c>
      <c r="DS121" s="57">
        <f>'2024'!DI12</f>
        <v>231</v>
      </c>
      <c r="DT121" s="57">
        <f>'2024'!DJ12</f>
        <v>2740.8</v>
      </c>
      <c r="DU121" s="57">
        <f>'2024'!DK12</f>
        <v>31</v>
      </c>
      <c r="DV121" s="57">
        <f>'2024'!DL12</f>
        <v>2</v>
      </c>
      <c r="DW121" s="59">
        <f>'2024'!DM12</f>
        <v>18</v>
      </c>
    </row>
    <row r="122" spans="1:127" ht="15.75" customHeight="1" x14ac:dyDescent="0.2">
      <c r="A122" s="33">
        <f t="shared" si="12"/>
        <v>120</v>
      </c>
      <c r="B122" s="11">
        <f>'2018'!A12</f>
        <v>10</v>
      </c>
      <c r="C122" s="11">
        <v>2018</v>
      </c>
      <c r="D122" s="34" t="str">
        <f>'2018'!B12</f>
        <v>Ito Smith</v>
      </c>
      <c r="E122" s="224" t="str" cm="1">
        <f t="array" ref="E122">_xlfn.IFS(F122&gt;=13,"Cornerstone",AND(F122&gt;=12,F122&lt;13),"Elite",AND(F122&gt;=11,F122&lt;12),"Elite Upside",AND(F122&gt;=9,F122&lt;11),"Upside",AND(F122&gt;=7,F122&lt;9),"Upside Lite",AND(F122&gt;=6,F122&lt;7),"Outlier",AND(F122&gt;=5,F122&lt;6),"Outlier Lite",F122&lt;5,"Purgatory")</f>
        <v>Upside Lite</v>
      </c>
      <c r="F122" s="14">
        <f>'2018'!C12</f>
        <v>7.5333333333333332</v>
      </c>
      <c r="G122" s="14">
        <f t="shared" si="19"/>
        <v>63.3</v>
      </c>
      <c r="H122" s="35">
        <f t="shared" si="13"/>
        <v>-0.1985252005878913</v>
      </c>
      <c r="I122" s="36" t="str">
        <f>'2018'!D12</f>
        <v>Southern Miss</v>
      </c>
      <c r="J122" s="37">
        <f>'2018'!E12</f>
        <v>8</v>
      </c>
      <c r="K122" s="38">
        <f>'2018'!F12</f>
        <v>34953</v>
      </c>
      <c r="L122" s="39">
        <f>'2018'!G12</f>
        <v>30.065753424657533</v>
      </c>
      <c r="M122" s="39" t="str">
        <f>'2018'!H12</f>
        <v>SR</v>
      </c>
      <c r="N122" s="39">
        <f>'2018'!I12</f>
        <v>22.638356164383563</v>
      </c>
      <c r="O122" s="39" t="str">
        <f t="shared" si="14"/>
        <v>DYNAMIC</v>
      </c>
      <c r="P122" s="39" t="str">
        <f t="shared" si="23"/>
        <v>SLASHER</v>
      </c>
      <c r="Q122" s="37">
        <f>'2018'!J12</f>
        <v>70</v>
      </c>
      <c r="R122" s="37">
        <f>'2018'!K12</f>
        <v>202</v>
      </c>
      <c r="S122" s="39">
        <f t="shared" si="18"/>
        <v>28.983661069362956</v>
      </c>
      <c r="T122" s="37">
        <f>'2018'!L12</f>
        <v>4.45</v>
      </c>
      <c r="U122" s="40">
        <f>'2018'!M12</f>
        <v>4</v>
      </c>
      <c r="V122" s="41">
        <f>'2018'!N12</f>
        <v>0</v>
      </c>
      <c r="W122" s="42">
        <f>'2018'!O12</f>
        <v>0.13835616438356163</v>
      </c>
      <c r="X122" s="42">
        <f>'2018'!P12</f>
        <v>0.23005747932146361</v>
      </c>
      <c r="Y122" s="42">
        <f>'2018'!Q12</f>
        <v>0.31134994300602509</v>
      </c>
      <c r="Z122" s="42">
        <f>'2018'!R12</f>
        <v>0.32717391304347826</v>
      </c>
      <c r="AA122" s="42">
        <f>'2018'!S12</f>
        <v>0.32717391304347826</v>
      </c>
      <c r="AB122" s="42">
        <f>'2018'!T12</f>
        <v>0.21266304347826087</v>
      </c>
      <c r="AC122" s="42">
        <f>'2018'!U12</f>
        <v>0.11761671395408821</v>
      </c>
      <c r="AD122" s="42">
        <f>'2018'!V12</f>
        <v>0.12560076898429989</v>
      </c>
      <c r="AE122" s="42">
        <f>'2018'!W12</f>
        <v>0.12560076898429989</v>
      </c>
      <c r="AF122" s="43">
        <f>'2018'!X12</f>
        <v>8.1640499839794933E-2</v>
      </c>
      <c r="AG122" s="44">
        <f>'2018'!Y12</f>
        <v>19.983561643835618</v>
      </c>
      <c r="AH122" s="45">
        <f>'2018'!Z12</f>
        <v>103.02469113272505</v>
      </c>
      <c r="AI122" s="45">
        <f>'2018'!AA12</f>
        <v>28.980816326530615</v>
      </c>
      <c r="AJ122" s="45">
        <f>'2018'!AB12</f>
        <v>0.26900584795321636</v>
      </c>
      <c r="AK122" s="45">
        <f>'2018'!AC12</f>
        <v>6.6</v>
      </c>
      <c r="AL122" s="45">
        <f t="shared" si="15"/>
        <v>10.228571428571428</v>
      </c>
      <c r="AM122" s="45">
        <f t="shared" si="21"/>
        <v>0.1388888888888889</v>
      </c>
      <c r="AN122" s="45">
        <f>'2018'!AD12</f>
        <v>107.2</v>
      </c>
      <c r="AO122" s="45">
        <f>'2018'!AE12</f>
        <v>3.68</v>
      </c>
      <c r="AP122" s="46">
        <f>'2018'!AF12</f>
        <v>59.1</v>
      </c>
      <c r="AQ122" s="47">
        <f>'2018'!AG12</f>
        <v>4</v>
      </c>
      <c r="AR122" s="48">
        <f>'2018'!AH12</f>
        <v>8</v>
      </c>
      <c r="AS122" s="48">
        <f>'2018'!AI12</f>
        <v>5</v>
      </c>
      <c r="AT122" s="48">
        <f>IF(AH122&gt;113.25,10,IF(AH122&gt;=107.84,9,IF(AH122&gt;=105.37,8,IF(AH122&gt;=103.25,7,IF(AH122&gt;=100.55,6,IF(AH122&gt;=98.75,5,IF(AH122&gt;=96.08,4,IF(AH122&gt;=94.39,3,IF(AH122&gt;=88.43,2,IF(AH122&gt;=85.16,1,IF(AH122&lt;85.16,0,FALSE)))))))))))</f>
        <v>6</v>
      </c>
      <c r="AU122" s="48">
        <f>'2018'!AK12</f>
        <v>7</v>
      </c>
      <c r="AV122" s="48">
        <f>'2018'!AL12</f>
        <v>6</v>
      </c>
      <c r="AW122" s="48">
        <f>'2018'!AM12</f>
        <v>5</v>
      </c>
      <c r="AX122" s="48">
        <f>'2018'!AN12</f>
        <v>3</v>
      </c>
      <c r="AY122" s="49">
        <f>IF(U122=1,10,IF(U122=2,7,IF(U122=3,6,IF(U122=4,4,IF(U122=5,3,IF(U122=6,2,IF(U122=7,1,IF(U122=0,0,"-"))))))))</f>
        <v>4</v>
      </c>
      <c r="AZ122" s="50">
        <f>'2018'!AP12</f>
        <v>0</v>
      </c>
      <c r="BA122" s="56">
        <f>'2018'!AQ12</f>
        <v>0</v>
      </c>
      <c r="BB122" s="57">
        <f>'2018'!AR12</f>
        <v>875</v>
      </c>
      <c r="BC122" s="57">
        <f>'2018'!AS12</f>
        <v>0</v>
      </c>
      <c r="BD122" s="57">
        <f>'2018'!AT12</f>
        <v>0</v>
      </c>
      <c r="BE122" s="57">
        <f>'2018'!AU12</f>
        <v>0</v>
      </c>
      <c r="BF122" s="57">
        <f>'2018'!AV12</f>
        <v>0</v>
      </c>
      <c r="BG122" s="58">
        <f>'2018'!AW12</f>
        <v>0</v>
      </c>
      <c r="BH122" s="58">
        <f>'2018'!AX12</f>
        <v>0</v>
      </c>
      <c r="BI122" s="58">
        <f>'2018'!AY12</f>
        <v>0</v>
      </c>
      <c r="BJ122" s="58">
        <f>'2018'!AZ12</f>
        <v>0</v>
      </c>
      <c r="BK122" s="57">
        <f>'2018'!BA12</f>
        <v>0</v>
      </c>
      <c r="BL122" s="57">
        <f>'2018'!BB12</f>
        <v>2911</v>
      </c>
      <c r="BM122" s="57">
        <f>'2018'!BC12</f>
        <v>0</v>
      </c>
      <c r="BN122" s="57">
        <f>'2018'!BD12</f>
        <v>0</v>
      </c>
      <c r="BO122" s="59">
        <f>'2018'!BE12</f>
        <v>0</v>
      </c>
      <c r="BP122" s="56">
        <f>'2018'!BF12</f>
        <v>535</v>
      </c>
      <c r="BQ122" s="57">
        <f>'2018'!BG12</f>
        <v>1149</v>
      </c>
      <c r="BR122" s="57">
        <f>'2018'!BH12</f>
        <v>2</v>
      </c>
      <c r="BS122" s="57">
        <f>'2018'!BI12</f>
        <v>0</v>
      </c>
      <c r="BT122" s="57">
        <f>'2018'!BJ12</f>
        <v>136</v>
      </c>
      <c r="BU122" s="57">
        <f>'2018'!BK12</f>
        <v>30</v>
      </c>
      <c r="BV122" s="58">
        <f>'2018'!BL12</f>
        <v>3.9</v>
      </c>
      <c r="BW122" s="58">
        <f>'2018'!BM12</f>
        <v>59.5</v>
      </c>
      <c r="BX122" s="58">
        <f>'2018'!BN12</f>
        <v>2.6</v>
      </c>
      <c r="BY122" s="58">
        <f>'2018'!BO12</f>
        <v>38.700000000000003</v>
      </c>
      <c r="BZ122" s="57">
        <f>'2018'!BP12</f>
        <v>71</v>
      </c>
      <c r="CA122" s="57">
        <f>'2018'!BQ12</f>
        <v>3231</v>
      </c>
      <c r="CB122" s="57">
        <f>'2018'!BR12</f>
        <v>8</v>
      </c>
      <c r="CC122" s="57">
        <f>'2018'!BS12</f>
        <v>0</v>
      </c>
      <c r="CD122" s="59">
        <f>'2018'!BT12</f>
        <v>0</v>
      </c>
      <c r="CE122" s="56">
        <f>'2018'!BU12</f>
        <v>1128</v>
      </c>
      <c r="CF122" s="57">
        <f>'2018'!BV12</f>
        <v>2517</v>
      </c>
      <c r="CG122" s="57">
        <f>'2018'!BW12</f>
        <v>10</v>
      </c>
      <c r="CH122" s="57">
        <f>'2018'!BX12</f>
        <v>0</v>
      </c>
      <c r="CI122" s="57">
        <f>'2018'!BY12</f>
        <v>171</v>
      </c>
      <c r="CJ122" s="57">
        <f>'2018'!BZ12</f>
        <v>46</v>
      </c>
      <c r="CK122" s="58">
        <f>'2018'!CA12</f>
        <v>6.6</v>
      </c>
      <c r="CL122" s="58">
        <f>'2018'!CB12</f>
        <v>107.2</v>
      </c>
      <c r="CM122" s="58">
        <f>'2018'!CC12</f>
        <v>3.68</v>
      </c>
      <c r="CN122" s="58">
        <f>'2018'!CD12</f>
        <v>59.1</v>
      </c>
      <c r="CO122" s="57">
        <f>'2018'!CE12</f>
        <v>513</v>
      </c>
      <c r="CP122" s="57">
        <f>'2018'!CF12</f>
        <v>4616</v>
      </c>
      <c r="CQ122" s="57">
        <f>'2018'!CG12</f>
        <v>49</v>
      </c>
      <c r="CR122" s="57">
        <f>'2018'!CH12</f>
        <v>0</v>
      </c>
      <c r="CS122" s="59">
        <f>'2018'!CI12</f>
        <v>0</v>
      </c>
      <c r="CT122" s="56">
        <f>'2018'!CJ12</f>
        <v>1456</v>
      </c>
      <c r="CU122" s="57">
        <f>'2018'!CK12</f>
        <v>2264</v>
      </c>
      <c r="CV122" s="57">
        <f>'2018'!CL12</f>
        <v>17</v>
      </c>
      <c r="CW122" s="57">
        <f>'2018'!CM12</f>
        <v>0</v>
      </c>
      <c r="CX122" s="57">
        <f>'2018'!CN12</f>
        <v>265</v>
      </c>
      <c r="CY122" s="57">
        <f>'2018'!CO12</f>
        <v>61</v>
      </c>
      <c r="CZ122" s="58">
        <f>'2018'!CP12</f>
        <v>5.5</v>
      </c>
      <c r="DA122" s="58">
        <f>'2018'!CQ12</f>
        <v>68.599999999999994</v>
      </c>
      <c r="DB122" s="58">
        <f>'2018'!CR12</f>
        <v>3.15</v>
      </c>
      <c r="DC122" s="58">
        <f>'2018'!CS12</f>
        <v>38.9</v>
      </c>
      <c r="DD122" s="57">
        <f>'2018'!CT12</f>
        <v>456</v>
      </c>
      <c r="DE122" s="57">
        <f>'2018'!CU12</f>
        <v>3877</v>
      </c>
      <c r="DF122" s="57">
        <f>'2018'!CV12</f>
        <v>43</v>
      </c>
      <c r="DG122" s="57">
        <f>'2018'!CW12</f>
        <v>0</v>
      </c>
      <c r="DH122" s="59">
        <f>'2018'!CX12</f>
        <v>0</v>
      </c>
      <c r="DI122" s="56">
        <f>'2018'!CY12</f>
        <v>1414</v>
      </c>
      <c r="DJ122" s="57">
        <f>'2018'!CZ12</f>
        <v>2399</v>
      </c>
      <c r="DK122" s="57">
        <f>'2018'!DA12</f>
        <v>13</v>
      </c>
      <c r="DL122" s="57">
        <f>'2018'!DB12</f>
        <v>0</v>
      </c>
      <c r="DM122" s="57">
        <f>'2018'!DC12</f>
        <v>248</v>
      </c>
      <c r="DN122" s="57">
        <f>'2018'!DD12</f>
        <v>51</v>
      </c>
      <c r="DO122" s="58">
        <f>'2018'!DE12</f>
        <v>5.7</v>
      </c>
      <c r="DP122" s="58">
        <f>'2018'!DF12</f>
        <v>61.3</v>
      </c>
      <c r="DQ122" s="58">
        <f>'2018'!DG12</f>
        <v>2.99</v>
      </c>
      <c r="DR122" s="58">
        <f>'2018'!DH12</f>
        <v>42.6</v>
      </c>
      <c r="DS122" s="57">
        <f>'2018'!DI12</f>
        <v>392</v>
      </c>
      <c r="DT122" s="57">
        <f>'2018'!DJ12</f>
        <v>3121</v>
      </c>
      <c r="DU122" s="57">
        <f>'2018'!DK12</f>
        <v>40</v>
      </c>
      <c r="DV122" s="57">
        <f>'2018'!DL12</f>
        <v>0</v>
      </c>
      <c r="DW122" s="59">
        <f>'2018'!DM12</f>
        <v>0</v>
      </c>
    </row>
    <row r="123" spans="1:127" ht="15.75" customHeight="1" x14ac:dyDescent="0.2">
      <c r="A123" s="33">
        <f t="shared" si="12"/>
        <v>121</v>
      </c>
      <c r="B123" s="11">
        <f>'2023'!A15</f>
        <v>13</v>
      </c>
      <c r="C123" s="11">
        <v>2023</v>
      </c>
      <c r="D123" s="34" t="str">
        <f>'2023'!B15</f>
        <v>Sean Tucker</v>
      </c>
      <c r="E123" s="224" t="str" cm="1">
        <f t="array" ref="E123">_xlfn.IFS(F123&gt;=13,"Cornerstone",AND(F123&gt;=12,F123&lt;13),"Elite",AND(F123&gt;=11,F123&lt;12),"Elite Upside",AND(F123&gt;=9,F123&lt;11),"Upside",AND(F123&gt;=7,F123&lt;9),"Upside Lite",AND(F123&gt;=6,F123&lt;7),"Outlier",AND(F123&gt;=5,F123&lt;6),"Outlier Lite",F123&lt;5,"Purgatory")</f>
        <v>Upside Lite</v>
      </c>
      <c r="F123" s="14">
        <f>'2023'!C15</f>
        <v>7.5222222222222221</v>
      </c>
      <c r="G123" s="14">
        <f t="shared" si="19"/>
        <v>62.6</v>
      </c>
      <c r="H123" s="35">
        <f t="shared" si="13"/>
        <v>-0.20322770130166504</v>
      </c>
      <c r="I123" s="36" t="str">
        <f>'2023'!D15</f>
        <v>Syracuse</v>
      </c>
      <c r="J123" s="37">
        <f>'2023'!E15</f>
        <v>4</v>
      </c>
      <c r="K123" s="38">
        <f>'2023'!F15</f>
        <v>37189</v>
      </c>
      <c r="L123" s="39">
        <f>'2023'!G15</f>
        <v>23.93972602739726</v>
      </c>
      <c r="M123" s="39" t="str">
        <f>'2023'!H15</f>
        <v>JR</v>
      </c>
      <c r="N123" s="39">
        <f>'2023'!I15</f>
        <v>21.517808219178082</v>
      </c>
      <c r="O123" s="39" t="str">
        <f t="shared" si="14"/>
        <v>BELL CALF</v>
      </c>
      <c r="P123" s="39" t="str">
        <f t="shared" si="23"/>
        <v>3DOWN</v>
      </c>
      <c r="Q123" s="37">
        <f>'2023'!J15</f>
        <v>69</v>
      </c>
      <c r="R123" s="37">
        <f>'2023'!K15</f>
        <v>207</v>
      </c>
      <c r="S123" s="39">
        <f t="shared" si="18"/>
        <v>30.568217658174451</v>
      </c>
      <c r="T123" s="37">
        <f>'2023'!L15</f>
        <v>4.54</v>
      </c>
      <c r="U123" s="40">
        <f>'2023'!M15</f>
        <v>0</v>
      </c>
      <c r="V123" s="41">
        <f>'2023'!N15</f>
        <v>0</v>
      </c>
      <c r="W123" s="42">
        <f>'2023'!O15</f>
        <v>0</v>
      </c>
      <c r="X123" s="42">
        <f>'2023'!P15</f>
        <v>0.25059342149881314</v>
      </c>
      <c r="Y123" s="42">
        <f>'2023'!Q15</f>
        <v>0.40081799591002043</v>
      </c>
      <c r="Z123" s="42">
        <f>'2023'!R15</f>
        <v>0.27153404429860539</v>
      </c>
      <c r="AA123" s="42">
        <f>'2023'!S15</f>
        <v>0.33617602010431291</v>
      </c>
      <c r="AB123" s="42">
        <f>'2023'!T15</f>
        <v>0.30255841809388162</v>
      </c>
      <c r="AC123" s="42">
        <f>'2023'!U15</f>
        <v>0.13539967373572595</v>
      </c>
      <c r="AD123" s="42">
        <f>'2023'!V15</f>
        <v>8.6898839137645109E-2</v>
      </c>
      <c r="AE123" s="42">
        <f>'2023'!W15</f>
        <v>0.11114925643668552</v>
      </c>
      <c r="AF123" s="43">
        <f>'2023'!X15</f>
        <v>0.10003433079301698</v>
      </c>
      <c r="AG123" s="44">
        <f>'2023'!Y15</f>
        <v>18.863013698630137</v>
      </c>
      <c r="AH123" s="45">
        <f>'2023'!Z15</f>
        <v>97.448897422519067</v>
      </c>
      <c r="AI123" s="45">
        <f>'2023'!AA15</f>
        <v>30.565217391304348</v>
      </c>
      <c r="AJ123" s="45">
        <f>'2023'!AB15</f>
        <v>0.26720647773279355</v>
      </c>
      <c r="AK123" s="45">
        <f>'2023'!AC15</f>
        <v>6.1</v>
      </c>
      <c r="AL123" s="45">
        <f t="shared" si="15"/>
        <v>9.9047619047619051</v>
      </c>
      <c r="AM123" s="45">
        <f t="shared" si="21"/>
        <v>0.15352697095435686</v>
      </c>
      <c r="AN123" s="45">
        <f>'2023'!AD15</f>
        <v>108.4</v>
      </c>
      <c r="AO123" s="45">
        <f>'2023'!AE15</f>
        <v>4.1100000000000003</v>
      </c>
      <c r="AP123" s="46">
        <f>'2023'!AF15</f>
        <v>46.1</v>
      </c>
      <c r="AQ123" s="47">
        <f>'2023'!AG15</f>
        <v>8</v>
      </c>
      <c r="AR123" s="48">
        <f>'2023'!AH15</f>
        <v>9</v>
      </c>
      <c r="AS123" s="48">
        <f>'2023'!AI15</f>
        <v>8</v>
      </c>
      <c r="AT123" s="48">
        <f>IF(AH123&gt;113.25,10,IF(AH123&gt;=107.84,9,IF(AH123&gt;=105.37,8,IF(AH123&gt;=103.25,7,IF(AH123&gt;=100.55,6,IF(AH123&gt;=98.75,5,IF(AH123&gt;=96.08,4,IF(AH123&gt;=94.39,3,IF(AH123&gt;=88.43,2,IF(AH123&gt;=85.16,1,IF(AH123&lt;85.16,0,FALSE)))))))))))</f>
        <v>4</v>
      </c>
      <c r="AU123" s="48">
        <f>'2023'!AK15</f>
        <v>7</v>
      </c>
      <c r="AV123" s="48">
        <f>'2023'!AL15</f>
        <v>5</v>
      </c>
      <c r="AW123" s="48">
        <f>'2023'!AM15</f>
        <v>5</v>
      </c>
      <c r="AX123" s="48">
        <f>'2023'!AN15</f>
        <v>5</v>
      </c>
      <c r="AY123" s="49">
        <f>'2023'!AO15</f>
        <v>0</v>
      </c>
      <c r="AZ123" s="50">
        <f>'2023'!AP15</f>
        <v>0</v>
      </c>
      <c r="BA123" s="56">
        <f>'2023'!AQ15</f>
        <v>0</v>
      </c>
      <c r="BB123" s="57">
        <f>'2023'!AR15</f>
        <v>2590</v>
      </c>
      <c r="BC123" s="57">
        <f>'2023'!AS15</f>
        <v>0</v>
      </c>
      <c r="BD123" s="57">
        <f>'2023'!AT15</f>
        <v>38</v>
      </c>
      <c r="BE123" s="57">
        <f>'2023'!AU15</f>
        <v>0</v>
      </c>
      <c r="BF123" s="57">
        <f>'2023'!AV15</f>
        <v>0</v>
      </c>
      <c r="BG123" s="58">
        <f>'2023'!AW15</f>
        <v>0</v>
      </c>
      <c r="BH123" s="58">
        <f>'2023'!AX15</f>
        <v>0</v>
      </c>
      <c r="BI123" s="58">
        <f>'2023'!AY15</f>
        <v>0</v>
      </c>
      <c r="BJ123" s="58">
        <f>'2023'!AZ15</f>
        <v>0</v>
      </c>
      <c r="BK123" s="57">
        <f>'2023'!BA15</f>
        <v>0</v>
      </c>
      <c r="BL123" s="57">
        <f>'2023'!BB15</f>
        <v>3441</v>
      </c>
      <c r="BM123" s="57">
        <f>'2023'!BC15</f>
        <v>0</v>
      </c>
      <c r="BN123" s="57">
        <f>'2023'!BD15</f>
        <v>0</v>
      </c>
      <c r="BO123" s="59">
        <f>'2023'!BE15</f>
        <v>22</v>
      </c>
      <c r="BP123" s="56">
        <f>'2023'!BF15</f>
        <v>0</v>
      </c>
      <c r="BQ123" s="57">
        <f>'2023'!BG15</f>
        <v>1848</v>
      </c>
      <c r="BR123" s="57">
        <f>'2023'!BH15</f>
        <v>0</v>
      </c>
      <c r="BS123" s="57">
        <f>'2023'!BI15</f>
        <v>16</v>
      </c>
      <c r="BT123" s="57">
        <f>'2023'!BJ15</f>
        <v>0</v>
      </c>
      <c r="BU123" s="57">
        <f>'2023'!BK15</f>
        <v>0</v>
      </c>
      <c r="BV123" s="58">
        <f>'2023'!BL15</f>
        <v>0</v>
      </c>
      <c r="BW123" s="58">
        <f>'2023'!BM15</f>
        <v>0</v>
      </c>
      <c r="BX123" s="58">
        <f>'2023'!BN15</f>
        <v>0</v>
      </c>
      <c r="BY123" s="58">
        <f>'2023'!BO15</f>
        <v>0</v>
      </c>
      <c r="BZ123" s="57">
        <f>'2023'!BP15</f>
        <v>0</v>
      </c>
      <c r="CA123" s="57">
        <f>'2023'!BQ15</f>
        <v>2887</v>
      </c>
      <c r="CB123" s="57">
        <f>'2023'!BR15</f>
        <v>0</v>
      </c>
      <c r="CC123" s="57">
        <f>'2023'!BS15</f>
        <v>0</v>
      </c>
      <c r="CD123" s="59">
        <f>'2023'!BT15</f>
        <v>23</v>
      </c>
      <c r="CE123" s="56">
        <f>'2023'!BU15</f>
        <v>626</v>
      </c>
      <c r="CF123" s="57">
        <f>'2023'!BV15</f>
        <v>1012</v>
      </c>
      <c r="CG123" s="57">
        <f>'2023'!BW15</f>
        <v>4</v>
      </c>
      <c r="CH123" s="57">
        <f>'2023'!BX15</f>
        <v>5</v>
      </c>
      <c r="CI123" s="57">
        <f>'2023'!BY15</f>
        <v>137</v>
      </c>
      <c r="CJ123" s="57">
        <f>'2023'!BZ15</f>
        <v>27</v>
      </c>
      <c r="CK123" s="58">
        <f>'2023'!CA15</f>
        <v>4.5999999999999996</v>
      </c>
      <c r="CL123" s="58">
        <f>'2023'!CB15</f>
        <v>69.900000000000006</v>
      </c>
      <c r="CM123" s="58">
        <f>'2023'!CC15</f>
        <v>3.5</v>
      </c>
      <c r="CN123" s="58">
        <f>'2023'!CD15</f>
        <v>26.8</v>
      </c>
      <c r="CO123" s="57">
        <f>'2023'!CE15</f>
        <v>113</v>
      </c>
      <c r="CP123" s="57">
        <f>'2023'!CF15</f>
        <v>1937</v>
      </c>
      <c r="CQ123" s="57">
        <f>'2023'!CG15</f>
        <v>8</v>
      </c>
      <c r="CR123" s="57">
        <f>'2023'!CH15</f>
        <v>0</v>
      </c>
      <c r="CS123" s="59">
        <f>'2023'!CI15</f>
        <v>15</v>
      </c>
      <c r="CT123" s="56">
        <f>'2023'!CJ15</f>
        <v>1515</v>
      </c>
      <c r="CU123" s="57">
        <f>'2023'!CK15</f>
        <v>2562</v>
      </c>
      <c r="CV123" s="57">
        <f>'2023'!CL15</f>
        <v>12</v>
      </c>
      <c r="CW123" s="57">
        <f>'2023'!CM15</f>
        <v>28</v>
      </c>
      <c r="CX123" s="57">
        <f>'2023'!CN15</f>
        <v>247</v>
      </c>
      <c r="CY123" s="57">
        <f>'2023'!CO15</f>
        <v>66</v>
      </c>
      <c r="CZ123" s="58">
        <f>'2023'!CP15</f>
        <v>6.1</v>
      </c>
      <c r="DA123" s="58">
        <f>'2023'!CQ15</f>
        <v>108.4</v>
      </c>
      <c r="DB123" s="58">
        <f>'2023'!CR15</f>
        <v>4.1100000000000003</v>
      </c>
      <c r="DC123" s="58">
        <f>'2023'!CS15</f>
        <v>46.1</v>
      </c>
      <c r="DD123" s="57">
        <f>'2023'!CT15</f>
        <v>249</v>
      </c>
      <c r="DE123" s="57">
        <f>'2023'!CU15</f>
        <v>1839</v>
      </c>
      <c r="DF123" s="57">
        <f>'2023'!CV15</f>
        <v>18</v>
      </c>
      <c r="DG123" s="57">
        <f>'2023'!CW15</f>
        <v>0</v>
      </c>
      <c r="DH123" s="59">
        <f>'2023'!CX15</f>
        <v>10</v>
      </c>
      <c r="DI123" s="56">
        <f>'2023'!CY15</f>
        <v>1062</v>
      </c>
      <c r="DJ123" s="57">
        <f>'2023'!CZ15</f>
        <v>1861</v>
      </c>
      <c r="DK123" s="57">
        <f>'2023'!DA15</f>
        <v>11</v>
      </c>
      <c r="DL123" s="57">
        <f>'2023'!DB15</f>
        <v>21</v>
      </c>
      <c r="DM123" s="57">
        <f>'2023'!DC15</f>
        <v>204</v>
      </c>
      <c r="DN123" s="57">
        <f>'2023'!DD15</f>
        <v>44</v>
      </c>
      <c r="DO123" s="58">
        <f>'2023'!DE15</f>
        <v>5.2</v>
      </c>
      <c r="DP123" s="58">
        <f>'2023'!DF15</f>
        <v>53.2</v>
      </c>
      <c r="DQ123" s="58">
        <f>'2023'!DG15</f>
        <v>2.79</v>
      </c>
      <c r="DR123" s="58">
        <f>'2023'!DH15</f>
        <v>36.200000000000003</v>
      </c>
      <c r="DS123" s="57">
        <f>'2023'!DI15</f>
        <v>262</v>
      </c>
      <c r="DT123" s="57">
        <f>'2023'!DJ15</f>
        <v>3015</v>
      </c>
      <c r="DU123" s="57">
        <f>'2023'!DK15</f>
        <v>37</v>
      </c>
      <c r="DV123" s="57">
        <f>'2023'!DL15</f>
        <v>0</v>
      </c>
      <c r="DW123" s="59">
        <f>'2023'!DM15</f>
        <v>19</v>
      </c>
    </row>
    <row r="124" spans="1:127" ht="15.75" customHeight="1" x14ac:dyDescent="0.2">
      <c r="A124" s="33">
        <f t="shared" si="12"/>
        <v>121</v>
      </c>
      <c r="B124" s="11">
        <f>'2025'!A18</f>
        <v>16</v>
      </c>
      <c r="C124" s="11">
        <v>2025</v>
      </c>
      <c r="D124" s="34" t="str">
        <f>'2025'!B18</f>
        <v>Jacory Croskey-Merritt</v>
      </c>
      <c r="E124" s="224" t="str" cm="1">
        <f t="array" ref="E124">_xlfn.IFS(F124&gt;=13,"Cornerstone",AND(F124&gt;=12,F124&lt;13),"Elite",AND(F124&gt;=11,F124&lt;12),"Elite Upside",AND(F124&gt;=9,F124&lt;11),"Upside",AND(F124&gt;=7,F124&lt;9),"Upside Lite",AND(F124&gt;=6,F124&lt;7),"Outlier",AND(F124&gt;=5,F124&lt;6),"Outlier Lite",F124&lt;5,"Purgatory")</f>
        <v>Upside Lite</v>
      </c>
      <c r="F124" s="14">
        <f>'2025'!C18</f>
        <v>7.5222222222222221</v>
      </c>
      <c r="G124" s="14">
        <f t="shared" si="19"/>
        <v>62.6</v>
      </c>
      <c r="H124" s="35">
        <f t="shared" si="13"/>
        <v>-0.20322770130166504</v>
      </c>
      <c r="I124" s="36" t="str">
        <f>'2025'!D18</f>
        <v>Arizona</v>
      </c>
      <c r="J124" s="37">
        <f>'2025'!E18</f>
        <v>3</v>
      </c>
      <c r="K124" s="38">
        <f>'2025'!F18</f>
        <v>36993</v>
      </c>
      <c r="L124" s="39">
        <f>'2025'!G18</f>
        <v>24.476712328767125</v>
      </c>
      <c r="M124" s="39" t="str">
        <f>'2025'!H18</f>
        <v>RS SR</v>
      </c>
      <c r="N124" s="39">
        <f>'2025'!I18</f>
        <v>24.057534246575344</v>
      </c>
      <c r="O124" s="39" t="str">
        <f t="shared" si="14"/>
        <v>DYNAMIC</v>
      </c>
      <c r="P124" s="39" t="str">
        <f t="shared" si="23"/>
        <v>3DOWN</v>
      </c>
      <c r="Q124" s="37">
        <f>'2025'!J18</f>
        <v>71</v>
      </c>
      <c r="R124" s="37">
        <f>'2025'!K18</f>
        <v>207</v>
      </c>
      <c r="S124" s="39">
        <f t="shared" si="18"/>
        <v>28.870320228242129</v>
      </c>
      <c r="T124" s="37">
        <f>'2025'!L18</f>
        <v>4.45</v>
      </c>
      <c r="U124" s="40">
        <f>'2025'!M18</f>
        <v>7</v>
      </c>
      <c r="V124" s="41">
        <f>'2025'!N18</f>
        <v>9.8492462311557782E-2</v>
      </c>
      <c r="W124" s="42">
        <f>'2025'!O18</f>
        <v>0.1424468696151637</v>
      </c>
      <c r="X124" s="42">
        <f>'2025'!P18</f>
        <v>0.16982665222101842</v>
      </c>
      <c r="Y124" s="42">
        <f>'2025'!Q18</f>
        <v>0.25633219678519242</v>
      </c>
      <c r="Z124" s="42">
        <f>'2025'!R18</f>
        <v>0.29901269393511987</v>
      </c>
      <c r="AA124" s="42">
        <f>'2025'!S18</f>
        <v>0.29901269393511987</v>
      </c>
      <c r="AB124" s="42">
        <f>'2025'!T18</f>
        <v>0.26911142454160791</v>
      </c>
      <c r="AC124" s="42">
        <f>'2025'!U18</f>
        <v>6.9397590361445785E-2</v>
      </c>
      <c r="AD124" s="42">
        <f>'2025'!V18</f>
        <v>2.7535566773749423E-2</v>
      </c>
      <c r="AE124" s="42">
        <f>'2025'!W18</f>
        <v>4.8466578567597604E-2</v>
      </c>
      <c r="AF124" s="43">
        <f>'2025'!X18</f>
        <v>4.3619920710837846E-2</v>
      </c>
      <c r="AG124" s="44">
        <f>'2025'!Y18</f>
        <v>21.413698630136988</v>
      </c>
      <c r="AH124" s="45">
        <f>'2025'!Z18</f>
        <v>105.57480724987172</v>
      </c>
      <c r="AI124" s="45">
        <f>'2025'!AA18</f>
        <v>28.867486609799645</v>
      </c>
      <c r="AJ124" s="45">
        <f>'2025'!AB18</f>
        <v>0.34042553191489361</v>
      </c>
      <c r="AK124" s="45">
        <f>'2025'!AC18</f>
        <v>8.1538461538461533</v>
      </c>
      <c r="AL124" s="45">
        <f t="shared" si="15"/>
        <v>9.3030303030303028</v>
      </c>
      <c r="AM124" s="45">
        <f t="shared" si="21"/>
        <v>0</v>
      </c>
      <c r="AN124" s="45">
        <f>'2025'!AD18</f>
        <v>211.2</v>
      </c>
      <c r="AO124" s="45">
        <f>'2025'!AE18</f>
        <v>3.98</v>
      </c>
      <c r="AP124" s="46">
        <f>'2025'!AF18</f>
        <v>66</v>
      </c>
      <c r="AQ124" s="47">
        <f>'2025'!AG18</f>
        <v>7</v>
      </c>
      <c r="AR124" s="48">
        <f>'2025'!AH18</f>
        <v>5</v>
      </c>
      <c r="AS124" s="48">
        <f>'2025'!AI18</f>
        <v>2</v>
      </c>
      <c r="AT124" s="48">
        <f>'2025'!AJ18</f>
        <v>8</v>
      </c>
      <c r="AU124" s="48">
        <f>'2025'!AK18</f>
        <v>9</v>
      </c>
      <c r="AV124" s="48">
        <f>'2025'!AL18</f>
        <v>9</v>
      </c>
      <c r="AW124" s="48">
        <f>'2025'!AM18</f>
        <v>9</v>
      </c>
      <c r="AX124" s="48">
        <f>'2025'!AN18</f>
        <v>4</v>
      </c>
      <c r="AY124" s="49">
        <f>'2025'!AO18</f>
        <v>1</v>
      </c>
      <c r="AZ124" s="50">
        <f>'2025'!AP18</f>
        <v>0.5</v>
      </c>
      <c r="BA124" s="56">
        <f>'2025'!AQ18</f>
        <v>175</v>
      </c>
      <c r="BB124" s="57">
        <f>'2025'!AR18</f>
        <v>894</v>
      </c>
      <c r="BC124" s="57">
        <f>'2025'!AS18</f>
        <v>2</v>
      </c>
      <c r="BD124" s="57">
        <f>'2025'!AT18</f>
        <v>9</v>
      </c>
      <c r="BE124" s="57">
        <f>'2025'!AU18</f>
        <v>43</v>
      </c>
      <c r="BF124" s="57">
        <f>'2025'!AV18</f>
        <v>5</v>
      </c>
      <c r="BG124" s="58">
        <f>'2025'!AW18</f>
        <v>4.0697674418604652</v>
      </c>
      <c r="BH124" s="58">
        <f>'2025'!AX18</f>
        <v>53.9</v>
      </c>
      <c r="BI124" s="58">
        <f>'2025'!AY18</f>
        <v>2.81</v>
      </c>
      <c r="BJ124" s="58">
        <f>'2025'!AZ18</f>
        <v>0</v>
      </c>
      <c r="BK124" s="57">
        <f>'2025'!BA18</f>
        <v>21</v>
      </c>
      <c r="BL124" s="57">
        <f>'2025'!BB18</f>
        <v>1096</v>
      </c>
      <c r="BM124" s="57">
        <f>'2025'!BC18</f>
        <v>4</v>
      </c>
      <c r="BN124" s="57">
        <f>'2025'!BD18</f>
        <v>0</v>
      </c>
      <c r="BO124" s="59">
        <f>'2025'!BE18</f>
        <v>9</v>
      </c>
      <c r="BP124" s="56">
        <f>'2025'!BF18</f>
        <v>426</v>
      </c>
      <c r="BQ124" s="57">
        <f>'2025'!BG18</f>
        <v>1342</v>
      </c>
      <c r="BR124" s="57">
        <f>'2025'!BH18</f>
        <v>5</v>
      </c>
      <c r="BS124" s="57">
        <f>'2025'!BI18</f>
        <v>9</v>
      </c>
      <c r="BT124" s="57">
        <f>'2025'!BJ18</f>
        <v>121</v>
      </c>
      <c r="BU124" s="57">
        <f>'2025'!BK18</f>
        <v>14</v>
      </c>
      <c r="BV124" s="58">
        <f>'2025'!BL18</f>
        <v>3.5206611570247932</v>
      </c>
      <c r="BW124" s="58">
        <f>'2025'!BM18</f>
        <v>29.1</v>
      </c>
      <c r="BX124" s="58">
        <f>'2025'!BN18</f>
        <v>2.54</v>
      </c>
      <c r="BY124" s="58">
        <f>'2025'!BO18</f>
        <v>39.200000000000003</v>
      </c>
      <c r="BZ124" s="57">
        <f>'2025'!BP18</f>
        <v>70</v>
      </c>
      <c r="CA124" s="57">
        <f>'2025'!BQ18</f>
        <v>2140</v>
      </c>
      <c r="CB124" s="57">
        <f>'2025'!BR18</f>
        <v>10</v>
      </c>
      <c r="CC124" s="57">
        <f>'2025'!BS18</f>
        <v>1</v>
      </c>
      <c r="CD124" s="59">
        <f>'2025'!BT18</f>
        <v>18</v>
      </c>
      <c r="CE124" s="56">
        <f>'2025'!BU18</f>
        <v>483</v>
      </c>
      <c r="CF124" s="57">
        <f>'2025'!BV18</f>
        <v>1617</v>
      </c>
      <c r="CG124" s="57">
        <f>'2025'!BW18</f>
        <v>4</v>
      </c>
      <c r="CH124" s="57">
        <f>'2025'!BX18</f>
        <v>11</v>
      </c>
      <c r="CI124" s="57">
        <f>'2025'!BY18</f>
        <v>122</v>
      </c>
      <c r="CJ124" s="57">
        <f>'2025'!BZ18</f>
        <v>34</v>
      </c>
      <c r="CK124" s="58">
        <f>'2025'!CA18</f>
        <v>3.959016393442623</v>
      </c>
      <c r="CL124" s="58">
        <f>'2025'!CB18</f>
        <v>101</v>
      </c>
      <c r="CM124" s="58">
        <f>'2025'!CC18</f>
        <v>3.15</v>
      </c>
      <c r="CN124" s="58">
        <f>'2025'!CD18</f>
        <v>40.6</v>
      </c>
      <c r="CO124" s="57">
        <f>'2025'!CE18</f>
        <v>144</v>
      </c>
      <c r="CP124" s="57">
        <f>'2025'!CF18</f>
        <v>2075</v>
      </c>
      <c r="CQ124" s="57">
        <f>'2025'!CG18</f>
        <v>12</v>
      </c>
      <c r="CR124" s="57">
        <f>'2025'!CH18</f>
        <v>0</v>
      </c>
      <c r="CS124" s="59">
        <f>'2025'!CI18</f>
        <v>12</v>
      </c>
      <c r="CT124" s="56">
        <f>'2025'!CJ18</f>
        <v>1191</v>
      </c>
      <c r="CU124" s="57">
        <f>'2025'!CK18</f>
        <v>2312.3999999999996</v>
      </c>
      <c r="CV124" s="57">
        <f>'2025'!CL18</f>
        <v>17</v>
      </c>
      <c r="CW124" s="57">
        <f>'2025'!CM18</f>
        <v>26.400000000000002</v>
      </c>
      <c r="CX124" s="57">
        <f>'2025'!CN18</f>
        <v>188</v>
      </c>
      <c r="CY124" s="57">
        <f>'2025'!CO18</f>
        <v>64</v>
      </c>
      <c r="CZ124" s="58">
        <f>'2025'!CP18</f>
        <v>6.3351063829787231</v>
      </c>
      <c r="DA124" s="58">
        <f>'2025'!CQ18</f>
        <v>134.80000000000001</v>
      </c>
      <c r="DB124" s="58">
        <f>'2025'!CR18</f>
        <v>3.98</v>
      </c>
      <c r="DC124" s="58">
        <f>'2025'!CS18</f>
        <v>42</v>
      </c>
      <c r="DD124" s="57">
        <f>'2025'!CT18</f>
        <v>72</v>
      </c>
      <c r="DE124" s="57">
        <f>'2025'!CU18</f>
        <v>2614.8000000000002</v>
      </c>
      <c r="DF124" s="57">
        <f>'2025'!CV18</f>
        <v>7</v>
      </c>
      <c r="DG124" s="57">
        <f>'2025'!CW18</f>
        <v>1</v>
      </c>
      <c r="DH124" s="59">
        <f>'2025'!CX18</f>
        <v>16.799999999999997</v>
      </c>
      <c r="DI124" s="56">
        <f>'2025'!CY18</f>
        <v>106</v>
      </c>
      <c r="DJ124" s="57">
        <f>'2025'!CZ18</f>
        <v>106.6</v>
      </c>
      <c r="DK124" s="57">
        <f>'2025'!DA18</f>
        <v>1</v>
      </c>
      <c r="DL124" s="57">
        <f>'2025'!DB18</f>
        <v>0.9</v>
      </c>
      <c r="DM124" s="57">
        <f>'2025'!DC18</f>
        <v>13</v>
      </c>
      <c r="DN124" s="57">
        <f>'2025'!DD18</f>
        <v>7</v>
      </c>
      <c r="DO124" s="58">
        <f>'2025'!DE18</f>
        <v>8.1538461538461533</v>
      </c>
      <c r="DP124" s="58">
        <f>'2025'!DF18</f>
        <v>211.2</v>
      </c>
      <c r="DQ124" s="58">
        <f>'2025'!DG18</f>
        <v>3.92</v>
      </c>
      <c r="DR124" s="58">
        <f>'2025'!DH18</f>
        <v>66</v>
      </c>
      <c r="DS124" s="57">
        <f>'2025'!DI18</f>
        <v>0</v>
      </c>
      <c r="DT124" s="57">
        <f>'2025'!DJ18</f>
        <v>247.9</v>
      </c>
      <c r="DU124" s="57">
        <f>'2025'!DK18</f>
        <v>0</v>
      </c>
      <c r="DV124" s="57">
        <f>'2025'!DL18</f>
        <v>0</v>
      </c>
      <c r="DW124" s="59">
        <f>'2025'!DM18</f>
        <v>1.5</v>
      </c>
    </row>
    <row r="125" spans="1:127" ht="15.75" customHeight="1" x14ac:dyDescent="0.2">
      <c r="A125" s="33">
        <f t="shared" si="12"/>
        <v>123</v>
      </c>
      <c r="B125" s="11">
        <f>'2025'!A19</f>
        <v>17</v>
      </c>
      <c r="C125" s="11">
        <v>2025</v>
      </c>
      <c r="D125" s="34" t="str">
        <f>'2025'!B19</f>
        <v>Kalel Mullings</v>
      </c>
      <c r="E125" s="224" t="str" cm="1">
        <f t="array" ref="E125">_xlfn.IFS(F125&gt;=13,"Cornerstone",AND(F125&gt;=12,F125&lt;13),"Elite",AND(F125&gt;=11,F125&lt;12),"Elite Upside",AND(F125&gt;=9,F125&lt;11),"Upside",AND(F125&gt;=7,F125&lt;9),"Upside Lite",AND(F125&gt;=6,F125&lt;7),"Outlier",AND(F125&gt;=5,F125&lt;6),"Outlier Lite",F125&lt;5,"Purgatory")</f>
        <v>Upside Lite</v>
      </c>
      <c r="F125" s="14">
        <f>'2025'!C19</f>
        <v>7.405555555555555</v>
      </c>
      <c r="G125" s="14">
        <f t="shared" si="19"/>
        <v>62.3</v>
      </c>
      <c r="H125" s="35">
        <f t="shared" si="13"/>
        <v>-0.25260395879628988</v>
      </c>
      <c r="I125" s="36" t="str">
        <f>'2025'!D19</f>
        <v>Michigan</v>
      </c>
      <c r="J125" s="37">
        <f>'2025'!E19</f>
        <v>2</v>
      </c>
      <c r="K125" s="38">
        <f>'2025'!F19</f>
        <v>37533</v>
      </c>
      <c r="L125" s="39">
        <f>'2025'!G19</f>
        <v>22.997260273972604</v>
      </c>
      <c r="M125" s="39" t="str">
        <f>'2025'!H19</f>
        <v>RS SR</v>
      </c>
      <c r="N125" s="39">
        <f>'2025'!I19</f>
        <v>22.578082191780823</v>
      </c>
      <c r="O125" s="39" t="str">
        <f t="shared" si="14"/>
        <v>BRUISER</v>
      </c>
      <c r="P125" s="39" t="str">
        <f t="shared" si="23"/>
        <v>3DOWN</v>
      </c>
      <c r="Q125" s="37">
        <f>'2025'!J19</f>
        <v>73</v>
      </c>
      <c r="R125" s="37">
        <f>'2025'!K19</f>
        <v>226</v>
      </c>
      <c r="S125" s="39">
        <f t="shared" si="18"/>
        <v>29.816775265001088</v>
      </c>
      <c r="T125" s="37">
        <f>'2025'!L19</f>
        <v>4.55</v>
      </c>
      <c r="U125" s="40">
        <f>'2025'!M19</f>
        <v>6</v>
      </c>
      <c r="V125" s="41">
        <f>'2025'!N19</f>
        <v>0</v>
      </c>
      <c r="W125" s="42">
        <f>'2025'!O19</f>
        <v>0</v>
      </c>
      <c r="X125" s="42">
        <f>'2025'!P19</f>
        <v>0</v>
      </c>
      <c r="Y125" s="42">
        <f>'2025'!Q19</f>
        <v>5.1040913109878634E-2</v>
      </c>
      <c r="Z125" s="42">
        <f>'2025'!R19</f>
        <v>0.28612178367679597</v>
      </c>
      <c r="AA125" s="42">
        <f>'2025'!S19</f>
        <v>0.28612178367679597</v>
      </c>
      <c r="AB125" s="42">
        <f>'2025'!T19</f>
        <v>0.28612178367679597</v>
      </c>
      <c r="AC125" s="42">
        <f>'2025'!U19</f>
        <v>1.1518663834995141E-2</v>
      </c>
      <c r="AD125" s="42">
        <f>'2025'!V19</f>
        <v>2.2592305706170931E-2</v>
      </c>
      <c r="AE125" s="42">
        <f>'2025'!W19</f>
        <v>2.2592305706170931E-2</v>
      </c>
      <c r="AF125" s="43">
        <f>'2025'!X19</f>
        <v>2.2592305706170931E-2</v>
      </c>
      <c r="AG125" s="44">
        <f>'2025'!Y19</f>
        <v>21.934246575342467</v>
      </c>
      <c r="AH125" s="45">
        <f>'2025'!Z19</f>
        <v>105.46123387514579</v>
      </c>
      <c r="AI125" s="45">
        <f>'2025'!AA19</f>
        <v>29.813848752111092</v>
      </c>
      <c r="AJ125" s="45">
        <f>'2025'!AB19</f>
        <v>0.41666666666666669</v>
      </c>
      <c r="AK125" s="45">
        <f>'2025'!AC19</f>
        <v>6.166666666666667</v>
      </c>
      <c r="AL125" s="45">
        <f t="shared" si="15"/>
        <v>8.375</v>
      </c>
      <c r="AM125" s="45">
        <f t="shared" si="21"/>
        <v>3.1413612565445025E-2</v>
      </c>
      <c r="AN125" s="45">
        <f>'2025'!AD19</f>
        <v>108.9</v>
      </c>
      <c r="AO125" s="45">
        <f>'2025'!AE19</f>
        <v>4.1399999999999997</v>
      </c>
      <c r="AP125" s="46">
        <f>'2025'!AF19</f>
        <v>39</v>
      </c>
      <c r="AQ125" s="47">
        <f>'2025'!AG19</f>
        <v>8</v>
      </c>
      <c r="AR125" s="48">
        <f>'2025'!AH19</f>
        <v>2</v>
      </c>
      <c r="AS125" s="48">
        <f>'2025'!AI19</f>
        <v>2</v>
      </c>
      <c r="AT125" s="48">
        <f>'2025'!AJ19</f>
        <v>8</v>
      </c>
      <c r="AU125" s="48">
        <f>'2025'!AK19</f>
        <v>10</v>
      </c>
      <c r="AV125" s="48">
        <f>'2025'!AL19</f>
        <v>5</v>
      </c>
      <c r="AW125" s="48">
        <f>'2025'!AM19</f>
        <v>5</v>
      </c>
      <c r="AX125" s="48">
        <f>'2025'!AN19</f>
        <v>5</v>
      </c>
      <c r="AY125" s="49">
        <f>'2025'!AO19</f>
        <v>2</v>
      </c>
      <c r="AZ125" s="50">
        <f>'2025'!AP19</f>
        <v>1</v>
      </c>
      <c r="BA125" s="56">
        <f>'2025'!AQ19</f>
        <v>0</v>
      </c>
      <c r="BB125" s="57">
        <f>'2025'!AR19</f>
        <v>1</v>
      </c>
      <c r="BC125" s="57">
        <f>'2025'!AS19</f>
        <v>0</v>
      </c>
      <c r="BD125" s="57">
        <f>'2025'!AT19</f>
        <v>0</v>
      </c>
      <c r="BE125" s="57">
        <f>'2025'!AU19</f>
        <v>0</v>
      </c>
      <c r="BF125" s="57">
        <f>'2025'!AV19</f>
        <v>0</v>
      </c>
      <c r="BG125" s="58">
        <f>'2025'!AW19</f>
        <v>0</v>
      </c>
      <c r="BH125" s="58">
        <f>'2025'!AX19</f>
        <v>0</v>
      </c>
      <c r="BI125" s="58">
        <f>'2025'!AY19</f>
        <v>0</v>
      </c>
      <c r="BJ125" s="58">
        <f>'2025'!AZ19</f>
        <v>0</v>
      </c>
      <c r="BK125" s="57">
        <f>'2025'!BA19</f>
        <v>0</v>
      </c>
      <c r="BL125" s="57">
        <f>'2025'!BB19</f>
        <v>1</v>
      </c>
      <c r="BM125" s="57">
        <f>'2025'!BC19</f>
        <v>0</v>
      </c>
      <c r="BN125" s="57">
        <f>'2025'!BD19</f>
        <v>0</v>
      </c>
      <c r="BO125" s="59">
        <f>'2025'!BE19</f>
        <v>0</v>
      </c>
      <c r="BP125" s="56">
        <f>'2025'!BF19</f>
        <v>0</v>
      </c>
      <c r="BQ125" s="57">
        <f>'2025'!BG19</f>
        <v>1</v>
      </c>
      <c r="BR125" s="57">
        <f>'2025'!BH19</f>
        <v>0</v>
      </c>
      <c r="BS125" s="57">
        <f>'2025'!BI19</f>
        <v>0</v>
      </c>
      <c r="BT125" s="57">
        <f>'2025'!BJ19</f>
        <v>0</v>
      </c>
      <c r="BU125" s="57">
        <f>'2025'!BK19</f>
        <v>0</v>
      </c>
      <c r="BV125" s="58">
        <f>'2025'!BL19</f>
        <v>0</v>
      </c>
      <c r="BW125" s="58">
        <f>'2025'!BM19</f>
        <v>0</v>
      </c>
      <c r="BX125" s="58">
        <f>'2025'!BN19</f>
        <v>0</v>
      </c>
      <c r="BY125" s="58">
        <f>'2025'!BO19</f>
        <v>0</v>
      </c>
      <c r="BZ125" s="57">
        <f>'2025'!BP19</f>
        <v>0</v>
      </c>
      <c r="CA125" s="57">
        <f>'2025'!BQ19</f>
        <v>1</v>
      </c>
      <c r="CB125" s="57">
        <f>'2025'!BR19</f>
        <v>0</v>
      </c>
      <c r="CC125" s="57">
        <f>'2025'!BS19</f>
        <v>0</v>
      </c>
      <c r="CD125" s="59">
        <f>'2025'!BT19</f>
        <v>0</v>
      </c>
      <c r="CE125" s="56">
        <f>'2025'!BU19</f>
        <v>0</v>
      </c>
      <c r="CF125" s="57">
        <f>'2025'!BV19</f>
        <v>1</v>
      </c>
      <c r="CG125" s="57">
        <f>'2025'!BW19</f>
        <v>0</v>
      </c>
      <c r="CH125" s="57">
        <f>'2025'!BX19</f>
        <v>0</v>
      </c>
      <c r="CI125" s="57">
        <f>'2025'!BY19</f>
        <v>0</v>
      </c>
      <c r="CJ125" s="57">
        <f>'2025'!BZ19</f>
        <v>0</v>
      </c>
      <c r="CK125" s="58">
        <f>'2025'!CA19</f>
        <v>0</v>
      </c>
      <c r="CL125" s="58">
        <f>'2025'!CB19</f>
        <v>0</v>
      </c>
      <c r="CM125" s="58">
        <f>'2025'!CC19</f>
        <v>0</v>
      </c>
      <c r="CN125" s="58">
        <f>'2025'!CD19</f>
        <v>0</v>
      </c>
      <c r="CO125" s="57">
        <f>'2025'!CE19</f>
        <v>0</v>
      </c>
      <c r="CP125" s="57">
        <f>'2025'!CF19</f>
        <v>1</v>
      </c>
      <c r="CQ125" s="57">
        <f>'2025'!CG19</f>
        <v>0</v>
      </c>
      <c r="CR125" s="57">
        <f>'2025'!CH19</f>
        <v>0</v>
      </c>
      <c r="CS125" s="59">
        <f>'2025'!CI19</f>
        <v>0</v>
      </c>
      <c r="CT125" s="56">
        <f>'2025'!CJ19</f>
        <v>222</v>
      </c>
      <c r="CU125" s="57">
        <f>'2025'!CK19</f>
        <v>2198.2999999999997</v>
      </c>
      <c r="CV125" s="57">
        <f>'2025'!CL19</f>
        <v>1</v>
      </c>
      <c r="CW125" s="57">
        <f>'2025'!CM19</f>
        <v>0</v>
      </c>
      <c r="CX125" s="57">
        <f>'2025'!CN19</f>
        <v>36</v>
      </c>
      <c r="CY125" s="57">
        <f>'2025'!CO19</f>
        <v>15</v>
      </c>
      <c r="CZ125" s="58">
        <f>'2025'!CP19</f>
        <v>6.166666666666667</v>
      </c>
      <c r="DA125" s="58">
        <f>'2025'!CQ19</f>
        <v>108.9</v>
      </c>
      <c r="DB125" s="58">
        <f>'2025'!CR19</f>
        <v>4.1399999999999997</v>
      </c>
      <c r="DC125" s="58">
        <f>'2025'!CS19</f>
        <v>19.399999999999999</v>
      </c>
      <c r="DD125" s="57">
        <f>'2025'!CT19</f>
        <v>32</v>
      </c>
      <c r="DE125" s="57">
        <f>'2025'!CU19</f>
        <v>2778.1</v>
      </c>
      <c r="DF125" s="57">
        <f>'2025'!CV19</f>
        <v>2</v>
      </c>
      <c r="DG125" s="57">
        <f>'2025'!CW19</f>
        <v>0</v>
      </c>
      <c r="DH125" s="59">
        <f>'2025'!CX19</f>
        <v>0</v>
      </c>
      <c r="DI125" s="56">
        <f>'2025'!CY19</f>
        <v>948</v>
      </c>
      <c r="DJ125" s="57">
        <f>'2025'!CZ19</f>
        <v>1886.3999999999999</v>
      </c>
      <c r="DK125" s="57">
        <f>'2025'!DA19</f>
        <v>12</v>
      </c>
      <c r="DL125" s="57">
        <f>'2025'!DB19</f>
        <v>18</v>
      </c>
      <c r="DM125" s="57">
        <f>'2025'!DC19</f>
        <v>185</v>
      </c>
      <c r="DN125" s="57">
        <f>'2025'!DD19</f>
        <v>37</v>
      </c>
      <c r="DO125" s="58">
        <f>'2025'!DE19</f>
        <v>5.1243243243243244</v>
      </c>
      <c r="DP125" s="58">
        <f>'2025'!DF19</f>
        <v>72.5</v>
      </c>
      <c r="DQ125" s="58">
        <f>'2025'!DG19</f>
        <v>3.55</v>
      </c>
      <c r="DR125" s="58">
        <f>'2025'!DH19</f>
        <v>39</v>
      </c>
      <c r="DS125" s="57">
        <f>'2025'!DI19</f>
        <v>35</v>
      </c>
      <c r="DT125" s="57">
        <f>'2025'!DJ19</f>
        <v>1549.1999999999998</v>
      </c>
      <c r="DU125" s="57">
        <f>'2025'!DK19</f>
        <v>6</v>
      </c>
      <c r="DV125" s="57">
        <f>'2025'!DL19</f>
        <v>0</v>
      </c>
      <c r="DW125" s="59">
        <f>'2025'!DM19</f>
        <v>10.8</v>
      </c>
    </row>
    <row r="126" spans="1:127" ht="15.75" customHeight="1" x14ac:dyDescent="0.2">
      <c r="A126" s="33">
        <f t="shared" si="12"/>
        <v>124</v>
      </c>
      <c r="B126" s="11">
        <f>'2017'!A16</f>
        <v>14</v>
      </c>
      <c r="C126" s="11">
        <v>2017</v>
      </c>
      <c r="D126" s="34" t="str">
        <f>'2017'!B16</f>
        <v>Elijah Hood</v>
      </c>
      <c r="E126" s="224" t="str" cm="1">
        <f t="array" ref="E126">_xlfn.IFS(F126&gt;=13,"Cornerstone",AND(F126&gt;=12,F126&lt;13),"Elite",AND(F126&gt;=11,F126&lt;12),"Elite Upside",AND(F126&gt;=9,F126&lt;11),"Upside",AND(F126&gt;=7,F126&lt;9),"Upside Lite",AND(F126&gt;=6,F126&lt;7),"Outlier",AND(F126&gt;=5,F126&lt;6),"Outlier Lite",F126&lt;5,"Purgatory")</f>
        <v>Upside Lite</v>
      </c>
      <c r="F126" s="14">
        <f>'2017'!C16</f>
        <v>7.3388888888888886</v>
      </c>
      <c r="G126" s="14">
        <f t="shared" si="19"/>
        <v>62</v>
      </c>
      <c r="H126" s="35">
        <f t="shared" si="13"/>
        <v>-0.28081896307893239</v>
      </c>
      <c r="I126" s="36" t="str">
        <f>'2017'!D16</f>
        <v>North Carolina</v>
      </c>
      <c r="J126" s="37">
        <f>'2017'!E16</f>
        <v>4</v>
      </c>
      <c r="K126" s="38">
        <f>'2017'!F16</f>
        <v>35177</v>
      </c>
      <c r="L126" s="39">
        <f>'2017'!G16</f>
        <v>29.452054794520549</v>
      </c>
      <c r="M126" s="39" t="str">
        <f>'2017'!H16</f>
        <v>JR</v>
      </c>
      <c r="N126" s="39">
        <f>'2017'!I16</f>
        <v>21.027397260273972</v>
      </c>
      <c r="O126" s="39" t="str">
        <f t="shared" si="14"/>
        <v>BRUISER</v>
      </c>
      <c r="P126" s="39" t="str">
        <f t="shared" si="23"/>
        <v>3DOWN</v>
      </c>
      <c r="Q126" s="37">
        <f>'2017'!J16</f>
        <v>70</v>
      </c>
      <c r="R126" s="37">
        <f>'2017'!K16</f>
        <v>232</v>
      </c>
      <c r="S126" s="39">
        <f t="shared" si="18"/>
        <v>33.28816518857527</v>
      </c>
      <c r="T126" s="37">
        <f>'2017'!L16</f>
        <v>4.57</v>
      </c>
      <c r="U126" s="55">
        <f>'2017'!M16</f>
        <v>7</v>
      </c>
      <c r="V126" s="41">
        <f>'2017'!N16</f>
        <v>0</v>
      </c>
      <c r="W126" s="42">
        <f>'2017'!O16</f>
        <v>0</v>
      </c>
      <c r="X126" s="42">
        <f>'2017'!P16</f>
        <v>4.6894576695901198E-2</v>
      </c>
      <c r="Y126" s="42">
        <f>'2017'!Q16</f>
        <v>0.22575913158280769</v>
      </c>
      <c r="Z126" s="42">
        <f>'2017'!R16</f>
        <v>0.17522340984755563</v>
      </c>
      <c r="AA126" s="42">
        <f>'2017'!S16</f>
        <v>0.20049127071518166</v>
      </c>
      <c r="AB126" s="42">
        <f>'2017'!T16</f>
        <v>0.18044214364366351</v>
      </c>
      <c r="AC126" s="42">
        <f>'2017'!U16</f>
        <v>1.9591836734693877E-2</v>
      </c>
      <c r="AD126" s="42">
        <f>'2017'!V16</f>
        <v>3.7260561532406193E-2</v>
      </c>
      <c r="AE126" s="42">
        <f>'2017'!W16</f>
        <v>3.7260561532406193E-2</v>
      </c>
      <c r="AF126" s="43">
        <f>'2017'!X16</f>
        <v>3.3534505379165573E-2</v>
      </c>
      <c r="AG126" s="44">
        <f>'2017'!Y16</f>
        <v>19.36986301369863</v>
      </c>
      <c r="AH126" s="45">
        <f>'2017'!Z16</f>
        <v>106.37833296141315</v>
      </c>
      <c r="AI126" s="45">
        <f>'2017'!AA16</f>
        <v>33.284897959183674</v>
      </c>
      <c r="AJ126" s="45">
        <f>'2017'!AB16</f>
        <v>0.32413793103448274</v>
      </c>
      <c r="AK126" s="45">
        <f>'2017'!AC16</f>
        <v>6.7</v>
      </c>
      <c r="AL126" s="45">
        <f t="shared" si="15"/>
        <v>5.3</v>
      </c>
      <c r="AM126" s="45">
        <f t="shared" si="21"/>
        <v>0.14705882352941177</v>
      </c>
      <c r="AN126" s="45">
        <f>'2017'!AD16</f>
        <v>117</v>
      </c>
      <c r="AO126" s="45">
        <f>'2017'!AE16</f>
        <v>4.0999999999999996</v>
      </c>
      <c r="AP126" s="46">
        <f>'2017'!AF16</f>
        <v>51.5</v>
      </c>
      <c r="AQ126" s="47">
        <f>'2017'!AG16</f>
        <v>3</v>
      </c>
      <c r="AR126" s="48">
        <f>'2017'!AH16</f>
        <v>3</v>
      </c>
      <c r="AS126" s="48">
        <f>'2017'!AI16</f>
        <v>7</v>
      </c>
      <c r="AT126" s="48">
        <f>IF(AH126&gt;113.25,10,IF(AH126&gt;=107.84,9,IF(AH126&gt;=105.37,8,IF(AH126&gt;=103.25,7,IF(AH126&gt;=100.55,6,IF(AH126&gt;=98.75,5,IF(AH126&gt;=96.08,4,IF(AH126&gt;=94.39,3,IF(AH126&gt;=88.43,2,IF(AH126&gt;=85.16,1,IF(AH126&lt;85.16,0,FALSE)))))))))))</f>
        <v>8</v>
      </c>
      <c r="AU126" s="48">
        <f>'2017'!AK16</f>
        <v>9</v>
      </c>
      <c r="AV126" s="48">
        <f>'2017'!AL16</f>
        <v>7</v>
      </c>
      <c r="AW126" s="48">
        <f>'2017'!AM16</f>
        <v>7</v>
      </c>
      <c r="AX126" s="48">
        <f>'2017'!AN16</f>
        <v>7</v>
      </c>
      <c r="AY126" s="49">
        <f>IF(U126=1,10,IF(U126=2,7,IF(U126=3,6,IF(U126=4,4,IF(U126=5,3,IF(U126=6,2,IF(U126=7,1,IF(U126=0,0,"-"))))))))</f>
        <v>1</v>
      </c>
      <c r="AZ126" s="50">
        <f>'2017'!AP16</f>
        <v>0</v>
      </c>
      <c r="BA126" s="56">
        <f>'2017'!AQ16</f>
        <v>0</v>
      </c>
      <c r="BB126" s="57">
        <f>'2017'!AR16</f>
        <v>2326</v>
      </c>
      <c r="BC126" s="57">
        <f>'2017'!AS16</f>
        <v>0</v>
      </c>
      <c r="BD126" s="57">
        <f>'2017'!AT16</f>
        <v>0</v>
      </c>
      <c r="BE126" s="57">
        <f>'2017'!AU16</f>
        <v>0</v>
      </c>
      <c r="BF126" s="57">
        <f>'2017'!AV16</f>
        <v>0</v>
      </c>
      <c r="BG126" s="58">
        <f>'2017'!AW16</f>
        <v>0</v>
      </c>
      <c r="BH126" s="58">
        <f>'2017'!AX16</f>
        <v>0</v>
      </c>
      <c r="BI126" s="58">
        <f>'2017'!AY16</f>
        <v>0</v>
      </c>
      <c r="BJ126" s="58">
        <f>'2017'!AZ16</f>
        <v>0</v>
      </c>
      <c r="BK126" s="57">
        <f>'2017'!BA16</f>
        <v>0</v>
      </c>
      <c r="BL126" s="57">
        <f>'2017'!BB16</f>
        <v>3501</v>
      </c>
      <c r="BM126" s="57">
        <f>'2017'!BC16</f>
        <v>0</v>
      </c>
      <c r="BN126" s="57">
        <f>'2017'!BD16</f>
        <v>0</v>
      </c>
      <c r="BO126" s="59">
        <f>'2017'!BE16</f>
        <v>0</v>
      </c>
      <c r="BP126" s="56">
        <f>'2017'!BF16</f>
        <v>0</v>
      </c>
      <c r="BQ126" s="57">
        <f>'2017'!BG16</f>
        <v>1928</v>
      </c>
      <c r="BR126" s="57">
        <f>'2017'!BH16</f>
        <v>0</v>
      </c>
      <c r="BS126" s="57">
        <f>'2017'!BI16</f>
        <v>0</v>
      </c>
      <c r="BT126" s="57">
        <f>'2017'!BJ16</f>
        <v>0</v>
      </c>
      <c r="BU126" s="57">
        <f>'2017'!BK16</f>
        <v>0</v>
      </c>
      <c r="BV126" s="58">
        <f>'2017'!BL16</f>
        <v>0</v>
      </c>
      <c r="BW126" s="58">
        <f>'2017'!BM16</f>
        <v>0</v>
      </c>
      <c r="BX126" s="58">
        <f>'2017'!BN16</f>
        <v>0</v>
      </c>
      <c r="BY126" s="58">
        <f>'2017'!BO16</f>
        <v>0</v>
      </c>
      <c r="BZ126" s="57">
        <f>'2017'!BP16</f>
        <v>0</v>
      </c>
      <c r="CA126" s="57">
        <f>'2017'!BQ16</f>
        <v>3606</v>
      </c>
      <c r="CB126" s="57">
        <f>'2017'!BR16</f>
        <v>0</v>
      </c>
      <c r="CC126" s="57">
        <f>'2017'!BS16</f>
        <v>0</v>
      </c>
      <c r="CD126" s="59">
        <f>'2017'!BT16</f>
        <v>0</v>
      </c>
      <c r="CE126" s="56">
        <f>'2017'!BU16</f>
        <v>264</v>
      </c>
      <c r="CF126" s="57">
        <f>'2017'!BV16</f>
        <v>1973</v>
      </c>
      <c r="CG126" s="57">
        <f>'2017'!BW16</f>
        <v>4</v>
      </c>
      <c r="CH126" s="57">
        <f>'2017'!BX16</f>
        <v>0</v>
      </c>
      <c r="CI126" s="57">
        <f>'2017'!BY16</f>
        <v>67</v>
      </c>
      <c r="CJ126" s="57">
        <f>'2017'!BZ16</f>
        <v>15</v>
      </c>
      <c r="CK126" s="58">
        <f>'2017'!CA16</f>
        <v>3.9</v>
      </c>
      <c r="CL126" s="58">
        <f>'2017'!CB16</f>
        <v>49.6</v>
      </c>
      <c r="CM126" s="58">
        <f>'2017'!CC16</f>
        <v>2.2799999999999998</v>
      </c>
      <c r="CN126" s="58">
        <f>'2017'!CD16</f>
        <v>22.7</v>
      </c>
      <c r="CO126" s="57">
        <f>'2017'!CE16</f>
        <v>-2</v>
      </c>
      <c r="CP126" s="57">
        <f>'2017'!CF16</f>
        <v>3614</v>
      </c>
      <c r="CQ126" s="57">
        <f>'2017'!CG16</f>
        <v>2</v>
      </c>
      <c r="CR126" s="57">
        <f>'2017'!CH16</f>
        <v>0</v>
      </c>
      <c r="CS126" s="59">
        <f>'2017'!CI16</f>
        <v>0</v>
      </c>
      <c r="CT126" s="56">
        <f>'2017'!CJ16</f>
        <v>1467</v>
      </c>
      <c r="CU126" s="57">
        <f>'2017'!CK16</f>
        <v>3142</v>
      </c>
      <c r="CV126" s="57">
        <f>'2017'!CL16</f>
        <v>17</v>
      </c>
      <c r="CW126" s="57">
        <f>'2017'!CM16</f>
        <v>0</v>
      </c>
      <c r="CX126" s="57">
        <f>'2017'!CN16</f>
        <v>219</v>
      </c>
      <c r="CY126" s="57">
        <f>'2017'!CO16</f>
        <v>49</v>
      </c>
      <c r="CZ126" s="58">
        <f>'2017'!CP16</f>
        <v>6.7</v>
      </c>
      <c r="DA126" s="58">
        <f>'2017'!CQ16</f>
        <v>95.3</v>
      </c>
      <c r="DB126" s="58">
        <f>'2017'!CR16</f>
        <v>4.0999999999999996</v>
      </c>
      <c r="DC126" s="58">
        <f>'2017'!CS16</f>
        <v>45.8</v>
      </c>
      <c r="DD126" s="57">
        <f>'2017'!CT16</f>
        <v>72</v>
      </c>
      <c r="DE126" s="57">
        <f>'2017'!CU16</f>
        <v>3675</v>
      </c>
      <c r="DF126" s="57">
        <f>'2017'!CV16</f>
        <v>13</v>
      </c>
      <c r="DG126" s="57">
        <f>'2017'!CW16</f>
        <v>0</v>
      </c>
      <c r="DH126" s="59">
        <f>'2017'!CX16</f>
        <v>0</v>
      </c>
      <c r="DI126" s="56">
        <f>'2017'!CY16</f>
        <v>858</v>
      </c>
      <c r="DJ126" s="57">
        <f>'2017'!CZ16</f>
        <v>1896</v>
      </c>
      <c r="DK126" s="57">
        <f>'2017'!DA16</f>
        <v>8</v>
      </c>
      <c r="DL126" s="57">
        <f>'2017'!DB16</f>
        <v>0</v>
      </c>
      <c r="DM126" s="57">
        <f>'2017'!DC16</f>
        <v>145</v>
      </c>
      <c r="DN126" s="57">
        <f>'2017'!DD16</f>
        <v>47</v>
      </c>
      <c r="DO126" s="58">
        <f>'2017'!DE16</f>
        <v>5.9</v>
      </c>
      <c r="DP126" s="58">
        <f>'2017'!DF16</f>
        <v>117</v>
      </c>
      <c r="DQ126" s="58">
        <f>'2017'!DG16</f>
        <v>3.75</v>
      </c>
      <c r="DR126" s="58">
        <f>'2017'!DH16</f>
        <v>51.5</v>
      </c>
      <c r="DS126" s="57">
        <f>'2017'!DI16</f>
        <v>142</v>
      </c>
      <c r="DT126" s="57">
        <f>'2017'!DJ16</f>
        <v>3811</v>
      </c>
      <c r="DU126" s="57">
        <f>'2017'!DK16</f>
        <v>25</v>
      </c>
      <c r="DV126" s="57">
        <f>'2017'!DL16</f>
        <v>0</v>
      </c>
      <c r="DW126" s="59">
        <f>'2017'!DM16</f>
        <v>0</v>
      </c>
    </row>
    <row r="127" spans="1:127" ht="15.75" customHeight="1" x14ac:dyDescent="0.2">
      <c r="A127" s="33">
        <f t="shared" si="12"/>
        <v>125</v>
      </c>
      <c r="B127" s="11">
        <f>'2019'!A13</f>
        <v>11</v>
      </c>
      <c r="C127" s="11">
        <v>2019</v>
      </c>
      <c r="D127" s="34" t="str">
        <f>'2019'!B13</f>
        <v>Ty Johnson</v>
      </c>
      <c r="E127" s="224" t="str" cm="1">
        <f t="array" ref="E127">_xlfn.IFS(F127&gt;=13,"Cornerstone",AND(F127&gt;=12,F127&lt;13),"Elite",AND(F127&gt;=11,F127&lt;12),"Elite Upside",AND(F127&gt;=9,F127&lt;11),"Upside",AND(F127&gt;=7,F127&lt;9),"Upside Lite",AND(F127&gt;=6,F127&lt;7),"Outlier",AND(F127&gt;=5,F127&lt;6),"Outlier Lite",F127&lt;5,"Purgatory")</f>
        <v>Upside Lite</v>
      </c>
      <c r="F127" s="14">
        <f>'2019'!C13</f>
        <v>7.3055555555555554</v>
      </c>
      <c r="G127" s="14">
        <f t="shared" si="19"/>
        <v>61.7</v>
      </c>
      <c r="H127" s="35">
        <f t="shared" si="13"/>
        <v>-0.29492646522025368</v>
      </c>
      <c r="I127" s="36" t="str">
        <f>'2019'!D13</f>
        <v>Maryland</v>
      </c>
      <c r="J127" s="37">
        <f>'2019'!E13</f>
        <v>2</v>
      </c>
      <c r="K127" s="38">
        <f>'2019'!F13</f>
        <v>35690</v>
      </c>
      <c r="L127" s="39">
        <f>'2019'!G13</f>
        <v>28.046575342465754</v>
      </c>
      <c r="M127" s="39" t="str">
        <f>'2019'!H13</f>
        <v>SR</v>
      </c>
      <c r="N127" s="39">
        <f>'2019'!I13</f>
        <v>21.616438356164384</v>
      </c>
      <c r="O127" s="39" t="str">
        <f t="shared" si="14"/>
        <v>JITTERBUG</v>
      </c>
      <c r="P127" s="39" t="str">
        <f t="shared" si="23"/>
        <v>HORSE</v>
      </c>
      <c r="Q127" s="37">
        <f>'2019'!J13</f>
        <v>69</v>
      </c>
      <c r="R127" s="37">
        <f>'2019'!K13</f>
        <v>209</v>
      </c>
      <c r="S127" s="39">
        <f t="shared" si="18"/>
        <v>30.863562756321059</v>
      </c>
      <c r="T127" s="37">
        <f>'2019'!L13</f>
        <v>4.34</v>
      </c>
      <c r="U127" s="40">
        <f>'2019'!M13</f>
        <v>6</v>
      </c>
      <c r="V127" s="41">
        <f>'2019'!N13</f>
        <v>0</v>
      </c>
      <c r="W127" s="42">
        <f>'2019'!O13</f>
        <v>6.222222222222222E-2</v>
      </c>
      <c r="X127" s="42">
        <f>'2019'!P13</f>
        <v>0.24638566483404603</v>
      </c>
      <c r="Y127" s="42">
        <f>'2019'!Q13</f>
        <v>0.24097938144329897</v>
      </c>
      <c r="Z127" s="42">
        <f>'2019'!R13</f>
        <v>0.11824096926183532</v>
      </c>
      <c r="AA127" s="42">
        <f>'2019'!S13</f>
        <v>0.18231331704794068</v>
      </c>
      <c r="AB127" s="42">
        <f>'2019'!T13</f>
        <v>0.18231331704794068</v>
      </c>
      <c r="AC127" s="42">
        <f>'2019'!U13</f>
        <v>3.0927835051546393E-2</v>
      </c>
      <c r="AD127" s="42">
        <f>'2019'!V13</f>
        <v>1.2979351032448377E-2</v>
      </c>
      <c r="AE127" s="42">
        <f>'2019'!W13</f>
        <v>2.1953593041997385E-2</v>
      </c>
      <c r="AF127" s="43">
        <f>'2019'!X13</f>
        <v>2.1953593041997385E-2</v>
      </c>
      <c r="AG127" s="44">
        <f>'2019'!Y13</f>
        <v>18.969863013698632</v>
      </c>
      <c r="AH127" s="45">
        <f>'2019'!Z13</f>
        <v>117.81955110312674</v>
      </c>
      <c r="AI127" s="45">
        <f>'2019'!AA13</f>
        <v>30.860533501365261</v>
      </c>
      <c r="AJ127" s="45">
        <f>'2019'!AB13</f>
        <v>0.21818181818181817</v>
      </c>
      <c r="AK127" s="45">
        <f>'2019'!AC13</f>
        <v>9.1</v>
      </c>
      <c r="AL127" s="45">
        <f t="shared" si="15"/>
        <v>10.96551724137931</v>
      </c>
      <c r="AM127" s="45">
        <f t="shared" si="21"/>
        <v>8.3333333333333329E-2</v>
      </c>
      <c r="AN127" s="45">
        <f>'2019'!AD13</f>
        <v>108.6</v>
      </c>
      <c r="AO127" s="45">
        <f>'2019'!AE13</f>
        <v>5.26</v>
      </c>
      <c r="AP127" s="46">
        <f>'2019'!AF13</f>
        <v>68.7</v>
      </c>
      <c r="AQ127" s="47">
        <f>'2019'!AG13</f>
        <v>3</v>
      </c>
      <c r="AR127" s="48">
        <f>'2019'!AH13</f>
        <v>2</v>
      </c>
      <c r="AS127" s="48">
        <f>'2019'!AI13</f>
        <v>8</v>
      </c>
      <c r="AT127" s="48">
        <f>IF(AH127&gt;113.25,10,IF(AH127&gt;=107.84,9,IF(AH127&gt;=105.37,8,IF(AH127&gt;=103.25,7,IF(AH127&gt;=100.55,6,IF(AH127&gt;=98.75,5,IF(AH127&gt;=96.08,4,IF(AH127&gt;=94.39,3,IF(AH127&gt;=88.43,2,IF(AH127&gt;=85.16,1,IF(AH127&lt;85.16,0,FALSE)))))))))))</f>
        <v>10</v>
      </c>
      <c r="AU127" s="48">
        <f>'2019'!AK13</f>
        <v>4</v>
      </c>
      <c r="AV127" s="48">
        <f>'2019'!AL13</f>
        <v>10</v>
      </c>
      <c r="AW127" s="48">
        <f>'2019'!AM13</f>
        <v>5</v>
      </c>
      <c r="AX127" s="48">
        <f>'2019'!AN13</f>
        <v>9</v>
      </c>
      <c r="AY127" s="49">
        <f>IF(U127=1,10,IF(U127=2,7,IF(U127=3,6,IF(U127=4,4,IF(U127=5,3,IF(U127=6,2,IF(U127=7,1,IF(U127=0,0,"-"))))))))</f>
        <v>2</v>
      </c>
      <c r="AZ127" s="50">
        <f>'2019'!AP13</f>
        <v>0</v>
      </c>
      <c r="BA127" s="56">
        <f>'2019'!AQ13</f>
        <v>0</v>
      </c>
      <c r="BB127" s="57">
        <f>'2019'!AR13</f>
        <v>1582</v>
      </c>
      <c r="BC127" s="57">
        <f>'2019'!AS13</f>
        <v>0</v>
      </c>
      <c r="BD127" s="57">
        <f>'2019'!AT13</f>
        <v>21</v>
      </c>
      <c r="BE127" s="57">
        <f>'2019'!AU13</f>
        <v>0</v>
      </c>
      <c r="BF127" s="57">
        <f>'2019'!AV13</f>
        <v>0</v>
      </c>
      <c r="BG127" s="58">
        <f>'2019'!AW13</f>
        <v>0</v>
      </c>
      <c r="BH127" s="58">
        <f>'2019'!AX13</f>
        <v>0</v>
      </c>
      <c r="BI127" s="58">
        <f>'2019'!AY13</f>
        <v>0</v>
      </c>
      <c r="BJ127" s="58">
        <f>'2019'!AZ13</f>
        <v>0</v>
      </c>
      <c r="BK127" s="57">
        <f>'2019'!BA13</f>
        <v>0</v>
      </c>
      <c r="BL127" s="57">
        <f>'2019'!BB13</f>
        <v>2863</v>
      </c>
      <c r="BM127" s="57">
        <f>'2019'!BC13</f>
        <v>0</v>
      </c>
      <c r="BN127" s="57">
        <f>'2019'!BD13</f>
        <v>0</v>
      </c>
      <c r="BO127" s="59">
        <f>'2019'!BE13</f>
        <v>19</v>
      </c>
      <c r="BP127" s="56">
        <f>'2019'!BF13</f>
        <v>250</v>
      </c>
      <c r="BQ127" s="57">
        <f>'2019'!BG13</f>
        <v>2408</v>
      </c>
      <c r="BR127" s="57">
        <f>'2019'!BH13</f>
        <v>3</v>
      </c>
      <c r="BS127" s="57">
        <f>'2019'!BI13</f>
        <v>20</v>
      </c>
      <c r="BT127" s="57">
        <f>'2019'!BJ13</f>
        <v>35</v>
      </c>
      <c r="BU127" s="57">
        <f>'2019'!BK13</f>
        <v>10</v>
      </c>
      <c r="BV127" s="58">
        <f>'2019'!BL13</f>
        <v>7.1</v>
      </c>
      <c r="BW127" s="58">
        <f>'2019'!BM13</f>
        <v>82.4</v>
      </c>
      <c r="BX127" s="58">
        <f>'2019'!BN13</f>
        <v>2.77</v>
      </c>
      <c r="BY127" s="58">
        <f>'2019'!BO13</f>
        <v>58</v>
      </c>
      <c r="BZ127" s="57">
        <f>'2019'!BP13</f>
        <v>30</v>
      </c>
      <c r="CA127" s="57">
        <f>'2019'!BQ13</f>
        <v>2092</v>
      </c>
      <c r="CB127" s="57">
        <f>'2019'!BR13</f>
        <v>2</v>
      </c>
      <c r="CC127" s="57">
        <f>'2019'!BS13</f>
        <v>0</v>
      </c>
      <c r="CD127" s="59">
        <f>'2019'!BT13</f>
        <v>15</v>
      </c>
      <c r="CE127" s="56">
        <f>'2019'!BU13</f>
        <v>1004</v>
      </c>
      <c r="CF127" s="57">
        <f>'2019'!BV13</f>
        <v>2594</v>
      </c>
      <c r="CG127" s="57">
        <f>'2019'!BW13</f>
        <v>6</v>
      </c>
      <c r="CH127" s="57">
        <f>'2019'!BX13</f>
        <v>26</v>
      </c>
      <c r="CI127" s="57">
        <f>'2019'!BY13</f>
        <v>110</v>
      </c>
      <c r="CJ127" s="57">
        <f>'2019'!BZ13</f>
        <v>24</v>
      </c>
      <c r="CK127" s="58">
        <f>'2019'!CA13</f>
        <v>9.1</v>
      </c>
      <c r="CL127" s="58">
        <f>'2019'!CB13</f>
        <v>108.6</v>
      </c>
      <c r="CM127" s="58">
        <f>'2019'!CC13</f>
        <v>5.26</v>
      </c>
      <c r="CN127" s="58">
        <f>'2019'!CD13</f>
        <v>68.7</v>
      </c>
      <c r="CO127" s="57">
        <f>'2019'!CE13</f>
        <v>206</v>
      </c>
      <c r="CP127" s="57">
        <f>'2019'!CF13</f>
        <v>2317</v>
      </c>
      <c r="CQ127" s="57">
        <f>'2019'!CG13</f>
        <v>16</v>
      </c>
      <c r="CR127" s="57">
        <f>'2019'!CH13</f>
        <v>0</v>
      </c>
      <c r="CS127" s="59">
        <f>'2019'!CI13</f>
        <v>15</v>
      </c>
      <c r="CT127" s="56">
        <f>'2019'!CJ13</f>
        <v>875</v>
      </c>
      <c r="CU127" s="57">
        <f>'2019'!CK13</f>
        <v>1940</v>
      </c>
      <c r="CV127" s="57">
        <f>'2019'!CL13</f>
        <v>5</v>
      </c>
      <c r="CW127" s="57">
        <f>'2019'!CM13</f>
        <v>19</v>
      </c>
      <c r="CX127" s="57">
        <f>'2019'!CN13</f>
        <v>137</v>
      </c>
      <c r="CY127" s="57">
        <f>'2019'!CO13</f>
        <v>19</v>
      </c>
      <c r="CZ127" s="58">
        <f>'2019'!CP13</f>
        <v>6.4</v>
      </c>
      <c r="DA127" s="58">
        <f>'2019'!CQ13</f>
        <v>49.2</v>
      </c>
      <c r="DB127" s="58">
        <f>'2019'!CR13</f>
        <v>3.68</v>
      </c>
      <c r="DC127" s="58">
        <f>'2019'!CS13</f>
        <v>58.1</v>
      </c>
      <c r="DD127" s="57">
        <f>'2019'!CT13</f>
        <v>60</v>
      </c>
      <c r="DE127" s="57">
        <f>'2019'!CU13</f>
        <v>1940</v>
      </c>
      <c r="DF127" s="57">
        <f>'2019'!CV13</f>
        <v>5</v>
      </c>
      <c r="DG127" s="57">
        <f>'2019'!CW13</f>
        <v>0</v>
      </c>
      <c r="DH127" s="59">
        <f>'2019'!CX13</f>
        <v>15</v>
      </c>
      <c r="DI127" s="56">
        <f>'2019'!CY13</f>
        <v>505</v>
      </c>
      <c r="DJ127" s="57">
        <f>'2019'!CZ13</f>
        <v>2762</v>
      </c>
      <c r="DK127" s="57">
        <f>'2019'!DA13</f>
        <v>3</v>
      </c>
      <c r="DL127" s="57">
        <f>'2019'!DB13</f>
        <v>26</v>
      </c>
      <c r="DM127" s="57">
        <f>'2019'!DC13</f>
        <v>66</v>
      </c>
      <c r="DN127" s="57">
        <f>'2019'!DD13</f>
        <v>14</v>
      </c>
      <c r="DO127" s="58">
        <f>'2019'!DE13</f>
        <v>7.7</v>
      </c>
      <c r="DP127" s="58">
        <f>'2019'!DF13</f>
        <v>98.7</v>
      </c>
      <c r="DQ127" s="58">
        <f>'2019'!DG13</f>
        <v>5.08</v>
      </c>
      <c r="DR127" s="58">
        <f>'2019'!DH13</f>
        <v>53.5</v>
      </c>
      <c r="DS127" s="57">
        <f>'2019'!DI13</f>
        <v>22</v>
      </c>
      <c r="DT127" s="57">
        <f>'2019'!DJ13</f>
        <v>1695</v>
      </c>
      <c r="DU127" s="57">
        <f>'2019'!DK13</f>
        <v>6</v>
      </c>
      <c r="DV127" s="57">
        <f>'2019'!DL13</f>
        <v>0</v>
      </c>
      <c r="DW127" s="59">
        <f>'2019'!DM13</f>
        <v>12</v>
      </c>
    </row>
    <row r="128" spans="1:127" ht="15.75" customHeight="1" x14ac:dyDescent="0.2">
      <c r="A128" s="33">
        <f t="shared" si="12"/>
        <v>126</v>
      </c>
      <c r="B128" s="11">
        <f>'2026 - WIP'!A12</f>
        <v>10</v>
      </c>
      <c r="C128" s="11">
        <v>2026</v>
      </c>
      <c r="D128" s="34" t="str">
        <f>'2026 - WIP'!B12</f>
        <v>Quintrevion Wisner</v>
      </c>
      <c r="E128" s="224" t="str" cm="1">
        <f t="array" ref="E128">_xlfn.IFS(F128&gt;=13,"Cornerstone",AND(F128&gt;=12,F128&lt;13),"Elite",AND(F128&gt;=11,F128&lt;12),"Elite Upside",AND(F128&gt;=9,F128&lt;11),"Upside",AND(F128&gt;=7,F128&lt;9),"Upside Lite",AND(F128&gt;=6,F128&lt;7),"Outlier",AND(F128&gt;=5,F128&lt;6),"Outlier Lite",F128&lt;5,"Purgatory")</f>
        <v>Upside Lite</v>
      </c>
      <c r="F128" s="14">
        <f>'2026 - WIP'!C12</f>
        <v>7.2888888888888888</v>
      </c>
      <c r="G128" s="14">
        <f t="shared" si="19"/>
        <v>61.4</v>
      </c>
      <c r="H128" s="35">
        <f t="shared" si="13"/>
        <v>-0.30198021629091432</v>
      </c>
      <c r="I128" s="36" t="str">
        <f>'2026 - WIP'!D12</f>
        <v>Texas</v>
      </c>
      <c r="J128" s="37">
        <f>'2026 - WIP'!E12</f>
        <v>1</v>
      </c>
      <c r="K128" s="38">
        <f>'2026 - WIP'!F12</f>
        <v>38481</v>
      </c>
      <c r="L128" s="39">
        <f>'2026 - WIP'!G12</f>
        <v>20.399999999999999</v>
      </c>
      <c r="M128" s="39" t="str">
        <f>'2026 - WIP'!H12</f>
        <v>JR</v>
      </c>
      <c r="N128" s="39">
        <f>'2026 - WIP'!I12</f>
        <v>20.980821917808218</v>
      </c>
      <c r="O128" s="39" t="str">
        <f t="shared" si="14"/>
        <v>DYNAMIC</v>
      </c>
      <c r="P128" s="39" t="str">
        <f>IF(OR(AND($AA128&lt;0.25,$AO128&gt;=0.133,AE128&gt;4%),(AND($O128="JITTERBUG",$AO128&gt;0.11)),(AND($O128="JITTERBUG",$AE128&gt;9.5%))),"+RECEIVER",IF(AND($AJ128&gt;=0.25,$AQ128&gt;=3.81),"3DOWN",IF($AQ128&gt;=3.81,"HORSE",IF(OR(AJ128&gt;0.28,AK128&gt;7,AR128&gt;47),"SLASHER",IF(AO128&gt;0.19,"+RECEIVER","PLODDER")))))</f>
        <v>3DOWN</v>
      </c>
      <c r="Q128" s="37">
        <f>'2026 - WIP'!J12</f>
        <v>72</v>
      </c>
      <c r="R128" s="37">
        <f>'2026 - WIP'!K12</f>
        <v>194</v>
      </c>
      <c r="S128" s="39">
        <f t="shared" si="18"/>
        <v>26.31083857846728</v>
      </c>
      <c r="T128" s="39">
        <f>'2026 - WIP'!L12</f>
        <v>4.5</v>
      </c>
      <c r="U128" s="55">
        <f>'2026 - WIP'!M12</f>
        <v>4</v>
      </c>
      <c r="V128" s="41">
        <f>'2026 - WIP'!N12</f>
        <v>0</v>
      </c>
      <c r="W128" s="42">
        <f>'2026 - WIP'!O12</f>
        <v>0</v>
      </c>
      <c r="X128" s="42">
        <f>'2026 - WIP'!P12</f>
        <v>1.0919970082273748E-2</v>
      </c>
      <c r="Y128" s="42">
        <f>'2026 - WIP'!Q12</f>
        <v>0.20886654478976233</v>
      </c>
      <c r="Z128" s="42">
        <f>'2026 - WIP'!R12</f>
        <v>0.25297619047619047</v>
      </c>
      <c r="AA128" s="42">
        <f>'2026 - WIP'!S12</f>
        <v>0.25297619047619047</v>
      </c>
      <c r="AB128" s="42">
        <f>'2026 - WIP'!T12</f>
        <v>0.25297619047619047</v>
      </c>
      <c r="AC128" s="42">
        <f>'2026 - WIP'!U12</f>
        <v>7.4366331898613108E-2</v>
      </c>
      <c r="AD128" s="42">
        <f>'2026 - WIP'!V12</f>
        <v>2.9411764705882353E-2</v>
      </c>
      <c r="AE128" s="42">
        <f>'2026 - WIP'!W12</f>
        <v>5.1889048302247734E-2</v>
      </c>
      <c r="AF128" s="43">
        <f>'2026 - WIP'!X12</f>
        <v>5.1889048302247734E-2</v>
      </c>
      <c r="AG128" s="44">
        <f>'2026 - WIP'!Y12</f>
        <v>19.328767123287673</v>
      </c>
      <c r="AH128" s="45">
        <f>'2026 - WIP'!Z12</f>
        <v>94.619722603261692</v>
      </c>
      <c r="AI128" s="45">
        <f>'2026 - WIP'!AA12</f>
        <v>26.308256172839506</v>
      </c>
      <c r="AJ128" s="45">
        <f>'2026 - WIP'!AB12</f>
        <v>0.25</v>
      </c>
      <c r="AK128" s="45">
        <f>'2026 - WIP'!AC12</f>
        <v>5</v>
      </c>
      <c r="AL128" s="45">
        <f t="shared" si="15"/>
        <v>4.9375</v>
      </c>
      <c r="AM128" s="45">
        <f t="shared" si="21"/>
        <v>5.8823529411764705E-2</v>
      </c>
      <c r="AN128" s="45">
        <f>'2026 - WIP'!AD12</f>
        <v>67.2</v>
      </c>
      <c r="AO128" s="45">
        <f>'2026 - WIP'!AE12</f>
        <v>3.08</v>
      </c>
      <c r="AP128" s="46">
        <f>'2026 - WIP'!AF12</f>
        <v>30.8</v>
      </c>
      <c r="AQ128" s="47">
        <f>'2026 - WIP'!AG12</f>
        <v>6</v>
      </c>
      <c r="AR128" s="48">
        <f>'2026 - WIP'!AH12</f>
        <v>5</v>
      </c>
      <c r="AS128" s="48">
        <f>'2026 - WIP'!AI12</f>
        <v>7</v>
      </c>
      <c r="AT128" s="48">
        <f>'2026 - WIP'!AJ12</f>
        <v>3</v>
      </c>
      <c r="AU128" s="48">
        <f>'2026 - WIP'!AK12</f>
        <v>6</v>
      </c>
      <c r="AV128" s="48">
        <f>'2026 - WIP'!AL12</f>
        <v>1</v>
      </c>
      <c r="AW128" s="48">
        <f>'2026 - WIP'!AM12</f>
        <v>1</v>
      </c>
      <c r="AX128" s="48">
        <f>'2026 - WIP'!AN12</f>
        <v>0</v>
      </c>
      <c r="AY128" s="49">
        <f>'2026 - WIP'!AO12</f>
        <v>4</v>
      </c>
      <c r="AZ128" s="50">
        <f>'2026 - WIP'!AP12</f>
        <v>1</v>
      </c>
      <c r="BA128" s="56">
        <f>'2026 - WIP'!AQ12</f>
        <v>0</v>
      </c>
      <c r="BB128" s="57">
        <f>'2026 - WIP'!AR12</f>
        <v>1</v>
      </c>
      <c r="BC128" s="57">
        <f>'2026 - WIP'!AS12</f>
        <v>0</v>
      </c>
      <c r="BD128" s="57">
        <f>'2026 - WIP'!AT12</f>
        <v>0</v>
      </c>
      <c r="BE128" s="57">
        <f>'2026 - WIP'!AU12</f>
        <v>0</v>
      </c>
      <c r="BF128" s="57">
        <f>'2026 - WIP'!AV12</f>
        <v>0</v>
      </c>
      <c r="BG128" s="58">
        <f>'2026 - WIP'!AW12</f>
        <v>0</v>
      </c>
      <c r="BH128" s="58">
        <f>'2026 - WIP'!AX12</f>
        <v>0</v>
      </c>
      <c r="BI128" s="58">
        <f>'2026 - WIP'!AY12</f>
        <v>0</v>
      </c>
      <c r="BJ128" s="58">
        <f>'2026 - WIP'!AZ12</f>
        <v>0</v>
      </c>
      <c r="BK128" s="57">
        <f>'2026 - WIP'!BA12</f>
        <v>0</v>
      </c>
      <c r="BL128" s="57">
        <f>'2026 - WIP'!BB12</f>
        <v>0</v>
      </c>
      <c r="BM128" s="57">
        <f>'2026 - WIP'!BC12</f>
        <v>0</v>
      </c>
      <c r="BN128" s="57">
        <f>'2026 - WIP'!BD12</f>
        <v>0</v>
      </c>
      <c r="BO128" s="59">
        <f>'2026 - WIP'!BE12</f>
        <v>0</v>
      </c>
      <c r="BP128" s="56">
        <f>'2026 - WIP'!BF12</f>
        <v>0</v>
      </c>
      <c r="BQ128" s="57">
        <f>'2026 - WIP'!BG12</f>
        <v>1</v>
      </c>
      <c r="BR128" s="57">
        <f>'2026 - WIP'!BH12</f>
        <v>0</v>
      </c>
      <c r="BS128" s="57">
        <f>'2026 - WIP'!BI12</f>
        <v>0</v>
      </c>
      <c r="BT128" s="57">
        <f>'2026 - WIP'!BJ12</f>
        <v>0</v>
      </c>
      <c r="BU128" s="57">
        <f>'2026 - WIP'!BK12</f>
        <v>0</v>
      </c>
      <c r="BV128" s="58">
        <f>'2026 - WIP'!BL12</f>
        <v>0</v>
      </c>
      <c r="BW128" s="58">
        <f>'2026 - WIP'!BM12</f>
        <v>0</v>
      </c>
      <c r="BX128" s="58">
        <f>'2026 - WIP'!BN12</f>
        <v>0</v>
      </c>
      <c r="BY128" s="58">
        <f>'2026 - WIP'!BO12</f>
        <v>0</v>
      </c>
      <c r="BZ128" s="57">
        <f>'2026 - WIP'!BP12</f>
        <v>0</v>
      </c>
      <c r="CA128" s="57">
        <f>'2026 - WIP'!BQ12</f>
        <v>0</v>
      </c>
      <c r="CB128" s="57">
        <f>'2026 - WIP'!BR12</f>
        <v>0</v>
      </c>
      <c r="CC128" s="57">
        <f>'2026 - WIP'!BS12</f>
        <v>0</v>
      </c>
      <c r="CD128" s="59">
        <f>'2026 - WIP'!BT12</f>
        <v>0</v>
      </c>
      <c r="CE128" s="56">
        <f>'2026 - WIP'!BU12</f>
        <v>73</v>
      </c>
      <c r="CF128" s="57">
        <f>'2026 - WIP'!BV12</f>
        <v>2638</v>
      </c>
      <c r="CG128" s="57">
        <f>'2026 - WIP'!BW12</f>
        <v>1</v>
      </c>
      <c r="CH128" s="57">
        <f>'2026 - WIP'!BX12</f>
        <v>29</v>
      </c>
      <c r="CI128" s="57">
        <f>'2026 - WIP'!BY12</f>
        <v>12</v>
      </c>
      <c r="CJ128" s="57">
        <f>'2026 - WIP'!BZ12</f>
        <v>4</v>
      </c>
      <c r="CK128" s="58">
        <f>'2026 - WIP'!CA12</f>
        <v>6.083333333333333</v>
      </c>
      <c r="CL128" s="58">
        <f>'2026 - WIP'!CB12</f>
        <v>108.3</v>
      </c>
      <c r="CM128" s="58">
        <f>'2026 - WIP'!CC12</f>
        <v>3.25</v>
      </c>
      <c r="CN128" s="58">
        <f>'2026 - WIP'!CD12</f>
        <v>28.8</v>
      </c>
      <c r="CO128" s="57">
        <f>'2026 - WIP'!CE12</f>
        <v>0</v>
      </c>
      <c r="CP128" s="57">
        <f>'2026 - WIP'!CF12</f>
        <v>4047</v>
      </c>
      <c r="CQ128" s="57">
        <f>'2026 - WIP'!CG12</f>
        <v>25</v>
      </c>
      <c r="CR128" s="57">
        <f>'2026 - WIP'!CH12</f>
        <v>0</v>
      </c>
      <c r="CS128" s="59">
        <f>'2026 - WIP'!CI12</f>
        <v>25.2</v>
      </c>
      <c r="CT128" s="56">
        <f>'2026 - WIP'!CJ12</f>
        <v>1060</v>
      </c>
      <c r="CU128" s="57">
        <f>'2026 - WIP'!CK12</f>
        <v>2382</v>
      </c>
      <c r="CV128" s="57">
        <f>'2026 - WIP'!CL12</f>
        <v>5</v>
      </c>
      <c r="CW128" s="57">
        <f>'2026 - WIP'!CM12</f>
        <v>24</v>
      </c>
      <c r="CX128" s="57">
        <f>'2026 - WIP'!CN12</f>
        <v>226</v>
      </c>
      <c r="CY128" s="57">
        <f>'2026 - WIP'!CO12</f>
        <v>45</v>
      </c>
      <c r="CZ128" s="58">
        <f>'2026 - WIP'!CP12</f>
        <v>4.6902654867256635</v>
      </c>
      <c r="DA128" s="58">
        <f>'2026 - WIP'!CQ12</f>
        <v>67.2</v>
      </c>
      <c r="DB128" s="58">
        <f>'2026 - WIP'!CR12</f>
        <v>3.08</v>
      </c>
      <c r="DC128" s="58">
        <f>'2026 - WIP'!CS12</f>
        <v>30.8</v>
      </c>
      <c r="DD128" s="57">
        <f>'2026 - WIP'!CT12</f>
        <v>311</v>
      </c>
      <c r="DE128" s="57">
        <f>'2026 - WIP'!CU12</f>
        <v>4182</v>
      </c>
      <c r="DF128" s="57">
        <f>'2026 - WIP'!CV12</f>
        <v>38</v>
      </c>
      <c r="DG128" s="57">
        <f>'2026 - WIP'!CW12</f>
        <v>1</v>
      </c>
      <c r="DH128" s="59">
        <f>'2026 - WIP'!CX12</f>
        <v>37.5</v>
      </c>
      <c r="DI128" s="56">
        <f>'2026 - WIP'!CY12</f>
        <v>80</v>
      </c>
      <c r="DJ128" s="57">
        <f>'2026 - WIP'!CZ12</f>
        <v>166</v>
      </c>
      <c r="DK128" s="57">
        <f>'2026 - WIP'!DA12</f>
        <v>0</v>
      </c>
      <c r="DL128" s="57">
        <f>'2026 - WIP'!DB12</f>
        <v>0</v>
      </c>
      <c r="DM128" s="57">
        <f>'2026 - WIP'!DC12</f>
        <v>16</v>
      </c>
      <c r="DN128" s="57">
        <f>'2026 - WIP'!DD12</f>
        <v>4</v>
      </c>
      <c r="DO128" s="58">
        <f>'2026 - WIP'!DE12</f>
        <v>5</v>
      </c>
      <c r="DP128" s="58">
        <f>'2026 - WIP'!DF12</f>
        <v>60.3</v>
      </c>
      <c r="DQ128" s="58">
        <f>'2026 - WIP'!DG12</f>
        <v>2.56</v>
      </c>
      <c r="DR128" s="58">
        <f>'2026 - WIP'!DH12</f>
        <v>0</v>
      </c>
      <c r="DS128" s="57">
        <f>'2026 - WIP'!DI12</f>
        <v>5</v>
      </c>
      <c r="DT128" s="57">
        <f>'2026 - WIP'!DJ12</f>
        <v>170</v>
      </c>
      <c r="DU128" s="57">
        <f>'2026 - WIP'!DK12</f>
        <v>1</v>
      </c>
      <c r="DV128" s="57">
        <f>'2026 - WIP'!DL12</f>
        <v>0</v>
      </c>
      <c r="DW128" s="59">
        <f>'2026 - WIP'!DM12</f>
        <v>0</v>
      </c>
    </row>
    <row r="129" spans="1:127" ht="15.75" customHeight="1" x14ac:dyDescent="0.2">
      <c r="A129" s="33">
        <f t="shared" si="12"/>
        <v>127</v>
      </c>
      <c r="B129" s="11">
        <f>'2022'!A9</f>
        <v>7</v>
      </c>
      <c r="C129" s="11">
        <v>2022</v>
      </c>
      <c r="D129" s="34" t="str">
        <f>'2022'!B9</f>
        <v>Kyren Williams</v>
      </c>
      <c r="E129" s="224" t="str" cm="1">
        <f t="array" ref="E129">_xlfn.IFS(F129&gt;=13,"Cornerstone",AND(F129&gt;=12,F129&lt;13),"Elite",AND(F129&gt;=11,F129&lt;12),"Elite Upside",AND(F129&gt;=9,F129&lt;11),"Upside",AND(F129&gt;=7,F129&lt;9),"Upside Lite",AND(F129&gt;=6,F129&lt;7),"Outlier",AND(F129&gt;=5,F129&lt;6),"Outlier Lite",F129&lt;5,"Purgatory")</f>
        <v>Upside Lite</v>
      </c>
      <c r="F129" s="14">
        <f>'2022'!C9</f>
        <v>7.2777777777777777</v>
      </c>
      <c r="G129" s="14">
        <f t="shared" si="19"/>
        <v>61.1</v>
      </c>
      <c r="H129" s="35">
        <f t="shared" si="13"/>
        <v>-0.30668271700468808</v>
      </c>
      <c r="I129" s="36" t="str">
        <f>'2022'!D9</f>
        <v>Notre Dame</v>
      </c>
      <c r="J129" s="37">
        <f>'2022'!E9</f>
        <v>2</v>
      </c>
      <c r="K129" s="38">
        <f>'2022'!F9</f>
        <v>36764</v>
      </c>
      <c r="L129" s="39">
        <f>'2022'!G9</f>
        <v>25.104109589041094</v>
      </c>
      <c r="M129" s="39" t="str">
        <f>'2022'!H9</f>
        <v>JR</v>
      </c>
      <c r="N129" s="39">
        <f>'2022'!I9</f>
        <v>21.684931506849313</v>
      </c>
      <c r="O129" s="39" t="str">
        <f t="shared" si="14"/>
        <v>DYNAMIC</v>
      </c>
      <c r="P129" s="39" t="str">
        <f t="shared" ref="P129:P136" si="24">IF(OR(AND($AA129&lt;0.25,$AM129&gt;=0.133,AE129&gt;4%),(AND($O129="JITTERBUG",$AM129&gt;0.11)),(AND($O129="JITTERBUG",$AE129&gt;9.5%))),"+RECEIVER",IF(AND($AJ129&gt;=0.25,$AO129&gt;=3.81),"3DOWN",IF($AO129&gt;=3.81,"HORSE",IF(OR(AJ129&gt;0.28,AK129&gt;7,AP129&gt;47),"SLASHER",IF(AM129&gt;0.19,"+RECEIVER","PLODDER")))))</f>
        <v>SLASHER</v>
      </c>
      <c r="Q129" s="37">
        <f>'2022'!J9</f>
        <v>69</v>
      </c>
      <c r="R129" s="37">
        <f>'2022'!K9</f>
        <v>194</v>
      </c>
      <c r="S129" s="39">
        <f t="shared" si="18"/>
        <v>28.648474520221463</v>
      </c>
      <c r="T129" s="37">
        <f>'2022'!L9</f>
        <v>4.6500000000000004</v>
      </c>
      <c r="U129" s="40">
        <f>'2022'!M9</f>
        <v>5</v>
      </c>
      <c r="V129" s="41">
        <f>'2022'!N9</f>
        <v>0</v>
      </c>
      <c r="W129" s="42">
        <f>'2022'!O9</f>
        <v>0</v>
      </c>
      <c r="X129" s="42">
        <f>'2022'!P9</f>
        <v>5.1739518287243534E-3</v>
      </c>
      <c r="Y129" s="42">
        <f>'2022'!Q9</f>
        <v>0.26662950575994054</v>
      </c>
      <c r="Z129" s="42">
        <f>'2022'!R9</f>
        <v>0.24345785959213137</v>
      </c>
      <c r="AA129" s="42">
        <f>'2022'!S9</f>
        <v>0.25504368267603594</v>
      </c>
      <c r="AB129" s="42">
        <f>'2022'!T9</f>
        <v>0.25504368267603594</v>
      </c>
      <c r="AC129" s="42">
        <f>'2022'!U9</f>
        <v>0.10916110916110916</v>
      </c>
      <c r="AD129" s="42">
        <f>'2022'!V9</f>
        <v>9.7766884531590409E-2</v>
      </c>
      <c r="AE129" s="42">
        <f>'2022'!W9</f>
        <v>0.10346399684634978</v>
      </c>
      <c r="AF129" s="43">
        <f>'2022'!X9</f>
        <v>0.10346399684634978</v>
      </c>
      <c r="AG129" s="44">
        <f>'2022'!Y9</f>
        <v>20.041095890410958</v>
      </c>
      <c r="AH129" s="45">
        <f>'2022'!Z9</f>
        <v>82.988882016372074</v>
      </c>
      <c r="AI129" s="45">
        <f>'2022'!AA9</f>
        <v>28.645662675908419</v>
      </c>
      <c r="AJ129" s="45">
        <f>'2022'!AB9</f>
        <v>0.28431372549019607</v>
      </c>
      <c r="AK129" s="45">
        <f>'2022'!AC9</f>
        <v>5.3</v>
      </c>
      <c r="AL129" s="45">
        <f t="shared" si="15"/>
        <v>8.6282051282051277</v>
      </c>
      <c r="AM129" s="45">
        <f t="shared" si="21"/>
        <v>0.17073170731707318</v>
      </c>
      <c r="AN129" s="45">
        <f>'2022'!AD9</f>
        <v>108.6</v>
      </c>
      <c r="AO129" s="45">
        <f>'2022'!AE9</f>
        <v>3.71</v>
      </c>
      <c r="AP129" s="46">
        <f>'2022'!AF9</f>
        <v>36.9</v>
      </c>
      <c r="AQ129" s="47">
        <f>'2022'!AG9</f>
        <v>6</v>
      </c>
      <c r="AR129" s="48">
        <f>'2022'!AH9</f>
        <v>9</v>
      </c>
      <c r="AS129" s="48">
        <f>'2022'!AI9</f>
        <v>4</v>
      </c>
      <c r="AT129" s="48">
        <f>IF(AH129&gt;113.25,10,IF(AH129&gt;=107.84,9,IF(AH129&gt;=105.37,8,IF(AH129&gt;=103.25,7,IF(AH129&gt;=100.55,6,IF(AH129&gt;=98.75,5,IF(AH129&gt;=96.08,4,IF(AH129&gt;=94.39,3,IF(AH129&gt;=88.43,2,IF(AH129&gt;=85.16,1,IF(AH129&lt;85.16,0,FALSE)))))))))))</f>
        <v>0</v>
      </c>
      <c r="AU129" s="48">
        <f>'2022'!AK9</f>
        <v>8</v>
      </c>
      <c r="AV129" s="48">
        <f>'2022'!AL9</f>
        <v>2</v>
      </c>
      <c r="AW129" s="48">
        <f>'2022'!AM9</f>
        <v>5</v>
      </c>
      <c r="AX129" s="48">
        <f>'2022'!AN9</f>
        <v>3</v>
      </c>
      <c r="AY129" s="49">
        <f>IF(U129=1,10,IF(U129=2,7,IF(U129=3,6,IF(U129=4,4,IF(U129=5,3,IF(U129=6,2,IF(U129=7,1,IF(U129=0,0,"-"))))))))</f>
        <v>3</v>
      </c>
      <c r="AZ129" s="50">
        <f>'2022'!AP9</f>
        <v>0.5</v>
      </c>
      <c r="BA129" s="56">
        <f>'2022'!AQ9</f>
        <v>0</v>
      </c>
      <c r="BB129" s="57">
        <f>'2022'!AR9</f>
        <v>3501</v>
      </c>
      <c r="BC129" s="57">
        <f>'2022'!AS9</f>
        <v>0</v>
      </c>
      <c r="BD129" s="57">
        <f>'2022'!AT9</f>
        <v>35</v>
      </c>
      <c r="BE129" s="57">
        <f>'2022'!AU9</f>
        <v>0</v>
      </c>
      <c r="BF129" s="57">
        <f>'2022'!AV9</f>
        <v>0</v>
      </c>
      <c r="BG129" s="58">
        <f>'2022'!AW9</f>
        <v>0</v>
      </c>
      <c r="BH129" s="58">
        <f>'2022'!AX9</f>
        <v>0</v>
      </c>
      <c r="BI129" s="58">
        <f>'2022'!AY9</f>
        <v>0</v>
      </c>
      <c r="BJ129" s="58">
        <f>'2022'!AZ9</f>
        <v>0</v>
      </c>
      <c r="BK129" s="57">
        <f>'2022'!BA9</f>
        <v>0</v>
      </c>
      <c r="BL129" s="57">
        <f>'2022'!BB9</f>
        <v>2326</v>
      </c>
      <c r="BM129" s="57">
        <f>'2022'!BC9</f>
        <v>0</v>
      </c>
      <c r="BN129" s="57">
        <f>'2022'!BD9</f>
        <v>0</v>
      </c>
      <c r="BO129" s="59">
        <f>'2022'!BE9</f>
        <v>20</v>
      </c>
      <c r="BP129" s="56">
        <f>'2022'!BF9</f>
        <v>0</v>
      </c>
      <c r="BQ129" s="57">
        <f>'2022'!BG9</f>
        <v>2374</v>
      </c>
      <c r="BR129" s="57">
        <f>'2022'!BH9</f>
        <v>0</v>
      </c>
      <c r="BS129" s="57">
        <f>'2022'!BI9</f>
        <v>27</v>
      </c>
      <c r="BT129" s="57">
        <f>'2022'!BJ9</f>
        <v>0</v>
      </c>
      <c r="BU129" s="57">
        <f>'2022'!BK9</f>
        <v>0</v>
      </c>
      <c r="BV129" s="58">
        <f>'2022'!BL9</f>
        <v>0</v>
      </c>
      <c r="BW129" s="58">
        <f>'2022'!BM9</f>
        <v>0</v>
      </c>
      <c r="BX129" s="58">
        <f>'2022'!BN9</f>
        <v>0</v>
      </c>
      <c r="BY129" s="58">
        <f>'2022'!BO9</f>
        <v>0</v>
      </c>
      <c r="BZ129" s="57">
        <f>'2022'!BP9</f>
        <v>0</v>
      </c>
      <c r="CA129" s="57">
        <f>'2022'!BQ9</f>
        <v>3347</v>
      </c>
      <c r="CB129" s="57">
        <f>'2022'!BR9</f>
        <v>0</v>
      </c>
      <c r="CC129" s="57">
        <f>'2022'!BS9</f>
        <v>0</v>
      </c>
      <c r="CD129" s="59">
        <f>'2022'!BT9</f>
        <v>23</v>
      </c>
      <c r="CE129" s="56">
        <f>'2022'!BU9</f>
        <v>26</v>
      </c>
      <c r="CF129" s="57">
        <f>'2022'!BV9</f>
        <v>2327</v>
      </c>
      <c r="CG129" s="57">
        <f>'2022'!BW9</f>
        <v>0</v>
      </c>
      <c r="CH129" s="57">
        <f>'2022'!BX9</f>
        <v>20</v>
      </c>
      <c r="CI129" s="57">
        <f>'2022'!BY9</f>
        <v>4</v>
      </c>
      <c r="CJ129" s="57">
        <f>'2022'!BZ9</f>
        <v>0</v>
      </c>
      <c r="CK129" s="58">
        <f>'2022'!CA9</f>
        <v>6.5</v>
      </c>
      <c r="CL129" s="58">
        <f>'2022'!CB9</f>
        <v>0</v>
      </c>
      <c r="CM129" s="58">
        <f>'2022'!CC9</f>
        <v>2.5</v>
      </c>
      <c r="CN129" s="58">
        <f>'2022'!CD9</f>
        <v>0</v>
      </c>
      <c r="CO129" s="57">
        <f>'2022'!CE9</f>
        <v>3</v>
      </c>
      <c r="CP129" s="57">
        <f>'2022'!CF9</f>
        <v>3278</v>
      </c>
      <c r="CQ129" s="57">
        <f>'2022'!CG9</f>
        <v>1</v>
      </c>
      <c r="CR129" s="57">
        <f>'2022'!CH9</f>
        <v>0</v>
      </c>
      <c r="CS129" s="59">
        <f>'2022'!CI9</f>
        <v>37</v>
      </c>
      <c r="CT129" s="56">
        <f>'2022'!CJ9</f>
        <v>1124</v>
      </c>
      <c r="CU129" s="57">
        <f>'2022'!CK9</f>
        <v>2533</v>
      </c>
      <c r="CV129" s="57">
        <f>'2022'!CL9</f>
        <v>13</v>
      </c>
      <c r="CW129" s="57">
        <f>'2022'!CM9</f>
        <v>33</v>
      </c>
      <c r="CX129" s="57">
        <f>'2022'!CN9</f>
        <v>211</v>
      </c>
      <c r="CY129" s="57">
        <f>'2022'!CO9</f>
        <v>38</v>
      </c>
      <c r="CZ129" s="58">
        <f>'2022'!CP9</f>
        <v>5.3</v>
      </c>
      <c r="DA129" s="58">
        <f>'2022'!CQ9</f>
        <v>63</v>
      </c>
      <c r="DB129" s="58">
        <f>'2022'!CR9</f>
        <v>3.3</v>
      </c>
      <c r="DC129" s="58">
        <f>'2022'!CS9</f>
        <v>36.9</v>
      </c>
      <c r="DD129" s="57">
        <f>'2022'!CT9</f>
        <v>311</v>
      </c>
      <c r="DE129" s="57">
        <f>'2022'!CU9</f>
        <v>2849</v>
      </c>
      <c r="DF129" s="57">
        <f>'2022'!CV9</f>
        <v>35</v>
      </c>
      <c r="DG129" s="57">
        <f>'2022'!CW9</f>
        <v>0</v>
      </c>
      <c r="DH129" s="59">
        <f>'2022'!CX9</f>
        <v>15</v>
      </c>
      <c r="DI129" s="56">
        <f>'2022'!CY9</f>
        <v>990</v>
      </c>
      <c r="DJ129" s="57">
        <f>'2022'!CZ9</f>
        <v>1869</v>
      </c>
      <c r="DK129" s="57">
        <f>'2022'!DA9</f>
        <v>14</v>
      </c>
      <c r="DL129" s="57">
        <f>'2022'!DB9</f>
        <v>23</v>
      </c>
      <c r="DM129" s="57">
        <f>'2022'!DC9</f>
        <v>204</v>
      </c>
      <c r="DN129" s="57">
        <f>'2022'!DD9</f>
        <v>58</v>
      </c>
      <c r="DO129" s="58">
        <f>'2022'!DE9</f>
        <v>4.9000000000000004</v>
      </c>
      <c r="DP129" s="58">
        <f>'2022'!DF9</f>
        <v>108.6</v>
      </c>
      <c r="DQ129" s="58">
        <f>'2022'!DG9</f>
        <v>3.71</v>
      </c>
      <c r="DR129" s="58">
        <f>'2022'!DH9</f>
        <v>33</v>
      </c>
      <c r="DS129" s="57">
        <f>'2022'!DI9</f>
        <v>359</v>
      </c>
      <c r="DT129" s="57">
        <f>'2022'!DJ9</f>
        <v>3672</v>
      </c>
      <c r="DU129" s="57">
        <f>'2022'!DK9</f>
        <v>42</v>
      </c>
      <c r="DV129" s="57">
        <f>'2022'!DL9</f>
        <v>0</v>
      </c>
      <c r="DW129" s="59">
        <f>'2022'!DM9</f>
        <v>30</v>
      </c>
    </row>
    <row r="130" spans="1:127" ht="15.75" customHeight="1" x14ac:dyDescent="0.2">
      <c r="A130" s="33">
        <f t="shared" si="12"/>
        <v>128</v>
      </c>
      <c r="B130" s="11">
        <f>'2024'!A13</f>
        <v>11</v>
      </c>
      <c r="C130" s="11">
        <v>2024</v>
      </c>
      <c r="D130" s="34" t="str">
        <f>'2024'!B13</f>
        <v>Tyrone Tracy</v>
      </c>
      <c r="E130" s="224" t="str" cm="1">
        <f t="array" ref="E130">_xlfn.IFS(F130&gt;=13,"Cornerstone",AND(F130&gt;=12,F130&lt;13),"Elite",AND(F130&gt;=11,F130&lt;12),"Elite Upside",AND(F130&gt;=9,F130&lt;11),"Upside",AND(F130&gt;=7,F130&lt;9),"Upside Lite",AND(F130&gt;=6,F130&lt;7),"Outlier",AND(F130&gt;=5,F130&lt;6),"Outlier Lite",F130&lt;5,"Purgatory")</f>
        <v>Upside Lite</v>
      </c>
      <c r="F130" s="14">
        <f>'2024'!C13</f>
        <v>7.2166666666666668</v>
      </c>
      <c r="G130" s="14">
        <f t="shared" si="19"/>
        <v>60.8</v>
      </c>
      <c r="H130" s="35">
        <f t="shared" si="13"/>
        <v>-0.33254647093044376</v>
      </c>
      <c r="I130" s="36" t="str">
        <f>'2024'!D13</f>
        <v>Purdue</v>
      </c>
      <c r="J130" s="37">
        <f>'2024'!E13</f>
        <v>2</v>
      </c>
      <c r="K130" s="38">
        <f>'2024'!F13</f>
        <v>36487</v>
      </c>
      <c r="L130" s="39">
        <f>'2024'!G13</f>
        <v>25.863013698630137</v>
      </c>
      <c r="M130" s="39" t="str">
        <f>'2024'!H13</f>
        <v>RS SR</v>
      </c>
      <c r="N130" s="39">
        <f>'2024'!I13</f>
        <v>24.443835616438356</v>
      </c>
      <c r="O130" s="39" t="str">
        <f t="shared" si="14"/>
        <v>DYNAMIC</v>
      </c>
      <c r="P130" s="39" t="str">
        <f t="shared" si="24"/>
        <v>+RECEIVER</v>
      </c>
      <c r="Q130" s="37">
        <f>'2024'!J13</f>
        <v>71</v>
      </c>
      <c r="R130" s="37">
        <f>'2024'!K13</f>
        <v>209</v>
      </c>
      <c r="S130" s="39">
        <f t="shared" si="18"/>
        <v>29.149260520302434</v>
      </c>
      <c r="T130" s="37">
        <f>'2024'!L13</f>
        <v>4.4800000000000004</v>
      </c>
      <c r="U130" s="40">
        <f>'2024'!M13</f>
        <v>5</v>
      </c>
      <c r="V130" s="41">
        <f>'2024'!N13</f>
        <v>0.13180816455032007</v>
      </c>
      <c r="W130" s="42">
        <f>'2024'!O13</f>
        <v>5.9685295713510576E-2</v>
      </c>
      <c r="X130" s="42">
        <f>'2024'!P13</f>
        <v>8.5744247733020793E-2</v>
      </c>
      <c r="Y130" s="42">
        <f>'2024'!Q13</f>
        <v>6.0030015007503747E-2</v>
      </c>
      <c r="Z130" s="42">
        <f>'2024'!R13</f>
        <v>0.20366696148973301</v>
      </c>
      <c r="AA130" s="42">
        <f>'2024'!S13</f>
        <v>0.20366696148973301</v>
      </c>
      <c r="AB130" s="42">
        <f>'2024'!T13</f>
        <v>0.20366696148973301</v>
      </c>
      <c r="AC130" s="42">
        <f>'2024'!U13</f>
        <v>5.0727608116417293E-2</v>
      </c>
      <c r="AD130" s="42">
        <f>'2024'!V13</f>
        <v>5.9400826446280995E-2</v>
      </c>
      <c r="AE130" s="42">
        <f>'2024'!W13</f>
        <v>5.9400826446280995E-2</v>
      </c>
      <c r="AF130" s="43">
        <f>'2024'!X13</f>
        <v>5.9400826446280995E-2</v>
      </c>
      <c r="AG130" s="44">
        <f>'2024'!Y13</f>
        <v>23.797260273972604</v>
      </c>
      <c r="AH130" s="45">
        <f>'2024'!Z13</f>
        <v>103.76818623953884</v>
      </c>
      <c r="AI130" s="45">
        <f>'2024'!AA13</f>
        <v>29.146399523903987</v>
      </c>
      <c r="AJ130" s="45">
        <f>'2024'!AB13</f>
        <v>0.47058823529411764</v>
      </c>
      <c r="AK130" s="45">
        <f>'2024'!AC13</f>
        <v>8.117647058823529</v>
      </c>
      <c r="AL130" s="45">
        <f t="shared" si="15"/>
        <v>10.621621621621621</v>
      </c>
      <c r="AM130" s="45">
        <f t="shared" si="21"/>
        <v>0.14285714285714285</v>
      </c>
      <c r="AN130" s="45">
        <f>'2024'!AD13</f>
        <v>163.5</v>
      </c>
      <c r="AO130" s="45">
        <f>'2024'!AE13</f>
        <v>4.4400000000000004</v>
      </c>
      <c r="AP130" s="46">
        <f>'2024'!AF13</f>
        <v>52.9</v>
      </c>
      <c r="AQ130" s="47">
        <f>'2024'!AG13</f>
        <v>4</v>
      </c>
      <c r="AR130" s="48">
        <f>'2024'!AH13</f>
        <v>6</v>
      </c>
      <c r="AS130" s="48">
        <f>'2024'!AI13</f>
        <v>0</v>
      </c>
      <c r="AT130" s="48">
        <f>'2024'!AJ13</f>
        <v>7</v>
      </c>
      <c r="AU130" s="48">
        <f>'2024'!AK13</f>
        <v>10</v>
      </c>
      <c r="AV130" s="48">
        <f>'2024'!AL13</f>
        <v>9</v>
      </c>
      <c r="AW130" s="48">
        <f>'2024'!AM13</f>
        <v>8</v>
      </c>
      <c r="AX130" s="48">
        <f>'2024'!AN13</f>
        <v>6</v>
      </c>
      <c r="AY130" s="49">
        <f>'2024'!AO13</f>
        <v>3</v>
      </c>
      <c r="AZ130" s="50">
        <f>'2024'!AP13</f>
        <v>0</v>
      </c>
      <c r="BA130" s="56">
        <f>'2024'!AQ13</f>
        <v>39</v>
      </c>
      <c r="BB130" s="57">
        <f>'2024'!AR13</f>
        <v>1788.8</v>
      </c>
      <c r="BC130" s="57">
        <f>'2024'!AS13</f>
        <v>16.900000000000002</v>
      </c>
      <c r="BD130" s="57">
        <f>'2024'!AT13</f>
        <v>16.900000000000002</v>
      </c>
      <c r="BE130" s="57">
        <f>'2024'!AU13</f>
        <v>6</v>
      </c>
      <c r="BF130" s="57">
        <f>'2024'!AV13</f>
        <v>0</v>
      </c>
      <c r="BG130" s="58">
        <f>'2024'!AW13</f>
        <v>6.5</v>
      </c>
      <c r="BH130" s="58">
        <f>'2024'!AX13</f>
        <v>66.7</v>
      </c>
      <c r="BI130" s="58">
        <f>'2024'!AY13</f>
        <v>2</v>
      </c>
      <c r="BJ130" s="58">
        <f>'2024'!AZ13</f>
        <v>59</v>
      </c>
      <c r="BK130" s="57">
        <f>'2024'!BA13</f>
        <v>589</v>
      </c>
      <c r="BL130" s="57">
        <f>'2024'!BB13</f>
        <v>2975.7000000000003</v>
      </c>
      <c r="BM130" s="57">
        <f>'2024'!BC13</f>
        <v>36</v>
      </c>
      <c r="BN130" s="57">
        <f>'2024'!BD13</f>
        <v>3</v>
      </c>
      <c r="BO130" s="59">
        <f>'2024'!BE13</f>
        <v>15.6</v>
      </c>
      <c r="BP130" s="56">
        <f>'2024'!BF13</f>
        <v>22</v>
      </c>
      <c r="BQ130" s="57">
        <f>'2024'!BG13</f>
        <v>1368</v>
      </c>
      <c r="BR130" s="57">
        <f>'2024'!BH13</f>
        <v>0</v>
      </c>
      <c r="BS130" s="57">
        <f>'2024'!BI13</f>
        <v>0</v>
      </c>
      <c r="BT130" s="57">
        <f>'2024'!BJ13</f>
        <v>2</v>
      </c>
      <c r="BU130" s="57">
        <f>'2024'!BK13</f>
        <v>0</v>
      </c>
      <c r="BV130" s="58">
        <f>'2024'!BL13</f>
        <v>11</v>
      </c>
      <c r="BW130" s="58">
        <f>'2024'!BM13</f>
        <v>46.9</v>
      </c>
      <c r="BX130" s="58">
        <f>'2024'!BN13</f>
        <v>2.5</v>
      </c>
      <c r="BY130" s="58">
        <f>'2024'!BO13</f>
        <v>95.5</v>
      </c>
      <c r="BZ130" s="57">
        <f>'2024'!BP13</f>
        <v>154</v>
      </c>
      <c r="CA130" s="57">
        <f>'2024'!BQ13</f>
        <v>1580.8</v>
      </c>
      <c r="CB130" s="57">
        <f>'2024'!BR13</f>
        <v>14</v>
      </c>
      <c r="CC130" s="57">
        <f>'2024'!BS13</f>
        <v>1</v>
      </c>
      <c r="CD130" s="59">
        <f>'2024'!BT13</f>
        <v>8.8000000000000007</v>
      </c>
      <c r="CE130" s="56">
        <f>'2024'!BU13</f>
        <v>39</v>
      </c>
      <c r="CF130" s="57">
        <f>'2024'!BV13</f>
        <v>1609.3999999999999</v>
      </c>
      <c r="CG130" s="57">
        <f>'2024'!BW13</f>
        <v>1</v>
      </c>
      <c r="CH130" s="57">
        <f>'2024'!BX13</f>
        <v>16.900000000000002</v>
      </c>
      <c r="CI130" s="57">
        <f>'2024'!BY13</f>
        <v>8</v>
      </c>
      <c r="CJ130" s="57">
        <f>'2024'!BZ13</f>
        <v>3</v>
      </c>
      <c r="CK130" s="58">
        <f>'2024'!CA13</f>
        <v>4.875</v>
      </c>
      <c r="CL130" s="58">
        <f>'2024'!CB13</f>
        <v>52.3</v>
      </c>
      <c r="CM130" s="58">
        <f>'2024'!CC13</f>
        <v>2.88</v>
      </c>
      <c r="CN130" s="58">
        <f>'2024'!CD13</f>
        <v>0</v>
      </c>
      <c r="CO130" s="57">
        <f>'2024'!CE13</f>
        <v>100</v>
      </c>
      <c r="CP130" s="57">
        <f>'2024'!CF13</f>
        <v>11.700000000000001</v>
      </c>
      <c r="CQ130" s="57">
        <f>'2024'!CG13</f>
        <v>14</v>
      </c>
      <c r="CR130" s="57">
        <f>'2024'!CH13</f>
        <v>1</v>
      </c>
      <c r="CS130" s="59">
        <f>'2024'!CI13</f>
        <v>11.700000000000001</v>
      </c>
      <c r="CT130" s="56">
        <f>'2024'!CJ13</f>
        <v>138</v>
      </c>
      <c r="CU130" s="57">
        <f>'2024'!CK13</f>
        <v>1694</v>
      </c>
      <c r="CV130" s="57">
        <f>'2024'!CL13</f>
        <v>0</v>
      </c>
      <c r="CW130" s="57">
        <f>'2024'!CM13</f>
        <v>16.8</v>
      </c>
      <c r="CX130" s="57">
        <f>'2024'!CN13</f>
        <v>17</v>
      </c>
      <c r="CY130" s="57">
        <f>'2024'!CO13</f>
        <v>8</v>
      </c>
      <c r="CZ130" s="58">
        <f>'2024'!CP13</f>
        <v>8.117647058823529</v>
      </c>
      <c r="DA130" s="58">
        <f>'2024'!CQ13</f>
        <v>120.7</v>
      </c>
      <c r="DB130" s="58">
        <f>'2024'!CR13</f>
        <v>4.18</v>
      </c>
      <c r="DC130" s="58">
        <f>'2024'!CS13</f>
        <v>52.9</v>
      </c>
      <c r="DD130" s="57">
        <f>'2024'!CT13</f>
        <v>198</v>
      </c>
      <c r="DE130" s="57">
        <f>'2024'!CU13</f>
        <v>3903.2000000000003</v>
      </c>
      <c r="DF130" s="57">
        <f>'2024'!CV13</f>
        <v>28</v>
      </c>
      <c r="DG130" s="57">
        <f>'2024'!CW13</f>
        <v>0</v>
      </c>
      <c r="DH130" s="59">
        <f>'2024'!CX13</f>
        <v>26.599999999999998</v>
      </c>
      <c r="DI130" s="56">
        <f>'2024'!CY13</f>
        <v>714</v>
      </c>
      <c r="DJ130" s="57">
        <f>'2024'!CZ13</f>
        <v>1860.1</v>
      </c>
      <c r="DK130" s="57">
        <f>'2024'!DA13</f>
        <v>8</v>
      </c>
      <c r="DL130" s="57">
        <f>'2024'!DB13</f>
        <v>18.7</v>
      </c>
      <c r="DM130" s="57">
        <f>'2024'!DC13</f>
        <v>114</v>
      </c>
      <c r="DN130" s="57">
        <f>'2024'!DD13</f>
        <v>46</v>
      </c>
      <c r="DO130" s="58">
        <f>'2024'!DE13</f>
        <v>6.2631578947368425</v>
      </c>
      <c r="DP130" s="58">
        <f>'2024'!DF13</f>
        <v>163.5</v>
      </c>
      <c r="DQ130" s="58">
        <f>'2024'!DG13</f>
        <v>4.4400000000000004</v>
      </c>
      <c r="DR130" s="58">
        <f>'2024'!DH13</f>
        <v>49.6</v>
      </c>
      <c r="DS130" s="57">
        <f>'2024'!DI13</f>
        <v>138</v>
      </c>
      <c r="DT130" s="57">
        <f>'2024'!DJ13</f>
        <v>2323.1999999999998</v>
      </c>
      <c r="DU130" s="57">
        <f>'2024'!DK13</f>
        <v>19</v>
      </c>
      <c r="DV130" s="57">
        <f>'2024'!DL13</f>
        <v>0</v>
      </c>
      <c r="DW130" s="59">
        <f>'2024'!DM13</f>
        <v>14.3</v>
      </c>
    </row>
    <row r="131" spans="1:127" ht="15.75" customHeight="1" x14ac:dyDescent="0.2">
      <c r="A131" s="33">
        <f t="shared" ref="A131:A194" si="25">_xlfn.RANK.EQ(F131,F$3:F$328)</f>
        <v>129</v>
      </c>
      <c r="B131" s="11">
        <f>'2021'!A11</f>
        <v>9</v>
      </c>
      <c r="C131" s="11">
        <v>2021</v>
      </c>
      <c r="D131" s="34" t="str">
        <f>'2021'!B11</f>
        <v>Kenneth Gainwell</v>
      </c>
      <c r="E131" s="224" t="str" cm="1">
        <f t="array" ref="E131">_xlfn.IFS(F131&gt;=13,"Cornerstone",AND(F131&gt;=12,F131&lt;13),"Elite",AND(F131&gt;=11,F131&lt;12),"Elite Upside",AND(F131&gt;=9,F131&lt;11),"Upside",AND(F131&gt;=7,F131&lt;9),"Upside Lite",AND(F131&gt;=6,F131&lt;7),"Outlier",AND(F131&gt;=5,F131&lt;6),"Outlier Lite",F131&lt;5,"Purgatory")</f>
        <v>Upside Lite</v>
      </c>
      <c r="F131" s="14">
        <f>'2021'!C11</f>
        <v>7.2111111111111112</v>
      </c>
      <c r="G131" s="14">
        <f t="shared" si="19"/>
        <v>60.5</v>
      </c>
      <c r="H131" s="35">
        <f t="shared" ref="H131:H194" si="26">STANDARDIZE(F131,(AVERAGE($F$3:$F$244)),(_xlfn.STDEV.P($F$3:$F$244)))</f>
        <v>-0.33489772128733059</v>
      </c>
      <c r="I131" s="36" t="str">
        <f>'2021'!D11</f>
        <v>Memphis</v>
      </c>
      <c r="J131" s="37">
        <f>'2021'!E11</f>
        <v>6</v>
      </c>
      <c r="K131" s="38">
        <f>'2021'!F11</f>
        <v>36233</v>
      </c>
      <c r="L131" s="39">
        <f>'2021'!G11</f>
        <v>26.55890410958904</v>
      </c>
      <c r="M131" s="39" t="str">
        <f>'2021'!H11</f>
        <v>JR</v>
      </c>
      <c r="N131" s="39">
        <f>'2021'!I11</f>
        <v>22.142465753424659</v>
      </c>
      <c r="O131" s="39" t="str">
        <f t="shared" ref="O131:O194" si="27">IF(AND(R131&gt;=225,T131&gt;=4.51),"BRUISER",IF(AND(R131&gt;=215,T131&lt;=4.51),"FREAK",IF(AND(R131&gt;=200,T131&gt;=4.51,Q131&gt;70),"BELL COW",IF(AND(R131&gt;=200,T131&gt;=4.51,Q131&lt;=70),"BELL CALF",IF(OR(AND(R131&lt;200,T131&lt;4.5),AND(R131&gt;=200,T131&lt;=4.35)),"JITTERBUG","DYNAMIC")))))</f>
        <v>DYNAMIC</v>
      </c>
      <c r="P131" s="39" t="str">
        <f t="shared" si="24"/>
        <v>+RECEIVER</v>
      </c>
      <c r="Q131" s="37">
        <f>'2021'!J11</f>
        <v>68</v>
      </c>
      <c r="R131" s="37">
        <f>'2021'!K11</f>
        <v>201</v>
      </c>
      <c r="S131" s="39">
        <f t="shared" si="18"/>
        <v>30.561606884459451</v>
      </c>
      <c r="T131" s="37">
        <f>'2021'!L11</f>
        <v>4.47</v>
      </c>
      <c r="U131" s="40">
        <f>'2021'!M11</f>
        <v>5</v>
      </c>
      <c r="V131" s="41">
        <f>'2021'!N11</f>
        <v>0</v>
      </c>
      <c r="W131" s="42">
        <f>'2021'!O11</f>
        <v>0</v>
      </c>
      <c r="X131" s="42">
        <f>'2021'!P11</f>
        <v>1.9524849808847625E-2</v>
      </c>
      <c r="Y131" s="42">
        <f>'2021'!Q11</f>
        <v>0.30569871889265204</v>
      </c>
      <c r="Z131" s="42">
        <f>'2021'!R11</f>
        <v>0</v>
      </c>
      <c r="AA131" s="42">
        <f>'2021'!S11</f>
        <v>0.15284935944632602</v>
      </c>
      <c r="AB131" s="42">
        <f>'2021'!T11</f>
        <v>0.11463701958474451</v>
      </c>
      <c r="AC131" s="42">
        <f>'2021'!U11</f>
        <v>0.14603782619104622</v>
      </c>
      <c r="AD131" s="42">
        <f>'2021'!V11</f>
        <v>0</v>
      </c>
      <c r="AE131" s="42">
        <f>'2021'!W11</f>
        <v>0.14603782619104622</v>
      </c>
      <c r="AF131" s="43">
        <f>'2021'!X11</f>
        <v>0.10952836964328466</v>
      </c>
      <c r="AG131" s="44">
        <f>'2021'!Y11</f>
        <v>20.479452054794521</v>
      </c>
      <c r="AH131" s="45">
        <f>'2021'!Z11</f>
        <v>100.69223032609149</v>
      </c>
      <c r="AI131" s="45">
        <f>'2021'!AA11</f>
        <v>30.558607266435985</v>
      </c>
      <c r="AJ131" s="45">
        <f>'2021'!AB11</f>
        <v>0.24454148471615719</v>
      </c>
      <c r="AK131" s="45">
        <f>'2021'!AC11</f>
        <v>6.4</v>
      </c>
      <c r="AL131" s="45">
        <f t="shared" ref="AL131:AL194" si="28">SUM(BK131,BZ131,CO131,DD131,DS131)/SUM(BM131,CB131,CQ131,DF131,DU131)</f>
        <v>12.980392156862745</v>
      </c>
      <c r="AM131" s="45">
        <f>DF131/SUM(CX131,DF131)</f>
        <v>0.18214285714285713</v>
      </c>
      <c r="AN131" s="45">
        <f>'2021'!AD11</f>
        <v>93.8</v>
      </c>
      <c r="AO131" s="45">
        <f>'2021'!AE11</f>
        <v>3.45</v>
      </c>
      <c r="AP131" s="46">
        <f>'2021'!AF11</f>
        <v>50.9</v>
      </c>
      <c r="AQ131" s="47">
        <f>'2021'!AG11</f>
        <v>0</v>
      </c>
      <c r="AR131" s="48">
        <f>'2021'!AH11</f>
        <v>9</v>
      </c>
      <c r="AS131" s="48">
        <f>'2021'!AI11</f>
        <v>4</v>
      </c>
      <c r="AT131" s="48">
        <f>IF(AH131&gt;113.25,10,IF(AH131&gt;=107.84,9,IF(AH131&gt;=105.37,8,IF(AH131&gt;=103.25,7,IF(AH131&gt;=100.55,6,IF(AH131&gt;=98.75,5,IF(AH131&gt;=96.08,4,IF(AH131&gt;=94.39,3,IF(AH131&gt;=88.43,2,IF(AH131&gt;=85.16,1,IF(AH131&lt;85.16,0,FALSE)))))))))))</f>
        <v>6</v>
      </c>
      <c r="AU131" s="48">
        <f>'2021'!AK11</f>
        <v>6</v>
      </c>
      <c r="AV131" s="48">
        <f>'2021'!AL11</f>
        <v>6</v>
      </c>
      <c r="AW131" s="48">
        <f>'2021'!AM11</f>
        <v>3</v>
      </c>
      <c r="AX131" s="48">
        <f>'2021'!AN11</f>
        <v>1</v>
      </c>
      <c r="AY131" s="49">
        <f>IF(U131=1,10,IF(U131=2,7,IF(U131=3,6,IF(U131=4,4,IF(U131=5,3,IF(U131=6,2,IF(U131=7,1,IF(U131=0,0,"-"))))))))</f>
        <v>3</v>
      </c>
      <c r="AZ131" s="50">
        <f>'2021'!AP11</f>
        <v>1</v>
      </c>
      <c r="BA131" s="56">
        <f>'2021'!AQ11</f>
        <v>0</v>
      </c>
      <c r="BB131" s="57">
        <f>'2021'!AR11</f>
        <v>2071</v>
      </c>
      <c r="BC131" s="57">
        <f>'2021'!AS11</f>
        <v>0</v>
      </c>
      <c r="BD131" s="57">
        <f>'2021'!AT11</f>
        <v>23</v>
      </c>
      <c r="BE131" s="57">
        <f>'2021'!AU11</f>
        <v>0</v>
      </c>
      <c r="BF131" s="57">
        <f>'2021'!AV11</f>
        <v>0</v>
      </c>
      <c r="BG131" s="58">
        <f>'2021'!AW11</f>
        <v>0</v>
      </c>
      <c r="BH131" s="58">
        <f>'2021'!AX11</f>
        <v>0</v>
      </c>
      <c r="BI131" s="58">
        <f>'2021'!AY11</f>
        <v>0</v>
      </c>
      <c r="BJ131" s="58">
        <f>'2021'!AZ11</f>
        <v>0</v>
      </c>
      <c r="BK131" s="57">
        <f>'2021'!BA11</f>
        <v>0</v>
      </c>
      <c r="BL131" s="57">
        <f>'2021'!BB11</f>
        <v>3957</v>
      </c>
      <c r="BM131" s="57">
        <f>'2021'!BC11</f>
        <v>0</v>
      </c>
      <c r="BN131" s="57">
        <f>'2021'!BD11</f>
        <v>0</v>
      </c>
      <c r="BO131" s="59">
        <f>'2021'!BE11</f>
        <v>34</v>
      </c>
      <c r="BP131" s="56">
        <f>'2021'!BF11</f>
        <v>0</v>
      </c>
      <c r="BQ131" s="57">
        <f>'2021'!BG11</f>
        <v>2562</v>
      </c>
      <c r="BR131" s="57">
        <f>'2021'!BH11</f>
        <v>0</v>
      </c>
      <c r="BS131" s="57">
        <f>'2021'!BI11</f>
        <v>33</v>
      </c>
      <c r="BT131" s="57">
        <f>'2021'!BJ11</f>
        <v>0</v>
      </c>
      <c r="BU131" s="57">
        <f>'2021'!BK11</f>
        <v>0</v>
      </c>
      <c r="BV131" s="58">
        <f>'2021'!BL11</f>
        <v>0</v>
      </c>
      <c r="BW131" s="58">
        <f>'2021'!BM11</f>
        <v>0</v>
      </c>
      <c r="BX131" s="58">
        <f>'2021'!BN11</f>
        <v>0</v>
      </c>
      <c r="BY131" s="58">
        <f>'2021'!BO11</f>
        <v>0</v>
      </c>
      <c r="BZ131" s="57">
        <f>'2021'!BP11</f>
        <v>0</v>
      </c>
      <c r="CA131" s="57">
        <f>'2021'!BQ11</f>
        <v>4355</v>
      </c>
      <c r="CB131" s="57">
        <f>'2021'!BR11</f>
        <v>0</v>
      </c>
      <c r="CC131" s="57">
        <f>'2021'!BS11</f>
        <v>0</v>
      </c>
      <c r="CD131" s="59">
        <f>'2021'!BT11</f>
        <v>39</v>
      </c>
      <c r="CE131" s="56">
        <f>'2021'!BU11</f>
        <v>91</v>
      </c>
      <c r="CF131" s="57">
        <f>'2021'!BV11</f>
        <v>3919</v>
      </c>
      <c r="CG131" s="57">
        <f>'2021'!BW11</f>
        <v>1</v>
      </c>
      <c r="CH131" s="57">
        <f>'2021'!BX11</f>
        <v>48</v>
      </c>
      <c r="CI131" s="57">
        <f>'2021'!BY11</f>
        <v>4</v>
      </c>
      <c r="CJ131" s="57">
        <f>'2021'!BZ11</f>
        <v>1</v>
      </c>
      <c r="CK131" s="58">
        <f>'2021'!CA11</f>
        <v>22.8</v>
      </c>
      <c r="CL131" s="58">
        <f>'2021'!CB11</f>
        <v>200</v>
      </c>
      <c r="CM131" s="58">
        <f>'2021'!CC11</f>
        <v>20</v>
      </c>
      <c r="CN131" s="58">
        <f>'2021'!CD11</f>
        <v>79.099999999999994</v>
      </c>
      <c r="CO131" s="57">
        <f>'2021'!CE11</f>
        <v>52</v>
      </c>
      <c r="CP131" s="57">
        <f>'2021'!CF11</f>
        <v>3405</v>
      </c>
      <c r="CQ131" s="57">
        <f>'2021'!CG11</f>
        <v>0</v>
      </c>
      <c r="CR131" s="57">
        <f>'2021'!CH11</f>
        <v>0</v>
      </c>
      <c r="CS131" s="59">
        <f>'2021'!CI11</f>
        <v>28</v>
      </c>
      <c r="CT131" s="56">
        <f>'2021'!CJ11</f>
        <v>1466</v>
      </c>
      <c r="CU131" s="57">
        <f>'2021'!CK11</f>
        <v>2614</v>
      </c>
      <c r="CV131" s="57">
        <f>'2021'!CL11</f>
        <v>13</v>
      </c>
      <c r="CW131" s="57">
        <f>'2021'!CM11</f>
        <v>32</v>
      </c>
      <c r="CX131" s="57">
        <f>'2021'!CN11</f>
        <v>229</v>
      </c>
      <c r="CY131" s="57">
        <f>'2021'!CO11</f>
        <v>56</v>
      </c>
      <c r="CZ131" s="58">
        <f>'2021'!CP11</f>
        <v>6.4</v>
      </c>
      <c r="DA131" s="58">
        <f>'2021'!CQ11</f>
        <v>93.8</v>
      </c>
      <c r="DB131" s="58">
        <f>'2021'!CR11</f>
        <v>3.45</v>
      </c>
      <c r="DC131" s="58">
        <f>'2021'!CS11</f>
        <v>50.9</v>
      </c>
      <c r="DD131" s="57">
        <f>'2021'!CT11</f>
        <v>610</v>
      </c>
      <c r="DE131" s="57">
        <f>'2021'!CU11</f>
        <v>4177</v>
      </c>
      <c r="DF131" s="57">
        <f>'2021'!CV11</f>
        <v>51</v>
      </c>
      <c r="DG131" s="57">
        <f>'2021'!CW11</f>
        <v>0</v>
      </c>
      <c r="DH131" s="59">
        <f>'2021'!CX11</f>
        <v>33</v>
      </c>
      <c r="DI131" s="56">
        <f>'2021'!CY11</f>
        <v>0</v>
      </c>
      <c r="DJ131" s="57">
        <f>'2021'!CZ11</f>
        <v>1597</v>
      </c>
      <c r="DK131" s="57">
        <f>'2021'!DA11</f>
        <v>0</v>
      </c>
      <c r="DL131" s="57">
        <f>'2021'!DB11</f>
        <v>9</v>
      </c>
      <c r="DM131" s="57">
        <f>'2021'!DC11</f>
        <v>0</v>
      </c>
      <c r="DN131" s="57">
        <f>'2021'!DD11</f>
        <v>0</v>
      </c>
      <c r="DO131" s="58">
        <f>'2021'!DE11</f>
        <v>0</v>
      </c>
      <c r="DP131" s="58">
        <f>'2021'!DF11</f>
        <v>0</v>
      </c>
      <c r="DQ131" s="58">
        <f>'2021'!DG11</f>
        <v>0</v>
      </c>
      <c r="DR131" s="58">
        <f>'2021'!DH11</f>
        <v>0</v>
      </c>
      <c r="DS131" s="57">
        <f>'2021'!DI11</f>
        <v>0</v>
      </c>
      <c r="DT131" s="57">
        <f>'2021'!DJ11</f>
        <v>3387</v>
      </c>
      <c r="DU131" s="57">
        <f>'2021'!DK11</f>
        <v>0</v>
      </c>
      <c r="DV131" s="57">
        <f>'2021'!DL11</f>
        <v>0</v>
      </c>
      <c r="DW131" s="59">
        <f>'2021'!DM11</f>
        <v>31</v>
      </c>
    </row>
    <row r="132" spans="1:127" ht="15.75" customHeight="1" x14ac:dyDescent="0.2">
      <c r="A132" s="33">
        <f t="shared" si="25"/>
        <v>130</v>
      </c>
      <c r="B132" s="11">
        <f>'2024'!A14</f>
        <v>12</v>
      </c>
      <c r="C132" s="11">
        <v>2024</v>
      </c>
      <c r="D132" s="34" t="str">
        <f>'2024'!B14</f>
        <v>Isaac Guerendo</v>
      </c>
      <c r="E132" s="224" t="str" cm="1">
        <f t="array" ref="E132">_xlfn.IFS(F132&gt;=13,"Cornerstone",AND(F132&gt;=12,F132&lt;13),"Elite",AND(F132&gt;=11,F132&lt;12),"Elite Upside",AND(F132&gt;=9,F132&lt;11),"Upside",AND(F132&gt;=7,F132&lt;9),"Upside Lite",AND(F132&gt;=6,F132&lt;7),"Outlier",AND(F132&gt;=5,F132&lt;6),"Outlier Lite",F132&lt;5,"Purgatory")</f>
        <v>Upside Lite</v>
      </c>
      <c r="F132" s="14">
        <f>'2024'!C14</f>
        <v>7.1999999999999993</v>
      </c>
      <c r="G132" s="14">
        <f t="shared" si="19"/>
        <v>60.199999999999996</v>
      </c>
      <c r="H132" s="35">
        <f t="shared" si="26"/>
        <v>-0.33960022200110473</v>
      </c>
      <c r="I132" s="36" t="str">
        <f>'2024'!D14</f>
        <v>Louisville</v>
      </c>
      <c r="J132" s="37">
        <f>'2024'!E14</f>
        <v>4</v>
      </c>
      <c r="K132" s="38">
        <f>'2024'!F14</f>
        <v>36705</v>
      </c>
      <c r="L132" s="39">
        <f>'2024'!G14</f>
        <v>25.265753424657536</v>
      </c>
      <c r="M132" s="39" t="str">
        <f>'2024'!H14</f>
        <v>RS SR</v>
      </c>
      <c r="N132" s="39">
        <f>'2024'!I14</f>
        <v>23.846575342465755</v>
      </c>
      <c r="O132" s="39" t="str">
        <f t="shared" si="27"/>
        <v>FREAK</v>
      </c>
      <c r="P132" s="39" t="str">
        <f t="shared" si="24"/>
        <v>+RECEIVER</v>
      </c>
      <c r="Q132" s="37">
        <f>'2024'!J14</f>
        <v>72</v>
      </c>
      <c r="R132" s="37">
        <f>'2024'!K14</f>
        <v>221</v>
      </c>
      <c r="S132" s="39">
        <f t="shared" ref="S132:S195" si="29">R132*0.453592/(Q132*0.0254)^2</f>
        <v>29.972656318769427</v>
      </c>
      <c r="T132" s="37">
        <f>'2024'!L14</f>
        <v>4.33</v>
      </c>
      <c r="U132" s="40">
        <f>'2024'!M14</f>
        <v>4</v>
      </c>
      <c r="V132" s="41">
        <f>'2024'!N14</f>
        <v>9.2208390963577688E-3</v>
      </c>
      <c r="W132" s="42">
        <f>'2024'!O14</f>
        <v>0.10416666666666666</v>
      </c>
      <c r="X132" s="42">
        <f>'2024'!P14</f>
        <v>0.19584709768758848</v>
      </c>
      <c r="Y132" s="42">
        <f>'2024'!Q14</f>
        <v>0.11459479281261457</v>
      </c>
      <c r="Z132" s="42">
        <f>'2024'!R14</f>
        <v>0.17964690091888358</v>
      </c>
      <c r="AA132" s="42">
        <f>'2024'!S14</f>
        <v>0.18774699930323602</v>
      </c>
      <c r="AB132" s="42">
        <f>'2024'!T14</f>
        <v>0.16897229937291242</v>
      </c>
      <c r="AC132" s="42">
        <f>'2024'!U14</f>
        <v>5.2140007254261871E-2</v>
      </c>
      <c r="AD132" s="42">
        <f>'2024'!V14</f>
        <v>7.0643642072213506E-2</v>
      </c>
      <c r="AE132" s="42">
        <f>'2024'!W14</f>
        <v>7.0643642072213506E-2</v>
      </c>
      <c r="AF132" s="43">
        <f>'2024'!X14</f>
        <v>6.3579277864992151E-2</v>
      </c>
      <c r="AG132" s="44">
        <f>'2024'!Y14</f>
        <v>21.18904109589041</v>
      </c>
      <c r="AH132" s="45">
        <f>'2024'!Z14</f>
        <v>125.73919741084096</v>
      </c>
      <c r="AI132" s="45">
        <f>'2024'!AA14</f>
        <v>29.969714506172842</v>
      </c>
      <c r="AJ132" s="45">
        <f>'2024'!AB14</f>
        <v>0.2608695652173913</v>
      </c>
      <c r="AK132" s="45">
        <f>'2024'!AC14</f>
        <v>6.1363636363636367</v>
      </c>
      <c r="AL132" s="45">
        <f t="shared" si="28"/>
        <v>8.5238095238095237</v>
      </c>
      <c r="AM132" s="45">
        <f t="shared" ref="AM132:AM145" si="30">DU132/SUM(DM132,DU132)</f>
        <v>0.14285714285714285</v>
      </c>
      <c r="AN132" s="45">
        <f>'2024'!AD14</f>
        <v>104.2</v>
      </c>
      <c r="AO132" s="45">
        <f>'2024'!AE14</f>
        <v>4.1100000000000003</v>
      </c>
      <c r="AP132" s="46">
        <f>'2024'!AF14</f>
        <v>60.6</v>
      </c>
      <c r="AQ132" s="47">
        <f>'2024'!AG14</f>
        <v>2</v>
      </c>
      <c r="AR132" s="48">
        <f>'2024'!AH14</f>
        <v>7</v>
      </c>
      <c r="AS132" s="48">
        <f>'2024'!AI14</f>
        <v>3</v>
      </c>
      <c r="AT132" s="48">
        <f>'2024'!AJ14</f>
        <v>10</v>
      </c>
      <c r="AU132" s="48">
        <f>'2024'!AK14</f>
        <v>7</v>
      </c>
      <c r="AV132" s="48">
        <f>'2024'!AL14</f>
        <v>5</v>
      </c>
      <c r="AW132" s="48">
        <f>'2024'!AM14</f>
        <v>4</v>
      </c>
      <c r="AX132" s="48">
        <f>'2024'!AN14</f>
        <v>5</v>
      </c>
      <c r="AY132" s="49">
        <f>'2024'!AO14</f>
        <v>4</v>
      </c>
      <c r="AZ132" s="50">
        <f>'2024'!AP14</f>
        <v>0.25</v>
      </c>
      <c r="BA132" s="56">
        <f>'2024'!AQ14</f>
        <v>1</v>
      </c>
      <c r="BB132" s="57">
        <f>'2024'!AR14</f>
        <v>233.7</v>
      </c>
      <c r="BC132" s="57">
        <f>'2024'!AS14</f>
        <v>2.7</v>
      </c>
      <c r="BD132" s="57">
        <f>'2024'!AT14</f>
        <v>2.7</v>
      </c>
      <c r="BE132" s="57">
        <f>'2024'!AU14</f>
        <v>1</v>
      </c>
      <c r="BF132" s="57">
        <f>'2024'!AV14</f>
        <v>0</v>
      </c>
      <c r="BG132" s="58">
        <f>'2024'!AW14</f>
        <v>1</v>
      </c>
      <c r="BH132" s="58">
        <f>'2024'!AX14</f>
        <v>0</v>
      </c>
      <c r="BI132" s="58">
        <f>'2024'!AY14</f>
        <v>3</v>
      </c>
      <c r="BJ132" s="58">
        <f>'2024'!AZ14</f>
        <v>0</v>
      </c>
      <c r="BK132" s="57">
        <f>'2024'!BA14</f>
        <v>3</v>
      </c>
      <c r="BL132" s="57">
        <f>'2024'!BB14</f>
        <v>200.1</v>
      </c>
      <c r="BM132" s="57">
        <f>'2024'!BC14</f>
        <v>1</v>
      </c>
      <c r="BN132" s="57">
        <f>'2024'!BD14</f>
        <v>0</v>
      </c>
      <c r="BO132" s="59">
        <f>'2024'!BE14</f>
        <v>1.3</v>
      </c>
      <c r="BP132" s="56">
        <f>'2024'!BF14</f>
        <v>36</v>
      </c>
      <c r="BQ132" s="57">
        <f>'2024'!BG14</f>
        <v>164.6</v>
      </c>
      <c r="BR132" s="57">
        <f>'2024'!BH14</f>
        <v>0</v>
      </c>
      <c r="BS132" s="57">
        <f>'2024'!BI14</f>
        <v>0</v>
      </c>
      <c r="BT132" s="57">
        <f>'2024'!BJ14</f>
        <v>11</v>
      </c>
      <c r="BU132" s="57">
        <f>'2024'!BK14</f>
        <v>3</v>
      </c>
      <c r="BV132" s="58">
        <f>'2024'!BL14</f>
        <v>3.2727272727272729</v>
      </c>
      <c r="BW132" s="58">
        <f>'2024'!BM14</f>
        <v>47.1</v>
      </c>
      <c r="BX132" s="58">
        <f>'2024'!BN14</f>
        <v>1.73</v>
      </c>
      <c r="BY132" s="58">
        <f>'2024'!BO14</f>
        <v>0</v>
      </c>
      <c r="BZ132" s="57">
        <f>'2024'!BP14</f>
        <v>0</v>
      </c>
      <c r="CA132" s="57">
        <f>'2024'!BQ14</f>
        <v>181</v>
      </c>
      <c r="CB132" s="57">
        <f>'2024'!BR14</f>
        <v>0</v>
      </c>
      <c r="CC132" s="57">
        <f>'2024'!BS14</f>
        <v>0</v>
      </c>
      <c r="CD132" s="59">
        <f>'2024'!BT14</f>
        <v>1.4</v>
      </c>
      <c r="CE132" s="56">
        <f>'2024'!BU14</f>
        <v>160</v>
      </c>
      <c r="CF132" s="57">
        <f>'2024'!BV14</f>
        <v>844.4</v>
      </c>
      <c r="CG132" s="57">
        <f>'2024'!BW14</f>
        <v>1</v>
      </c>
      <c r="CH132" s="57">
        <f>'2024'!BX14</f>
        <v>8</v>
      </c>
      <c r="CI132" s="57">
        <f>'2024'!BY14</f>
        <v>23</v>
      </c>
      <c r="CJ132" s="57">
        <f>'2024'!BZ14</f>
        <v>6</v>
      </c>
      <c r="CK132" s="58">
        <f>'2024'!CA14</f>
        <v>6.9565217391304346</v>
      </c>
      <c r="CL132" s="58">
        <f>'2024'!CB14</f>
        <v>62.6</v>
      </c>
      <c r="CM132" s="58">
        <f>'2024'!CC14</f>
        <v>2.61</v>
      </c>
      <c r="CN132" s="58">
        <f>'2024'!CD14</f>
        <v>60.6</v>
      </c>
      <c r="CO132" s="57">
        <f>'2024'!CE14</f>
        <v>6</v>
      </c>
      <c r="CP132" s="57">
        <f>'2024'!CF14</f>
        <v>3.2</v>
      </c>
      <c r="CQ132" s="57">
        <f>'2024'!CG14</f>
        <v>2</v>
      </c>
      <c r="CR132" s="57">
        <f>'2024'!CH14</f>
        <v>0</v>
      </c>
      <c r="CS132" s="59">
        <f>'2024'!CI14</f>
        <v>3.2</v>
      </c>
      <c r="CT132" s="56">
        <f>'2024'!CJ14</f>
        <v>385</v>
      </c>
      <c r="CU132" s="57">
        <f>'2024'!CK14</f>
        <v>2157.6000000000004</v>
      </c>
      <c r="CV132" s="57">
        <f>'2024'!CL14</f>
        <v>5</v>
      </c>
      <c r="CW132" s="57">
        <f>'2024'!CM14</f>
        <v>19.200000000000003</v>
      </c>
      <c r="CX132" s="57">
        <f>'2024'!CN14</f>
        <v>64</v>
      </c>
      <c r="CY132" s="57">
        <f>'2024'!CO14</f>
        <v>14</v>
      </c>
      <c r="CZ132" s="58">
        <f>'2024'!CP14</f>
        <v>6.015625</v>
      </c>
      <c r="DA132" s="58">
        <f>'2024'!CQ14</f>
        <v>62.5</v>
      </c>
      <c r="DB132" s="58">
        <f>'2024'!CR14</f>
        <v>3.38</v>
      </c>
      <c r="DC132" s="58">
        <f>'2024'!CS14</f>
        <v>49.4</v>
      </c>
      <c r="DD132" s="57">
        <f>'2024'!CT14</f>
        <v>115</v>
      </c>
      <c r="DE132" s="57">
        <f>'2024'!CU14</f>
        <v>2205.6000000000004</v>
      </c>
      <c r="DF132" s="57">
        <f>'2024'!CV14</f>
        <v>17</v>
      </c>
      <c r="DG132" s="57">
        <f>'2024'!CW14</f>
        <v>1</v>
      </c>
      <c r="DH132" s="59">
        <f>'2024'!CX14</f>
        <v>19.200000000000003</v>
      </c>
      <c r="DI132" s="56">
        <f>'2024'!CY14</f>
        <v>810</v>
      </c>
      <c r="DJ132" s="57">
        <f>'2024'!CZ14</f>
        <v>2499</v>
      </c>
      <c r="DK132" s="57">
        <f>'2024'!DA14</f>
        <v>11</v>
      </c>
      <c r="DL132" s="57">
        <f>'2024'!DB14</f>
        <v>30.800000000000004</v>
      </c>
      <c r="DM132" s="57">
        <f>'2024'!DC14</f>
        <v>132</v>
      </c>
      <c r="DN132" s="57">
        <f>'2024'!DD14</f>
        <v>30</v>
      </c>
      <c r="DO132" s="58">
        <f>'2024'!DE14</f>
        <v>6.1363636363636367</v>
      </c>
      <c r="DP132" s="58">
        <f>'2024'!DF14</f>
        <v>104.2</v>
      </c>
      <c r="DQ132" s="58">
        <f>'2024'!DG14</f>
        <v>4.1100000000000003</v>
      </c>
      <c r="DR132" s="58">
        <f>'2024'!DH14</f>
        <v>48.6</v>
      </c>
      <c r="DS132" s="57">
        <f>'2024'!DI14</f>
        <v>234</v>
      </c>
      <c r="DT132" s="57">
        <f>'2024'!DJ14</f>
        <v>3312.4</v>
      </c>
      <c r="DU132" s="57">
        <f>'2024'!DK14</f>
        <v>22</v>
      </c>
      <c r="DV132" s="57">
        <f>'2024'!DL14</f>
        <v>0</v>
      </c>
      <c r="DW132" s="59">
        <f>'2024'!DM14</f>
        <v>22.400000000000002</v>
      </c>
    </row>
    <row r="133" spans="1:127" ht="15.75" customHeight="1" x14ac:dyDescent="0.2">
      <c r="A133" s="33">
        <f t="shared" si="25"/>
        <v>131</v>
      </c>
      <c r="B133" s="11">
        <f>'2020'!A13</f>
        <v>11</v>
      </c>
      <c r="C133" s="11">
        <v>2020</v>
      </c>
      <c r="D133" s="34" t="str">
        <f>'2020'!B13</f>
        <v>Jason Huntley</v>
      </c>
      <c r="E133" s="224" t="str" cm="1">
        <f t="array" ref="E133">_xlfn.IFS(F133&gt;=13,"Cornerstone",AND(F133&gt;=12,F133&lt;13),"Elite",AND(F133&gt;=11,F133&lt;12),"Elite Upside",AND(F133&gt;=9,F133&lt;11),"Upside",AND(F133&gt;=7,F133&lt;9),"Upside Lite",AND(F133&gt;=6,F133&lt;7),"Outlier",AND(F133&gt;=5,F133&lt;6),"Outlier Lite",F133&lt;5,"Purgatory")</f>
        <v>Upside Lite</v>
      </c>
      <c r="F133" s="14">
        <f>'2020'!C13</f>
        <v>7.1833333333333336</v>
      </c>
      <c r="G133" s="14">
        <f t="shared" si="19"/>
        <v>59.9</v>
      </c>
      <c r="H133" s="35">
        <f t="shared" si="26"/>
        <v>-0.34665397307176499</v>
      </c>
      <c r="I133" s="36" t="str">
        <f>'2020'!D13</f>
        <v>New Mexico State</v>
      </c>
      <c r="J133" s="37">
        <f>'2020'!E13</f>
        <v>10</v>
      </c>
      <c r="K133" s="38">
        <f>'2020'!F13</f>
        <v>35905</v>
      </c>
      <c r="L133" s="39">
        <f>'2020'!G13</f>
        <v>27.457534246575342</v>
      </c>
      <c r="M133" s="39" t="str">
        <f>'2020'!H13</f>
        <v>SR</v>
      </c>
      <c r="N133" s="39">
        <f>'2020'!I13</f>
        <v>22.024657534246575</v>
      </c>
      <c r="O133" s="39" t="str">
        <f t="shared" si="27"/>
        <v>JITTERBUG</v>
      </c>
      <c r="P133" s="39" t="str">
        <f t="shared" si="24"/>
        <v>+RECEIVER</v>
      </c>
      <c r="Q133" s="37">
        <f>'2020'!J13</f>
        <v>69</v>
      </c>
      <c r="R133" s="37">
        <f>'2020'!K13</f>
        <v>194</v>
      </c>
      <c r="S133" s="39">
        <f t="shared" si="29"/>
        <v>28.648474520221463</v>
      </c>
      <c r="T133" s="37">
        <f>'2020'!L13</f>
        <v>4.37</v>
      </c>
      <c r="U133" s="40">
        <f>'2020'!M13</f>
        <v>5</v>
      </c>
      <c r="V133" s="41">
        <f>'2020'!N13</f>
        <v>0</v>
      </c>
      <c r="W133" s="42">
        <f>'2020'!O13</f>
        <v>3.9991961414791E-2</v>
      </c>
      <c r="X133" s="42">
        <f>'2020'!P13</f>
        <v>0.13683304647160069</v>
      </c>
      <c r="Y133" s="42">
        <f>'2020'!Q13</f>
        <v>0.22986954565901935</v>
      </c>
      <c r="Z133" s="42">
        <f>'2020'!R13</f>
        <v>0.29494576505885067</v>
      </c>
      <c r="AA133" s="42">
        <f>'2020'!S13</f>
        <v>0.29494576505885067</v>
      </c>
      <c r="AB133" s="42">
        <f>'2020'!T13</f>
        <v>0.17696745903531039</v>
      </c>
      <c r="AC133" s="42">
        <f>'2020'!U13</f>
        <v>0.16247642991829039</v>
      </c>
      <c r="AD133" s="42">
        <f>'2020'!V13</f>
        <v>6.8939103791650705E-2</v>
      </c>
      <c r="AE133" s="42">
        <f>'2020'!W13</f>
        <v>0.11570776685497056</v>
      </c>
      <c r="AF133" s="43">
        <f>'2020'!X13</f>
        <v>6.9424660112982331E-2</v>
      </c>
      <c r="AG133" s="44">
        <f>'2020'!Y13</f>
        <v>20.378082191780823</v>
      </c>
      <c r="AH133" s="45">
        <f>'2020'!Z13</f>
        <v>106.39126622440783</v>
      </c>
      <c r="AI133" s="45">
        <f>'2020'!AA13</f>
        <v>28.645662675908419</v>
      </c>
      <c r="AJ133" s="45">
        <f>'2020'!AB13</f>
        <v>0.32704402515723269</v>
      </c>
      <c r="AK133" s="45">
        <f>'2020'!AC13</f>
        <v>6.9</v>
      </c>
      <c r="AL133" s="45">
        <f t="shared" si="28"/>
        <v>12.166666666666666</v>
      </c>
      <c r="AM133" s="45">
        <f t="shared" si="30"/>
        <v>0.18877551020408162</v>
      </c>
      <c r="AN133" s="45">
        <f>'2020'!AD13</f>
        <v>111.9</v>
      </c>
      <c r="AO133" s="45">
        <f>'2020'!AE13</f>
        <v>3.78</v>
      </c>
      <c r="AP133" s="46">
        <f>'2020'!AF13</f>
        <v>57.8</v>
      </c>
      <c r="AQ133" s="47">
        <f>'2020'!AG13</f>
        <v>3</v>
      </c>
      <c r="AR133" s="48">
        <f>'2020'!AH13</f>
        <v>7</v>
      </c>
      <c r="AS133" s="48">
        <f>'2020'!AI13</f>
        <v>4</v>
      </c>
      <c r="AT133" s="48">
        <f>IF(AH133&gt;113.25,10,IF(AH133&gt;=107.84,9,IF(AH133&gt;=105.37,8,IF(AH133&gt;=103.25,7,IF(AH133&gt;=100.55,6,IF(AH133&gt;=98.75,5,IF(AH133&gt;=96.08,4,IF(AH133&gt;=94.39,3,IF(AH133&gt;=88.43,2,IF(AH133&gt;=85.16,1,IF(AH133&lt;85.16,0,FALSE)))))))))))</f>
        <v>8</v>
      </c>
      <c r="AU133" s="48">
        <f>'2020'!AK13</f>
        <v>9</v>
      </c>
      <c r="AV133" s="48">
        <f>'2020'!AL13</f>
        <v>7</v>
      </c>
      <c r="AW133" s="48">
        <f>'2020'!AM13</f>
        <v>5</v>
      </c>
      <c r="AX133" s="48">
        <f>'2020'!AN13</f>
        <v>3</v>
      </c>
      <c r="AY133" s="49">
        <f>IF(U133=1,10,IF(U133=2,7,IF(U133=3,6,IF(U133=4,4,IF(U133=5,3,IF(U133=6,2,IF(U133=7,1,IF(U133=0,0,"-"))))))))</f>
        <v>3</v>
      </c>
      <c r="AZ133" s="50">
        <f>'2020'!AP13</f>
        <v>0</v>
      </c>
      <c r="BA133" s="56">
        <f>'2020'!AQ13</f>
        <v>0</v>
      </c>
      <c r="BB133" s="57">
        <f>'2020'!AR13</f>
        <v>2166</v>
      </c>
      <c r="BC133" s="57">
        <f>'2020'!AS13</f>
        <v>0</v>
      </c>
      <c r="BD133" s="57">
        <f>'2020'!AT13</f>
        <v>16</v>
      </c>
      <c r="BE133" s="57">
        <f>'2020'!AU13</f>
        <v>0</v>
      </c>
      <c r="BF133" s="57">
        <f>'2020'!AV13</f>
        <v>0</v>
      </c>
      <c r="BG133" s="58">
        <f>'2020'!AW13</f>
        <v>0</v>
      </c>
      <c r="BH133" s="58">
        <f>'2020'!AX13</f>
        <v>0</v>
      </c>
      <c r="BI133" s="58">
        <f>'2020'!AY13</f>
        <v>0</v>
      </c>
      <c r="BJ133" s="58">
        <f>'2020'!AZ13</f>
        <v>0</v>
      </c>
      <c r="BK133" s="57">
        <f>'2020'!BA13</f>
        <v>0</v>
      </c>
      <c r="BL133" s="57">
        <f>'2020'!BB13</f>
        <v>3034</v>
      </c>
      <c r="BM133" s="57">
        <f>'2020'!BC13</f>
        <v>0</v>
      </c>
      <c r="BN133" s="57">
        <f>'2020'!BD13</f>
        <v>0</v>
      </c>
      <c r="BO133" s="59">
        <f>'2020'!BE13</f>
        <v>26</v>
      </c>
      <c r="BP133" s="56">
        <f>'2020'!BF13</f>
        <v>164</v>
      </c>
      <c r="BQ133" s="57">
        <f>'2020'!BG13</f>
        <v>2051</v>
      </c>
      <c r="BR133" s="57">
        <f>'2020'!BH13</f>
        <v>1</v>
      </c>
      <c r="BS133" s="57">
        <f>'2020'!BI13</f>
        <v>13</v>
      </c>
      <c r="BT133" s="57">
        <f>'2020'!BJ13</f>
        <v>39</v>
      </c>
      <c r="BU133" s="57">
        <f>'2020'!BK13</f>
        <v>5</v>
      </c>
      <c r="BV133" s="58">
        <f>'2020'!BL13</f>
        <v>4.2</v>
      </c>
      <c r="BW133" s="58">
        <f>'2020'!BM13</f>
        <v>24</v>
      </c>
      <c r="BX133" s="58">
        <f>'2020'!BN13</f>
        <v>2.2599999999999998</v>
      </c>
      <c r="BY133" s="58">
        <f>'2020'!BO13</f>
        <v>20.7</v>
      </c>
      <c r="BZ133" s="57">
        <f>'2020'!BP13</f>
        <v>35</v>
      </c>
      <c r="CA133" s="57">
        <f>'2020'!BQ13</f>
        <v>2925</v>
      </c>
      <c r="CB133" s="57">
        <f>'2020'!BR13</f>
        <v>8</v>
      </c>
      <c r="CC133" s="57">
        <f>'2020'!BS13</f>
        <v>0</v>
      </c>
      <c r="CD133" s="59">
        <f>'2020'!BT13</f>
        <v>22</v>
      </c>
      <c r="CE133" s="56">
        <f>'2020'!BU13</f>
        <v>432</v>
      </c>
      <c r="CF133" s="57">
        <f>'2020'!BV13</f>
        <v>1388</v>
      </c>
      <c r="CG133" s="57">
        <f>'2020'!BW13</f>
        <v>1</v>
      </c>
      <c r="CH133" s="57">
        <f>'2020'!BX13</f>
        <v>18</v>
      </c>
      <c r="CI133" s="57">
        <f>'2020'!BY13</f>
        <v>72</v>
      </c>
      <c r="CJ133" s="57">
        <f>'2020'!BZ13</f>
        <v>24</v>
      </c>
      <c r="CK133" s="58">
        <f>'2020'!CA13</f>
        <v>6</v>
      </c>
      <c r="CL133" s="58">
        <f>'2020'!CB13</f>
        <v>130</v>
      </c>
      <c r="CM133" s="58">
        <f>'2020'!CC13</f>
        <v>4.3899999999999997</v>
      </c>
      <c r="CN133" s="58">
        <f>'2020'!CD13</f>
        <v>28</v>
      </c>
      <c r="CO133" s="57">
        <f>'2020'!CE13</f>
        <v>363</v>
      </c>
      <c r="CP133" s="57">
        <f>'2020'!CF13</f>
        <v>4422</v>
      </c>
      <c r="CQ133" s="57">
        <f>'2020'!CG13</f>
        <v>36</v>
      </c>
      <c r="CR133" s="57">
        <f>'2020'!CH13</f>
        <v>0</v>
      </c>
      <c r="CS133" s="59">
        <f>'2020'!CI13</f>
        <v>29</v>
      </c>
      <c r="CT133" s="56">
        <f>'2020'!CJ13</f>
        <v>505</v>
      </c>
      <c r="CU133" s="57">
        <f>'2020'!CK13</f>
        <v>1264</v>
      </c>
      <c r="CV133" s="57">
        <f>'2020'!CL13</f>
        <v>7</v>
      </c>
      <c r="CW133" s="57">
        <f>'2020'!CM13</f>
        <v>14</v>
      </c>
      <c r="CX133" s="57">
        <f>'2020'!CN13</f>
        <v>109</v>
      </c>
      <c r="CY133" s="57">
        <f>'2020'!CO13</f>
        <v>26</v>
      </c>
      <c r="CZ133" s="58">
        <f>'2020'!CP13</f>
        <v>4.5999999999999996</v>
      </c>
      <c r="DA133" s="58">
        <f>'2020'!CQ13</f>
        <v>55.2</v>
      </c>
      <c r="DB133" s="58">
        <f>'2020'!CR13</f>
        <v>2.46</v>
      </c>
      <c r="DC133" s="58">
        <f>'2020'!CS13</f>
        <v>25.1</v>
      </c>
      <c r="DD133" s="57">
        <f>'2020'!CT13</f>
        <v>517</v>
      </c>
      <c r="DE133" s="57">
        <f>'2020'!CU13</f>
        <v>3182</v>
      </c>
      <c r="DF133" s="57">
        <f>'2020'!CV13</f>
        <v>9</v>
      </c>
      <c r="DG133" s="57">
        <f>'2020'!CW13</f>
        <v>0</v>
      </c>
      <c r="DH133" s="59">
        <f>'2020'!CX13</f>
        <v>16</v>
      </c>
      <c r="DI133" s="56">
        <f>'2020'!CY13</f>
        <v>1098</v>
      </c>
      <c r="DJ133" s="57">
        <f>'2020'!CZ13</f>
        <v>1722</v>
      </c>
      <c r="DK133" s="57">
        <f>'2020'!DA13</f>
        <v>9</v>
      </c>
      <c r="DL133" s="57">
        <f>'2020'!DB13</f>
        <v>16</v>
      </c>
      <c r="DM133" s="57">
        <f>'2020'!DC13</f>
        <v>159</v>
      </c>
      <c r="DN133" s="57">
        <f>'2020'!DD13</f>
        <v>52</v>
      </c>
      <c r="DO133" s="58">
        <f>'2020'!DE13</f>
        <v>6.9</v>
      </c>
      <c r="DP133" s="58">
        <f>'2020'!DF13</f>
        <v>111.9</v>
      </c>
      <c r="DQ133" s="58">
        <f>'2020'!DG13</f>
        <v>3.78</v>
      </c>
      <c r="DR133" s="58">
        <f>'2020'!DH13</f>
        <v>57.8</v>
      </c>
      <c r="DS133" s="57">
        <f>'2020'!DI13</f>
        <v>180</v>
      </c>
      <c r="DT133" s="57">
        <f>'2020'!DJ13</f>
        <v>2611</v>
      </c>
      <c r="DU133" s="57">
        <f>'2020'!DK13</f>
        <v>37</v>
      </c>
      <c r="DV133" s="57">
        <f>'2020'!DL13</f>
        <v>0</v>
      </c>
      <c r="DW133" s="59">
        <f>'2020'!DM13</f>
        <v>15</v>
      </c>
    </row>
    <row r="134" spans="1:127" ht="15.75" customHeight="1" x14ac:dyDescent="0.2">
      <c r="A134" s="33">
        <f t="shared" si="25"/>
        <v>132</v>
      </c>
      <c r="B134" s="11">
        <f>'2017'!A17</f>
        <v>15</v>
      </c>
      <c r="C134" s="11">
        <v>2017</v>
      </c>
      <c r="D134" s="34" t="str">
        <f>'2017'!B17</f>
        <v>Elijah McGuire</v>
      </c>
      <c r="E134" s="224" t="str" cm="1">
        <f t="array" ref="E134">_xlfn.IFS(F134&gt;=13,"Cornerstone",AND(F134&gt;=12,F134&lt;13),"Elite",AND(F134&gt;=11,F134&lt;12),"Elite Upside",AND(F134&gt;=9,F134&lt;11),"Upside",AND(F134&gt;=7,F134&lt;9),"Upside Lite",AND(F134&gt;=6,F134&lt;7),"Outlier",AND(F134&gt;=5,F134&lt;6),"Outlier Lite",F134&lt;5,"Purgatory")</f>
        <v>Upside Lite</v>
      </c>
      <c r="F134" s="14">
        <f>'2017'!C17</f>
        <v>7.1277777777777782</v>
      </c>
      <c r="G134" s="14">
        <f t="shared" si="19"/>
        <v>59.599999999999994</v>
      </c>
      <c r="H134" s="35">
        <f t="shared" si="26"/>
        <v>-0.37016647664063379</v>
      </c>
      <c r="I134" s="36" t="str">
        <f>'2017'!D17</f>
        <v>ULL</v>
      </c>
      <c r="J134" s="37">
        <f>'2017'!E17</f>
        <v>8</v>
      </c>
      <c r="K134" s="38">
        <f>'2017'!F17</f>
        <v>34486</v>
      </c>
      <c r="L134" s="39">
        <f>'2017'!G17</f>
        <v>31.345205479452055</v>
      </c>
      <c r="M134" s="39" t="str">
        <f>'2017'!H17</f>
        <v>SR</v>
      </c>
      <c r="N134" s="39">
        <f>'2017'!I17</f>
        <v>22.920547945205481</v>
      </c>
      <c r="O134" s="39" t="str">
        <f t="shared" si="27"/>
        <v>BELL CALF</v>
      </c>
      <c r="P134" s="39" t="str">
        <f t="shared" si="24"/>
        <v>3DOWN</v>
      </c>
      <c r="Q134" s="37">
        <f>'2017'!J17</f>
        <v>70</v>
      </c>
      <c r="R134" s="37">
        <f>'2017'!K17</f>
        <v>214</v>
      </c>
      <c r="S134" s="39">
        <f t="shared" si="29"/>
        <v>30.70546271704788</v>
      </c>
      <c r="T134" s="37">
        <f>'2017'!L17</f>
        <v>4.53</v>
      </c>
      <c r="U134" s="55">
        <f>'2017'!M17</f>
        <v>6</v>
      </c>
      <c r="V134" s="41">
        <f>'2017'!N17</f>
        <v>0</v>
      </c>
      <c r="W134" s="42">
        <f>'2017'!O17</f>
        <v>0.23015873015873015</v>
      </c>
      <c r="X134" s="42">
        <f>'2017'!P17</f>
        <v>0.31943162945192838</v>
      </c>
      <c r="Y134" s="42">
        <f>'2017'!Q17</f>
        <v>0.2968236582694414</v>
      </c>
      <c r="Z134" s="42">
        <f>'2017'!R17</f>
        <v>0.29456193353474319</v>
      </c>
      <c r="AA134" s="42">
        <f>'2017'!S17</f>
        <v>0.30699678149333576</v>
      </c>
      <c r="AB134" s="42">
        <f>'2017'!T17</f>
        <v>0.19954790797066824</v>
      </c>
      <c r="AC134" s="42">
        <f>'2017'!U17</f>
        <v>0.11561621838619028</v>
      </c>
      <c r="AD134" s="42">
        <f>'2017'!V17</f>
        <v>0.10311958405545928</v>
      </c>
      <c r="AE134" s="42">
        <f>'2017'!W17</f>
        <v>0.10936790122082478</v>
      </c>
      <c r="AF134" s="43">
        <f>'2017'!X17</f>
        <v>7.108913579353611E-2</v>
      </c>
      <c r="AG134" s="44">
        <f>'2017'!Y17</f>
        <v>19.263013698630136</v>
      </c>
      <c r="AH134" s="45">
        <f>'2017'!Z17</f>
        <v>101.63679484717927</v>
      </c>
      <c r="AI134" s="45">
        <f>'2017'!AA17</f>
        <v>30.702448979591839</v>
      </c>
      <c r="AJ134" s="45">
        <f>'2017'!AB17</f>
        <v>0.29341317365269459</v>
      </c>
      <c r="AK134" s="45">
        <f>'2017'!AC17</f>
        <v>5.0999999999999996</v>
      </c>
      <c r="AL134" s="45">
        <f t="shared" si="28"/>
        <v>10.715384615384615</v>
      </c>
      <c r="AM134" s="45">
        <f t="shared" si="30"/>
        <v>0.1111111111111111</v>
      </c>
      <c r="AN134" s="45">
        <f>'2017'!AD17</f>
        <v>127.5</v>
      </c>
      <c r="AO134" s="45">
        <f>'2017'!AE17</f>
        <v>4.2</v>
      </c>
      <c r="AP134" s="46">
        <f>'2017'!AF17</f>
        <v>50.4</v>
      </c>
      <c r="AQ134" s="47">
        <f>'2017'!AG17</f>
        <v>3</v>
      </c>
      <c r="AR134" s="48">
        <f>'2017'!AH17</f>
        <v>7</v>
      </c>
      <c r="AS134" s="48">
        <f>'2017'!AI17</f>
        <v>7</v>
      </c>
      <c r="AT134" s="48">
        <f>IF(AH134&gt;113.25,10,IF(AH134&gt;=107.84,9,IF(AH134&gt;=105.37,8,IF(AH134&gt;=103.25,7,IF(AH134&gt;=100.55,6,IF(AH134&gt;=98.75,5,IF(AH134&gt;=96.08,4,IF(AH134&gt;=94.39,3,IF(AH134&gt;=88.43,2,IF(AH134&gt;=85.16,1,IF(AH134&lt;85.16,0,FALSE)))))))))))</f>
        <v>6</v>
      </c>
      <c r="AU134" s="48">
        <f>'2017'!AK17</f>
        <v>8</v>
      </c>
      <c r="AV134" s="48">
        <f>'2017'!AL17</f>
        <v>1</v>
      </c>
      <c r="AW134" s="48">
        <f>'2017'!AM17</f>
        <v>8</v>
      </c>
      <c r="AX134" s="48">
        <f>'2017'!AN17</f>
        <v>8</v>
      </c>
      <c r="AY134" s="49">
        <f>IF(U134=1,10,IF(U134=2,7,IF(U134=3,6,IF(U134=4,4,IF(U134=5,3,IF(U134=6,2,IF(U134=7,1,IF(U134=0,0,"-"))))))))</f>
        <v>2</v>
      </c>
      <c r="AZ134" s="50">
        <f>'2017'!AP17</f>
        <v>0</v>
      </c>
      <c r="BA134" s="56">
        <f>'2017'!AQ17</f>
        <v>0</v>
      </c>
      <c r="BB134" s="57">
        <f>'2017'!AR17</f>
        <v>2515</v>
      </c>
      <c r="BC134" s="57">
        <f>'2017'!AS17</f>
        <v>0</v>
      </c>
      <c r="BD134" s="57">
        <f>'2017'!AT17</f>
        <v>0</v>
      </c>
      <c r="BE134" s="57">
        <f>'2017'!AU17</f>
        <v>0</v>
      </c>
      <c r="BF134" s="57">
        <f>'2017'!AV17</f>
        <v>0</v>
      </c>
      <c r="BG134" s="58">
        <f>'2017'!AW17</f>
        <v>0</v>
      </c>
      <c r="BH134" s="58">
        <f>'2017'!AX17</f>
        <v>0</v>
      </c>
      <c r="BI134" s="58">
        <f>'2017'!AY17</f>
        <v>0</v>
      </c>
      <c r="BJ134" s="58">
        <f>'2017'!AZ17</f>
        <v>0</v>
      </c>
      <c r="BK134" s="57">
        <f>'2017'!BA17</f>
        <v>0</v>
      </c>
      <c r="BL134" s="57">
        <f>'2017'!BB17</f>
        <v>3399</v>
      </c>
      <c r="BM134" s="57">
        <f>'2017'!BC17</f>
        <v>0</v>
      </c>
      <c r="BN134" s="57">
        <f>'2017'!BD17</f>
        <v>0</v>
      </c>
      <c r="BO134" s="59">
        <f>'2017'!BE17</f>
        <v>0</v>
      </c>
      <c r="BP134" s="56">
        <f>'2017'!BF17</f>
        <v>863</v>
      </c>
      <c r="BQ134" s="57">
        <f>'2017'!BG17</f>
        <v>2659</v>
      </c>
      <c r="BR134" s="57">
        <f>'2017'!BH17</f>
        <v>0</v>
      </c>
      <c r="BS134" s="57">
        <f>'2017'!BI17</f>
        <v>0</v>
      </c>
      <c r="BT134" s="57">
        <f>'2017'!BJ17</f>
        <v>0</v>
      </c>
      <c r="BU134" s="57">
        <f>'2017'!BK17</f>
        <v>0</v>
      </c>
      <c r="BV134" s="58">
        <f>'2017'!BL17</f>
        <v>0</v>
      </c>
      <c r="BW134" s="58">
        <f>'2017'!BM17</f>
        <v>0</v>
      </c>
      <c r="BX134" s="58">
        <f>'2017'!BN17</f>
        <v>0</v>
      </c>
      <c r="BY134" s="58">
        <f>'2017'!BO17</f>
        <v>0</v>
      </c>
      <c r="BZ134" s="57">
        <f>'2017'!BP17</f>
        <v>384</v>
      </c>
      <c r="CA134" s="57">
        <f>'2017'!BQ17</f>
        <v>2759</v>
      </c>
      <c r="CB134" s="57">
        <f>'2017'!BR17</f>
        <v>22</v>
      </c>
      <c r="CC134" s="57">
        <f>'2017'!BS17</f>
        <v>0</v>
      </c>
      <c r="CD134" s="59">
        <f>'2017'!BT17</f>
        <v>0</v>
      </c>
      <c r="CE134" s="56">
        <f>'2017'!BU17</f>
        <v>1248</v>
      </c>
      <c r="CF134" s="57">
        <f>'2017'!BV17</f>
        <v>2925</v>
      </c>
      <c r="CG134" s="57">
        <f>'2017'!BW17</f>
        <v>14</v>
      </c>
      <c r="CH134" s="57">
        <f>'2017'!BX17</f>
        <v>0</v>
      </c>
      <c r="CI134" s="57">
        <f>'2017'!BY17</f>
        <v>167</v>
      </c>
      <c r="CJ134" s="57">
        <f>'2017'!BZ17</f>
        <v>49</v>
      </c>
      <c r="CK134" s="58">
        <f>'2017'!CA17</f>
        <v>7.5</v>
      </c>
      <c r="CL134" s="58">
        <f>'2017'!CB17</f>
        <v>127.5</v>
      </c>
      <c r="CM134" s="58">
        <f>'2017'!CC17</f>
        <v>4.2</v>
      </c>
      <c r="CN134" s="58">
        <f>'2017'!CD17</f>
        <v>50.4</v>
      </c>
      <c r="CO134" s="57">
        <f>'2017'!CE17</f>
        <v>483</v>
      </c>
      <c r="CP134" s="57">
        <f>'2017'!CF17</f>
        <v>2494</v>
      </c>
      <c r="CQ134" s="57">
        <f>'2017'!CG17</f>
        <v>47</v>
      </c>
      <c r="CR134" s="57">
        <f>'2017'!CH17</f>
        <v>0</v>
      </c>
      <c r="CS134" s="59">
        <f>'2017'!CI17</f>
        <v>0</v>
      </c>
      <c r="CT134" s="56">
        <f>'2017'!CJ17</f>
        <v>1067</v>
      </c>
      <c r="CU134" s="57">
        <f>'2017'!CK17</f>
        <v>2074</v>
      </c>
      <c r="CV134" s="57">
        <f>'2017'!CL17</f>
        <v>13</v>
      </c>
      <c r="CW134" s="57">
        <f>'2017'!CM17</f>
        <v>0</v>
      </c>
      <c r="CX134" s="57">
        <f>'2017'!CN17</f>
        <v>211</v>
      </c>
      <c r="CY134" s="57">
        <f>'2017'!CO17</f>
        <v>33</v>
      </c>
      <c r="CZ134" s="58">
        <f>'2017'!CP17</f>
        <v>5.0999999999999996</v>
      </c>
      <c r="DA134" s="58">
        <f>'2017'!CQ17</f>
        <v>34</v>
      </c>
      <c r="DB134" s="58">
        <f>'2017'!CR17</f>
        <v>2.12</v>
      </c>
      <c r="DC134" s="58">
        <f>'2017'!CS17</f>
        <v>33.299999999999997</v>
      </c>
      <c r="DD134" s="57">
        <f>'2017'!CT17</f>
        <v>288</v>
      </c>
      <c r="DE134" s="57">
        <f>'2017'!CU17</f>
        <v>2491</v>
      </c>
      <c r="DF134" s="57">
        <f>'2017'!CV17</f>
        <v>32</v>
      </c>
      <c r="DG134" s="57">
        <f>'2017'!CW17</f>
        <v>0</v>
      </c>
      <c r="DH134" s="59">
        <f>'2017'!CX17</f>
        <v>0</v>
      </c>
      <c r="DI134" s="56">
        <f>'2017'!CY17</f>
        <v>1127</v>
      </c>
      <c r="DJ134" s="57">
        <f>'2017'!CZ17</f>
        <v>2326</v>
      </c>
      <c r="DK134" s="57">
        <f>'2017'!DA17</f>
        <v>7</v>
      </c>
      <c r="DL134" s="57">
        <f>'2017'!DB17</f>
        <v>0</v>
      </c>
      <c r="DM134" s="57">
        <f>'2017'!DC17</f>
        <v>232</v>
      </c>
      <c r="DN134" s="57">
        <f>'2017'!DD17</f>
        <v>38</v>
      </c>
      <c r="DO134" s="58">
        <f>'2017'!DE17</f>
        <v>4.9000000000000004</v>
      </c>
      <c r="DP134" s="58">
        <f>'2017'!DF17</f>
        <v>55.7</v>
      </c>
      <c r="DQ134" s="58">
        <f>'2017'!DG17</f>
        <v>3.09</v>
      </c>
      <c r="DR134" s="58">
        <f>'2017'!DH17</f>
        <v>24.4</v>
      </c>
      <c r="DS134" s="57">
        <f>'2017'!DI17</f>
        <v>238</v>
      </c>
      <c r="DT134" s="57">
        <f>'2017'!DJ17</f>
        <v>2308</v>
      </c>
      <c r="DU134" s="57">
        <f>'2017'!DK17</f>
        <v>29</v>
      </c>
      <c r="DV134" s="57">
        <f>'2017'!DL17</f>
        <v>0</v>
      </c>
      <c r="DW134" s="59">
        <f>'2017'!DM17</f>
        <v>0</v>
      </c>
    </row>
    <row r="135" spans="1:127" ht="15.75" customHeight="1" x14ac:dyDescent="0.2">
      <c r="A135" s="33">
        <f t="shared" si="25"/>
        <v>133</v>
      </c>
      <c r="B135" s="11">
        <f>'2016'!A13</f>
        <v>11</v>
      </c>
      <c r="C135" s="11">
        <v>2016</v>
      </c>
      <c r="D135" s="34" t="str">
        <f>'2016'!B13</f>
        <v>DeAndre Washington</v>
      </c>
      <c r="E135" s="224" t="str" cm="1">
        <f t="array" ref="E135">_xlfn.IFS(F135&gt;=13,"Cornerstone",AND(F135&gt;=12,F135&lt;13),"Elite",AND(F135&gt;=11,F135&lt;12),"Elite Upside",AND(F135&gt;=9,F135&lt;11),"Upside",AND(F135&gt;=7,F135&lt;9),"Upside Lite",AND(F135&gt;=6,F135&lt;7),"Outlier",AND(F135&gt;=5,F135&lt;6),"Outlier Lite",F135&lt;5,"Purgatory")</f>
        <v>Upside Lite</v>
      </c>
      <c r="F135" s="14">
        <f>'2016'!C13</f>
        <v>7.1222222222222218</v>
      </c>
      <c r="G135" s="14">
        <f t="shared" ref="G135:G198" si="31">(_xlfn.PERCENTRANK.EXC($F$3:$F$328,F135)*100)</f>
        <v>59.3</v>
      </c>
      <c r="H135" s="35">
        <f t="shared" si="26"/>
        <v>-0.37251772699752106</v>
      </c>
      <c r="I135" s="36" t="str">
        <f>'2016'!D13</f>
        <v>Texas Tech</v>
      </c>
      <c r="J135" s="37">
        <f>'2016'!E13</f>
        <v>3</v>
      </c>
      <c r="K135" s="38">
        <f>'2016'!F13</f>
        <v>34022</v>
      </c>
      <c r="L135" s="39">
        <f>'2016'!G13</f>
        <v>32.61643835616438</v>
      </c>
      <c r="M135" s="39" t="str">
        <f>'2016'!H13</f>
        <v>SR</v>
      </c>
      <c r="N135" s="39">
        <f>'2016'!I13</f>
        <v>23.19178082191781</v>
      </c>
      <c r="O135" s="39" t="str">
        <f t="shared" si="27"/>
        <v>DYNAMIC</v>
      </c>
      <c r="P135" s="39" t="str">
        <f t="shared" si="24"/>
        <v>+RECEIVER</v>
      </c>
      <c r="Q135" s="37">
        <f>'2016'!J13</f>
        <v>68</v>
      </c>
      <c r="R135" s="37">
        <f>'2016'!K13</f>
        <v>204</v>
      </c>
      <c r="S135" s="39">
        <f t="shared" si="29"/>
        <v>31.017750270794668</v>
      </c>
      <c r="T135" s="37">
        <f>'2016'!L13</f>
        <v>4.49</v>
      </c>
      <c r="U135" s="55">
        <f>'2016'!M13</f>
        <v>5</v>
      </c>
      <c r="V135" s="41">
        <f>'2016'!N13</f>
        <v>8.411248052132031E-2</v>
      </c>
      <c r="W135" s="42">
        <f>'2016'!O13</f>
        <v>0</v>
      </c>
      <c r="X135" s="42">
        <f>'2016'!P13</f>
        <v>0.11725375081539464</v>
      </c>
      <c r="Y135" s="42">
        <f>'2016'!Q13</f>
        <v>0.23507240626859746</v>
      </c>
      <c r="Z135" s="42">
        <f>'2016'!R13</f>
        <v>0.24955200106192341</v>
      </c>
      <c r="AA135" s="42">
        <f>'2016'!S13</f>
        <v>0.24955200106192341</v>
      </c>
      <c r="AB135" s="42">
        <f>'2016'!T13</f>
        <v>0.22459680095573106</v>
      </c>
      <c r="AC135" s="42">
        <f>'2016'!U13</f>
        <v>7.7613215608088856E-2</v>
      </c>
      <c r="AD135" s="42">
        <f>'2016'!V13</f>
        <v>7.708159949272779E-2</v>
      </c>
      <c r="AE135" s="42">
        <f>'2016'!W13</f>
        <v>7.7347407550408323E-2</v>
      </c>
      <c r="AF135" s="43">
        <f>'2016'!X13</f>
        <v>6.9612666795367498E-2</v>
      </c>
      <c r="AG135" s="44">
        <f>'2016'!Y13</f>
        <v>21.536986301369861</v>
      </c>
      <c r="AH135" s="45">
        <f>'2016'!Z13</f>
        <v>100.38638127398181</v>
      </c>
      <c r="AI135" s="45">
        <f>'2016'!AA13</f>
        <v>31.014705882352942</v>
      </c>
      <c r="AJ135" s="45">
        <f>'2016'!AB13</f>
        <v>0.28877005347593582</v>
      </c>
      <c r="AK135" s="45">
        <f>'2016'!AC13</f>
        <v>6.482608695652174</v>
      </c>
      <c r="AL135" s="45">
        <f t="shared" si="28"/>
        <v>8.82258064516129</v>
      </c>
      <c r="AM135" s="45">
        <f t="shared" si="30"/>
        <v>0.15129151291512916</v>
      </c>
      <c r="AN135" s="45">
        <f>'2016'!AD13</f>
        <v>107.3</v>
      </c>
      <c r="AO135" s="45">
        <f>'2016'!AE13</f>
        <v>3.53</v>
      </c>
      <c r="AP135" s="46">
        <f>'2016'!AF13</f>
        <v>43.1</v>
      </c>
      <c r="AQ135" s="47">
        <f>'2016'!AG13</f>
        <v>4</v>
      </c>
      <c r="AR135" s="48">
        <f>'2016'!AH13</f>
        <v>7</v>
      </c>
      <c r="AS135" s="48">
        <f>'2016'!AI13</f>
        <v>2</v>
      </c>
      <c r="AT135" s="48">
        <f>'2016'!AJ13</f>
        <v>5</v>
      </c>
      <c r="AU135" s="48">
        <f>'2016'!AK13</f>
        <v>9</v>
      </c>
      <c r="AV135" s="48">
        <f>'2016'!AL13</f>
        <v>6</v>
      </c>
      <c r="AW135" s="48">
        <f>'2016'!AM13</f>
        <v>8</v>
      </c>
      <c r="AX135" s="48">
        <f>'2016'!AN13</f>
        <v>5</v>
      </c>
      <c r="AY135" s="49">
        <f>'2016'!AO13</f>
        <v>3</v>
      </c>
      <c r="AZ135" s="50">
        <f>'2016'!AP13</f>
        <v>0</v>
      </c>
      <c r="BA135" s="56">
        <f>'2016'!AQ13</f>
        <v>366</v>
      </c>
      <c r="BB135" s="57">
        <f>'2016'!AR13</f>
        <v>1502.4</v>
      </c>
      <c r="BC135" s="57">
        <f>'2016'!AS13</f>
        <v>3</v>
      </c>
      <c r="BD135" s="57">
        <f>'2016'!AT13</f>
        <v>20.399999999999999</v>
      </c>
      <c r="BE135" s="57">
        <f>'2016'!AU13</f>
        <v>0</v>
      </c>
      <c r="BF135" s="57">
        <f>'2016'!AV13</f>
        <v>0</v>
      </c>
      <c r="BG135" s="58">
        <f>'2016'!AW13</f>
        <v>0</v>
      </c>
      <c r="BH135" s="58">
        <f>'2016'!AX13</f>
        <v>0</v>
      </c>
      <c r="BI135" s="58">
        <f>'2016'!AY13</f>
        <v>0</v>
      </c>
      <c r="BJ135" s="58">
        <f>'2016'!AZ13</f>
        <v>0</v>
      </c>
      <c r="BK135" s="57">
        <f>'2016'!BA13</f>
        <v>109</v>
      </c>
      <c r="BL135" s="57">
        <f>'2016'!BB13</f>
        <v>4144.7999999999993</v>
      </c>
      <c r="BM135" s="57">
        <f>'2016'!BC13</f>
        <v>19</v>
      </c>
      <c r="BN135" s="57">
        <f>'2016'!BD13</f>
        <v>0</v>
      </c>
      <c r="BO135" s="59">
        <f>'2016'!BE13</f>
        <v>31.200000000000003</v>
      </c>
      <c r="BP135" s="56">
        <f>'2016'!BF13</f>
        <v>0</v>
      </c>
      <c r="BQ135" s="57">
        <f>'2016'!BG13</f>
        <v>1</v>
      </c>
      <c r="BR135" s="57">
        <f>'2016'!BH13</f>
        <v>0</v>
      </c>
      <c r="BS135" s="57">
        <f>'2016'!BI13</f>
        <v>0</v>
      </c>
      <c r="BT135" s="57">
        <f>'2016'!BJ13</f>
        <v>0</v>
      </c>
      <c r="BU135" s="57">
        <f>'2016'!BK13</f>
        <v>0</v>
      </c>
      <c r="BV135" s="58">
        <f>'2016'!BL13</f>
        <v>0</v>
      </c>
      <c r="BW135" s="58">
        <f>'2016'!BM13</f>
        <v>0</v>
      </c>
      <c r="BX135" s="58">
        <f>'2016'!BN13</f>
        <v>0</v>
      </c>
      <c r="BY135" s="58">
        <f>'2016'!BO13</f>
        <v>0</v>
      </c>
      <c r="BZ135" s="57">
        <f>'2016'!BP13</f>
        <v>0</v>
      </c>
      <c r="CA135" s="57">
        <f>'2016'!BQ13</f>
        <v>1</v>
      </c>
      <c r="CB135" s="57">
        <f>'2016'!BR13</f>
        <v>0</v>
      </c>
      <c r="CC135" s="57">
        <f>'2016'!BS13</f>
        <v>0</v>
      </c>
      <c r="CD135" s="59">
        <f>'2016'!BT13</f>
        <v>0</v>
      </c>
      <c r="CE135" s="56">
        <f>'2016'!BU13</f>
        <v>450</v>
      </c>
      <c r="CF135" s="57">
        <f>'2016'!BV13</f>
        <v>1418.4</v>
      </c>
      <c r="CG135" s="57">
        <f>'2016'!BW13</f>
        <v>4</v>
      </c>
      <c r="CH135" s="57">
        <f>'2016'!BX13</f>
        <v>18</v>
      </c>
      <c r="CI135" s="57">
        <f>'2016'!BY13</f>
        <v>0</v>
      </c>
      <c r="CJ135" s="57">
        <f>'2016'!BZ13</f>
        <v>0</v>
      </c>
      <c r="CK135" s="58">
        <f>'2016'!CA13</f>
        <v>0</v>
      </c>
      <c r="CL135" s="58">
        <f>'2016'!CB13</f>
        <v>0</v>
      </c>
      <c r="CM135" s="58">
        <f>'2016'!CC13</f>
        <v>0</v>
      </c>
      <c r="CN135" s="58">
        <f>'2016'!CD13</f>
        <v>0</v>
      </c>
      <c r="CO135" s="57">
        <f>'2016'!CE13</f>
        <v>269</v>
      </c>
      <c r="CP135" s="57">
        <f>'2016'!CF13</f>
        <v>4713.6000000000004</v>
      </c>
      <c r="CQ135" s="57">
        <f>'2016'!CG13</f>
        <v>34</v>
      </c>
      <c r="CR135" s="57">
        <f>'2016'!CH13</f>
        <v>0</v>
      </c>
      <c r="CS135" s="59">
        <f>'2016'!CI13</f>
        <v>32.400000000000006</v>
      </c>
      <c r="CT135" s="56">
        <f>'2016'!CJ13</f>
        <v>1095</v>
      </c>
      <c r="CU135" s="57">
        <f>'2016'!CK13</f>
        <v>1836</v>
      </c>
      <c r="CV135" s="57">
        <f>'2016'!CL13</f>
        <v>2</v>
      </c>
      <c r="CW135" s="57">
        <f>'2016'!CM13</f>
        <v>8.3999999999999986</v>
      </c>
      <c r="CX135" s="57">
        <f>'2016'!CN13</f>
        <v>187</v>
      </c>
      <c r="CY135" s="57">
        <f>'2016'!CO13</f>
        <v>54</v>
      </c>
      <c r="CZ135" s="58">
        <f>'2016'!CP13</f>
        <v>5.855614973262032</v>
      </c>
      <c r="DA135" s="58">
        <f>'2016'!CQ13</f>
        <v>107.3</v>
      </c>
      <c r="DB135" s="58">
        <f>'2016'!CR13</f>
        <v>3.53</v>
      </c>
      <c r="DC135" s="58">
        <f>'2016'!CS13</f>
        <v>32.1</v>
      </c>
      <c r="DD135" s="57">
        <f>'2016'!CT13</f>
        <v>327</v>
      </c>
      <c r="DE135" s="57">
        <f>'2016'!CU13</f>
        <v>4213.2000000000007</v>
      </c>
      <c r="DF135" s="57">
        <f>'2016'!CV13</f>
        <v>30</v>
      </c>
      <c r="DG135" s="57">
        <f>'2016'!CW13</f>
        <v>2</v>
      </c>
      <c r="DH135" s="59">
        <f>'2016'!CX13</f>
        <v>39.599999999999994</v>
      </c>
      <c r="DI135" s="56">
        <f>'2016'!CY13</f>
        <v>1491</v>
      </c>
      <c r="DJ135" s="57">
        <f>'2016'!CZ13</f>
        <v>2486.9</v>
      </c>
      <c r="DK135" s="57">
        <f>'2016'!DA13</f>
        <v>14</v>
      </c>
      <c r="DL135" s="57">
        <f>'2016'!DB13</f>
        <v>33.800000000000004</v>
      </c>
      <c r="DM135" s="57">
        <f>'2016'!DC13</f>
        <v>230</v>
      </c>
      <c r="DN135" s="57">
        <f>'2016'!DD13</f>
        <v>55</v>
      </c>
      <c r="DO135" s="58">
        <f>'2016'!DE13</f>
        <v>6.482608695652174</v>
      </c>
      <c r="DP135" s="58">
        <f>'2016'!DF13</f>
        <v>86.1</v>
      </c>
      <c r="DQ135" s="58">
        <f>'2016'!DG13</f>
        <v>3.48</v>
      </c>
      <c r="DR135" s="58">
        <f>'2016'!DH13</f>
        <v>43.1</v>
      </c>
      <c r="DS135" s="57">
        <f>'2016'!DI13</f>
        <v>389</v>
      </c>
      <c r="DT135" s="57">
        <f>'2016'!DJ13</f>
        <v>5046.5999999999995</v>
      </c>
      <c r="DU135" s="57">
        <f>'2016'!DK13</f>
        <v>41</v>
      </c>
      <c r="DV135" s="57">
        <f>'2016'!DL13</f>
        <v>2</v>
      </c>
      <c r="DW135" s="59">
        <f>'2016'!DM13</f>
        <v>39</v>
      </c>
    </row>
    <row r="136" spans="1:127" ht="15.75" customHeight="1" x14ac:dyDescent="0.2">
      <c r="A136" s="33">
        <f t="shared" si="25"/>
        <v>134</v>
      </c>
      <c r="B136" s="11">
        <f>'2022'!A10</f>
        <v>8</v>
      </c>
      <c r="C136" s="11">
        <v>2022</v>
      </c>
      <c r="D136" s="34" t="str">
        <f>'2022'!B10</f>
        <v>Dameon Pierce</v>
      </c>
      <c r="E136" s="224" t="str" cm="1">
        <f t="array" ref="E136">_xlfn.IFS(F136&gt;=13,"Cornerstone",AND(F136&gt;=12,F136&lt;13),"Elite",AND(F136&gt;=11,F136&lt;12),"Elite Upside",AND(F136&gt;=9,F136&lt;11),"Upside",AND(F136&gt;=7,F136&lt;9),"Upside Lite",AND(F136&gt;=6,F136&lt;7),"Outlier",AND(F136&gt;=5,F136&lt;6),"Outlier Lite",F136&lt;5,"Purgatory")</f>
        <v>Upside Lite</v>
      </c>
      <c r="F136" s="14">
        <f>'2022'!C10</f>
        <v>7.094444444444445</v>
      </c>
      <c r="G136" s="14">
        <f t="shared" si="31"/>
        <v>59</v>
      </c>
      <c r="H136" s="35">
        <f t="shared" si="26"/>
        <v>-0.38427397878195507</v>
      </c>
      <c r="I136" s="36" t="str">
        <f>'2022'!D10</f>
        <v>Florida</v>
      </c>
      <c r="J136" s="37">
        <f>'2022'!E10</f>
        <v>1</v>
      </c>
      <c r="K136" s="38">
        <f>'2022'!F10</f>
        <v>36575</v>
      </c>
      <c r="L136" s="39">
        <f>'2022'!G10</f>
        <v>25.621917808219177</v>
      </c>
      <c r="M136" s="39" t="str">
        <f>'2022'!H10</f>
        <v>SR</v>
      </c>
      <c r="N136" s="39">
        <f>'2022'!I10</f>
        <v>22.202739726027396</v>
      </c>
      <c r="O136" s="39" t="str">
        <f t="shared" si="27"/>
        <v>BELL CALF</v>
      </c>
      <c r="P136" s="39" t="str">
        <f t="shared" si="24"/>
        <v>+RECEIVER</v>
      </c>
      <c r="Q136" s="37">
        <f>'2022'!J10</f>
        <v>70</v>
      </c>
      <c r="R136" s="37">
        <f>'2022'!K10</f>
        <v>218</v>
      </c>
      <c r="S136" s="39">
        <f t="shared" si="29"/>
        <v>31.279396599609523</v>
      </c>
      <c r="T136" s="37">
        <f>'2022'!L10</f>
        <v>4.59</v>
      </c>
      <c r="U136" s="40">
        <f>'2022'!M10</f>
        <v>4</v>
      </c>
      <c r="V136" s="41">
        <f>'2022'!N10</f>
        <v>0</v>
      </c>
      <c r="W136" s="42">
        <f>'2022'!O10</f>
        <v>7.96827113755183E-2</v>
      </c>
      <c r="X136" s="42">
        <f>'2022'!P10</f>
        <v>6.8689768300184542E-2</v>
      </c>
      <c r="Y136" s="42">
        <f>'2022'!Q10</f>
        <v>0.10738803530565544</v>
      </c>
      <c r="Z136" s="42">
        <f>'2022'!R10</f>
        <v>0.15221003655699569</v>
      </c>
      <c r="AA136" s="42">
        <f>'2022'!S10</f>
        <v>0.15221003655699569</v>
      </c>
      <c r="AB136" s="42">
        <f>'2022'!T10</f>
        <v>0.15221003655699569</v>
      </c>
      <c r="AC136" s="42">
        <f>'2022'!U10</f>
        <v>3.4338542813119086E-2</v>
      </c>
      <c r="AD136" s="42">
        <f>'2022'!V10</f>
        <v>6.5375302663438259E-2</v>
      </c>
      <c r="AE136" s="42">
        <f>'2022'!W10</f>
        <v>6.5375302663438259E-2</v>
      </c>
      <c r="AF136" s="43">
        <f>'2022'!X10</f>
        <v>6.5375302663438259E-2</v>
      </c>
      <c r="AG136" s="44">
        <f>'2022'!Y10</f>
        <v>21.556164383561644</v>
      </c>
      <c r="AH136" s="45">
        <f>'2022'!Z10</f>
        <v>98.228100776725569</v>
      </c>
      <c r="AI136" s="45">
        <f>'2022'!AA10</f>
        <v>31.276326530612245</v>
      </c>
      <c r="AJ136" s="45">
        <f>'2022'!AB10</f>
        <v>0.39</v>
      </c>
      <c r="AK136" s="45">
        <f>'2022'!AC10</f>
        <v>5.7</v>
      </c>
      <c r="AL136" s="45">
        <f t="shared" si="28"/>
        <v>10.292682926829269</v>
      </c>
      <c r="AM136" s="45">
        <f t="shared" si="30"/>
        <v>0.15966386554621848</v>
      </c>
      <c r="AN136" s="45">
        <f>'2022'!AD10</f>
        <v>138</v>
      </c>
      <c r="AO136" s="45">
        <f>'2022'!AE10</f>
        <v>3.65</v>
      </c>
      <c r="AP136" s="46">
        <f>'2022'!AF10</f>
        <v>31.4</v>
      </c>
      <c r="AQ136" s="47">
        <f>'2022'!AG10</f>
        <v>2</v>
      </c>
      <c r="AR136" s="48">
        <f>'2022'!AH10</f>
        <v>7</v>
      </c>
      <c r="AS136" s="48">
        <f>'2022'!AI10</f>
        <v>2</v>
      </c>
      <c r="AT136" s="48">
        <f>IF(AH136&gt;113.25,10,IF(AH136&gt;=107.84,9,IF(AH136&gt;=105.37,8,IF(AH136&gt;=103.25,7,IF(AH136&gt;=100.55,6,IF(AH136&gt;=98.75,5,IF(AH136&gt;=96.08,4,IF(AH136&gt;=94.39,3,IF(AH136&gt;=88.43,2,IF(AH136&gt;=85.16,1,IF(AH136&lt;85.16,0,FALSE)))))))))))</f>
        <v>4</v>
      </c>
      <c r="AU136" s="48">
        <f>'2022'!AK10</f>
        <v>10</v>
      </c>
      <c r="AV136" s="48">
        <f>'2022'!AL10</f>
        <v>3</v>
      </c>
      <c r="AW136" s="48">
        <f>'2022'!AM10</f>
        <v>7</v>
      </c>
      <c r="AX136" s="48">
        <f>'2022'!AN10</f>
        <v>2</v>
      </c>
      <c r="AY136" s="49">
        <f>IF(U136=1,10,IF(U136=2,7,IF(U136=3,6,IF(U136=4,4,IF(U136=5,3,IF(U136=6,2,IF(U136=7,1,IF(U136=0,0,"-"))))))))</f>
        <v>4</v>
      </c>
      <c r="AZ136" s="50">
        <f>'2022'!AP10</f>
        <v>0.75</v>
      </c>
      <c r="BA136" s="56">
        <f>'2022'!AQ10</f>
        <v>0</v>
      </c>
      <c r="BB136" s="57">
        <f>'2022'!AR10</f>
        <v>1720</v>
      </c>
      <c r="BC136" s="57">
        <f>'2022'!AS10</f>
        <v>0</v>
      </c>
      <c r="BD136" s="57">
        <f>'2022'!AT10</f>
        <v>15</v>
      </c>
      <c r="BE136" s="57">
        <f>'2022'!AU10</f>
        <v>0</v>
      </c>
      <c r="BF136" s="57">
        <f>'2022'!AV10</f>
        <v>0</v>
      </c>
      <c r="BG136" s="58">
        <f>'2022'!AW10</f>
        <v>0</v>
      </c>
      <c r="BH136" s="58">
        <f>'2022'!AX10</f>
        <v>0</v>
      </c>
      <c r="BI136" s="58">
        <f>'2022'!AY10</f>
        <v>0</v>
      </c>
      <c r="BJ136" s="58">
        <f>'2022'!AZ10</f>
        <v>0</v>
      </c>
      <c r="BK136" s="57">
        <f>'2022'!BA10</f>
        <v>0</v>
      </c>
      <c r="BL136" s="57">
        <f>'2022'!BB10</f>
        <v>1975</v>
      </c>
      <c r="BM136" s="57">
        <f>'2022'!BC10</f>
        <v>0</v>
      </c>
      <c r="BN136" s="57">
        <f>'2022'!BD10</f>
        <v>0</v>
      </c>
      <c r="BO136" s="59">
        <f>'2022'!BE10</f>
        <v>10</v>
      </c>
      <c r="BP136" s="56">
        <f>'2022'!BF10</f>
        <v>422</v>
      </c>
      <c r="BQ136" s="57">
        <f>'2022'!BG10</f>
        <v>2771</v>
      </c>
      <c r="BR136" s="57">
        <f>'2022'!BH10</f>
        <v>2</v>
      </c>
      <c r="BS136" s="57">
        <f>'2022'!BI10</f>
        <v>23</v>
      </c>
      <c r="BT136" s="57">
        <f>'2022'!BJ10</f>
        <v>69</v>
      </c>
      <c r="BU136" s="57">
        <f>'2022'!BK10</f>
        <v>7</v>
      </c>
      <c r="BV136" s="58">
        <f>'2022'!BL10</f>
        <v>6.1</v>
      </c>
      <c r="BW136" s="58">
        <f>'2022'!BM10</f>
        <v>33.1</v>
      </c>
      <c r="BX136" s="58">
        <f>'2022'!BN10</f>
        <v>3.06</v>
      </c>
      <c r="BY136" s="58">
        <f>'2022'!BO10</f>
        <v>45.5</v>
      </c>
      <c r="BZ136" s="57">
        <f>'2022'!BP10</f>
        <v>20</v>
      </c>
      <c r="CA136" s="57">
        <f>'2022'!BQ10</f>
        <v>2776</v>
      </c>
      <c r="CB136" s="57">
        <f>'2022'!BR10</f>
        <v>1</v>
      </c>
      <c r="CC136" s="57">
        <f>'2022'!BS10</f>
        <v>0</v>
      </c>
      <c r="CD136" s="59">
        <f>'2022'!BT10</f>
        <v>28</v>
      </c>
      <c r="CE136" s="56">
        <f>'2022'!BU10</f>
        <v>305</v>
      </c>
      <c r="CF136" s="57">
        <f>'2022'!BV10</f>
        <v>1687</v>
      </c>
      <c r="CG136" s="57">
        <f>'2022'!BW10</f>
        <v>4</v>
      </c>
      <c r="CH136" s="57">
        <f>'2022'!BX10</f>
        <v>21</v>
      </c>
      <c r="CI136" s="57">
        <f>'2022'!BY10</f>
        <v>54</v>
      </c>
      <c r="CJ136" s="57">
        <f>'2022'!BZ10</f>
        <v>13</v>
      </c>
      <c r="CK136" s="58">
        <f>'2022'!CA10</f>
        <v>5.6</v>
      </c>
      <c r="CL136" s="58">
        <f>'2022'!CB10</f>
        <v>122.1</v>
      </c>
      <c r="CM136" s="58">
        <f>'2022'!CC10</f>
        <v>4.43</v>
      </c>
      <c r="CN136" s="58">
        <f>'2022'!CD10</f>
        <v>55.4</v>
      </c>
      <c r="CO136" s="57">
        <f>'2022'!CE10</f>
        <v>30</v>
      </c>
      <c r="CP136" s="57">
        <f>'2022'!CF10</f>
        <v>3190</v>
      </c>
      <c r="CQ136" s="57">
        <f>'2022'!CG10</f>
        <v>4</v>
      </c>
      <c r="CR136" s="57">
        <f>'2022'!CH10</f>
        <v>0</v>
      </c>
      <c r="CS136" s="59">
        <f>'2022'!CI10</f>
        <v>33</v>
      </c>
      <c r="CT136" s="56">
        <f>'2022'!CJ10</f>
        <v>501</v>
      </c>
      <c r="CU136" s="57">
        <f>'2022'!CK10</f>
        <v>1575</v>
      </c>
      <c r="CV136" s="57">
        <f>'2022'!CL10</f>
        <v>4</v>
      </c>
      <c r="CW136" s="57">
        <f>'2022'!CM10</f>
        <v>12</v>
      </c>
      <c r="CX136" s="57">
        <f>'2022'!CN10</f>
        <v>106</v>
      </c>
      <c r="CY136" s="57">
        <f>'2022'!CO10</f>
        <v>23</v>
      </c>
      <c r="CZ136" s="58">
        <f>'2022'!CP10</f>
        <v>4.7</v>
      </c>
      <c r="DA136" s="58">
        <f>'2022'!CQ10</f>
        <v>85.4</v>
      </c>
      <c r="DB136" s="58">
        <f>'2022'!CR10</f>
        <v>3</v>
      </c>
      <c r="DC136" s="58">
        <f>'2022'!CS10</f>
        <v>17.2</v>
      </c>
      <c r="DD136" s="57">
        <f>'2022'!CT10</f>
        <v>156</v>
      </c>
      <c r="DE136" s="57">
        <f>'2022'!CU10</f>
        <v>4543</v>
      </c>
      <c r="DF136" s="57">
        <f>'2022'!CV10</f>
        <v>17</v>
      </c>
      <c r="DG136" s="57">
        <f>'2022'!CW10</f>
        <v>0</v>
      </c>
      <c r="DH136" s="59">
        <f>'2022'!CX10</f>
        <v>46</v>
      </c>
      <c r="DI136" s="56">
        <f>'2022'!CY10</f>
        <v>700</v>
      </c>
      <c r="DJ136" s="57">
        <f>'2022'!CZ10</f>
        <v>2714</v>
      </c>
      <c r="DK136" s="57">
        <f>'2022'!DA10</f>
        <v>13</v>
      </c>
      <c r="DL136" s="57">
        <f>'2022'!DB10</f>
        <v>26</v>
      </c>
      <c r="DM136" s="57">
        <f>'2022'!DC10</f>
        <v>100</v>
      </c>
      <c r="DN136" s="57">
        <f>'2022'!DD10</f>
        <v>39</v>
      </c>
      <c r="DO136" s="58">
        <f>'2022'!DE10</f>
        <v>5.7</v>
      </c>
      <c r="DP136" s="58">
        <f>'2022'!DF10</f>
        <v>138</v>
      </c>
      <c r="DQ136" s="58">
        <f>'2022'!DG10</f>
        <v>3.65</v>
      </c>
      <c r="DR136" s="58">
        <f>'2022'!DH10</f>
        <v>31.4</v>
      </c>
      <c r="DS136" s="57">
        <f>'2022'!DI10</f>
        <v>216</v>
      </c>
      <c r="DT136" s="57">
        <f>'2022'!DJ10</f>
        <v>3304</v>
      </c>
      <c r="DU136" s="57">
        <f>'2022'!DK10</f>
        <v>19</v>
      </c>
      <c r="DV136" s="57">
        <f>'2022'!DL10</f>
        <v>0</v>
      </c>
      <c r="DW136" s="59">
        <f>'2022'!DM10</f>
        <v>27</v>
      </c>
    </row>
    <row r="137" spans="1:127" ht="15.75" customHeight="1" x14ac:dyDescent="0.2">
      <c r="A137" s="33">
        <f t="shared" si="25"/>
        <v>135</v>
      </c>
      <c r="B137" s="11">
        <f>'2026 - WIP'!A13</f>
        <v>11</v>
      </c>
      <c r="C137" s="11">
        <v>2026</v>
      </c>
      <c r="D137" s="34" t="str">
        <f>'2026 - WIP'!B13</f>
        <v>Kyson Brown</v>
      </c>
      <c r="E137" s="224" t="str" cm="1">
        <f t="array" ref="E137">_xlfn.IFS(F137&gt;=13,"Cornerstone",AND(F137&gt;=12,F137&lt;13),"Elite",AND(F137&gt;=11,F137&lt;12),"Elite Upside",AND(F137&gt;=9,F137&lt;11),"Upside",AND(F137&gt;=7,F137&lt;9),"Upside Lite",AND(F137&gt;=6,F137&lt;7),"Outlier",AND(F137&gt;=5,F137&lt;6),"Outlier Lite",F137&lt;5,"Purgatory")</f>
        <v>Upside Lite</v>
      </c>
      <c r="F137" s="14">
        <f>'2026 - WIP'!C13</f>
        <v>7.0777777777777784</v>
      </c>
      <c r="G137" s="14">
        <f t="shared" si="31"/>
        <v>58.699999999999996</v>
      </c>
      <c r="H137" s="35">
        <f t="shared" si="26"/>
        <v>-0.39132772985261571</v>
      </c>
      <c r="I137" s="36" t="str">
        <f>'2026 - WIP'!D13</f>
        <v>Arizona State</v>
      </c>
      <c r="J137" s="37">
        <f>'2026 - WIP'!E13</f>
        <v>3</v>
      </c>
      <c r="K137" s="38">
        <f>'2026 - WIP'!F13</f>
        <v>38433</v>
      </c>
      <c r="L137" s="39">
        <f>'2026 - WIP'!G13</f>
        <v>20.531506849315068</v>
      </c>
      <c r="M137" s="39" t="str">
        <f>'2026 - WIP'!H13</f>
        <v>JR</v>
      </c>
      <c r="N137" s="39">
        <f>'2026 - WIP'!I13</f>
        <v>21.112328767123287</v>
      </c>
      <c r="O137" s="39" t="str">
        <f t="shared" si="27"/>
        <v>DYNAMIC</v>
      </c>
      <c r="P137" s="39" t="str">
        <f>IF(OR(AND($AA137&lt;0.25,$AO137&gt;=0.133,AE137&gt;4%),(AND($O137="JITTERBUG",$AO137&gt;0.11)),(AND($O137="JITTERBUG",$AE137&gt;9.5%))),"+RECEIVER",IF(AND($AJ137&gt;=0.25,$AQ137&gt;=3.81),"3DOWN",IF($AQ137&gt;=3.81,"HORSE",IF(OR(AJ137&gt;0.28,AK137&gt;7,AR137&gt;47),"SLASHER",IF(AO137&gt;0.19,"+RECEIVER","PLODDER")))))</f>
        <v>+RECEIVER</v>
      </c>
      <c r="Q137" s="37">
        <f>'2026 - WIP'!J13</f>
        <v>73</v>
      </c>
      <c r="R137" s="37">
        <f>'2026 - WIP'!K13</f>
        <v>205</v>
      </c>
      <c r="S137" s="39">
        <f t="shared" si="29"/>
        <v>27.046189952766476</v>
      </c>
      <c r="T137" s="39">
        <f>'2026 - WIP'!L13</f>
        <v>4.5</v>
      </c>
      <c r="U137" s="55">
        <f>'2026 - WIP'!M13</f>
        <v>0</v>
      </c>
      <c r="V137" s="41">
        <f>'2026 - WIP'!N13</f>
        <v>0</v>
      </c>
      <c r="W137" s="42">
        <f>'2026 - WIP'!O13</f>
        <v>0</v>
      </c>
      <c r="X137" s="42">
        <f>'2026 - WIP'!P13</f>
        <v>4.0082751486940779E-2</v>
      </c>
      <c r="Y137" s="42">
        <f>'2026 - WIP'!Q13</f>
        <v>8.9820359281437126E-2</v>
      </c>
      <c r="Z137" s="42">
        <f>'2026 - WIP'!R13</f>
        <v>0.1872749099639856</v>
      </c>
      <c r="AA137" s="42">
        <f>'2026 - WIP'!S13</f>
        <v>0.1872749099639856</v>
      </c>
      <c r="AB137" s="42">
        <f>'2026 - WIP'!T13</f>
        <v>0.16854741896758704</v>
      </c>
      <c r="AC137" s="42">
        <f>'2026 - WIP'!U13</f>
        <v>5.8823529411764705E-2</v>
      </c>
      <c r="AD137" s="42">
        <f>'2026 - WIP'!V13</f>
        <v>0.21238938053097345</v>
      </c>
      <c r="AE137" s="42">
        <f>'2026 - WIP'!W13</f>
        <v>0.21238938053097345</v>
      </c>
      <c r="AF137" s="43">
        <f>'2026 - WIP'!X13</f>
        <v>0.1911504424778761</v>
      </c>
      <c r="AG137" s="44">
        <f>'2026 - WIP'!Y13</f>
        <v>20.460273972602739</v>
      </c>
      <c r="AH137" s="45">
        <f>'2026 - WIP'!Z13</f>
        <v>99.984758420972412</v>
      </c>
      <c r="AI137" s="45">
        <f>'2026 - WIP'!AA13</f>
        <v>27.043535372490147</v>
      </c>
      <c r="AJ137" s="45">
        <f>'2026 - WIP'!AB13</f>
        <v>0.33333333333333331</v>
      </c>
      <c r="AK137" s="45">
        <f>'2026 - WIP'!AC13</f>
        <v>9.3333333333333339</v>
      </c>
      <c r="AL137" s="45">
        <f t="shared" si="28"/>
        <v>11.071428571428571</v>
      </c>
      <c r="AM137" s="45">
        <f t="shared" si="30"/>
        <v>0.4</v>
      </c>
      <c r="AN137" s="45">
        <f>'2026 - WIP'!AD13</f>
        <v>118.5</v>
      </c>
      <c r="AO137" s="45">
        <f>'2026 - WIP'!AE13</f>
        <v>3.56</v>
      </c>
      <c r="AP137" s="46">
        <f>'2026 - WIP'!AF13</f>
        <v>59.5</v>
      </c>
      <c r="AQ137" s="47">
        <f>'2026 - WIP'!AG13</f>
        <v>2</v>
      </c>
      <c r="AR137" s="48">
        <f>'2026 - WIP'!AH13</f>
        <v>10</v>
      </c>
      <c r="AS137" s="48">
        <f>'2026 - WIP'!AI13</f>
        <v>4</v>
      </c>
      <c r="AT137" s="48">
        <f>'2026 - WIP'!AJ13</f>
        <v>5</v>
      </c>
      <c r="AU137" s="48">
        <f>'2026 - WIP'!AK13</f>
        <v>9</v>
      </c>
      <c r="AV137" s="48">
        <f>'2026 - WIP'!AL13</f>
        <v>10</v>
      </c>
      <c r="AW137" s="48">
        <f>'2026 - WIP'!AM13</f>
        <v>6</v>
      </c>
      <c r="AX137" s="48">
        <f>'2026 - WIP'!AN13</f>
        <v>2</v>
      </c>
      <c r="AY137" s="49">
        <f>'2026 - WIP'!AO13</f>
        <v>0</v>
      </c>
      <c r="AZ137" s="50">
        <f>'2026 - WIP'!AP13</f>
        <v>0.5</v>
      </c>
      <c r="BA137" s="56">
        <f>'2026 - WIP'!AQ13</f>
        <v>0</v>
      </c>
      <c r="BB137" s="57">
        <f>'2026 - WIP'!AR13</f>
        <v>1</v>
      </c>
      <c r="BC137" s="57">
        <f>'2026 - WIP'!AS13</f>
        <v>0</v>
      </c>
      <c r="BD137" s="57">
        <f>'2026 - WIP'!AT13</f>
        <v>0</v>
      </c>
      <c r="BE137" s="57">
        <f>'2026 - WIP'!AU13</f>
        <v>0</v>
      </c>
      <c r="BF137" s="57">
        <f>'2026 - WIP'!AV13</f>
        <v>0</v>
      </c>
      <c r="BG137" s="58">
        <f>'2026 - WIP'!AW13</f>
        <v>0</v>
      </c>
      <c r="BH137" s="58">
        <f>'2026 - WIP'!AX13</f>
        <v>0</v>
      </c>
      <c r="BI137" s="58">
        <f>'2026 - WIP'!AY13</f>
        <v>0</v>
      </c>
      <c r="BJ137" s="58">
        <f>'2026 - WIP'!AZ13</f>
        <v>0</v>
      </c>
      <c r="BK137" s="57">
        <f>'2026 - WIP'!BA13</f>
        <v>0</v>
      </c>
      <c r="BL137" s="57">
        <f>'2026 - WIP'!BB13</f>
        <v>1</v>
      </c>
      <c r="BM137" s="57">
        <f>'2026 - WIP'!BC13</f>
        <v>0</v>
      </c>
      <c r="BN137" s="57">
        <f>'2026 - WIP'!BD13</f>
        <v>0</v>
      </c>
      <c r="BO137" s="59">
        <f>'2026 - WIP'!BE13</f>
        <v>0</v>
      </c>
      <c r="BP137" s="56">
        <f>'2026 - WIP'!BF13</f>
        <v>0</v>
      </c>
      <c r="BQ137" s="57">
        <f>'2026 - WIP'!BG13</f>
        <v>1</v>
      </c>
      <c r="BR137" s="57">
        <f>'2026 - WIP'!BH13</f>
        <v>0</v>
      </c>
      <c r="BS137" s="57">
        <f>'2026 - WIP'!BI13</f>
        <v>0</v>
      </c>
      <c r="BT137" s="57">
        <f>'2026 - WIP'!BJ13</f>
        <v>0</v>
      </c>
      <c r="BU137" s="57">
        <f>'2026 - WIP'!BK13</f>
        <v>0</v>
      </c>
      <c r="BV137" s="58">
        <f>'2026 - WIP'!BL13</f>
        <v>0</v>
      </c>
      <c r="BW137" s="58">
        <f>'2026 - WIP'!BM13</f>
        <v>0</v>
      </c>
      <c r="BX137" s="58">
        <f>'2026 - WIP'!BN13</f>
        <v>0</v>
      </c>
      <c r="BY137" s="58">
        <f>'2026 - WIP'!BO13</f>
        <v>0</v>
      </c>
      <c r="BZ137" s="57">
        <f>'2026 - WIP'!BP13</f>
        <v>0</v>
      </c>
      <c r="CA137" s="57">
        <f>'2026 - WIP'!BQ13</f>
        <v>1</v>
      </c>
      <c r="CB137" s="57">
        <f>'2026 - WIP'!BR13</f>
        <v>0</v>
      </c>
      <c r="CC137" s="57">
        <f>'2026 - WIP'!BS13</f>
        <v>0</v>
      </c>
      <c r="CD137" s="59">
        <f>'2026 - WIP'!BT13</f>
        <v>0</v>
      </c>
      <c r="CE137" s="56">
        <f>'2026 - WIP'!BU13</f>
        <v>106</v>
      </c>
      <c r="CF137" s="57">
        <f>'2026 - WIP'!BV13</f>
        <v>1343</v>
      </c>
      <c r="CG137" s="57">
        <f>'2026 - WIP'!BW13</f>
        <v>0</v>
      </c>
      <c r="CH137" s="57">
        <f>'2026 - WIP'!BX13</f>
        <v>17</v>
      </c>
      <c r="CI137" s="57">
        <f>'2026 - WIP'!BY13</f>
        <v>23</v>
      </c>
      <c r="CJ137" s="57">
        <f>'2026 - WIP'!BZ13</f>
        <v>6</v>
      </c>
      <c r="CK137" s="58">
        <f>'2026 - WIP'!CA13</f>
        <v>4.6086956521739131</v>
      </c>
      <c r="CL137" s="58">
        <f>'2026 - WIP'!CB13</f>
        <v>78.3</v>
      </c>
      <c r="CM137" s="58">
        <f>'2026 - WIP'!CC13</f>
        <v>2.78</v>
      </c>
      <c r="CN137" s="58">
        <f>'2026 - WIP'!CD13</f>
        <v>14.2</v>
      </c>
      <c r="CO137" s="57">
        <f>'2026 - WIP'!CE13</f>
        <v>49</v>
      </c>
      <c r="CP137" s="57">
        <f>'2026 - WIP'!CF13</f>
        <v>2524</v>
      </c>
      <c r="CQ137" s="57">
        <f>'2026 - WIP'!CG13</f>
        <v>9</v>
      </c>
      <c r="CR137" s="57">
        <f>'2026 - WIP'!CH13</f>
        <v>0</v>
      </c>
      <c r="CS137" s="59">
        <f>'2026 - WIP'!CI13</f>
        <v>8</v>
      </c>
      <c r="CT137" s="56">
        <f>'2026 - WIP'!CJ13</f>
        <v>351</v>
      </c>
      <c r="CU137" s="57">
        <f>'2026 - WIP'!CK13</f>
        <v>2799</v>
      </c>
      <c r="CV137" s="57">
        <f>'2026 - WIP'!CL13</f>
        <v>2</v>
      </c>
      <c r="CW137" s="57">
        <f>'2026 - WIP'!CM13</f>
        <v>30</v>
      </c>
      <c r="CX137" s="57">
        <f>'2026 - WIP'!CN13</f>
        <v>73</v>
      </c>
      <c r="CY137" s="57">
        <f>'2026 - WIP'!CO13</f>
        <v>19</v>
      </c>
      <c r="CZ137" s="58">
        <f>'2026 - WIP'!CP13</f>
        <v>4.8082191780821919</v>
      </c>
      <c r="DA137" s="58">
        <f>'2026 - WIP'!CQ13</f>
        <v>94.8</v>
      </c>
      <c r="DB137" s="58">
        <f>'2026 - WIP'!CR13</f>
        <v>3.4</v>
      </c>
      <c r="DC137" s="58">
        <f>'2026 - WIP'!CS13</f>
        <v>42.2</v>
      </c>
      <c r="DD137" s="57">
        <f>'2026 - WIP'!CT13</f>
        <v>189</v>
      </c>
      <c r="DE137" s="57">
        <f>'2026 - WIP'!CU13</f>
        <v>3213</v>
      </c>
      <c r="DF137" s="57">
        <f>'2026 - WIP'!CV13</f>
        <v>13</v>
      </c>
      <c r="DG137" s="57">
        <f>'2026 - WIP'!CW13</f>
        <v>1</v>
      </c>
      <c r="DH137" s="59">
        <f>'2026 - WIP'!CX13</f>
        <v>26</v>
      </c>
      <c r="DI137" s="56">
        <f>'2026 - WIP'!CY13</f>
        <v>84</v>
      </c>
      <c r="DJ137" s="57">
        <f>'2026 - WIP'!CZ13</f>
        <v>494</v>
      </c>
      <c r="DK137" s="57">
        <f>'2026 - WIP'!DA13</f>
        <v>0</v>
      </c>
      <c r="DL137" s="57">
        <f>'2026 - WIP'!DB13</f>
        <v>0</v>
      </c>
      <c r="DM137" s="57">
        <f>'2026 - WIP'!DC13</f>
        <v>9</v>
      </c>
      <c r="DN137" s="57">
        <f>'2026 - WIP'!DD13</f>
        <v>3</v>
      </c>
      <c r="DO137" s="58">
        <f>'2026 - WIP'!DE13</f>
        <v>9.3333333333333339</v>
      </c>
      <c r="DP137" s="58">
        <f>'2026 - WIP'!DF13</f>
        <v>118.5</v>
      </c>
      <c r="DQ137" s="58">
        <f>'2026 - WIP'!DG13</f>
        <v>3.56</v>
      </c>
      <c r="DR137" s="58">
        <f>'2026 - WIP'!DH13</f>
        <v>59.5</v>
      </c>
      <c r="DS137" s="57">
        <f>'2026 - WIP'!DI13</f>
        <v>72</v>
      </c>
      <c r="DT137" s="57">
        <f>'2026 - WIP'!DJ13</f>
        <v>339</v>
      </c>
      <c r="DU137" s="57">
        <f>'2026 - WIP'!DK13</f>
        <v>6</v>
      </c>
      <c r="DV137" s="57">
        <f>'2026 - WIP'!DL13</f>
        <v>0</v>
      </c>
      <c r="DW137" s="59">
        <f>'2026 - WIP'!DM13</f>
        <v>0</v>
      </c>
    </row>
    <row r="138" spans="1:127" ht="15.75" customHeight="1" x14ac:dyDescent="0.2">
      <c r="A138" s="33">
        <f t="shared" si="25"/>
        <v>136</v>
      </c>
      <c r="B138" s="11">
        <f>'2016'!A14</f>
        <v>12</v>
      </c>
      <c r="C138" s="11">
        <v>2016</v>
      </c>
      <c r="D138" s="34" t="str">
        <f>'2016'!B14</f>
        <v>Dwayne Washington</v>
      </c>
      <c r="E138" s="224" t="str" cm="1">
        <f t="array" ref="E138">_xlfn.IFS(F138&gt;=13,"Cornerstone",AND(F138&gt;=12,F138&lt;13),"Elite",AND(F138&gt;=11,F138&lt;12),"Elite Upside",AND(F138&gt;=9,F138&lt;11),"Upside",AND(F138&gt;=7,F138&lt;9),"Upside Lite",AND(F138&gt;=6,F138&lt;7),"Outlier",AND(F138&gt;=5,F138&lt;6),"Outlier Lite",F138&lt;5,"Purgatory")</f>
        <v>Upside Lite</v>
      </c>
      <c r="F138" s="14">
        <f>'2016'!C14</f>
        <v>7.0611111111111118</v>
      </c>
      <c r="G138" s="14">
        <f t="shared" si="31"/>
        <v>58.4</v>
      </c>
      <c r="H138" s="35">
        <f t="shared" si="26"/>
        <v>-0.39838148092327635</v>
      </c>
      <c r="I138" s="36" t="str">
        <f>'2016'!D14</f>
        <v>Washington</v>
      </c>
      <c r="J138" s="37">
        <f>'2016'!E14</f>
        <v>5</v>
      </c>
      <c r="K138" s="38">
        <f>'2016'!F14</f>
        <v>34448</v>
      </c>
      <c r="L138" s="39">
        <f>'2016'!G14</f>
        <v>31.449315068493149</v>
      </c>
      <c r="M138" s="39" t="str">
        <f>'2016'!H14</f>
        <v>JR</v>
      </c>
      <c r="N138" s="39">
        <f>'2016'!I14</f>
        <v>22.024657534246575</v>
      </c>
      <c r="O138" s="39" t="str">
        <f t="shared" si="27"/>
        <v>FREAK</v>
      </c>
      <c r="P138" s="39" t="str">
        <f t="shared" ref="P138:P170" si="32">IF(OR(AND($AA138&lt;0.25,$AM138&gt;=0.133,AE138&gt;4%),(AND($O138="JITTERBUG",$AM138&gt;0.11)),(AND($O138="JITTERBUG",$AE138&gt;9.5%))),"+RECEIVER",IF(AND($AJ138&gt;=0.25,$AO138&gt;=3.81),"3DOWN",IF($AO138&gt;=3.81,"HORSE",IF(OR(AJ138&gt;0.28,AK138&gt;7,AP138&gt;47),"SLASHER",IF(AM138&gt;0.19,"+RECEIVER","PLODDER")))))</f>
        <v>+RECEIVER</v>
      </c>
      <c r="Q138" s="37">
        <f>'2016'!J14</f>
        <v>73</v>
      </c>
      <c r="R138" s="37">
        <f>'2016'!K14</f>
        <v>220</v>
      </c>
      <c r="S138" s="39">
        <f t="shared" si="29"/>
        <v>29.025179461505484</v>
      </c>
      <c r="T138" s="37">
        <f>'2016'!L14</f>
        <v>4.4400000000000004</v>
      </c>
      <c r="U138" s="55">
        <f>'2016'!M14</f>
        <v>7</v>
      </c>
      <c r="V138" s="41">
        <f>'2016'!N14</f>
        <v>0</v>
      </c>
      <c r="W138" s="42">
        <f>'2016'!O14</f>
        <v>0</v>
      </c>
      <c r="X138" s="42">
        <f>'2016'!P14</f>
        <v>6.1358629353822636E-2</v>
      </c>
      <c r="Y138" s="42">
        <f>'2016'!Q14</f>
        <v>0.15633967267617899</v>
      </c>
      <c r="Z138" s="42">
        <f>'2016'!R14</f>
        <v>0.18207196029776676</v>
      </c>
      <c r="AA138" s="42">
        <f>'2016'!S14</f>
        <v>0.18207196029776676</v>
      </c>
      <c r="AB138" s="42">
        <f>'2016'!T14</f>
        <v>0.15476116625310174</v>
      </c>
      <c r="AC138" s="42">
        <f>'2016'!U14</f>
        <v>3.61357782647138E-2</v>
      </c>
      <c r="AD138" s="42">
        <f>'2016'!V14</f>
        <v>0.16461120401337792</v>
      </c>
      <c r="AE138" s="42">
        <f>'2016'!W14</f>
        <v>0.16461120401337792</v>
      </c>
      <c r="AF138" s="43">
        <f>'2016'!X14</f>
        <v>0.13991952341137123</v>
      </c>
      <c r="AG138" s="44">
        <f>'2016'!Y14</f>
        <v>20.36986301369863</v>
      </c>
      <c r="AH138" s="45">
        <f>'2016'!Z14</f>
        <v>113.2193861811719</v>
      </c>
      <c r="AI138" s="45">
        <f>'2016'!AA14</f>
        <v>29.022330643647965</v>
      </c>
      <c r="AJ138" s="45">
        <f>'2016'!AB14</f>
        <v>0.27659574468085107</v>
      </c>
      <c r="AK138" s="45">
        <f>'2016'!AC14</f>
        <v>5.7872340425531918</v>
      </c>
      <c r="AL138" s="45">
        <f t="shared" si="28"/>
        <v>10.097560975609756</v>
      </c>
      <c r="AM138" s="45">
        <f t="shared" si="30"/>
        <v>0.34722222222222221</v>
      </c>
      <c r="AN138" s="45">
        <f>'2016'!AD14</f>
        <v>58.6</v>
      </c>
      <c r="AO138" s="45">
        <f>'2016'!AE14</f>
        <v>2.64</v>
      </c>
      <c r="AP138" s="46">
        <f>'2016'!AF14</f>
        <v>60.7</v>
      </c>
      <c r="AQ138" s="47">
        <f>'2016'!AG14</f>
        <v>2</v>
      </c>
      <c r="AR138" s="48">
        <f>'2016'!AH14</f>
        <v>10</v>
      </c>
      <c r="AS138" s="48">
        <f>'2016'!AI14</f>
        <v>4</v>
      </c>
      <c r="AT138" s="48">
        <f>'2016'!AJ14</f>
        <v>9</v>
      </c>
      <c r="AU138" s="48">
        <f>'2016'!AK14</f>
        <v>9</v>
      </c>
      <c r="AV138" s="48">
        <f>'2016'!AL14</f>
        <v>3</v>
      </c>
      <c r="AW138" s="48">
        <f>'2016'!AM14</f>
        <v>3</v>
      </c>
      <c r="AX138" s="48">
        <f>'2016'!AN14</f>
        <v>1</v>
      </c>
      <c r="AY138" s="49">
        <f>'2016'!AO14</f>
        <v>1</v>
      </c>
      <c r="AZ138" s="50">
        <f>'2016'!AP14</f>
        <v>0.75</v>
      </c>
      <c r="BA138" s="56">
        <f>'2016'!AQ14</f>
        <v>0</v>
      </c>
      <c r="BB138" s="57">
        <f>'2016'!AR14</f>
        <v>1</v>
      </c>
      <c r="BC138" s="57">
        <f>'2016'!AS14</f>
        <v>0</v>
      </c>
      <c r="BD138" s="57">
        <f>'2016'!AT14</f>
        <v>0</v>
      </c>
      <c r="BE138" s="57">
        <f>'2016'!AU14</f>
        <v>0</v>
      </c>
      <c r="BF138" s="57">
        <f>'2016'!AV14</f>
        <v>0</v>
      </c>
      <c r="BG138" s="58">
        <f>'2016'!AW14</f>
        <v>0</v>
      </c>
      <c r="BH138" s="58">
        <f>'2016'!AX14</f>
        <v>0</v>
      </c>
      <c r="BI138" s="58">
        <f>'2016'!AY14</f>
        <v>0</v>
      </c>
      <c r="BJ138" s="58">
        <f>'2016'!AZ14</f>
        <v>0</v>
      </c>
      <c r="BK138" s="57">
        <f>'2016'!BA14</f>
        <v>0</v>
      </c>
      <c r="BL138" s="57">
        <f>'2016'!BB14</f>
        <v>1</v>
      </c>
      <c r="BM138" s="57">
        <f>'2016'!BC14</f>
        <v>0</v>
      </c>
      <c r="BN138" s="57">
        <f>'2016'!BD14</f>
        <v>0</v>
      </c>
      <c r="BO138" s="59">
        <f>'2016'!BE14</f>
        <v>0</v>
      </c>
      <c r="BP138" s="56">
        <f>'2016'!BF14</f>
        <v>0</v>
      </c>
      <c r="BQ138" s="57">
        <f>'2016'!BG14</f>
        <v>1</v>
      </c>
      <c r="BR138" s="57">
        <f>'2016'!BH14</f>
        <v>0</v>
      </c>
      <c r="BS138" s="57">
        <f>'2016'!BI14</f>
        <v>0</v>
      </c>
      <c r="BT138" s="57">
        <f>'2016'!BJ14</f>
        <v>0</v>
      </c>
      <c r="BU138" s="57">
        <f>'2016'!BK14</f>
        <v>0</v>
      </c>
      <c r="BV138" s="58">
        <f>'2016'!BL14</f>
        <v>0</v>
      </c>
      <c r="BW138" s="58">
        <f>'2016'!BM14</f>
        <v>0</v>
      </c>
      <c r="BX138" s="58">
        <f>'2016'!BN14</f>
        <v>0</v>
      </c>
      <c r="BY138" s="58">
        <f>'2016'!BO14</f>
        <v>0</v>
      </c>
      <c r="BZ138" s="57">
        <f>'2016'!BP14</f>
        <v>0</v>
      </c>
      <c r="CA138" s="57">
        <f>'2016'!BQ14</f>
        <v>1</v>
      </c>
      <c r="CB138" s="57">
        <f>'2016'!BR14</f>
        <v>0</v>
      </c>
      <c r="CC138" s="57">
        <f>'2016'!BS14</f>
        <v>0</v>
      </c>
      <c r="CD138" s="59">
        <f>'2016'!BT14</f>
        <v>0</v>
      </c>
      <c r="CE138" s="56">
        <f>'2016'!BU14</f>
        <v>332</v>
      </c>
      <c r="CF138" s="57">
        <f>'2016'!BV14</f>
        <v>2627.9</v>
      </c>
      <c r="CG138" s="57">
        <f>'2016'!BW14</f>
        <v>4</v>
      </c>
      <c r="CH138" s="57">
        <f>'2016'!BX14</f>
        <v>29.700000000000003</v>
      </c>
      <c r="CI138" s="57">
        <f>'2016'!BY14</f>
        <v>0</v>
      </c>
      <c r="CJ138" s="57">
        <f>'2016'!BZ14</f>
        <v>0</v>
      </c>
      <c r="CK138" s="58">
        <f>'2016'!CA14</f>
        <v>0</v>
      </c>
      <c r="CL138" s="58">
        <f>'2016'!CB14</f>
        <v>0</v>
      </c>
      <c r="CM138" s="58">
        <f>'2016'!CC14</f>
        <v>0</v>
      </c>
      <c r="CN138" s="58">
        <f>'2016'!CD14</f>
        <v>0</v>
      </c>
      <c r="CO138" s="57">
        <f>'2016'!CE14</f>
        <v>5</v>
      </c>
      <c r="CP138" s="57">
        <f>'2016'!CF14</f>
        <v>2864.3999999999996</v>
      </c>
      <c r="CQ138" s="57">
        <f>'2016'!CG14</f>
        <v>1</v>
      </c>
      <c r="CR138" s="57">
        <f>'2016'!CH14</f>
        <v>1</v>
      </c>
      <c r="CS138" s="59">
        <f>'2016'!CI14</f>
        <v>20.9</v>
      </c>
      <c r="CT138" s="56">
        <f>'2016'!CJ14</f>
        <v>696</v>
      </c>
      <c r="CU138" s="57">
        <f>'2016'!CK14</f>
        <v>2451.7999999999997</v>
      </c>
      <c r="CV138" s="57">
        <f>'2016'!CL14</f>
        <v>9</v>
      </c>
      <c r="CW138" s="57">
        <f>'2016'!CM14</f>
        <v>20.8</v>
      </c>
      <c r="CX138" s="57">
        <f>'2016'!CN14</f>
        <v>131</v>
      </c>
      <c r="CY138" s="57">
        <f>'2016'!CO14</f>
        <v>25</v>
      </c>
      <c r="CZ138" s="58">
        <f>'2016'!CP14</f>
        <v>5.3129770992366412</v>
      </c>
      <c r="DA138" s="58">
        <f>'2016'!CQ14</f>
        <v>38</v>
      </c>
      <c r="DB138" s="58">
        <f>'2016'!CR14</f>
        <v>2.2200000000000002</v>
      </c>
      <c r="DC138" s="58">
        <f>'2016'!CS14</f>
        <v>43</v>
      </c>
      <c r="DD138" s="57">
        <f>'2016'!CT14</f>
        <v>94</v>
      </c>
      <c r="DE138" s="57">
        <f>'2016'!CU14</f>
        <v>2601.2999999999997</v>
      </c>
      <c r="DF138" s="57">
        <f>'2016'!CV14</f>
        <v>15</v>
      </c>
      <c r="DG138" s="57">
        <f>'2016'!CW14</f>
        <v>0</v>
      </c>
      <c r="DH138" s="59">
        <f>'2016'!CX14</f>
        <v>18.2</v>
      </c>
      <c r="DI138" s="56">
        <f>'2016'!CY14</f>
        <v>272</v>
      </c>
      <c r="DJ138" s="57">
        <f>'2016'!CZ14</f>
        <v>1310.4000000000001</v>
      </c>
      <c r="DK138" s="57">
        <f>'2016'!DA14</f>
        <v>4</v>
      </c>
      <c r="DL138" s="57">
        <f>'2016'!DB14</f>
        <v>16.8</v>
      </c>
      <c r="DM138" s="57">
        <f>'2016'!DC14</f>
        <v>47</v>
      </c>
      <c r="DN138" s="57">
        <f>'2016'!DD14</f>
        <v>13</v>
      </c>
      <c r="DO138" s="58">
        <f>'2016'!DE14</f>
        <v>5.7872340425531918</v>
      </c>
      <c r="DP138" s="58">
        <f>'2016'!DF14</f>
        <v>58.6</v>
      </c>
      <c r="DQ138" s="58">
        <f>'2016'!DG14</f>
        <v>2.64</v>
      </c>
      <c r="DR138" s="58">
        <f>'2016'!DH14</f>
        <v>60.7</v>
      </c>
      <c r="DS138" s="57">
        <f>'2016'!DI14</f>
        <v>315</v>
      </c>
      <c r="DT138" s="57">
        <f>'2016'!DJ14</f>
        <v>1913.6</v>
      </c>
      <c r="DU138" s="57">
        <f>'2016'!DK14</f>
        <v>25</v>
      </c>
      <c r="DV138" s="57">
        <f>'2016'!DL14</f>
        <v>3</v>
      </c>
      <c r="DW138" s="59">
        <f>'2016'!DM14</f>
        <v>10.4</v>
      </c>
    </row>
    <row r="139" spans="1:127" ht="15.75" customHeight="1" x14ac:dyDescent="0.2">
      <c r="A139" s="33">
        <f t="shared" si="25"/>
        <v>137</v>
      </c>
      <c r="B139" s="11">
        <f>'2025'!A20</f>
        <v>18</v>
      </c>
      <c r="C139" s="11">
        <v>2025</v>
      </c>
      <c r="D139" s="34" t="str">
        <f>'2025'!B20</f>
        <v>Damien Martinez</v>
      </c>
      <c r="E139" s="224" t="str" cm="1">
        <f t="array" ref="E139">_xlfn.IFS(F139&gt;=13,"Cornerstone",AND(F139&gt;=12,F139&lt;13),"Elite",AND(F139&gt;=11,F139&lt;12),"Elite Upside",AND(F139&gt;=9,F139&lt;11),"Upside",AND(F139&gt;=7,F139&lt;9),"Upside Lite",AND(F139&gt;=6,F139&lt;7),"Outlier",AND(F139&gt;=5,F139&lt;6),"Outlier Lite",F139&lt;5,"Purgatory")</f>
        <v>Upside Lite</v>
      </c>
      <c r="F139" s="14">
        <f>'2025'!C20</f>
        <v>7.0333333333333332</v>
      </c>
      <c r="G139" s="14">
        <f t="shared" si="31"/>
        <v>58.099999999999994</v>
      </c>
      <c r="H139" s="35">
        <f t="shared" si="26"/>
        <v>-0.41013773270771109</v>
      </c>
      <c r="I139" s="36" t="str">
        <f>'2025'!D20</f>
        <v>Miami</v>
      </c>
      <c r="J139" s="37">
        <f>'2025'!E20</f>
        <v>4</v>
      </c>
      <c r="K139" s="38">
        <f>'2025'!F20</f>
        <v>38017</v>
      </c>
      <c r="L139" s="39">
        <f>'2025'!G20</f>
        <v>21.671232876712327</v>
      </c>
      <c r="M139" s="39" t="str">
        <f>'2025'!H20</f>
        <v>JR</v>
      </c>
      <c r="N139" s="39">
        <f>'2025'!I20</f>
        <v>21.252054794520546</v>
      </c>
      <c r="O139" s="39" t="str">
        <f t="shared" si="27"/>
        <v>FREAK</v>
      </c>
      <c r="P139" s="39" t="str">
        <f t="shared" si="32"/>
        <v>3DOWN</v>
      </c>
      <c r="Q139" s="37">
        <f>'2025'!J20</f>
        <v>72</v>
      </c>
      <c r="R139" s="37">
        <f>'2025'!K20</f>
        <v>217</v>
      </c>
      <c r="S139" s="39">
        <f t="shared" si="29"/>
        <v>29.430164801687628</v>
      </c>
      <c r="T139" s="37">
        <f>'2025'!L20</f>
        <v>4.51</v>
      </c>
      <c r="U139" s="40">
        <f>'2025'!M20</f>
        <v>7</v>
      </c>
      <c r="V139" s="41">
        <f>'2025'!N20</f>
        <v>0</v>
      </c>
      <c r="W139" s="42">
        <f>'2025'!O20</f>
        <v>0</v>
      </c>
      <c r="X139" s="42">
        <f>'2025'!P20</f>
        <v>0.13169191919191919</v>
      </c>
      <c r="Y139" s="42">
        <f>'2025'!Q20</f>
        <v>0.17349743464451503</v>
      </c>
      <c r="Z139" s="42">
        <f>'2025'!R20</f>
        <v>0.17328788703348325</v>
      </c>
      <c r="AA139" s="42">
        <f>'2025'!S20</f>
        <v>0.17339266083899912</v>
      </c>
      <c r="AB139" s="42">
        <f>'2025'!T20</f>
        <v>0.15605339475509922</v>
      </c>
      <c r="AC139" s="42">
        <f>'2025'!U20</f>
        <v>4.335260115606937E-2</v>
      </c>
      <c r="AD139" s="42">
        <f>'2025'!V20</f>
        <v>4.5066937657402911E-2</v>
      </c>
      <c r="AE139" s="42">
        <f>'2025'!W20</f>
        <v>4.5066937657402911E-2</v>
      </c>
      <c r="AF139" s="43">
        <f>'2025'!X20</f>
        <v>4.0560243891662622E-2</v>
      </c>
      <c r="AG139" s="44">
        <f>'2025'!Y20</f>
        <v>19.605479452054794</v>
      </c>
      <c r="AH139" s="45">
        <f>'2025'!Z20</f>
        <v>104.90195017499381</v>
      </c>
      <c r="AI139" s="45">
        <f>'2025'!AA20</f>
        <v>29.427276234567902</v>
      </c>
      <c r="AJ139" s="45">
        <f>'2025'!AB20</f>
        <v>0.29230769230769232</v>
      </c>
      <c r="AK139" s="45">
        <f>'2025'!AC20</f>
        <v>6.2874999999999996</v>
      </c>
      <c r="AL139" s="45">
        <f t="shared" si="28"/>
        <v>12.21875</v>
      </c>
      <c r="AM139" s="45">
        <f t="shared" si="30"/>
        <v>9.6045197740112997E-2</v>
      </c>
      <c r="AN139" s="45">
        <f>'2025'!AD20</f>
        <v>126.1</v>
      </c>
      <c r="AO139" s="45">
        <f>'2025'!AE20</f>
        <v>4.46</v>
      </c>
      <c r="AP139" s="46">
        <f>'2025'!AF20</f>
        <v>38.799999999999997</v>
      </c>
      <c r="AQ139" s="47">
        <f>'2025'!AG20</f>
        <v>2</v>
      </c>
      <c r="AR139" s="48">
        <f>'2025'!AH20</f>
        <v>4</v>
      </c>
      <c r="AS139" s="48">
        <f>'2025'!AI20</f>
        <v>6</v>
      </c>
      <c r="AT139" s="48">
        <f>'2025'!AJ20</f>
        <v>7</v>
      </c>
      <c r="AU139" s="48">
        <f>'2025'!AK20</f>
        <v>8</v>
      </c>
      <c r="AV139" s="48">
        <f>'2025'!AL20</f>
        <v>5</v>
      </c>
      <c r="AW139" s="48">
        <f>'2025'!AM20</f>
        <v>6</v>
      </c>
      <c r="AX139" s="48">
        <f>'2025'!AN20</f>
        <v>7</v>
      </c>
      <c r="AY139" s="49">
        <f>'2025'!AO20</f>
        <v>1</v>
      </c>
      <c r="AZ139" s="50">
        <f>'2025'!AP20</f>
        <v>0.5</v>
      </c>
      <c r="BA139" s="56">
        <f>'2025'!AQ20</f>
        <v>0</v>
      </c>
      <c r="BB139" s="57">
        <f>'2025'!AR20</f>
        <v>1</v>
      </c>
      <c r="BC139" s="57">
        <f>'2025'!AS20</f>
        <v>0</v>
      </c>
      <c r="BD139" s="57">
        <f>'2025'!AT20</f>
        <v>0</v>
      </c>
      <c r="BE139" s="57">
        <f>'2025'!AU20</f>
        <v>0</v>
      </c>
      <c r="BF139" s="57">
        <f>'2025'!AV20</f>
        <v>0</v>
      </c>
      <c r="BG139" s="58">
        <f>'2025'!AW20</f>
        <v>0</v>
      </c>
      <c r="BH139" s="58">
        <f>'2025'!AX20</f>
        <v>0</v>
      </c>
      <c r="BI139" s="58">
        <f>'2025'!AY20</f>
        <v>0</v>
      </c>
      <c r="BJ139" s="58">
        <f>'2025'!AZ20</f>
        <v>0</v>
      </c>
      <c r="BK139" s="57">
        <f>'2025'!BA20</f>
        <v>0</v>
      </c>
      <c r="BL139" s="57">
        <f>'2025'!BB20</f>
        <v>0</v>
      </c>
      <c r="BM139" s="57">
        <f>'2025'!BC20</f>
        <v>0</v>
      </c>
      <c r="BN139" s="57">
        <f>'2025'!BD20</f>
        <v>0</v>
      </c>
      <c r="BO139" s="59">
        <f>'2025'!BE20</f>
        <v>0</v>
      </c>
      <c r="BP139" s="56">
        <f>'2025'!BF20</f>
        <v>0</v>
      </c>
      <c r="BQ139" s="57">
        <f>'2025'!BG20</f>
        <v>1</v>
      </c>
      <c r="BR139" s="57">
        <f>'2025'!BH20</f>
        <v>0</v>
      </c>
      <c r="BS139" s="57">
        <f>'2025'!BI20</f>
        <v>0</v>
      </c>
      <c r="BT139" s="57">
        <f>'2025'!BJ20</f>
        <v>0</v>
      </c>
      <c r="BU139" s="57">
        <f>'2025'!BK20</f>
        <v>0</v>
      </c>
      <c r="BV139" s="58">
        <f>'2025'!BL20</f>
        <v>0</v>
      </c>
      <c r="BW139" s="58">
        <f>'2025'!BM20</f>
        <v>0</v>
      </c>
      <c r="BX139" s="58">
        <f>'2025'!BN20</f>
        <v>0</v>
      </c>
      <c r="BY139" s="58">
        <f>'2025'!BO20</f>
        <v>0</v>
      </c>
      <c r="BZ139" s="57">
        <f>'2025'!BP20</f>
        <v>0</v>
      </c>
      <c r="CA139" s="57">
        <f>'2025'!BQ20</f>
        <v>0</v>
      </c>
      <c r="CB139" s="57">
        <f>'2025'!BR20</f>
        <v>0</v>
      </c>
      <c r="CC139" s="57">
        <f>'2025'!BS20</f>
        <v>0</v>
      </c>
      <c r="CD139" s="59">
        <f>'2025'!BT20</f>
        <v>0</v>
      </c>
      <c r="CE139" s="56">
        <f>'2025'!BU20</f>
        <v>982</v>
      </c>
      <c r="CF139" s="57">
        <f>'2025'!BV20</f>
        <v>2554.5</v>
      </c>
      <c r="CG139" s="57">
        <f>'2025'!BW20</f>
        <v>7</v>
      </c>
      <c r="CH139" s="57">
        <f>'2025'!BX20</f>
        <v>36.4</v>
      </c>
      <c r="CI139" s="57">
        <f>'2025'!BY20</f>
        <v>161</v>
      </c>
      <c r="CJ139" s="57">
        <f>'2025'!BZ20</f>
        <v>40</v>
      </c>
      <c r="CK139" s="58">
        <f>'2025'!CA20</f>
        <v>6.0993788819875778</v>
      </c>
      <c r="CL139" s="58">
        <f>'2025'!CB20</f>
        <v>86.4</v>
      </c>
      <c r="CM139" s="58">
        <f>'2025'!CC20</f>
        <v>3.48</v>
      </c>
      <c r="CN139" s="58">
        <f>'2025'!CD20</f>
        <v>36.5</v>
      </c>
      <c r="CO139" s="57">
        <f>'2025'!CE20</f>
        <v>61</v>
      </c>
      <c r="CP139" s="57">
        <f>'2025'!CF20</f>
        <v>2593.5</v>
      </c>
      <c r="CQ139" s="57">
        <f>'2025'!CG20</f>
        <v>4</v>
      </c>
      <c r="CR139" s="57">
        <f>'2025'!CH20</f>
        <v>0</v>
      </c>
      <c r="CS139" s="59">
        <f>'2025'!CI20</f>
        <v>15.6</v>
      </c>
      <c r="CT139" s="56">
        <f>'2025'!CJ20</f>
        <v>1185</v>
      </c>
      <c r="CU139" s="57">
        <f>'2025'!CK20</f>
        <v>2005.1999999999998</v>
      </c>
      <c r="CV139" s="57">
        <f>'2025'!CL20</f>
        <v>9</v>
      </c>
      <c r="CW139" s="57">
        <f>'2025'!CM20</f>
        <v>24</v>
      </c>
      <c r="CX139" s="57">
        <f>'2025'!CN20</f>
        <v>195</v>
      </c>
      <c r="CY139" s="57">
        <f>'2025'!CO20</f>
        <v>57</v>
      </c>
      <c r="CZ139" s="58">
        <f>'2025'!CP20</f>
        <v>6.0769230769230766</v>
      </c>
      <c r="DA139" s="58">
        <f>'2025'!CQ20</f>
        <v>114.8</v>
      </c>
      <c r="DB139" s="58">
        <f>'2025'!CR20</f>
        <v>3.82</v>
      </c>
      <c r="DC139" s="58">
        <f>'2025'!CS20</f>
        <v>38.799999999999997</v>
      </c>
      <c r="DD139" s="57">
        <f>'2025'!CT20</f>
        <v>126</v>
      </c>
      <c r="DE139" s="57">
        <f>'2025'!CU20</f>
        <v>2906.3999999999996</v>
      </c>
      <c r="DF139" s="57">
        <f>'2025'!CV20</f>
        <v>11</v>
      </c>
      <c r="DG139" s="57">
        <f>'2025'!CW20</f>
        <v>0</v>
      </c>
      <c r="DH139" s="59">
        <f>'2025'!CX20</f>
        <v>24</v>
      </c>
      <c r="DI139" s="56">
        <f>'2025'!CY20</f>
        <v>1006</v>
      </c>
      <c r="DJ139" s="57">
        <f>'2025'!CZ20</f>
        <v>2456</v>
      </c>
      <c r="DK139" s="57">
        <f>'2025'!DA20</f>
        <v>10</v>
      </c>
      <c r="DL139" s="57">
        <f>'2025'!DB20</f>
        <v>27.599999999999998</v>
      </c>
      <c r="DM139" s="57">
        <f>'2025'!DC20</f>
        <v>160</v>
      </c>
      <c r="DN139" s="57">
        <f>'2025'!DD20</f>
        <v>42</v>
      </c>
      <c r="DO139" s="58">
        <f>'2025'!DE20</f>
        <v>6.2874999999999996</v>
      </c>
      <c r="DP139" s="58">
        <f>'2025'!DF20</f>
        <v>126.1</v>
      </c>
      <c r="DQ139" s="58">
        <f>'2025'!DG20</f>
        <v>4.46</v>
      </c>
      <c r="DR139" s="58">
        <f>'2025'!DH20</f>
        <v>37.4</v>
      </c>
      <c r="DS139" s="57">
        <f>'2025'!DI20</f>
        <v>204</v>
      </c>
      <c r="DT139" s="57">
        <f>'2025'!DJ20</f>
        <v>4526.5999999999995</v>
      </c>
      <c r="DU139" s="57">
        <f>'2025'!DK20</f>
        <v>17</v>
      </c>
      <c r="DV139" s="57">
        <f>'2025'!DL20</f>
        <v>0</v>
      </c>
      <c r="DW139" s="59">
        <f>'2025'!DM20</f>
        <v>38.400000000000006</v>
      </c>
    </row>
    <row r="140" spans="1:127" ht="15.75" customHeight="1" x14ac:dyDescent="0.2">
      <c r="A140" s="33">
        <f t="shared" si="25"/>
        <v>138</v>
      </c>
      <c r="B140" s="11">
        <f>'2022'!A11</f>
        <v>9</v>
      </c>
      <c r="C140" s="11">
        <v>2022</v>
      </c>
      <c r="D140" s="34" t="str">
        <f>'2022'!B11</f>
        <v>Hassan Haskins</v>
      </c>
      <c r="E140" s="224" t="str" cm="1">
        <f t="array" ref="E140">_xlfn.IFS(F140&gt;=13,"Cornerstone",AND(F140&gt;=12,F140&lt;13),"Elite",AND(F140&gt;=11,F140&lt;12),"Elite Upside",AND(F140&gt;=9,F140&lt;11),"Upside",AND(F140&gt;=7,F140&lt;9),"Upside Lite",AND(F140&gt;=6,F140&lt;7),"Outlier",AND(F140&gt;=5,F140&lt;6),"Outlier Lite",F140&lt;5,"Purgatory")</f>
        <v>Outlier</v>
      </c>
      <c r="F140" s="14">
        <f>'2022'!C11</f>
        <v>6.9888888888888898</v>
      </c>
      <c r="G140" s="14">
        <f t="shared" si="31"/>
        <v>57.699999999999996</v>
      </c>
      <c r="H140" s="35">
        <f t="shared" si="26"/>
        <v>-0.42894773556280574</v>
      </c>
      <c r="I140" s="36" t="str">
        <f>'2022'!D11</f>
        <v>Michigan</v>
      </c>
      <c r="J140" s="37">
        <f>'2022'!E11</f>
        <v>2</v>
      </c>
      <c r="K140" s="38">
        <f>'2022'!F11</f>
        <v>36490</v>
      </c>
      <c r="L140" s="39">
        <f>'2022'!G11</f>
        <v>25.854794520547944</v>
      </c>
      <c r="M140" s="39" t="str">
        <f>'2022'!H11</f>
        <v>SR</v>
      </c>
      <c r="N140" s="39">
        <f>'2022'!I11</f>
        <v>22.435616438356163</v>
      </c>
      <c r="O140" s="39" t="str">
        <f t="shared" si="27"/>
        <v>BRUISER</v>
      </c>
      <c r="P140" s="39" t="str">
        <f t="shared" si="32"/>
        <v>HORSE</v>
      </c>
      <c r="Q140" s="37">
        <f>'2022'!J11</f>
        <v>74</v>
      </c>
      <c r="R140" s="37">
        <f>'2022'!K11</f>
        <v>228</v>
      </c>
      <c r="S140" s="39">
        <f t="shared" si="29"/>
        <v>29.273143425760921</v>
      </c>
      <c r="T140" s="37">
        <f>'2022'!L11</f>
        <v>4.58</v>
      </c>
      <c r="U140" s="40">
        <f>'2022'!M11</f>
        <v>4</v>
      </c>
      <c r="V140" s="41">
        <f>'2022'!N11</f>
        <v>0</v>
      </c>
      <c r="W140" s="42">
        <f>'2022'!O11</f>
        <v>0</v>
      </c>
      <c r="X140" s="42">
        <f>'2022'!P11</f>
        <v>0.12681992337164752</v>
      </c>
      <c r="Y140" s="42">
        <f>'2022'!Q11</f>
        <v>0.16368398079441293</v>
      </c>
      <c r="Z140" s="42">
        <f>'2022'!R11</f>
        <v>0.23504755763340318</v>
      </c>
      <c r="AA140" s="42">
        <f>'2022'!S11</f>
        <v>0.23504755763340318</v>
      </c>
      <c r="AB140" s="42">
        <f>'2022'!T11</f>
        <v>0.23504755763340318</v>
      </c>
      <c r="AC140" s="42">
        <f>'2022'!U11</f>
        <v>0</v>
      </c>
      <c r="AD140" s="42">
        <f>'2022'!V11</f>
        <v>4.091193004372267E-2</v>
      </c>
      <c r="AE140" s="42">
        <f>'2022'!W11</f>
        <v>4.091193004372267E-2</v>
      </c>
      <c r="AF140" s="43">
        <f>'2022'!X11</f>
        <v>4.091193004372267E-2</v>
      </c>
      <c r="AG140" s="44">
        <f>'2022'!Y11</f>
        <v>20.791780821917808</v>
      </c>
      <c r="AH140" s="45">
        <f>'2022'!Z11</f>
        <v>103.63415977116451</v>
      </c>
      <c r="AI140" s="45">
        <f>'2022'!AA11</f>
        <v>29.27027027027027</v>
      </c>
      <c r="AJ140" s="45">
        <f>'2022'!AB11</f>
        <v>0.22950819672131148</v>
      </c>
      <c r="AK140" s="45">
        <f>'2022'!AC11</f>
        <v>6.1</v>
      </c>
      <c r="AL140" s="45">
        <f t="shared" si="28"/>
        <v>7.125</v>
      </c>
      <c r="AM140" s="45">
        <f t="shared" si="30"/>
        <v>6.25E-2</v>
      </c>
      <c r="AN140" s="45">
        <f>'2022'!AD11</f>
        <v>99.7</v>
      </c>
      <c r="AO140" s="45">
        <f>'2022'!AE11</f>
        <v>4.34</v>
      </c>
      <c r="AP140" s="46">
        <f>'2022'!AF11</f>
        <v>54.1</v>
      </c>
      <c r="AQ140" s="47">
        <f>'2022'!AG11</f>
        <v>5</v>
      </c>
      <c r="AR140" s="48">
        <f>'2022'!AH11</f>
        <v>4</v>
      </c>
      <c r="AS140" s="48">
        <f>'2022'!AI11</f>
        <v>3</v>
      </c>
      <c r="AT140" s="48">
        <f>IF(AH140&gt;113.25,10,IF(AH140&gt;=107.84,9,IF(AH140&gt;=105.37,8,IF(AH140&gt;=103.25,7,IF(AH140&gt;=100.55,6,IF(AH140&gt;=98.75,5,IF(AH140&gt;=96.08,4,IF(AH140&gt;=94.39,3,IF(AH140&gt;=88.43,2,IF(AH140&gt;=85.16,1,IF(AH140&lt;85.16,0,FALSE)))))))))))</f>
        <v>7</v>
      </c>
      <c r="AU140" s="48">
        <f>'2022'!AK11</f>
        <v>5</v>
      </c>
      <c r="AV140" s="48">
        <f>'2022'!AL11</f>
        <v>5</v>
      </c>
      <c r="AW140" s="48">
        <f>'2022'!AM11</f>
        <v>4</v>
      </c>
      <c r="AX140" s="48">
        <f>'2022'!AN11</f>
        <v>6</v>
      </c>
      <c r="AY140" s="49">
        <f>IF(U140=1,10,IF(U140=2,7,IF(U140=3,6,IF(U140=4,4,IF(U140=5,3,IF(U140=6,2,IF(U140=7,1,IF(U140=0,0,"-"))))))))</f>
        <v>4</v>
      </c>
      <c r="AZ140" s="50">
        <f>'2022'!AP11</f>
        <v>0.25</v>
      </c>
      <c r="BA140" s="56">
        <f>'2022'!AQ11</f>
        <v>0</v>
      </c>
      <c r="BB140" s="57">
        <f>'2022'!AR11</f>
        <v>2310</v>
      </c>
      <c r="BC140" s="57">
        <f>'2022'!AS11</f>
        <v>0</v>
      </c>
      <c r="BD140" s="57">
        <f>'2022'!AT11</f>
        <v>26</v>
      </c>
      <c r="BE140" s="57">
        <f>'2022'!AU11</f>
        <v>0</v>
      </c>
      <c r="BF140" s="57">
        <f>'2022'!AV11</f>
        <v>0</v>
      </c>
      <c r="BG140" s="58">
        <f>'2022'!AW11</f>
        <v>0</v>
      </c>
      <c r="BH140" s="58">
        <f>'2022'!AX11</f>
        <v>0</v>
      </c>
      <c r="BI140" s="58">
        <f>'2022'!AY11</f>
        <v>0</v>
      </c>
      <c r="BJ140" s="58">
        <f>'2022'!AZ11</f>
        <v>0</v>
      </c>
      <c r="BK140" s="57">
        <f>'2022'!BA11</f>
        <v>0</v>
      </c>
      <c r="BL140" s="57">
        <f>'2022'!BB11</f>
        <v>2226</v>
      </c>
      <c r="BM140" s="57">
        <f>'2022'!BC11</f>
        <v>0</v>
      </c>
      <c r="BN140" s="57">
        <f>'2022'!BD11</f>
        <v>0</v>
      </c>
      <c r="BO140" s="59">
        <f>'2022'!BE11</f>
        <v>9</v>
      </c>
      <c r="BP140" s="56">
        <f>'2022'!BF11</f>
        <v>0</v>
      </c>
      <c r="BQ140" s="57">
        <f>'2022'!BG11</f>
        <v>2649</v>
      </c>
      <c r="BR140" s="57">
        <f>'2022'!BH11</f>
        <v>0</v>
      </c>
      <c r="BS140" s="57">
        <f>'2022'!BI11</f>
        <v>26</v>
      </c>
      <c r="BT140" s="57">
        <f>'2022'!BJ11</f>
        <v>0</v>
      </c>
      <c r="BU140" s="57">
        <f>'2022'!BK11</f>
        <v>0</v>
      </c>
      <c r="BV140" s="58">
        <f>'2022'!BL11</f>
        <v>0</v>
      </c>
      <c r="BW140" s="58">
        <f>'2022'!BM11</f>
        <v>0</v>
      </c>
      <c r="BX140" s="58">
        <f>'2022'!BN11</f>
        <v>0</v>
      </c>
      <c r="BY140" s="58">
        <f>'2022'!BO11</f>
        <v>0</v>
      </c>
      <c r="BZ140" s="57">
        <f>'2022'!BP11</f>
        <v>0</v>
      </c>
      <c r="CA140" s="57">
        <f>'2022'!BQ11</f>
        <v>2804</v>
      </c>
      <c r="CB140" s="57">
        <f>'2022'!BR11</f>
        <v>0</v>
      </c>
      <c r="CC140" s="57">
        <f>'2022'!BS11</f>
        <v>0</v>
      </c>
      <c r="CD140" s="59">
        <f>'2022'!BT11</f>
        <v>24</v>
      </c>
      <c r="CE140" s="56">
        <f>'2022'!BU11</f>
        <v>622</v>
      </c>
      <c r="CF140" s="57">
        <f>'2022'!BV11</f>
        <v>1959</v>
      </c>
      <c r="CG140" s="57">
        <f>'2022'!BW11</f>
        <v>4</v>
      </c>
      <c r="CH140" s="57">
        <f>'2022'!BX11</f>
        <v>26</v>
      </c>
      <c r="CI140" s="57">
        <f>'2022'!BY11</f>
        <v>121</v>
      </c>
      <c r="CJ140" s="57">
        <f>'2022'!BZ11</f>
        <v>26</v>
      </c>
      <c r="CK140" s="58">
        <f>'2022'!CA11</f>
        <v>5.0999999999999996</v>
      </c>
      <c r="CL140" s="58">
        <f>'2022'!CB11</f>
        <v>74.5</v>
      </c>
      <c r="CM140" s="58">
        <f>'2022'!CC11</f>
        <v>3.5</v>
      </c>
      <c r="CN140" s="58">
        <f>'2022'!CD11</f>
        <v>38.700000000000003</v>
      </c>
      <c r="CO140" s="57">
        <f>'2022'!CE11</f>
        <v>40</v>
      </c>
      <c r="CP140" s="57">
        <f>'2022'!CF11</f>
        <v>3261</v>
      </c>
      <c r="CQ140" s="57">
        <f>'2022'!CG11</f>
        <v>6</v>
      </c>
      <c r="CR140" s="57">
        <f>'2022'!CH11</f>
        <v>0</v>
      </c>
      <c r="CS140" s="59">
        <f>'2022'!CI11</f>
        <v>25</v>
      </c>
      <c r="CT140" s="56">
        <f>'2022'!CJ11</f>
        <v>375</v>
      </c>
      <c r="CU140" s="57">
        <f>'2022'!CK11</f>
        <v>789</v>
      </c>
      <c r="CV140" s="57">
        <f>'2022'!CL11</f>
        <v>6</v>
      </c>
      <c r="CW140" s="57">
        <f>'2022'!CM11</f>
        <v>12</v>
      </c>
      <c r="CX140" s="57">
        <f>'2022'!CN11</f>
        <v>61</v>
      </c>
      <c r="CY140" s="57">
        <f>'2022'!CO11</f>
        <v>14</v>
      </c>
      <c r="CZ140" s="58">
        <f>'2022'!CP11</f>
        <v>6.1</v>
      </c>
      <c r="DA140" s="58">
        <f>'2022'!CQ11</f>
        <v>99.7</v>
      </c>
      <c r="DB140" s="58">
        <f>'2022'!CR11</f>
        <v>4.34</v>
      </c>
      <c r="DC140" s="58">
        <f>'2022'!CS11</f>
        <v>54.1</v>
      </c>
      <c r="DD140" s="57">
        <f>'2022'!CT11</f>
        <v>0</v>
      </c>
      <c r="DE140" s="57">
        <f>'2022'!CU11</f>
        <v>1502</v>
      </c>
      <c r="DF140" s="57">
        <f>'2022'!CV11</f>
        <v>0</v>
      </c>
      <c r="DG140" s="57">
        <f>'2022'!CW11</f>
        <v>0</v>
      </c>
      <c r="DH140" s="59">
        <f>'2022'!CX11</f>
        <v>9</v>
      </c>
      <c r="DI140" s="56">
        <f>'2022'!CY11</f>
        <v>1327</v>
      </c>
      <c r="DJ140" s="57">
        <f>'2022'!CZ11</f>
        <v>3001</v>
      </c>
      <c r="DK140" s="57">
        <f>'2022'!DA11</f>
        <v>20</v>
      </c>
      <c r="DL140" s="57">
        <f>'2022'!DB11</f>
        <v>39</v>
      </c>
      <c r="DM140" s="57">
        <f>'2022'!DC11</f>
        <v>270</v>
      </c>
      <c r="DN140" s="57">
        <f>'2022'!DD11</f>
        <v>53</v>
      </c>
      <c r="DO140" s="58">
        <f>'2022'!DE11</f>
        <v>4.9000000000000004</v>
      </c>
      <c r="DP140" s="58">
        <f>'2022'!DF11</f>
        <v>60.5</v>
      </c>
      <c r="DQ140" s="58">
        <f>'2022'!DG11</f>
        <v>3.06</v>
      </c>
      <c r="DR140" s="58">
        <f>'2022'!DH11</f>
        <v>29.4</v>
      </c>
      <c r="DS140" s="57">
        <f>'2022'!DI11</f>
        <v>131</v>
      </c>
      <c r="DT140" s="57">
        <f>'2022'!DJ11</f>
        <v>3202</v>
      </c>
      <c r="DU140" s="57">
        <f>'2022'!DK11</f>
        <v>18</v>
      </c>
      <c r="DV140" s="57">
        <f>'2022'!DL11</f>
        <v>0</v>
      </c>
      <c r="DW140" s="59">
        <f>'2022'!DM11</f>
        <v>21</v>
      </c>
    </row>
    <row r="141" spans="1:127" ht="15.75" customHeight="1" x14ac:dyDescent="0.2">
      <c r="A141" s="33">
        <f t="shared" si="25"/>
        <v>139</v>
      </c>
      <c r="B141" s="11">
        <f>'2018'!A13</f>
        <v>11</v>
      </c>
      <c r="C141" s="11">
        <v>2018</v>
      </c>
      <c r="D141" s="34" t="str">
        <f>'2018'!B13</f>
        <v>Josh Adams</v>
      </c>
      <c r="E141" s="224" t="str" cm="1">
        <f t="array" ref="E141">_xlfn.IFS(F141&gt;=13,"Cornerstone",AND(F141&gt;=12,F141&lt;13),"Elite",AND(F141&gt;=11,F141&lt;12),"Elite Upside",AND(F141&gt;=9,F141&lt;11),"Upside",AND(F141&gt;=7,F141&lt;9),"Upside Lite",AND(F141&gt;=6,F141&lt;7),"Outlier",AND(F141&gt;=5,F141&lt;6),"Outlier Lite",F141&lt;5,"Purgatory")</f>
        <v>Outlier</v>
      </c>
      <c r="F141" s="14">
        <f>'2018'!C13</f>
        <v>6.9611111111111112</v>
      </c>
      <c r="G141" s="14">
        <f t="shared" si="31"/>
        <v>57.4</v>
      </c>
      <c r="H141" s="35">
        <f t="shared" si="26"/>
        <v>-0.44070398734724053</v>
      </c>
      <c r="I141" s="36" t="str">
        <f>'2018'!D13</f>
        <v>Notre Dame</v>
      </c>
      <c r="J141" s="37">
        <f>'2018'!E13</f>
        <v>2</v>
      </c>
      <c r="K141" s="38">
        <f>'2018'!F13</f>
        <v>35367</v>
      </c>
      <c r="L141" s="39">
        <f>'2018'!G13</f>
        <v>28.931506849315067</v>
      </c>
      <c r="M141" s="39" t="str">
        <f>'2018'!H13</f>
        <v>JR</v>
      </c>
      <c r="N141" s="39">
        <f>'2018'!I13</f>
        <v>21.504109589041096</v>
      </c>
      <c r="O141" s="39" t="str">
        <f t="shared" si="27"/>
        <v>DYNAMIC</v>
      </c>
      <c r="P141" s="39" t="str">
        <f t="shared" si="32"/>
        <v>HORSE</v>
      </c>
      <c r="Q141" s="37">
        <f>'2018'!J13</f>
        <v>74</v>
      </c>
      <c r="R141" s="37">
        <f>'2018'!K13</f>
        <v>213</v>
      </c>
      <c r="S141" s="39">
        <f t="shared" si="29"/>
        <v>27.347278726697702</v>
      </c>
      <c r="T141" s="37">
        <f>'2018'!L13</f>
        <v>4.4800000000000004</v>
      </c>
      <c r="U141" s="40">
        <f>'2018'!M13</f>
        <v>0</v>
      </c>
      <c r="V141" s="41">
        <f>'2018'!N13</f>
        <v>0</v>
      </c>
      <c r="W141" s="42">
        <f>'2018'!O13</f>
        <v>0</v>
      </c>
      <c r="X141" s="42">
        <f>'2018'!P13</f>
        <v>0.14745175655616033</v>
      </c>
      <c r="Y141" s="42">
        <f>'2018'!Q13</f>
        <v>0.22470564757533426</v>
      </c>
      <c r="Z141" s="42">
        <f>'2018'!R13</f>
        <v>0.26291402093701732</v>
      </c>
      <c r="AA141" s="42">
        <f>'2018'!S13</f>
        <v>0.26291402093701732</v>
      </c>
      <c r="AB141" s="42">
        <f>'2018'!T13</f>
        <v>0.26291402093701732</v>
      </c>
      <c r="AC141" s="42">
        <f>'2018'!U13</f>
        <v>6.3257948213700427E-2</v>
      </c>
      <c r="AD141" s="42">
        <f>'2018'!V13</f>
        <v>4.3422184006878764E-2</v>
      </c>
      <c r="AE141" s="42">
        <f>'2018'!W13</f>
        <v>5.3340066110289595E-2</v>
      </c>
      <c r="AF141" s="43">
        <f>'2018'!X13</f>
        <v>5.3340066110289595E-2</v>
      </c>
      <c r="AG141" s="44">
        <f>'2018'!Y13</f>
        <v>19.852054794520548</v>
      </c>
      <c r="AH141" s="45">
        <f>'2018'!Z13</f>
        <v>105.75418023455394</v>
      </c>
      <c r="AI141" s="45">
        <f>'2018'!AA13</f>
        <v>27.344594594594593</v>
      </c>
      <c r="AJ141" s="45">
        <f>'2018'!AB13</f>
        <v>0.21359223300970873</v>
      </c>
      <c r="AK141" s="45">
        <f>'2018'!AC13</f>
        <v>6.9</v>
      </c>
      <c r="AL141" s="45">
        <f t="shared" si="28"/>
        <v>8.1951219512195124</v>
      </c>
      <c r="AM141" s="45">
        <f t="shared" si="30"/>
        <v>5.9360730593607303E-2</v>
      </c>
      <c r="AN141" s="45">
        <f>'2018'!AD13</f>
        <v>106.2</v>
      </c>
      <c r="AO141" s="45">
        <f>'2018'!AE13</f>
        <v>4.95</v>
      </c>
      <c r="AP141" s="46">
        <f>'2018'!AF13</f>
        <v>56</v>
      </c>
      <c r="AQ141" s="47">
        <f>'2018'!AG13</f>
        <v>7</v>
      </c>
      <c r="AR141" s="48">
        <f>'2018'!AH13</f>
        <v>5</v>
      </c>
      <c r="AS141" s="48">
        <f>'2018'!AI13</f>
        <v>5</v>
      </c>
      <c r="AT141" s="48">
        <f>IF(AH141&gt;113.25,10,IF(AH141&gt;=107.84,9,IF(AH141&gt;=105.37,8,IF(AH141&gt;=103.25,7,IF(AH141&gt;=100.55,6,IF(AH141&gt;=98.75,5,IF(AH141&gt;=96.08,4,IF(AH141&gt;=94.39,3,IF(AH141&gt;=88.43,2,IF(AH141&gt;=85.16,1,IF(AH141&lt;85.16,0,FALSE)))))))))))</f>
        <v>8</v>
      </c>
      <c r="AU141" s="48">
        <f>'2018'!AK13</f>
        <v>4</v>
      </c>
      <c r="AV141" s="48">
        <f>'2018'!AL13</f>
        <v>7</v>
      </c>
      <c r="AW141" s="48">
        <f>'2018'!AM13</f>
        <v>5</v>
      </c>
      <c r="AX141" s="48">
        <f>'2018'!AN13</f>
        <v>8</v>
      </c>
      <c r="AY141" s="49">
        <f>IF(U141=1,10,IF(U141=2,7,IF(U141=3,6,IF(U141=4,4,IF(U141=5,3,IF(U141=6,2,IF(U141=7,1,IF(U141=0,0,"-"))))))))</f>
        <v>0</v>
      </c>
      <c r="AZ141" s="50">
        <f>'2018'!AP13</f>
        <v>0</v>
      </c>
      <c r="BA141" s="56">
        <f>'2018'!AQ13</f>
        <v>0</v>
      </c>
      <c r="BB141" s="57">
        <f>'2018'!AR13</f>
        <v>1963</v>
      </c>
      <c r="BC141" s="57">
        <f>'2018'!AS13</f>
        <v>0</v>
      </c>
      <c r="BD141" s="57">
        <f>'2018'!AT13</f>
        <v>0</v>
      </c>
      <c r="BE141" s="57">
        <f>'2018'!AU13</f>
        <v>0</v>
      </c>
      <c r="BF141" s="57">
        <f>'2018'!AV13</f>
        <v>0</v>
      </c>
      <c r="BG141" s="58">
        <f>'2018'!AW13</f>
        <v>0</v>
      </c>
      <c r="BH141" s="58">
        <f>'2018'!AX13</f>
        <v>0</v>
      </c>
      <c r="BI141" s="58">
        <f>'2018'!AY13</f>
        <v>0</v>
      </c>
      <c r="BJ141" s="58">
        <f>'2018'!AZ13</f>
        <v>0</v>
      </c>
      <c r="BK141" s="57">
        <f>'2018'!BA13</f>
        <v>0</v>
      </c>
      <c r="BL141" s="57">
        <f>'2018'!BB13</f>
        <v>3313</v>
      </c>
      <c r="BM141" s="57">
        <f>'2018'!BC13</f>
        <v>0</v>
      </c>
      <c r="BN141" s="57">
        <f>'2018'!BD13</f>
        <v>0</v>
      </c>
      <c r="BO141" s="59">
        <f>'2018'!BE13</f>
        <v>0</v>
      </c>
      <c r="BP141" s="56">
        <f>'2018'!BF13</f>
        <v>0</v>
      </c>
      <c r="BQ141" s="57">
        <f>'2018'!BG13</f>
        <v>2073</v>
      </c>
      <c r="BR141" s="57">
        <f>'2018'!BH13</f>
        <v>0</v>
      </c>
      <c r="BS141" s="57">
        <f>'2018'!BI13</f>
        <v>0</v>
      </c>
      <c r="BT141" s="57">
        <f>'2018'!BJ13</f>
        <v>0</v>
      </c>
      <c r="BU141" s="57">
        <f>'2018'!BK13</f>
        <v>0</v>
      </c>
      <c r="BV141" s="58">
        <f>'2018'!BL13</f>
        <v>0</v>
      </c>
      <c r="BW141" s="58">
        <f>'2018'!BM13</f>
        <v>0</v>
      </c>
      <c r="BX141" s="58">
        <f>'2018'!BN13</f>
        <v>0</v>
      </c>
      <c r="BY141" s="58">
        <f>'2018'!BO13</f>
        <v>0</v>
      </c>
      <c r="BZ141" s="57">
        <f>'2018'!BP13</f>
        <v>0</v>
      </c>
      <c r="CA141" s="57">
        <f>'2018'!BQ13</f>
        <v>3711</v>
      </c>
      <c r="CB141" s="57">
        <f>'2018'!BR13</f>
        <v>0</v>
      </c>
      <c r="CC141" s="57">
        <f>'2018'!BS13</f>
        <v>0</v>
      </c>
      <c r="CD141" s="59">
        <f>'2018'!BT13</f>
        <v>0</v>
      </c>
      <c r="CE141" s="56">
        <f>'2018'!BU13</f>
        <v>852</v>
      </c>
      <c r="CF141" s="57">
        <f>'2018'!BV13</f>
        <v>2699</v>
      </c>
      <c r="CG141" s="57">
        <f>'2018'!BW13</f>
        <v>6</v>
      </c>
      <c r="CH141" s="57">
        <f>'2018'!BX13</f>
        <v>0</v>
      </c>
      <c r="CI141" s="57">
        <f>'2018'!BY13</f>
        <v>115</v>
      </c>
      <c r="CJ141" s="57">
        <f>'2018'!BZ13</f>
        <v>18</v>
      </c>
      <c r="CK141" s="58">
        <f>'2018'!CA13</f>
        <v>7.4</v>
      </c>
      <c r="CL141" s="58">
        <f>'2018'!CB13</f>
        <v>60.3</v>
      </c>
      <c r="CM141" s="58">
        <f>'2018'!CC13</f>
        <v>4.09</v>
      </c>
      <c r="CN141" s="58">
        <f>'2018'!CD13</f>
        <v>45.7</v>
      </c>
      <c r="CO141" s="57">
        <f>'2018'!CE13</f>
        <v>42</v>
      </c>
      <c r="CP141" s="57">
        <f>'2018'!CF13</f>
        <v>3364</v>
      </c>
      <c r="CQ141" s="57">
        <f>'2018'!CG13</f>
        <v>7</v>
      </c>
      <c r="CR141" s="57">
        <f>'2018'!CH13</f>
        <v>0</v>
      </c>
      <c r="CS141" s="59">
        <f>'2018'!CI13</f>
        <v>0</v>
      </c>
      <c r="CT141" s="56">
        <f>'2018'!CJ13</f>
        <v>933</v>
      </c>
      <c r="CU141" s="57">
        <f>'2018'!CK13</f>
        <v>1960</v>
      </c>
      <c r="CV141" s="57">
        <f>'2018'!CL13</f>
        <v>5</v>
      </c>
      <c r="CW141" s="57">
        <f>'2018'!CM13</f>
        <v>0</v>
      </c>
      <c r="CX141" s="57">
        <f>'2018'!CN13</f>
        <v>158</v>
      </c>
      <c r="CY141" s="57">
        <f>'2018'!CO13</f>
        <v>32</v>
      </c>
      <c r="CZ141" s="58">
        <f>'2018'!CP13</f>
        <v>5.9</v>
      </c>
      <c r="DA141" s="58">
        <f>'2018'!CQ13</f>
        <v>62.8</v>
      </c>
      <c r="DB141" s="58">
        <f>'2018'!CR13</f>
        <v>3.41</v>
      </c>
      <c r="DC141" s="58">
        <f>'2018'!CS13</f>
        <v>37.799999999999997</v>
      </c>
      <c r="DD141" s="57">
        <f>'2018'!CT13</f>
        <v>193</v>
      </c>
      <c r="DE141" s="57">
        <f>'2018'!CU13</f>
        <v>3051</v>
      </c>
      <c r="DF141" s="57">
        <f>'2018'!CV13</f>
        <v>21</v>
      </c>
      <c r="DG141" s="57">
        <f>'2018'!CW13</f>
        <v>0</v>
      </c>
      <c r="DH141" s="59">
        <f>'2018'!CX13</f>
        <v>0</v>
      </c>
      <c r="DI141" s="56">
        <f>'2018'!CY13</f>
        <v>1431</v>
      </c>
      <c r="DJ141" s="57">
        <f>'2018'!CZ13</f>
        <v>3501</v>
      </c>
      <c r="DK141" s="57">
        <f>'2018'!DA13</f>
        <v>9</v>
      </c>
      <c r="DL141" s="57">
        <f>'2018'!DB13</f>
        <v>0</v>
      </c>
      <c r="DM141" s="57">
        <f>'2018'!DC13</f>
        <v>206</v>
      </c>
      <c r="DN141" s="57">
        <f>'2018'!DD13</f>
        <v>44</v>
      </c>
      <c r="DO141" s="58">
        <f>'2018'!DE13</f>
        <v>6.9</v>
      </c>
      <c r="DP141" s="58">
        <f>'2018'!DF13</f>
        <v>106.2</v>
      </c>
      <c r="DQ141" s="58">
        <f>'2018'!DG13</f>
        <v>4.95</v>
      </c>
      <c r="DR141" s="58">
        <f>'2018'!DH13</f>
        <v>56</v>
      </c>
      <c r="DS141" s="57">
        <f>'2018'!DI13</f>
        <v>101</v>
      </c>
      <c r="DT141" s="57">
        <f>'2018'!DJ13</f>
        <v>2326</v>
      </c>
      <c r="DU141" s="57">
        <f>'2018'!DK13</f>
        <v>13</v>
      </c>
      <c r="DV141" s="57">
        <f>'2018'!DL13</f>
        <v>0</v>
      </c>
      <c r="DW141" s="59">
        <f>'2018'!DM13</f>
        <v>0</v>
      </c>
    </row>
    <row r="142" spans="1:127" ht="15.75" customHeight="1" x14ac:dyDescent="0.2">
      <c r="A142" s="33">
        <f t="shared" si="25"/>
        <v>140</v>
      </c>
      <c r="B142" s="11">
        <f>'2022'!A12</f>
        <v>10</v>
      </c>
      <c r="C142" s="11">
        <v>2022</v>
      </c>
      <c r="D142" s="34" t="str">
        <f>'2022'!B12</f>
        <v>Tyler Badie</v>
      </c>
      <c r="E142" s="224" t="str" cm="1">
        <f t="array" ref="E142">_xlfn.IFS(F142&gt;=13,"Cornerstone",AND(F142&gt;=12,F142&lt;13),"Elite",AND(F142&gt;=11,F142&lt;12),"Elite Upside",AND(F142&gt;=9,F142&lt;11),"Upside",AND(F142&gt;=7,F142&lt;9),"Upside Lite",AND(F142&gt;=6,F142&lt;7),"Outlier",AND(F142&gt;=5,F142&lt;6),"Outlier Lite",F142&lt;5,"Purgatory")</f>
        <v>Outlier</v>
      </c>
      <c r="F142" s="14">
        <f>'2022'!C12</f>
        <v>6.9388888888888891</v>
      </c>
      <c r="G142" s="14">
        <f t="shared" si="31"/>
        <v>57.099999999999994</v>
      </c>
      <c r="H142" s="35">
        <f t="shared" si="26"/>
        <v>-0.450108988774788</v>
      </c>
      <c r="I142" s="36" t="str">
        <f>'2022'!D12</f>
        <v>Missouri</v>
      </c>
      <c r="J142" s="37">
        <f>'2022'!E12</f>
        <v>1</v>
      </c>
      <c r="K142" s="38">
        <f>'2022'!F12</f>
        <v>36563</v>
      </c>
      <c r="L142" s="39">
        <f>'2022'!G12</f>
        <v>25.654794520547945</v>
      </c>
      <c r="M142" s="39" t="str">
        <f>'2022'!H12</f>
        <v>SR</v>
      </c>
      <c r="N142" s="39">
        <f>'2022'!I12</f>
        <v>22.235616438356164</v>
      </c>
      <c r="O142" s="39" t="str">
        <f t="shared" si="27"/>
        <v>JITTERBUG</v>
      </c>
      <c r="P142" s="39" t="str">
        <f t="shared" si="32"/>
        <v>+RECEIVER</v>
      </c>
      <c r="Q142" s="37">
        <f>'2022'!J12</f>
        <v>68</v>
      </c>
      <c r="R142" s="37">
        <f>'2022'!K12</f>
        <v>197</v>
      </c>
      <c r="S142" s="39">
        <f t="shared" si="29"/>
        <v>29.953415702679163</v>
      </c>
      <c r="T142" s="37">
        <f>'2022'!L12</f>
        <v>4.45</v>
      </c>
      <c r="U142" s="40">
        <f>'2022'!M12</f>
        <v>6</v>
      </c>
      <c r="V142" s="41">
        <f>'2022'!N12</f>
        <v>0</v>
      </c>
      <c r="W142" s="42">
        <f>'2022'!O12</f>
        <v>9.0531694076321251E-2</v>
      </c>
      <c r="X142" s="42">
        <f>'2022'!P12</f>
        <v>0.18102872411489646</v>
      </c>
      <c r="Y142" s="42">
        <f>'2022'!Q12</f>
        <v>0.14303482587064675</v>
      </c>
      <c r="Z142" s="42">
        <f>'2022'!R12</f>
        <v>0.36017106731126813</v>
      </c>
      <c r="AA142" s="42">
        <f>'2022'!S12</f>
        <v>0.36017106731126813</v>
      </c>
      <c r="AB142" s="42">
        <f>'2022'!T12</f>
        <v>0.36017106731126813</v>
      </c>
      <c r="AC142" s="42">
        <f>'2022'!U12</f>
        <v>0.12481259370314843</v>
      </c>
      <c r="AD142" s="42">
        <f>'2022'!V12</f>
        <v>0.10968379446640317</v>
      </c>
      <c r="AE142" s="42">
        <f>'2022'!W12</f>
        <v>0.1172481940847758</v>
      </c>
      <c r="AF142" s="43">
        <f>'2022'!X12</f>
        <v>0.1172481940847758</v>
      </c>
      <c r="AG142" s="44">
        <f>'2022'!Y12</f>
        <v>19.575342465753426</v>
      </c>
      <c r="AH142" s="45">
        <f>'2022'!Z12</f>
        <v>100.4745750155784</v>
      </c>
      <c r="AI142" s="45">
        <f>'2022'!AA12</f>
        <v>29.950475778546714</v>
      </c>
      <c r="AJ142" s="45">
        <f>'2022'!AB12</f>
        <v>0.21033210332103322</v>
      </c>
      <c r="AK142" s="45">
        <f>'2022'!AC12</f>
        <v>5.9</v>
      </c>
      <c r="AL142" s="45">
        <f t="shared" si="28"/>
        <v>9.6806722689075624</v>
      </c>
      <c r="AM142" s="45">
        <f t="shared" si="30"/>
        <v>0.1609907120743034</v>
      </c>
      <c r="AN142" s="45">
        <f>'2022'!AD12</f>
        <v>72.2</v>
      </c>
      <c r="AO142" s="45">
        <f>'2022'!AE12</f>
        <v>3.38</v>
      </c>
      <c r="AP142" s="46">
        <f>'2022'!AF12</f>
        <v>47.5</v>
      </c>
      <c r="AQ142" s="47">
        <f>'2022'!AG12</f>
        <v>10</v>
      </c>
      <c r="AR142" s="48">
        <f>'2022'!AH12</f>
        <v>9</v>
      </c>
      <c r="AS142" s="48">
        <f>'2022'!AI12</f>
        <v>6</v>
      </c>
      <c r="AT142" s="48">
        <f>IF(AH142&gt;113.25,10,IF(AH142&gt;=107.84,9,IF(AH142&gt;=105.37,8,IF(AH142&gt;=103.25,7,IF(AH142&gt;=100.55,6,IF(AH142&gt;=98.75,5,IF(AH142&gt;=96.08,4,IF(AH142&gt;=94.39,3,IF(AH142&gt;=88.43,2,IF(AH142&gt;=85.16,1,IF(AH142&lt;85.16,0,FALSE)))))))))))</f>
        <v>5</v>
      </c>
      <c r="AU142" s="48">
        <f>'2022'!AK12</f>
        <v>4</v>
      </c>
      <c r="AV142" s="48">
        <f>'2022'!AL12</f>
        <v>4</v>
      </c>
      <c r="AW142" s="48">
        <f>'2022'!AM12</f>
        <v>1</v>
      </c>
      <c r="AX142" s="48">
        <f>'2022'!AN12</f>
        <v>1</v>
      </c>
      <c r="AY142" s="49">
        <f>IF(U142=1,10,IF(U142=2,7,IF(U142=3,6,IF(U142=4,4,IF(U142=5,3,IF(U142=6,2,IF(U142=7,1,IF(U142=0,0,"-"))))))))</f>
        <v>2</v>
      </c>
      <c r="AZ142" s="50">
        <f>'2022'!AP12</f>
        <v>0.25</v>
      </c>
      <c r="BA142" s="56">
        <f>'2022'!AQ12</f>
        <v>0</v>
      </c>
      <c r="BB142" s="57">
        <f>'2022'!AR12</f>
        <v>2516</v>
      </c>
      <c r="BC142" s="57">
        <f>'2022'!AS12</f>
        <v>0</v>
      </c>
      <c r="BD142" s="57">
        <f>'2022'!AT12</f>
        <v>16</v>
      </c>
      <c r="BE142" s="57">
        <f>'2022'!AU12</f>
        <v>0</v>
      </c>
      <c r="BF142" s="57">
        <f>'2022'!AV12</f>
        <v>0</v>
      </c>
      <c r="BG142" s="58">
        <f>'2022'!AW12</f>
        <v>0</v>
      </c>
      <c r="BH142" s="58">
        <f>'2022'!AX12</f>
        <v>0</v>
      </c>
      <c r="BI142" s="58">
        <f>'2022'!AY12</f>
        <v>0</v>
      </c>
      <c r="BJ142" s="58">
        <f>'2022'!AZ12</f>
        <v>0</v>
      </c>
      <c r="BK142" s="57">
        <f>'2022'!BA12</f>
        <v>0</v>
      </c>
      <c r="BL142" s="57">
        <f>'2022'!BB12</f>
        <v>4012</v>
      </c>
      <c r="BM142" s="57">
        <f>'2022'!BC12</f>
        <v>0</v>
      </c>
      <c r="BN142" s="57">
        <f>'2022'!BD12</f>
        <v>0</v>
      </c>
      <c r="BO142" s="59">
        <f>'2022'!BE12</f>
        <v>44</v>
      </c>
      <c r="BP142" s="56">
        <f>'2022'!BF12</f>
        <v>437</v>
      </c>
      <c r="BQ142" s="57">
        <f>'2022'!BG12</f>
        <v>2631</v>
      </c>
      <c r="BR142" s="57">
        <f>'2022'!BH12</f>
        <v>2</v>
      </c>
      <c r="BS142" s="57">
        <f>'2022'!BI12</f>
        <v>27</v>
      </c>
      <c r="BT142" s="57">
        <f>'2022'!BJ12</f>
        <v>89</v>
      </c>
      <c r="BU142" s="57">
        <f>'2022'!BK12</f>
        <v>10</v>
      </c>
      <c r="BV142" s="58">
        <f>'2022'!BL12</f>
        <v>4.9000000000000004</v>
      </c>
      <c r="BW142" s="58">
        <f>'2022'!BM12</f>
        <v>42.4</v>
      </c>
      <c r="BX142" s="58">
        <f>'2022'!BN12</f>
        <v>2.52</v>
      </c>
      <c r="BY142" s="58">
        <f>'2022'!BO12</f>
        <v>24.9</v>
      </c>
      <c r="BZ142" s="57">
        <f>'2022'!BP12</f>
        <v>130</v>
      </c>
      <c r="CA142" s="57">
        <f>'2022'!BQ12</f>
        <v>3632</v>
      </c>
      <c r="CB142" s="57">
        <f>'2022'!BR12</f>
        <v>7</v>
      </c>
      <c r="CC142" s="57">
        <f>'2022'!BS12</f>
        <v>0</v>
      </c>
      <c r="CD142" s="59">
        <f>'2022'!BT12</f>
        <v>28</v>
      </c>
      <c r="CE142" s="56">
        <f>'2022'!BU12</f>
        <v>457</v>
      </c>
      <c r="CF142" s="57">
        <f>'2022'!BV12</f>
        <v>1820</v>
      </c>
      <c r="CG142" s="57">
        <f>'2022'!BW12</f>
        <v>3</v>
      </c>
      <c r="CH142" s="57">
        <f>'2022'!BX12</f>
        <v>14</v>
      </c>
      <c r="CI142" s="57">
        <f>'2022'!BY12</f>
        <v>108</v>
      </c>
      <c r="CJ142" s="57">
        <f>'2022'!BZ12</f>
        <v>20</v>
      </c>
      <c r="CK142" s="58">
        <f>'2022'!CA12</f>
        <v>4.2</v>
      </c>
      <c r="CL142" s="58">
        <f>'2022'!CB12</f>
        <v>37.700000000000003</v>
      </c>
      <c r="CM142" s="58">
        <f>'2022'!CC12</f>
        <v>2.11</v>
      </c>
      <c r="CN142" s="58">
        <f>'2022'!CD12</f>
        <v>24.9</v>
      </c>
      <c r="CO142" s="57">
        <f>'2022'!CE12</f>
        <v>356</v>
      </c>
      <c r="CP142" s="57">
        <f>'2022'!CF12</f>
        <v>2671</v>
      </c>
      <c r="CQ142" s="57">
        <f>'2022'!CG12</f>
        <v>32</v>
      </c>
      <c r="CR142" s="57">
        <f>'2022'!CH12</f>
        <v>0</v>
      </c>
      <c r="CS142" s="59">
        <f>'2022'!CI12</f>
        <v>17</v>
      </c>
      <c r="CT142" s="56">
        <f>'2022'!CJ12</f>
        <v>242</v>
      </c>
      <c r="CU142" s="57">
        <f>'2022'!CK12</f>
        <v>1352</v>
      </c>
      <c r="CV142" s="57">
        <f>'2022'!CL12</f>
        <v>4</v>
      </c>
      <c r="CW142" s="57">
        <f>'2022'!CM12</f>
        <v>21</v>
      </c>
      <c r="CX142" s="57">
        <f>'2022'!CN12</f>
        <v>48</v>
      </c>
      <c r="CY142" s="57">
        <f>'2022'!CO12</f>
        <v>5</v>
      </c>
      <c r="CZ142" s="58">
        <f>'2022'!CP12</f>
        <v>5</v>
      </c>
      <c r="DA142" s="58">
        <f>'2022'!CQ12</f>
        <v>28.9</v>
      </c>
      <c r="DB142" s="58">
        <f>'2022'!CR12</f>
        <v>2.75</v>
      </c>
      <c r="DC142" s="58">
        <f>'2022'!CS12</f>
        <v>47.5</v>
      </c>
      <c r="DD142" s="57">
        <f>'2022'!CT12</f>
        <v>333</v>
      </c>
      <c r="DE142" s="57">
        <f>'2022'!CU12</f>
        <v>2668</v>
      </c>
      <c r="DF142" s="57">
        <f>'2022'!CV12</f>
        <v>28</v>
      </c>
      <c r="DG142" s="57">
        <f>'2022'!CW12</f>
        <v>0</v>
      </c>
      <c r="DH142" s="59">
        <f>'2022'!CX12</f>
        <v>9</v>
      </c>
      <c r="DI142" s="56">
        <f>'2022'!CY12</f>
        <v>1604</v>
      </c>
      <c r="DJ142" s="57">
        <f>'2022'!CZ12</f>
        <v>2342</v>
      </c>
      <c r="DK142" s="57">
        <f>'2022'!DA12</f>
        <v>14</v>
      </c>
      <c r="DL142" s="57">
        <f>'2022'!DB12</f>
        <v>22</v>
      </c>
      <c r="DM142" s="57">
        <f>'2022'!DC12</f>
        <v>271</v>
      </c>
      <c r="DN142" s="57">
        <f>'2022'!DD12</f>
        <v>57</v>
      </c>
      <c r="DO142" s="58">
        <f>'2022'!DE12</f>
        <v>5.9</v>
      </c>
      <c r="DP142" s="58">
        <f>'2022'!DF12</f>
        <v>72.2</v>
      </c>
      <c r="DQ142" s="58">
        <f>'2022'!DG12</f>
        <v>3.38</v>
      </c>
      <c r="DR142" s="58">
        <f>'2022'!DH12</f>
        <v>43.2</v>
      </c>
      <c r="DS142" s="57">
        <f>'2022'!DI12</f>
        <v>333</v>
      </c>
      <c r="DT142" s="57">
        <f>'2022'!DJ12</f>
        <v>3036</v>
      </c>
      <c r="DU142" s="57">
        <f>'2022'!DK12</f>
        <v>52</v>
      </c>
      <c r="DV142" s="57">
        <f>'2022'!DL12</f>
        <v>0</v>
      </c>
      <c r="DW142" s="59">
        <f>'2022'!DM12</f>
        <v>19</v>
      </c>
    </row>
    <row r="143" spans="1:127" ht="15.75" customHeight="1" x14ac:dyDescent="0.2">
      <c r="A143" s="33">
        <f t="shared" si="25"/>
        <v>141</v>
      </c>
      <c r="B143" s="11">
        <f>'2023'!A16</f>
        <v>14</v>
      </c>
      <c r="C143" s="11">
        <v>2023</v>
      </c>
      <c r="D143" s="34" t="str">
        <f>'2023'!B16</f>
        <v>Deuce Vaughn</v>
      </c>
      <c r="E143" s="224" t="str" cm="1">
        <f t="array" ref="E143">_xlfn.IFS(F143&gt;=13,"Cornerstone",AND(F143&gt;=12,F143&lt;13),"Elite",AND(F143&gt;=11,F143&lt;12),"Elite Upside",AND(F143&gt;=9,F143&lt;11),"Upside",AND(F143&gt;=7,F143&lt;9),"Upside Lite",AND(F143&gt;=6,F143&lt;7),"Outlier",AND(F143&gt;=5,F143&lt;6),"Outlier Lite",F143&lt;5,"Purgatory")</f>
        <v>Outlier</v>
      </c>
      <c r="F143" s="14">
        <f>'2023'!C16</f>
        <v>6.9222222222222225</v>
      </c>
      <c r="G143" s="14">
        <f t="shared" si="31"/>
        <v>56.8</v>
      </c>
      <c r="H143" s="35">
        <f t="shared" si="26"/>
        <v>-0.45716273984544864</v>
      </c>
      <c r="I143" s="36" t="str">
        <f>'2023'!D16</f>
        <v>Kansas State</v>
      </c>
      <c r="J143" s="37">
        <f>'2023'!E16</f>
        <v>3</v>
      </c>
      <c r="K143" s="38">
        <f>'2023'!F16</f>
        <v>37197</v>
      </c>
      <c r="L143" s="39">
        <f>'2023'!G16</f>
        <v>23.917808219178081</v>
      </c>
      <c r="M143" s="39" t="str">
        <f>'2023'!H16</f>
        <v>JR</v>
      </c>
      <c r="N143" s="39">
        <f>'2023'!I16</f>
        <v>21.495890410958904</v>
      </c>
      <c r="O143" s="39" t="str">
        <f t="shared" si="27"/>
        <v>JITTERBUG</v>
      </c>
      <c r="P143" s="39" t="str">
        <f t="shared" si="32"/>
        <v>+RECEIVER</v>
      </c>
      <c r="Q143" s="37">
        <f>'2023'!J16</f>
        <v>65</v>
      </c>
      <c r="R143" s="37">
        <f>'2023'!K16</f>
        <v>179</v>
      </c>
      <c r="S143" s="39">
        <f t="shared" si="29"/>
        <v>29.786828899101582</v>
      </c>
      <c r="T143" s="37">
        <f>'2023'!L16</f>
        <v>4.4400000000000004</v>
      </c>
      <c r="U143" s="40">
        <f>'2023'!M16</f>
        <v>6</v>
      </c>
      <c r="V143" s="41">
        <f>'2023'!N16</f>
        <v>0</v>
      </c>
      <c r="W143" s="42">
        <f>'2023'!O16</f>
        <v>0</v>
      </c>
      <c r="X143" s="42">
        <f>'2023'!P16</f>
        <v>0.31890930646117366</v>
      </c>
      <c r="Y143" s="42">
        <f>'2023'!Q16</f>
        <v>0.39851380042462847</v>
      </c>
      <c r="Z143" s="42">
        <f>'2023'!R16</f>
        <v>0.32986525669452499</v>
      </c>
      <c r="AA143" s="42">
        <f>'2023'!S16</f>
        <v>0.36418952855957676</v>
      </c>
      <c r="AB143" s="42">
        <f>'2023'!T16</f>
        <v>0.32777057570361912</v>
      </c>
      <c r="AC143" s="42">
        <f>'2023'!U16</f>
        <v>0.18006925740669488</v>
      </c>
      <c r="AD143" s="42">
        <f>'2023'!V16</f>
        <v>0.12656939260264677</v>
      </c>
      <c r="AE143" s="42">
        <f>'2023'!W16</f>
        <v>0.15331932500467083</v>
      </c>
      <c r="AF143" s="43">
        <f>'2023'!X16</f>
        <v>0.13798739250420375</v>
      </c>
      <c r="AG143" s="44">
        <f>'2023'!Y16</f>
        <v>18.841095890410958</v>
      </c>
      <c r="AH143" s="45">
        <f>'2023'!Z16</f>
        <v>92.119409665589856</v>
      </c>
      <c r="AI143" s="45">
        <f>'2023'!AA16</f>
        <v>29.783905325443786</v>
      </c>
      <c r="AJ143" s="45">
        <f>'2023'!AB16</f>
        <v>0.21367521367521367</v>
      </c>
      <c r="AK143" s="45">
        <f>'2023'!AC16</f>
        <v>6</v>
      </c>
      <c r="AL143" s="45">
        <f t="shared" si="28"/>
        <v>10.897435897435898</v>
      </c>
      <c r="AM143" s="45">
        <f t="shared" si="30"/>
        <v>0.12874251497005987</v>
      </c>
      <c r="AN143" s="45">
        <f>'2023'!AD16</f>
        <v>71.2</v>
      </c>
      <c r="AO143" s="45">
        <f>'2023'!AE16</f>
        <v>3.06</v>
      </c>
      <c r="AP143" s="46">
        <f>'2023'!AF16</f>
        <v>51.9</v>
      </c>
      <c r="AQ143" s="47">
        <f>'2023'!AG16</f>
        <v>8</v>
      </c>
      <c r="AR143" s="48">
        <f>'2023'!AH16</f>
        <v>10</v>
      </c>
      <c r="AS143" s="48">
        <f>'2023'!AI16</f>
        <v>9</v>
      </c>
      <c r="AT143" s="48">
        <f>IF(AH143&gt;113.25,10,IF(AH143&gt;=107.84,9,IF(AH143&gt;=105.37,8,IF(AH143&gt;=103.25,7,IF(AH143&gt;=100.55,6,IF(AH143&gt;=98.75,5,IF(AH143&gt;=96.08,4,IF(AH143&gt;=94.39,3,IF(AH143&gt;=88.43,2,IF(AH143&gt;=85.16,1,IF(AH143&lt;85.16,0,FALSE)))))))))))</f>
        <v>2</v>
      </c>
      <c r="AU143" s="48">
        <f>'2023'!AK16</f>
        <v>4</v>
      </c>
      <c r="AV143" s="48">
        <f>'2023'!AL16</f>
        <v>4</v>
      </c>
      <c r="AW143" s="48">
        <f>'2023'!AM16</f>
        <v>1</v>
      </c>
      <c r="AX143" s="48">
        <f>'2023'!AN16</f>
        <v>0</v>
      </c>
      <c r="AY143" s="49">
        <f>'2023'!AO16</f>
        <v>2</v>
      </c>
      <c r="AZ143" s="50">
        <f>'2023'!AP16</f>
        <v>0</v>
      </c>
      <c r="BA143" s="56">
        <f>'2023'!AQ16</f>
        <v>0</v>
      </c>
      <c r="BB143" s="57">
        <f>'2023'!AR16</f>
        <v>2191</v>
      </c>
      <c r="BC143" s="57">
        <f>'2023'!AS16</f>
        <v>0</v>
      </c>
      <c r="BD143" s="57">
        <f>'2023'!AT16</f>
        <v>21</v>
      </c>
      <c r="BE143" s="57">
        <f>'2023'!AU16</f>
        <v>0</v>
      </c>
      <c r="BF143" s="57">
        <f>'2023'!AV16</f>
        <v>0</v>
      </c>
      <c r="BG143" s="58">
        <f>'2023'!AW16</f>
        <v>0</v>
      </c>
      <c r="BH143" s="58">
        <f>'2023'!AX16</f>
        <v>0</v>
      </c>
      <c r="BI143" s="58">
        <f>'2023'!AY16</f>
        <v>0</v>
      </c>
      <c r="BJ143" s="58">
        <f>'2023'!AZ16</f>
        <v>0</v>
      </c>
      <c r="BK143" s="57">
        <f>'2023'!BA16</f>
        <v>0</v>
      </c>
      <c r="BL143" s="57">
        <f>'2023'!BB16</f>
        <v>1945</v>
      </c>
      <c r="BM143" s="57">
        <f>'2023'!BC16</f>
        <v>0</v>
      </c>
      <c r="BN143" s="57">
        <f>'2023'!BD16</f>
        <v>0</v>
      </c>
      <c r="BO143" s="59">
        <f>'2023'!BE16</f>
        <v>11</v>
      </c>
      <c r="BP143" s="56">
        <f>'2023'!BF16</f>
        <v>0</v>
      </c>
      <c r="BQ143" s="57">
        <f>'2023'!BG16</f>
        <v>2314</v>
      </c>
      <c r="BR143" s="57">
        <f>'2023'!BH16</f>
        <v>0</v>
      </c>
      <c r="BS143" s="57">
        <f>'2023'!BI16</f>
        <v>29</v>
      </c>
      <c r="BT143" s="57">
        <f>'2023'!BJ16</f>
        <v>0</v>
      </c>
      <c r="BU143" s="57">
        <f>'2023'!BK16</f>
        <v>0</v>
      </c>
      <c r="BV143" s="58">
        <f>'2023'!BL16</f>
        <v>0</v>
      </c>
      <c r="BW143" s="58">
        <f>'2023'!BM16</f>
        <v>0</v>
      </c>
      <c r="BX143" s="58">
        <f>'2023'!BN16</f>
        <v>0</v>
      </c>
      <c r="BY143" s="58">
        <f>'2023'!BO16</f>
        <v>0</v>
      </c>
      <c r="BZ143" s="57">
        <f>'2023'!BP16</f>
        <v>0</v>
      </c>
      <c r="CA143" s="57">
        <f>'2023'!BQ16</f>
        <v>2352</v>
      </c>
      <c r="CB143" s="57">
        <f>'2023'!BR16</f>
        <v>0</v>
      </c>
      <c r="CC143" s="57">
        <f>'2023'!BS16</f>
        <v>0</v>
      </c>
      <c r="CD143" s="59">
        <f>'2023'!BT16</f>
        <v>12</v>
      </c>
      <c r="CE143" s="56">
        <f>'2023'!BU16</f>
        <v>642</v>
      </c>
      <c r="CF143" s="57">
        <f>'2023'!BV16</f>
        <v>1517</v>
      </c>
      <c r="CG143" s="57">
        <f>'2023'!BW16</f>
        <v>7</v>
      </c>
      <c r="CH143" s="57">
        <f>'2023'!BX16</f>
        <v>17</v>
      </c>
      <c r="CI143" s="57">
        <f>'2023'!BY16</f>
        <v>121</v>
      </c>
      <c r="CJ143" s="57">
        <f>'2023'!BZ16</f>
        <v>25</v>
      </c>
      <c r="CK143" s="58">
        <f>'2023'!CA16</f>
        <v>5.3</v>
      </c>
      <c r="CL143" s="58">
        <f>'2023'!CB16</f>
        <v>71.2</v>
      </c>
      <c r="CM143" s="58">
        <f>'2023'!CC16</f>
        <v>3.06</v>
      </c>
      <c r="CN143" s="58">
        <f>'2023'!CD16</f>
        <v>51.9</v>
      </c>
      <c r="CO143" s="57">
        <f>'2023'!CE16</f>
        <v>434</v>
      </c>
      <c r="CP143" s="57">
        <f>'2023'!CF16</f>
        <v>1857</v>
      </c>
      <c r="CQ143" s="57">
        <f>'2023'!CG16</f>
        <v>25</v>
      </c>
      <c r="CR143" s="57">
        <f>'2023'!CH16</f>
        <v>0</v>
      </c>
      <c r="CS143" s="59">
        <f>'2023'!CI16</f>
        <v>12</v>
      </c>
      <c r="CT143" s="56">
        <f>'2023'!CJ16</f>
        <v>1409</v>
      </c>
      <c r="CU143" s="57">
        <f>'2023'!CK16</f>
        <v>2111</v>
      </c>
      <c r="CV143" s="57">
        <f>'2023'!CL16</f>
        <v>18</v>
      </c>
      <c r="CW143" s="57">
        <f>'2023'!CM16</f>
        <v>29</v>
      </c>
      <c r="CX143" s="57">
        <f>'2023'!CN16</f>
        <v>234</v>
      </c>
      <c r="CY143" s="57">
        <f>'2023'!CO16</f>
        <v>50</v>
      </c>
      <c r="CZ143" s="58">
        <f>'2023'!CP16</f>
        <v>6</v>
      </c>
      <c r="DA143" s="58">
        <f>'2023'!CQ16</f>
        <v>66</v>
      </c>
      <c r="DB143" s="58">
        <f>'2023'!CR16</f>
        <v>2.97</v>
      </c>
      <c r="DC143" s="58">
        <f>'2023'!CS16</f>
        <v>40.6</v>
      </c>
      <c r="DD143" s="57">
        <f>'2023'!CT16</f>
        <v>468</v>
      </c>
      <c r="DE143" s="57">
        <f>'2023'!CU16</f>
        <v>2599</v>
      </c>
      <c r="DF143" s="57">
        <f>'2023'!CV16</f>
        <v>49</v>
      </c>
      <c r="DG143" s="57">
        <f>'2023'!CW16</f>
        <v>0</v>
      </c>
      <c r="DH143" s="59">
        <f>'2023'!CX16</f>
        <v>14</v>
      </c>
      <c r="DI143" s="56">
        <f>'2023'!CY16</f>
        <v>1561</v>
      </c>
      <c r="DJ143" s="57">
        <f>'2023'!CZ16</f>
        <v>2916</v>
      </c>
      <c r="DK143" s="57">
        <f>'2023'!DA16</f>
        <v>9</v>
      </c>
      <c r="DL143" s="57">
        <f>'2023'!DB16</f>
        <v>32</v>
      </c>
      <c r="DM143" s="57">
        <f>'2023'!DC16</f>
        <v>291</v>
      </c>
      <c r="DN143" s="57">
        <f>'2023'!DD16</f>
        <v>57</v>
      </c>
      <c r="DO143" s="58">
        <f>'2023'!DE16</f>
        <v>5.4</v>
      </c>
      <c r="DP143" s="58">
        <f>'2023'!DF16</f>
        <v>43.6</v>
      </c>
      <c r="DQ143" s="58">
        <f>'2023'!DG16</f>
        <v>2.35</v>
      </c>
      <c r="DR143" s="58">
        <f>'2023'!DH16</f>
        <v>42.8</v>
      </c>
      <c r="DS143" s="57">
        <f>'2023'!DI16</f>
        <v>373</v>
      </c>
      <c r="DT143" s="57">
        <f>'2023'!DJ16</f>
        <v>2947</v>
      </c>
      <c r="DU143" s="57">
        <f>'2023'!DK16</f>
        <v>43</v>
      </c>
      <c r="DV143" s="57">
        <f>'2023'!DL16</f>
        <v>0</v>
      </c>
      <c r="DW143" s="59">
        <f>'2023'!DM16</f>
        <v>21</v>
      </c>
    </row>
    <row r="144" spans="1:127" ht="15.75" customHeight="1" x14ac:dyDescent="0.2">
      <c r="A144" s="33">
        <f t="shared" si="25"/>
        <v>142</v>
      </c>
      <c r="B144" s="11">
        <f>'2018'!A14</f>
        <v>12</v>
      </c>
      <c r="C144" s="11">
        <v>2018</v>
      </c>
      <c r="D144" s="34" t="str">
        <f>'2018'!B14</f>
        <v>Bo Scarbrough</v>
      </c>
      <c r="E144" s="224" t="str" cm="1">
        <f t="array" ref="E144">_xlfn.IFS(F144&gt;=13,"Cornerstone",AND(F144&gt;=12,F144&lt;13),"Elite",AND(F144&gt;=11,F144&lt;12),"Elite Upside",AND(F144&gt;=9,F144&lt;11),"Upside",AND(F144&gt;=7,F144&lt;9),"Upside Lite",AND(F144&gt;=6,F144&lt;7),"Outlier",AND(F144&gt;=5,F144&lt;6),"Outlier Lite",F144&lt;5,"Purgatory")</f>
        <v>Outlier</v>
      </c>
      <c r="F144" s="14">
        <f>'2018'!C14</f>
        <v>6.9</v>
      </c>
      <c r="G144" s="14">
        <f t="shared" si="31"/>
        <v>56.499999999999993</v>
      </c>
      <c r="H144" s="35">
        <f t="shared" si="26"/>
        <v>-0.46656774127299616</v>
      </c>
      <c r="I144" s="36" t="str">
        <f>'2018'!D14</f>
        <v>Alabama</v>
      </c>
      <c r="J144" s="37">
        <f>'2018'!E14</f>
        <v>1</v>
      </c>
      <c r="K144" s="38">
        <f>'2018'!F14</f>
        <v>35337</v>
      </c>
      <c r="L144" s="39">
        <f>'2018'!G14</f>
        <v>29.013698630136986</v>
      </c>
      <c r="M144" s="39" t="str">
        <f>'2018'!H14</f>
        <v>JR</v>
      </c>
      <c r="N144" s="39">
        <f>'2018'!I14</f>
        <v>21.586301369863012</v>
      </c>
      <c r="O144" s="39" t="str">
        <f t="shared" si="27"/>
        <v>BRUISER</v>
      </c>
      <c r="P144" s="39" t="str">
        <f t="shared" si="32"/>
        <v>3DOWN</v>
      </c>
      <c r="Q144" s="37">
        <f>'2018'!J14</f>
        <v>74</v>
      </c>
      <c r="R144" s="37">
        <f>'2018'!K14</f>
        <v>228</v>
      </c>
      <c r="S144" s="39">
        <f t="shared" si="29"/>
        <v>29.273143425760921</v>
      </c>
      <c r="T144" s="37">
        <f>'2018'!L14</f>
        <v>4.5199999999999996</v>
      </c>
      <c r="U144" s="40">
        <f>'2018'!M14</f>
        <v>7</v>
      </c>
      <c r="V144" s="41">
        <f>'2018'!N14</f>
        <v>0</v>
      </c>
      <c r="W144" s="42">
        <f>'2018'!O14</f>
        <v>0</v>
      </c>
      <c r="X144" s="42">
        <f>'2018'!P14</f>
        <v>1.6234779893849517E-2</v>
      </c>
      <c r="Y144" s="42">
        <f>'2018'!Q14</f>
        <v>0.12227266071167081</v>
      </c>
      <c r="Z144" s="42">
        <f>'2018'!R14</f>
        <v>0.11339874537558307</v>
      </c>
      <c r="AA144" s="42">
        <f>'2018'!S14</f>
        <v>0.11783570304362695</v>
      </c>
      <c r="AB144" s="42">
        <f>'2018'!T14</f>
        <v>0.11783570304362695</v>
      </c>
      <c r="AC144" s="42">
        <f>'2018'!U14</f>
        <v>6.9752694990488267E-3</v>
      </c>
      <c r="AD144" s="42">
        <f>'2018'!V14</f>
        <v>4.0251107828655833E-2</v>
      </c>
      <c r="AE144" s="42">
        <f>'2018'!W14</f>
        <v>4.0251107828655833E-2</v>
      </c>
      <c r="AF144" s="43">
        <f>'2018'!X14</f>
        <v>4.0251107828655833E-2</v>
      </c>
      <c r="AG144" s="44" t="str">
        <f>'2018'!Y14</f>
        <v>N/A</v>
      </c>
      <c r="AH144" s="45">
        <f>'2018'!Z14</f>
        <v>109.24739836788901</v>
      </c>
      <c r="AI144" s="45">
        <f>'2018'!AA14</f>
        <v>29.27027027027027</v>
      </c>
      <c r="AJ144" s="45">
        <f>'2018'!AB14</f>
        <v>0.32</v>
      </c>
      <c r="AK144" s="45">
        <f>'2018'!AC14</f>
        <v>6.5</v>
      </c>
      <c r="AL144" s="45">
        <f t="shared" si="28"/>
        <v>6.2380952380952381</v>
      </c>
      <c r="AM144" s="45">
        <f t="shared" si="30"/>
        <v>0.12056737588652482</v>
      </c>
      <c r="AN144" s="45">
        <f>'2018'!AD14</f>
        <v>147.30000000000001</v>
      </c>
      <c r="AO144" s="45">
        <f>'2018'!AE14</f>
        <v>4.75</v>
      </c>
      <c r="AP144" s="46">
        <f>'2018'!AF14</f>
        <v>48.5</v>
      </c>
      <c r="AQ144" s="47">
        <f>'2018'!AG14</f>
        <v>0</v>
      </c>
      <c r="AR144" s="48">
        <f>'2018'!AH14</f>
        <v>4</v>
      </c>
      <c r="AS144" s="48">
        <f>'2018'!AI14</f>
        <v>0</v>
      </c>
      <c r="AT144" s="48">
        <f>IF(AH144&gt;113.25,10,IF(AH144&gt;=107.84,9,IF(AH144&gt;=105.37,8,IF(AH144&gt;=103.25,7,IF(AH144&gt;=100.55,6,IF(AH144&gt;=98.75,5,IF(AH144&gt;=96.08,4,IF(AH144&gt;=94.39,3,IF(AH144&gt;=88.43,2,IF(AH144&gt;=85.16,1,IF(AH144&lt;85.16,0,FALSE)))))))))))</f>
        <v>9</v>
      </c>
      <c r="AU144" s="48">
        <f>'2018'!AK14</f>
        <v>9</v>
      </c>
      <c r="AV144" s="48">
        <f>'2018'!AL14</f>
        <v>6</v>
      </c>
      <c r="AW144" s="48">
        <f>'2018'!AM14</f>
        <v>7</v>
      </c>
      <c r="AX144" s="48">
        <f>'2018'!AN14</f>
        <v>8</v>
      </c>
      <c r="AY144" s="49">
        <f>IF(U144=1,10,IF(U144=2,7,IF(U144=3,6,IF(U144=4,4,IF(U144=5,3,IF(U144=6,2,IF(U144=7,1,IF(U144=0,0,"-"))))))))</f>
        <v>1</v>
      </c>
      <c r="AZ144" s="50">
        <f>'2018'!AP14</f>
        <v>1</v>
      </c>
      <c r="BA144" s="56">
        <f>'2018'!AQ14</f>
        <v>0</v>
      </c>
      <c r="BB144" s="57">
        <f>'2018'!AR14</f>
        <v>2673</v>
      </c>
      <c r="BC144" s="57">
        <f>'2018'!AS14</f>
        <v>0</v>
      </c>
      <c r="BD144" s="57">
        <f>'2018'!AT14</f>
        <v>0</v>
      </c>
      <c r="BE144" s="57">
        <f>'2018'!AU14</f>
        <v>0</v>
      </c>
      <c r="BF144" s="57">
        <f>'2018'!AV14</f>
        <v>0</v>
      </c>
      <c r="BG144" s="58">
        <f>'2018'!AW14</f>
        <v>0</v>
      </c>
      <c r="BH144" s="58">
        <f>'2018'!AX14</f>
        <v>0</v>
      </c>
      <c r="BI144" s="58">
        <f>'2018'!AY14</f>
        <v>0</v>
      </c>
      <c r="BJ144" s="58">
        <f>'2018'!AZ14</f>
        <v>0</v>
      </c>
      <c r="BK144" s="57">
        <f>'2018'!BA14</f>
        <v>0</v>
      </c>
      <c r="BL144" s="57">
        <f>'2018'!BB14</f>
        <v>3230</v>
      </c>
      <c r="BM144" s="57">
        <f>'2018'!BC14</f>
        <v>0</v>
      </c>
      <c r="BN144" s="57">
        <f>'2018'!BD14</f>
        <v>0</v>
      </c>
      <c r="BO144" s="59">
        <f>'2018'!BE14</f>
        <v>0</v>
      </c>
      <c r="BP144" s="56">
        <f>'2018'!BF14</f>
        <v>0</v>
      </c>
      <c r="BQ144" s="57">
        <f>'2018'!BG14</f>
        <v>2893</v>
      </c>
      <c r="BR144" s="57">
        <f>'2018'!BH14</f>
        <v>0</v>
      </c>
      <c r="BS144" s="57">
        <f>'2018'!BI14</f>
        <v>0</v>
      </c>
      <c r="BT144" s="57">
        <f>'2018'!BJ14</f>
        <v>0</v>
      </c>
      <c r="BU144" s="57">
        <f>'2018'!BK14</f>
        <v>0</v>
      </c>
      <c r="BV144" s="58">
        <f>'2018'!BL14</f>
        <v>0</v>
      </c>
      <c r="BW144" s="58">
        <f>'2018'!BM14</f>
        <v>0</v>
      </c>
      <c r="BX144" s="58">
        <f>'2018'!BN14</f>
        <v>0</v>
      </c>
      <c r="BY144" s="58">
        <f>'2018'!BO14</f>
        <v>0</v>
      </c>
      <c r="BZ144" s="57">
        <f>'2018'!BP14</f>
        <v>0</v>
      </c>
      <c r="CA144" s="57">
        <f>'2018'!BQ14</f>
        <v>3890</v>
      </c>
      <c r="CB144" s="57">
        <f>'2018'!BR14</f>
        <v>0</v>
      </c>
      <c r="CC144" s="57">
        <f>'2018'!BS14</f>
        <v>0</v>
      </c>
      <c r="CD144" s="59">
        <f>'2018'!BT14</f>
        <v>0</v>
      </c>
      <c r="CE144" s="56">
        <f>'2018'!BU14</f>
        <v>104</v>
      </c>
      <c r="CF144" s="57">
        <f>'2018'!BV14</f>
        <v>2999</v>
      </c>
      <c r="CG144" s="57">
        <f>'2018'!BW14</f>
        <v>1</v>
      </c>
      <c r="CH144" s="57">
        <f>'2018'!BX14</f>
        <v>0</v>
      </c>
      <c r="CI144" s="57">
        <f>'2018'!BY14</f>
        <v>18</v>
      </c>
      <c r="CJ144" s="57">
        <f>'2018'!BZ14</f>
        <v>7</v>
      </c>
      <c r="CK144" s="58">
        <f>'2018'!CA14</f>
        <v>5.8</v>
      </c>
      <c r="CL144" s="58">
        <f>'2018'!CB14</f>
        <v>164.2</v>
      </c>
      <c r="CM144" s="58">
        <f>'2018'!CC14</f>
        <v>4.22</v>
      </c>
      <c r="CN144" s="58">
        <f>'2018'!CD14</f>
        <v>23.1</v>
      </c>
      <c r="CO144" s="57">
        <f>'2018'!CE14</f>
        <v>0</v>
      </c>
      <c r="CP144" s="57">
        <f>'2018'!CF14</f>
        <v>3407</v>
      </c>
      <c r="CQ144" s="57">
        <f>'2018'!CG14</f>
        <v>0</v>
      </c>
      <c r="CR144" s="57">
        <f>'2018'!CH14</f>
        <v>0</v>
      </c>
      <c r="CS144" s="59">
        <f>'2018'!CI14</f>
        <v>0</v>
      </c>
      <c r="CT144" s="56">
        <f>'2018'!CJ14</f>
        <v>813</v>
      </c>
      <c r="CU144" s="57">
        <f>'2018'!CK14</f>
        <v>3675</v>
      </c>
      <c r="CV144" s="57">
        <f>'2018'!CL14</f>
        <v>11</v>
      </c>
      <c r="CW144" s="57">
        <f>'2018'!CM14</f>
        <v>0</v>
      </c>
      <c r="CX144" s="57">
        <f>'2018'!CN14</f>
        <v>125</v>
      </c>
      <c r="CY144" s="57">
        <f>'2018'!CO14</f>
        <v>40</v>
      </c>
      <c r="CZ144" s="58">
        <f>'2018'!CP14</f>
        <v>6.5</v>
      </c>
      <c r="DA144" s="58">
        <f>'2018'!CQ14</f>
        <v>147.30000000000001</v>
      </c>
      <c r="DB144" s="58">
        <f>'2018'!CR14</f>
        <v>4.75</v>
      </c>
      <c r="DC144" s="58">
        <f>'2018'!CS14</f>
        <v>48.5</v>
      </c>
      <c r="DD144" s="57">
        <f>'2018'!CT14</f>
        <v>22</v>
      </c>
      <c r="DE144" s="57">
        <f>'2018'!CU14</f>
        <v>3154</v>
      </c>
      <c r="DF144" s="57">
        <f>'2018'!CV14</f>
        <v>4</v>
      </c>
      <c r="DG144" s="57">
        <f>'2018'!CW14</f>
        <v>0</v>
      </c>
      <c r="DH144" s="59">
        <f>'2018'!CX14</f>
        <v>0</v>
      </c>
      <c r="DI144" s="56">
        <f>'2018'!CY14</f>
        <v>596</v>
      </c>
      <c r="DJ144" s="57">
        <f>'2018'!CZ14</f>
        <v>3509</v>
      </c>
      <c r="DK144" s="57">
        <f>'2018'!DA14</f>
        <v>8</v>
      </c>
      <c r="DL144" s="57">
        <f>'2018'!DB14</f>
        <v>0</v>
      </c>
      <c r="DM144" s="57">
        <f>'2018'!DC14</f>
        <v>124</v>
      </c>
      <c r="DN144" s="57">
        <f>'2018'!DD14</f>
        <v>16</v>
      </c>
      <c r="DO144" s="58">
        <f>'2018'!DE14</f>
        <v>4.8</v>
      </c>
      <c r="DP144" s="58">
        <f>'2018'!DF14</f>
        <v>44</v>
      </c>
      <c r="DQ144" s="58">
        <f>'2018'!DG14</f>
        <v>2.95</v>
      </c>
      <c r="DR144" s="58">
        <f>'2018'!DH14</f>
        <v>28.9</v>
      </c>
      <c r="DS144" s="57">
        <f>'2018'!DI14</f>
        <v>109</v>
      </c>
      <c r="DT144" s="57">
        <f>'2018'!DJ14</f>
        <v>2708</v>
      </c>
      <c r="DU144" s="57">
        <f>'2018'!DK14</f>
        <v>17</v>
      </c>
      <c r="DV144" s="57">
        <f>'2018'!DL14</f>
        <v>0</v>
      </c>
      <c r="DW144" s="59">
        <f>'2018'!DM14</f>
        <v>0</v>
      </c>
    </row>
    <row r="145" spans="1:127" ht="15.75" customHeight="1" x14ac:dyDescent="0.2">
      <c r="A145" s="33">
        <f t="shared" si="25"/>
        <v>143</v>
      </c>
      <c r="B145" s="11">
        <f>'2024'!A15</f>
        <v>13</v>
      </c>
      <c r="C145" s="11">
        <v>2024</v>
      </c>
      <c r="D145" s="34" t="str">
        <f>'2024'!B15</f>
        <v>Michael Wiley</v>
      </c>
      <c r="E145" s="224" t="str" cm="1">
        <f t="array" ref="E145">_xlfn.IFS(F145&gt;=13,"Cornerstone",AND(F145&gt;=12,F145&lt;13),"Elite",AND(F145&gt;=11,F145&lt;12),"Elite Upside",AND(F145&gt;=9,F145&lt;11),"Upside",AND(F145&gt;=7,F145&lt;9),"Upside Lite",AND(F145&gt;=6,F145&lt;7),"Outlier",AND(F145&gt;=5,F145&lt;6),"Outlier Lite",F145&lt;5,"Purgatory")</f>
        <v>Outlier</v>
      </c>
      <c r="F145" s="14">
        <f>'2024'!C15</f>
        <v>6.8999999999999995</v>
      </c>
      <c r="G145" s="14">
        <f t="shared" si="31"/>
        <v>56.2</v>
      </c>
      <c r="H145" s="35">
        <f t="shared" si="26"/>
        <v>-0.46656774127299655</v>
      </c>
      <c r="I145" s="36" t="str">
        <f>'2024'!D15</f>
        <v>Arizona</v>
      </c>
      <c r="J145" s="37">
        <f>'2024'!E15</f>
        <v>5</v>
      </c>
      <c r="K145" s="38">
        <f>'2024'!F15</f>
        <v>36840</v>
      </c>
      <c r="L145" s="39">
        <f>'2024'!G15</f>
        <v>24.895890410958906</v>
      </c>
      <c r="M145" s="39" t="str">
        <f>'2024'!H15</f>
        <v>RS SR</v>
      </c>
      <c r="N145" s="39">
        <f>'2024'!I15</f>
        <v>23.476712328767125</v>
      </c>
      <c r="O145" s="39" t="str">
        <f t="shared" si="27"/>
        <v>BELL CALF</v>
      </c>
      <c r="P145" s="39" t="str">
        <f t="shared" si="32"/>
        <v>3DOWN</v>
      </c>
      <c r="Q145" s="37">
        <f>'2024'!J15</f>
        <v>70</v>
      </c>
      <c r="R145" s="37">
        <f>'2024'!K15</f>
        <v>210</v>
      </c>
      <c r="S145" s="39">
        <f t="shared" si="29"/>
        <v>30.131528834486236</v>
      </c>
      <c r="T145" s="37">
        <f>'2024'!L15</f>
        <v>4.51</v>
      </c>
      <c r="U145" s="40">
        <f>'2024'!M15</f>
        <v>0</v>
      </c>
      <c r="V145" s="41">
        <f>'2024'!N15</f>
        <v>5.5966296311593895E-2</v>
      </c>
      <c r="W145" s="42">
        <f>'2024'!O15</f>
        <v>0.13806172171088252</v>
      </c>
      <c r="X145" s="42">
        <f>'2024'!P15</f>
        <v>0.41184573002754821</v>
      </c>
      <c r="Y145" s="42">
        <f>'2024'!Q15</f>
        <v>0.22181109645928873</v>
      </c>
      <c r="Z145" s="42">
        <f>'2024'!R15</f>
        <v>0.13750000000000001</v>
      </c>
      <c r="AA145" s="42">
        <f>'2024'!S15</f>
        <v>0.27467286501377408</v>
      </c>
      <c r="AB145" s="42">
        <f>'2024'!T15</f>
        <v>0.23347193526170795</v>
      </c>
      <c r="AC145" s="42">
        <f>'2024'!U15</f>
        <v>9.9645957058017376E-2</v>
      </c>
      <c r="AD145" s="42">
        <f>'2024'!V15</f>
        <v>0.10022705157314304</v>
      </c>
      <c r="AE145" s="42">
        <f>'2024'!W15</f>
        <v>0.10022705157314304</v>
      </c>
      <c r="AF145" s="43">
        <f>'2024'!X15</f>
        <v>8.5192993837171591E-2</v>
      </c>
      <c r="AG145" s="44">
        <f>'2024'!Y15</f>
        <v>20.81917808219178</v>
      </c>
      <c r="AH145" s="45">
        <f>'2024'!Z15</f>
        <v>101.51801629838111</v>
      </c>
      <c r="AI145" s="45">
        <f>'2024'!AA15</f>
        <v>30.12857142857143</v>
      </c>
      <c r="AJ145" s="45">
        <f>'2024'!AB15</f>
        <v>0.38738738738738737</v>
      </c>
      <c r="AK145" s="45">
        <f>'2024'!AC15</f>
        <v>7.0090090090090094</v>
      </c>
      <c r="AL145" s="45">
        <f t="shared" si="28"/>
        <v>9.3739837398373975</v>
      </c>
      <c r="AM145" s="45">
        <f t="shared" si="30"/>
        <v>0.2857142857142857</v>
      </c>
      <c r="AN145" s="45">
        <f>'2024'!AD15</f>
        <v>204</v>
      </c>
      <c r="AO145" s="45">
        <f>'2024'!AE15</f>
        <v>4.66</v>
      </c>
      <c r="AP145" s="46">
        <f>'2024'!AF15</f>
        <v>46.3</v>
      </c>
      <c r="AQ145" s="47">
        <f>'2024'!AG15</f>
        <v>5</v>
      </c>
      <c r="AR145" s="48">
        <f>'2024'!AH15</f>
        <v>8</v>
      </c>
      <c r="AS145" s="48">
        <f>'2024'!AI15</f>
        <v>3</v>
      </c>
      <c r="AT145" s="48">
        <f>'2024'!AJ15</f>
        <v>6</v>
      </c>
      <c r="AU145" s="48">
        <f>'2024'!AK15</f>
        <v>10</v>
      </c>
      <c r="AV145" s="48">
        <f>'2024'!AL15</f>
        <v>8</v>
      </c>
      <c r="AW145" s="48">
        <f>'2024'!AM15</f>
        <v>9</v>
      </c>
      <c r="AX145" s="48">
        <f>'2024'!AN15</f>
        <v>7</v>
      </c>
      <c r="AY145" s="49">
        <f>'2024'!AO15</f>
        <v>0</v>
      </c>
      <c r="AZ145" s="50">
        <f>'2024'!AP15</f>
        <v>0</v>
      </c>
      <c r="BA145" s="56">
        <f>'2024'!AQ15</f>
        <v>106</v>
      </c>
      <c r="BB145" s="57">
        <f>'2024'!AR15</f>
        <v>1915.1</v>
      </c>
      <c r="BC145" s="57">
        <f>'2024'!AS15</f>
        <v>17.600000000000001</v>
      </c>
      <c r="BD145" s="57">
        <f>'2024'!AT15</f>
        <v>17.600000000000001</v>
      </c>
      <c r="BE145" s="57">
        <f>'2024'!AU15</f>
        <v>31</v>
      </c>
      <c r="BF145" s="57">
        <f>'2024'!AV15</f>
        <v>2</v>
      </c>
      <c r="BG145" s="58">
        <f>'2024'!AW15</f>
        <v>3.4193548387096775</v>
      </c>
      <c r="BH145" s="58">
        <f>'2024'!AX15</f>
        <v>18.2</v>
      </c>
      <c r="BI145" s="58">
        <f>'2024'!AY15</f>
        <v>2.23</v>
      </c>
      <c r="BJ145" s="58">
        <f>'2024'!AZ15</f>
        <v>16</v>
      </c>
      <c r="BK145" s="57">
        <f>'2024'!BA15</f>
        <v>165</v>
      </c>
      <c r="BL145" s="57">
        <f>'2024'!BB15</f>
        <v>2927.1000000000004</v>
      </c>
      <c r="BM145" s="57">
        <f>'2024'!BC15</f>
        <v>18</v>
      </c>
      <c r="BN145" s="57">
        <f>'2024'!BD15</f>
        <v>0</v>
      </c>
      <c r="BO145" s="59">
        <f>'2024'!BE15</f>
        <v>20.9</v>
      </c>
      <c r="BP145" s="56">
        <f>'2024'!BF15</f>
        <v>222</v>
      </c>
      <c r="BQ145" s="57">
        <f>'2024'!BG15</f>
        <v>782</v>
      </c>
      <c r="BR145" s="57">
        <f>'2024'!BH15</f>
        <v>3</v>
      </c>
      <c r="BS145" s="57">
        <f>'2024'!BI15</f>
        <v>0</v>
      </c>
      <c r="BT145" s="57">
        <f>'2024'!BJ15</f>
        <v>31</v>
      </c>
      <c r="BU145" s="57">
        <f>'2024'!BK15</f>
        <v>11</v>
      </c>
      <c r="BV145" s="58">
        <f>'2024'!BL15</f>
        <v>7.161290322580645</v>
      </c>
      <c r="BW145" s="58">
        <f>'2024'!BM15</f>
        <v>175.3</v>
      </c>
      <c r="BX145" s="58">
        <f>'2024'!BN15</f>
        <v>5.26</v>
      </c>
      <c r="BY145" s="58">
        <f>'2024'!BO15</f>
        <v>57.2</v>
      </c>
      <c r="BZ145" s="57">
        <f>'2024'!BP15</f>
        <v>33</v>
      </c>
      <c r="CA145" s="57">
        <f>'2024'!BQ15</f>
        <v>1065</v>
      </c>
      <c r="CB145" s="57">
        <f>'2024'!BR15</f>
        <v>8</v>
      </c>
      <c r="CC145" s="57">
        <f>'2024'!BS15</f>
        <v>0</v>
      </c>
      <c r="CD145" s="59">
        <f>'2024'!BT15</f>
        <v>6</v>
      </c>
      <c r="CE145" s="56">
        <f>'2024'!BU15</f>
        <v>301</v>
      </c>
      <c r="CF145" s="57">
        <f>'2024'!BV15</f>
        <v>1441</v>
      </c>
      <c r="CG145" s="57">
        <f>'2024'!BW15</f>
        <v>2</v>
      </c>
      <c r="CH145" s="57">
        <f>'2024'!BX15</f>
        <v>5.5</v>
      </c>
      <c r="CI145" s="57">
        <f>'2024'!BY15</f>
        <v>92</v>
      </c>
      <c r="CJ145" s="57">
        <f>'2024'!BZ15</f>
        <v>18</v>
      </c>
      <c r="CK145" s="58">
        <f>'2024'!CA15</f>
        <v>3.2717391304347827</v>
      </c>
      <c r="CL145" s="58">
        <f>'2024'!CB15</f>
        <v>53</v>
      </c>
      <c r="CM145" s="58">
        <f>'2024'!CC15</f>
        <v>2.2799999999999998</v>
      </c>
      <c r="CN145" s="58">
        <f>'2024'!CD15</f>
        <v>5.3</v>
      </c>
      <c r="CO145" s="57">
        <f>'2024'!CE15</f>
        <v>297</v>
      </c>
      <c r="CP145" s="57">
        <f>'2024'!CF15</f>
        <v>11</v>
      </c>
      <c r="CQ145" s="57">
        <f>'2024'!CG15</f>
        <v>33</v>
      </c>
      <c r="CR145" s="57">
        <f>'2024'!CH15</f>
        <v>4</v>
      </c>
      <c r="CS145" s="59">
        <f>'2024'!CI15</f>
        <v>11</v>
      </c>
      <c r="CT145" s="56">
        <f>'2024'!CJ15</f>
        <v>778</v>
      </c>
      <c r="CU145" s="57">
        <f>'2024'!CK15</f>
        <v>1578.5</v>
      </c>
      <c r="CV145" s="57">
        <f>'2024'!CL15</f>
        <v>8</v>
      </c>
      <c r="CW145" s="57">
        <f>'2024'!CM15</f>
        <v>17.600000000000001</v>
      </c>
      <c r="CX145" s="57">
        <f>'2024'!CN15</f>
        <v>111</v>
      </c>
      <c r="CY145" s="57">
        <f>'2024'!CO15</f>
        <v>43</v>
      </c>
      <c r="CZ145" s="58">
        <f>'2024'!CP15</f>
        <v>7.0090090090090094</v>
      </c>
      <c r="DA145" s="58">
        <f>'2024'!CQ15</f>
        <v>204</v>
      </c>
      <c r="DB145" s="58">
        <f>'2024'!CR15</f>
        <v>4.66</v>
      </c>
      <c r="DC145" s="58">
        <f>'2024'!CS15</f>
        <v>46.3</v>
      </c>
      <c r="DD145" s="57">
        <f>'2024'!CT15</f>
        <v>349</v>
      </c>
      <c r="DE145" s="57">
        <f>'2024'!CU15</f>
        <v>3502.3999999999996</v>
      </c>
      <c r="DF145" s="57">
        <f>'2024'!CV15</f>
        <v>36</v>
      </c>
      <c r="DG145" s="57">
        <f>'2024'!CW15</f>
        <v>3</v>
      </c>
      <c r="DH145" s="59">
        <f>'2024'!CX15</f>
        <v>24.200000000000003</v>
      </c>
      <c r="DI145" s="56">
        <f>'2024'!CY15</f>
        <v>307</v>
      </c>
      <c r="DJ145" s="57">
        <f>'2024'!CZ15</f>
        <v>1397</v>
      </c>
      <c r="DK145" s="57">
        <f>'2024'!DA15</f>
        <v>3</v>
      </c>
      <c r="DL145" s="57">
        <f>'2024'!DB15</f>
        <v>13</v>
      </c>
      <c r="DM145" s="57">
        <f>'2024'!DC15</f>
        <v>70</v>
      </c>
      <c r="DN145" s="57">
        <f>'2024'!DD15</f>
        <v>24</v>
      </c>
      <c r="DO145" s="58">
        <f>'2024'!DE15</f>
        <v>4.3857142857142861</v>
      </c>
      <c r="DP145" s="58">
        <f>'2024'!DF15</f>
        <v>115.9</v>
      </c>
      <c r="DQ145" s="58">
        <f>'2024'!DG15</f>
        <v>3.44</v>
      </c>
      <c r="DR145" s="58">
        <f>'2024'!DH15</f>
        <v>20.5</v>
      </c>
      <c r="DS145" s="57">
        <f>'2024'!DI15</f>
        <v>309</v>
      </c>
      <c r="DT145" s="57">
        <f>'2024'!DJ15</f>
        <v>3083</v>
      </c>
      <c r="DU145" s="57">
        <f>'2024'!DK15</f>
        <v>28</v>
      </c>
      <c r="DV145" s="57">
        <f>'2024'!DL15</f>
        <v>5</v>
      </c>
      <c r="DW145" s="59">
        <f>'2024'!DM15</f>
        <v>28</v>
      </c>
    </row>
    <row r="146" spans="1:127" ht="15.75" customHeight="1" x14ac:dyDescent="0.2">
      <c r="A146" s="33">
        <f t="shared" si="25"/>
        <v>144</v>
      </c>
      <c r="B146" s="11">
        <f>'2021'!A12</f>
        <v>10</v>
      </c>
      <c r="C146" s="11">
        <v>2021</v>
      </c>
      <c r="D146" s="34" t="str">
        <f>'2021'!B12</f>
        <v>Jermar Jefferson</v>
      </c>
      <c r="E146" s="224" t="str" cm="1">
        <f t="array" ref="E146">_xlfn.IFS(F146&gt;=13,"Cornerstone",AND(F146&gt;=12,F146&lt;13),"Elite",AND(F146&gt;=11,F146&lt;12),"Elite Upside",AND(F146&gt;=9,F146&lt;11),"Upside",AND(F146&gt;=7,F146&lt;9),"Upside Lite",AND(F146&gt;=6,F146&lt;7),"Outlier",AND(F146&gt;=5,F146&lt;6),"Outlier Lite",F146&lt;5,"Purgatory")</f>
        <v>Outlier</v>
      </c>
      <c r="F146" s="14">
        <f>'2021'!C12</f>
        <v>6.8500000000000005</v>
      </c>
      <c r="G146" s="14">
        <f t="shared" si="31"/>
        <v>55.900000000000006</v>
      </c>
      <c r="H146" s="35">
        <f t="shared" si="26"/>
        <v>-0.48772899448497808</v>
      </c>
      <c r="I146" s="36" t="str">
        <f>'2021'!D12</f>
        <v>Oregon State</v>
      </c>
      <c r="J146" s="37">
        <f>'2021'!E12</f>
        <v>5</v>
      </c>
      <c r="K146" s="38">
        <f>'2021'!F12</f>
        <v>36631</v>
      </c>
      <c r="L146" s="39">
        <f>'2021'!G12</f>
        <v>25.468493150684932</v>
      </c>
      <c r="M146" s="39" t="str">
        <f>'2021'!H12</f>
        <v>JR</v>
      </c>
      <c r="N146" s="39">
        <f>'2021'!I12</f>
        <v>21.052054794520547</v>
      </c>
      <c r="O146" s="39" t="str">
        <f t="shared" si="27"/>
        <v>FREAK</v>
      </c>
      <c r="P146" s="39" t="str">
        <f t="shared" si="32"/>
        <v>PLODDER</v>
      </c>
      <c r="Q146" s="37">
        <f>'2021'!J12</f>
        <v>70</v>
      </c>
      <c r="R146" s="37">
        <f>'2021'!K12</f>
        <v>216</v>
      </c>
      <c r="S146" s="39">
        <f t="shared" si="29"/>
        <v>30.9924296583287</v>
      </c>
      <c r="T146" s="37">
        <f>'2021'!L12</f>
        <v>4.4400000000000004</v>
      </c>
      <c r="U146" s="40">
        <f>'2021'!M12</f>
        <v>7</v>
      </c>
      <c r="V146" s="41">
        <f>'2021'!N12</f>
        <v>0</v>
      </c>
      <c r="W146" s="42">
        <f>'2021'!O12</f>
        <v>0</v>
      </c>
      <c r="X146" s="42">
        <f>'2021'!P12</f>
        <v>0.31315626930203827</v>
      </c>
      <c r="Y146" s="42">
        <f>'2021'!Q12</f>
        <v>0.15604128718882818</v>
      </c>
      <c r="Z146" s="42">
        <f>'2021'!R12</f>
        <v>0.32320055904961564</v>
      </c>
      <c r="AA146" s="42">
        <f>'2021'!S12</f>
        <v>0.32320055904961564</v>
      </c>
      <c r="AB146" s="42">
        <f>'2021'!T12</f>
        <v>0.2747204751921733</v>
      </c>
      <c r="AC146" s="42">
        <f>'2021'!U12</f>
        <v>2.7115321790264619E-2</v>
      </c>
      <c r="AD146" s="42">
        <f>'2021'!V12</f>
        <v>4.5300878972278566E-2</v>
      </c>
      <c r="AE146" s="42">
        <f>'2021'!W12</f>
        <v>4.5300878972278566E-2</v>
      </c>
      <c r="AF146" s="43">
        <f>'2021'!X12</f>
        <v>3.8505747126436778E-2</v>
      </c>
      <c r="AG146" s="44">
        <f>'2021'!Y12</f>
        <v>18.391780821917809</v>
      </c>
      <c r="AH146" s="45">
        <f>'2021'!Z12</f>
        <v>111.16085188696877</v>
      </c>
      <c r="AI146" s="45">
        <f>'2021'!AA12</f>
        <v>30.98938775510204</v>
      </c>
      <c r="AJ146" s="45">
        <f>'2021'!AB12</f>
        <v>0.20300751879699247</v>
      </c>
      <c r="AK146" s="45">
        <f>'2021'!AC12</f>
        <v>6.5</v>
      </c>
      <c r="AL146" s="45">
        <f t="shared" si="28"/>
        <v>11.88</v>
      </c>
      <c r="AM146" s="45">
        <f>DF146/SUM(CX146,DF146)</f>
        <v>5.921052631578947E-2</v>
      </c>
      <c r="AN146" s="45">
        <f>'2021'!AD12</f>
        <v>74.900000000000006</v>
      </c>
      <c r="AO146" s="45">
        <f>'2021'!AE12</f>
        <v>3.67</v>
      </c>
      <c r="AP146" s="46">
        <f>'2021'!AF12</f>
        <v>44.2</v>
      </c>
      <c r="AQ146" s="47">
        <f>'2021'!AG12</f>
        <v>7</v>
      </c>
      <c r="AR146" s="48">
        <f>'2021'!AH12</f>
        <v>4</v>
      </c>
      <c r="AS146" s="48">
        <f>'2021'!AI12</f>
        <v>9</v>
      </c>
      <c r="AT146" s="48">
        <f>IF(AH146&gt;113.25,10,IF(AH146&gt;=107.84,9,IF(AH146&gt;=105.37,8,IF(AH146&gt;=103.25,7,IF(AH146&gt;=100.55,6,IF(AH146&gt;=98.75,5,IF(AH146&gt;=96.08,4,IF(AH146&gt;=94.39,3,IF(AH146&gt;=88.43,2,IF(AH146&gt;=85.16,1,IF(AH146&lt;85.16,0,FALSE)))))))))))</f>
        <v>9</v>
      </c>
      <c r="AU146" s="48">
        <f>'2021'!AK12</f>
        <v>4</v>
      </c>
      <c r="AV146" s="48">
        <f>'2021'!AL12</f>
        <v>6</v>
      </c>
      <c r="AW146" s="48">
        <f>'2021'!AM12</f>
        <v>1</v>
      </c>
      <c r="AX146" s="48">
        <f>'2021'!AN12</f>
        <v>3</v>
      </c>
      <c r="AY146" s="49">
        <f>IF(U146=1,10,IF(U146=2,7,IF(U146=3,6,IF(U146=4,4,IF(U146=5,3,IF(U146=6,2,IF(U146=7,1,IF(U146=0,0,"-"))))))))</f>
        <v>1</v>
      </c>
      <c r="AZ146" s="50">
        <f>'2021'!AP12</f>
        <v>0</v>
      </c>
      <c r="BA146" s="56">
        <f>'2021'!AQ12</f>
        <v>0</v>
      </c>
      <c r="BB146" s="57">
        <f>'2021'!AR12</f>
        <v>2300</v>
      </c>
      <c r="BC146" s="57">
        <f>'2021'!AS12</f>
        <v>0</v>
      </c>
      <c r="BD146" s="57">
        <f>'2021'!AT12</f>
        <v>24</v>
      </c>
      <c r="BE146" s="57">
        <f>'2021'!AU12</f>
        <v>0</v>
      </c>
      <c r="BF146" s="57">
        <f>'2021'!AV12</f>
        <v>0</v>
      </c>
      <c r="BG146" s="58">
        <f>'2021'!AW12</f>
        <v>0</v>
      </c>
      <c r="BH146" s="58">
        <f>'2021'!AX12</f>
        <v>0</v>
      </c>
      <c r="BI146" s="58">
        <f>'2021'!AY12</f>
        <v>0</v>
      </c>
      <c r="BJ146" s="58">
        <f>'2021'!AZ12</f>
        <v>0</v>
      </c>
      <c r="BK146" s="57">
        <f>'2021'!BA12</f>
        <v>0</v>
      </c>
      <c r="BL146" s="57">
        <f>'2021'!BB12</f>
        <v>2086</v>
      </c>
      <c r="BM146" s="57">
        <f>'2021'!BC12</f>
        <v>0</v>
      </c>
      <c r="BN146" s="57">
        <f>'2021'!BD12</f>
        <v>0</v>
      </c>
      <c r="BO146" s="59">
        <f>'2021'!BE12</f>
        <v>13</v>
      </c>
      <c r="BP146" s="56">
        <f>'2021'!BF12</f>
        <v>0</v>
      </c>
      <c r="BQ146" s="57">
        <f>'2021'!BG12</f>
        <v>1650</v>
      </c>
      <c r="BR146" s="57">
        <f>'2021'!BH12</f>
        <v>0</v>
      </c>
      <c r="BS146" s="57">
        <f>'2021'!BI12</f>
        <v>18</v>
      </c>
      <c r="BT146" s="57">
        <f>'2021'!BJ12</f>
        <v>0</v>
      </c>
      <c r="BU146" s="57">
        <f>'2021'!BK12</f>
        <v>0</v>
      </c>
      <c r="BV146" s="58">
        <f>'2021'!BL12</f>
        <v>0</v>
      </c>
      <c r="BW146" s="58">
        <f>'2021'!BM12</f>
        <v>0</v>
      </c>
      <c r="BX146" s="58">
        <f>'2021'!BN12</f>
        <v>0</v>
      </c>
      <c r="BY146" s="58">
        <f>'2021'!BO12</f>
        <v>0</v>
      </c>
      <c r="BZ146" s="57">
        <f>'2021'!BP12</f>
        <v>0</v>
      </c>
      <c r="CA146" s="57">
        <f>'2021'!BQ12</f>
        <v>2355</v>
      </c>
      <c r="CB146" s="57">
        <f>'2021'!BR12</f>
        <v>0</v>
      </c>
      <c r="CC146" s="57">
        <f>'2021'!BS12</f>
        <v>0</v>
      </c>
      <c r="CD146" s="59">
        <f>'2021'!BT12</f>
        <v>11</v>
      </c>
      <c r="CE146" s="56">
        <f>'2021'!BU12</f>
        <v>1374</v>
      </c>
      <c r="CF146" s="57">
        <f>'2021'!BV12</f>
        <v>1867</v>
      </c>
      <c r="CG146" s="57">
        <f>'2021'!BW12</f>
        <v>12</v>
      </c>
      <c r="CH146" s="57">
        <f>'2021'!BX12</f>
        <v>23</v>
      </c>
      <c r="CI146" s="57">
        <f>'2021'!BY12</f>
        <v>239</v>
      </c>
      <c r="CJ146" s="57">
        <f>'2021'!BZ12</f>
        <v>48</v>
      </c>
      <c r="CK146" s="58">
        <f>'2021'!CA12</f>
        <v>5.7</v>
      </c>
      <c r="CL146" s="58">
        <f>'2021'!CB12</f>
        <v>63.5</v>
      </c>
      <c r="CM146" s="58">
        <f>'2021'!CC12</f>
        <v>3.05</v>
      </c>
      <c r="CN146" s="58">
        <f>'2021'!CD12</f>
        <v>44</v>
      </c>
      <c r="CO146" s="57">
        <f>'2021'!CE12</f>
        <v>147</v>
      </c>
      <c r="CP146" s="57">
        <f>'2021'!CF12</f>
        <v>2990</v>
      </c>
      <c r="CQ146" s="57">
        <f>'2021'!CG12</f>
        <v>7</v>
      </c>
      <c r="CR146" s="57">
        <f>'2021'!CH12</f>
        <v>0</v>
      </c>
      <c r="CS146" s="59">
        <f>'2021'!CI12</f>
        <v>17</v>
      </c>
      <c r="CT146" s="56">
        <f>'2021'!CJ12</f>
        <v>688</v>
      </c>
      <c r="CU146" s="57">
        <f>'2021'!CK12</f>
        <v>1880</v>
      </c>
      <c r="CV146" s="57">
        <f>'2021'!CL12</f>
        <v>8</v>
      </c>
      <c r="CW146" s="57">
        <f>'2021'!CM12</f>
        <v>21</v>
      </c>
      <c r="CX146" s="57">
        <f>'2021'!CN12</f>
        <v>143</v>
      </c>
      <c r="CY146" s="57">
        <f>'2021'!CO12</f>
        <v>25</v>
      </c>
      <c r="CZ146" s="58">
        <f>'2021'!CP12</f>
        <v>4.8</v>
      </c>
      <c r="DA146" s="58">
        <f>'2021'!CQ12</f>
        <v>53.5</v>
      </c>
      <c r="DB146" s="58">
        <f>'2021'!CR12</f>
        <v>2.8</v>
      </c>
      <c r="DC146" s="58">
        <f>'2021'!CS12</f>
        <v>30.1</v>
      </c>
      <c r="DD146" s="57">
        <f>'2021'!CT12</f>
        <v>83</v>
      </c>
      <c r="DE146" s="57">
        <f>'2021'!CU12</f>
        <v>3061</v>
      </c>
      <c r="DF146" s="57">
        <f>'2021'!CV12</f>
        <v>9</v>
      </c>
      <c r="DG146" s="57">
        <f>'2021'!CW12</f>
        <v>0</v>
      </c>
      <c r="DH146" s="59">
        <f>'2021'!CX12</f>
        <v>30</v>
      </c>
      <c r="DI146" s="56">
        <f>'2021'!CY12</f>
        <v>858</v>
      </c>
      <c r="DJ146" s="57">
        <f>'2021'!CZ12</f>
        <v>1383</v>
      </c>
      <c r="DK146" s="57">
        <f>'2021'!DA12</f>
        <v>7</v>
      </c>
      <c r="DL146" s="57">
        <f>'2021'!DB12</f>
        <v>15</v>
      </c>
      <c r="DM146" s="57">
        <f>'2021'!DC12</f>
        <v>133</v>
      </c>
      <c r="DN146" s="57">
        <f>'2021'!DD12</f>
        <v>27</v>
      </c>
      <c r="DO146" s="58">
        <f>'2021'!DE12</f>
        <v>6.5</v>
      </c>
      <c r="DP146" s="58">
        <f>'2021'!DF12</f>
        <v>74.900000000000006</v>
      </c>
      <c r="DQ146" s="58">
        <f>'2021'!DG12</f>
        <v>3.67</v>
      </c>
      <c r="DR146" s="58">
        <f>'2021'!DH12</f>
        <v>44.2</v>
      </c>
      <c r="DS146" s="57">
        <f>'2021'!DI12</f>
        <v>67</v>
      </c>
      <c r="DT146" s="57">
        <f>'2021'!DJ12</f>
        <v>1479</v>
      </c>
      <c r="DU146" s="57">
        <f>'2021'!DK12</f>
        <v>9</v>
      </c>
      <c r="DV146" s="57">
        <f>'2021'!DL12</f>
        <v>0</v>
      </c>
      <c r="DW146" s="59">
        <f>'2021'!DM12</f>
        <v>11</v>
      </c>
    </row>
    <row r="147" spans="1:127" ht="15.75" customHeight="1" x14ac:dyDescent="0.2">
      <c r="A147" s="33">
        <f t="shared" si="25"/>
        <v>145</v>
      </c>
      <c r="B147" s="11">
        <f>'2018'!A15</f>
        <v>13</v>
      </c>
      <c r="C147" s="11">
        <v>2018</v>
      </c>
      <c r="D147" s="34" t="str">
        <f>'2018'!B15</f>
        <v>Nyheim Hines</v>
      </c>
      <c r="E147" s="224" t="str" cm="1">
        <f t="array" ref="E147">_xlfn.IFS(F147&gt;=13,"Cornerstone",AND(F147&gt;=12,F147&lt;13),"Elite",AND(F147&gt;=11,F147&lt;12),"Elite Upside",AND(F147&gt;=9,F147&lt;11),"Upside",AND(F147&gt;=7,F147&lt;9),"Upside Lite",AND(F147&gt;=6,F147&lt;7),"Outlier",AND(F147&gt;=5,F147&lt;6),"Outlier Lite",F147&lt;5,"Purgatory")</f>
        <v>Outlier</v>
      </c>
      <c r="F147" s="14">
        <f>'2018'!C15</f>
        <v>6.8388888888888886</v>
      </c>
      <c r="G147" s="14">
        <f t="shared" si="31"/>
        <v>55.600000000000009</v>
      </c>
      <c r="H147" s="35">
        <f t="shared" si="26"/>
        <v>-0.49243149519875223</v>
      </c>
      <c r="I147" s="36" t="str">
        <f>'2018'!D15</f>
        <v>NC State</v>
      </c>
      <c r="J147" s="37">
        <f>'2018'!E15</f>
        <v>4</v>
      </c>
      <c r="K147" s="38">
        <f>'2018'!F15</f>
        <v>35381</v>
      </c>
      <c r="L147" s="39">
        <f>'2018'!G15</f>
        <v>28.893150684931506</v>
      </c>
      <c r="M147" s="39" t="str">
        <f>'2018'!H15</f>
        <v>JR</v>
      </c>
      <c r="N147" s="39">
        <f>'2018'!I15</f>
        <v>21.465753424657535</v>
      </c>
      <c r="O147" s="39" t="str">
        <f t="shared" si="27"/>
        <v>JITTERBUG</v>
      </c>
      <c r="P147" s="39" t="str">
        <f t="shared" si="32"/>
        <v>+RECEIVER</v>
      </c>
      <c r="Q147" s="37">
        <f>'2018'!J15</f>
        <v>69</v>
      </c>
      <c r="R147" s="37">
        <f>'2018'!K15</f>
        <v>197</v>
      </c>
      <c r="S147" s="39">
        <f t="shared" si="29"/>
        <v>29.091492167441384</v>
      </c>
      <c r="T147" s="37">
        <f>'2018'!L15</f>
        <v>4.38</v>
      </c>
      <c r="U147" s="40">
        <f>'2018'!M15</f>
        <v>4</v>
      </c>
      <c r="V147" s="41">
        <f>'2018'!N15</f>
        <v>0</v>
      </c>
      <c r="W147" s="42">
        <f>'2018'!O15</f>
        <v>0</v>
      </c>
      <c r="X147" s="42">
        <f>'2018'!P15</f>
        <v>9.3161915408980805E-2</v>
      </c>
      <c r="Y147" s="42">
        <f>'2018'!Q15</f>
        <v>0.10456308886015149</v>
      </c>
      <c r="Z147" s="42">
        <f>'2018'!R15</f>
        <v>0.21505193257279073</v>
      </c>
      <c r="AA147" s="42">
        <f>'2018'!S15</f>
        <v>0.21505193257279073</v>
      </c>
      <c r="AB147" s="42">
        <f>'2018'!T15</f>
        <v>0.19354673931551167</v>
      </c>
      <c r="AC147" s="42">
        <f>'2018'!U15</f>
        <v>0.15518770322199232</v>
      </c>
      <c r="AD147" s="42">
        <f>'2018'!V15</f>
        <v>4.2458100558659215E-2</v>
      </c>
      <c r="AE147" s="42">
        <f>'2018'!W15</f>
        <v>9.8822901890325776E-2</v>
      </c>
      <c r="AF147" s="43">
        <f>'2018'!X15</f>
        <v>8.8940611701293207E-2</v>
      </c>
      <c r="AG147" s="44">
        <f>'2018'!Y15</f>
        <v>20.827397260273973</v>
      </c>
      <c r="AH147" s="45">
        <f>'2018'!Z15</f>
        <v>107.05323110646619</v>
      </c>
      <c r="AI147" s="45">
        <f>'2018'!AA15</f>
        <v>29.08863684099979</v>
      </c>
      <c r="AJ147" s="45">
        <f>'2018'!AB15</f>
        <v>0.23076923076923078</v>
      </c>
      <c r="AK147" s="45">
        <f>'2018'!AC15</f>
        <v>5.7</v>
      </c>
      <c r="AL147" s="45">
        <f t="shared" si="28"/>
        <v>10.48314606741573</v>
      </c>
      <c r="AM147" s="45">
        <f t="shared" ref="AM147:AM178" si="33">DU147/SUM(DM147,DU147)</f>
        <v>0.11711711711711711</v>
      </c>
      <c r="AN147" s="45">
        <f>'2018'!AD15</f>
        <v>77.900000000000006</v>
      </c>
      <c r="AO147" s="45">
        <f>'2018'!AE15</f>
        <v>3.76</v>
      </c>
      <c r="AP147" s="46">
        <f>'2018'!AF15</f>
        <v>44.2</v>
      </c>
      <c r="AQ147" s="47">
        <f>'2018'!AG15</f>
        <v>3</v>
      </c>
      <c r="AR147" s="48">
        <f>'2018'!AH15</f>
        <v>8</v>
      </c>
      <c r="AS147" s="48">
        <f>'2018'!AI15</f>
        <v>3</v>
      </c>
      <c r="AT147" s="48">
        <f>IF(AH147&gt;113.25,10,IF(AH147&gt;=107.84,9,IF(AH147&gt;=105.37,8,IF(AH147&gt;=103.25,7,IF(AH147&gt;=100.55,6,IF(AH147&gt;=98.75,5,IF(AH147&gt;=96.08,4,IF(AH147&gt;=94.39,3,IF(AH147&gt;=88.43,2,IF(AH147&gt;=85.16,1,IF(AH147&lt;85.16,0,FALSE)))))))))))</f>
        <v>8</v>
      </c>
      <c r="AU147" s="48">
        <f>'2018'!AK15</f>
        <v>5</v>
      </c>
      <c r="AV147" s="48">
        <f>'2018'!AL15</f>
        <v>3</v>
      </c>
      <c r="AW147" s="48">
        <f>'2018'!AM15</f>
        <v>2</v>
      </c>
      <c r="AX147" s="48">
        <f>'2018'!AN15</f>
        <v>3</v>
      </c>
      <c r="AY147" s="49">
        <f>IF(U147=1,10,IF(U147=2,7,IF(U147=3,6,IF(U147=4,4,IF(U147=5,3,IF(U147=6,2,IF(U147=7,1,IF(U147=0,0,"-"))))))))</f>
        <v>4</v>
      </c>
      <c r="AZ147" s="50">
        <f>'2018'!AP15</f>
        <v>0</v>
      </c>
      <c r="BA147" s="56">
        <f>'2018'!AQ15</f>
        <v>0</v>
      </c>
      <c r="BB147" s="57">
        <f>'2018'!AR15</f>
        <v>1952</v>
      </c>
      <c r="BC147" s="57">
        <f>'2018'!AS15</f>
        <v>0</v>
      </c>
      <c r="BD147" s="57">
        <f>'2018'!AT15</f>
        <v>0</v>
      </c>
      <c r="BE147" s="57">
        <f>'2018'!AU15</f>
        <v>0</v>
      </c>
      <c r="BF147" s="57">
        <f>'2018'!AV15</f>
        <v>0</v>
      </c>
      <c r="BG147" s="58">
        <f>'2018'!AW15</f>
        <v>0</v>
      </c>
      <c r="BH147" s="58">
        <f>'2018'!AX15</f>
        <v>0</v>
      </c>
      <c r="BI147" s="58">
        <f>'2018'!AY15</f>
        <v>0</v>
      </c>
      <c r="BJ147" s="58">
        <f>'2018'!AZ15</f>
        <v>0</v>
      </c>
      <c r="BK147" s="57">
        <f>'2018'!BA15</f>
        <v>0</v>
      </c>
      <c r="BL147" s="57">
        <f>'2018'!BB15</f>
        <v>2890</v>
      </c>
      <c r="BM147" s="57">
        <f>'2018'!BC15</f>
        <v>0</v>
      </c>
      <c r="BN147" s="57">
        <f>'2018'!BD15</f>
        <v>0</v>
      </c>
      <c r="BO147" s="59">
        <f>'2018'!BE15</f>
        <v>0</v>
      </c>
      <c r="BP147" s="56">
        <f>'2018'!BF15</f>
        <v>0</v>
      </c>
      <c r="BQ147" s="57">
        <f>'2018'!BG15</f>
        <v>2659</v>
      </c>
      <c r="BR147" s="57">
        <f>'2018'!BH15</f>
        <v>0</v>
      </c>
      <c r="BS147" s="57">
        <f>'2018'!BI15</f>
        <v>0</v>
      </c>
      <c r="BT147" s="57">
        <f>'2018'!BJ15</f>
        <v>0</v>
      </c>
      <c r="BU147" s="57">
        <f>'2018'!BK15</f>
        <v>0</v>
      </c>
      <c r="BV147" s="58">
        <f>'2018'!BL15</f>
        <v>0</v>
      </c>
      <c r="BW147" s="58">
        <f>'2018'!BM15</f>
        <v>0</v>
      </c>
      <c r="BX147" s="58">
        <f>'2018'!BN15</f>
        <v>0</v>
      </c>
      <c r="BY147" s="58">
        <f>'2018'!BO15</f>
        <v>0</v>
      </c>
      <c r="BZ147" s="57">
        <f>'2018'!BP15</f>
        <v>0</v>
      </c>
      <c r="CA147" s="57">
        <f>'2018'!BQ15</f>
        <v>2652</v>
      </c>
      <c r="CB147" s="57">
        <f>'2018'!BR15</f>
        <v>0</v>
      </c>
      <c r="CC147" s="57">
        <f>'2018'!BS15</f>
        <v>0</v>
      </c>
      <c r="CD147" s="59">
        <f>'2018'!BT15</f>
        <v>0</v>
      </c>
      <c r="CE147" s="56">
        <f>'2018'!BU15</f>
        <v>244</v>
      </c>
      <c r="CF147" s="57">
        <f>'2018'!BV15</f>
        <v>2627</v>
      </c>
      <c r="CG147" s="57">
        <f>'2018'!BW15</f>
        <v>1</v>
      </c>
      <c r="CH147" s="57">
        <f>'2018'!BX15</f>
        <v>0</v>
      </c>
      <c r="CI147" s="57">
        <f>'2018'!BY15</f>
        <v>47</v>
      </c>
      <c r="CJ147" s="57">
        <f>'2018'!BZ15</f>
        <v>9</v>
      </c>
      <c r="CK147" s="58">
        <f>'2018'!CA15</f>
        <v>5.2</v>
      </c>
      <c r="CL147" s="58">
        <f>'2018'!CB15</f>
        <v>77.7</v>
      </c>
      <c r="CM147" s="58">
        <f>'2018'!CC15</f>
        <v>3.06</v>
      </c>
      <c r="CN147" s="58">
        <f>'2018'!CD15</f>
        <v>36.5</v>
      </c>
      <c r="CO147" s="57">
        <f>'2018'!CE15</f>
        <v>256</v>
      </c>
      <c r="CP147" s="57">
        <f>'2018'!CF15</f>
        <v>2740</v>
      </c>
      <c r="CQ147" s="57">
        <f>'2018'!CG15</f>
        <v>20</v>
      </c>
      <c r="CR147" s="57">
        <f>'2018'!CH15</f>
        <v>0</v>
      </c>
      <c r="CS147" s="59">
        <f>'2018'!CI15</f>
        <v>0</v>
      </c>
      <c r="CT147" s="56">
        <f>'2018'!CJ15</f>
        <v>41</v>
      </c>
      <c r="CU147" s="57">
        <f>'2018'!CK15</f>
        <v>2030</v>
      </c>
      <c r="CV147" s="57">
        <f>'2018'!CL15</f>
        <v>0</v>
      </c>
      <c r="CW147" s="57">
        <f>'2018'!CM15</f>
        <v>0</v>
      </c>
      <c r="CX147" s="57">
        <f>'2018'!CN15</f>
        <v>13</v>
      </c>
      <c r="CY147" s="57">
        <f>'2018'!CO15</f>
        <v>3</v>
      </c>
      <c r="CZ147" s="58">
        <f>'2018'!CP15</f>
        <v>3.2</v>
      </c>
      <c r="DA147" s="58">
        <f>'2018'!CQ15</f>
        <v>65</v>
      </c>
      <c r="DB147" s="58">
        <f>'2018'!CR15</f>
        <v>3.31</v>
      </c>
      <c r="DC147" s="58">
        <f>'2018'!CS15</f>
        <v>0</v>
      </c>
      <c r="DD147" s="57">
        <f>'2018'!CT15</f>
        <v>525</v>
      </c>
      <c r="DE147" s="57">
        <f>'2018'!CU15</f>
        <v>3383</v>
      </c>
      <c r="DF147" s="57">
        <f>'2018'!CV15</f>
        <v>43</v>
      </c>
      <c r="DG147" s="57">
        <f>'2018'!CW15</f>
        <v>0</v>
      </c>
      <c r="DH147" s="59">
        <f>'2018'!CX15</f>
        <v>0</v>
      </c>
      <c r="DI147" s="56">
        <f>'2018'!CY15</f>
        <v>1111</v>
      </c>
      <c r="DJ147" s="57">
        <f>'2018'!CZ15</f>
        <v>2293</v>
      </c>
      <c r="DK147" s="57">
        <f>'2018'!DA15</f>
        <v>12</v>
      </c>
      <c r="DL147" s="57">
        <f>'2018'!DB15</f>
        <v>0</v>
      </c>
      <c r="DM147" s="57">
        <f>'2018'!DC15</f>
        <v>196</v>
      </c>
      <c r="DN147" s="57">
        <f>'2018'!DD15</f>
        <v>37</v>
      </c>
      <c r="DO147" s="58">
        <f>'2018'!DE15</f>
        <v>5.7</v>
      </c>
      <c r="DP147" s="58">
        <f>'2018'!DF15</f>
        <v>77.900000000000006</v>
      </c>
      <c r="DQ147" s="58">
        <f>'2018'!DG15</f>
        <v>3.76</v>
      </c>
      <c r="DR147" s="58">
        <f>'2018'!DH15</f>
        <v>44.2</v>
      </c>
      <c r="DS147" s="57">
        <f>'2018'!DI15</f>
        <v>152</v>
      </c>
      <c r="DT147" s="57">
        <f>'2018'!DJ15</f>
        <v>3580</v>
      </c>
      <c r="DU147" s="57">
        <f>'2018'!DK15</f>
        <v>26</v>
      </c>
      <c r="DV147" s="57">
        <f>'2018'!DL15</f>
        <v>0</v>
      </c>
      <c r="DW147" s="59">
        <f>'2018'!DM15</f>
        <v>0</v>
      </c>
    </row>
    <row r="148" spans="1:127" ht="15.75" customHeight="1" x14ac:dyDescent="0.2">
      <c r="A148" s="33">
        <f t="shared" si="25"/>
        <v>146</v>
      </c>
      <c r="B148" s="11">
        <f>'2022'!A13</f>
        <v>11</v>
      </c>
      <c r="C148" s="11">
        <v>2022</v>
      </c>
      <c r="D148" s="34" t="str">
        <f>'2022'!B13</f>
        <v>Ty Chandler</v>
      </c>
      <c r="E148" s="224" t="str" cm="1">
        <f t="array" ref="E148">_xlfn.IFS(F148&gt;=13,"Cornerstone",AND(F148&gt;=12,F148&lt;13),"Elite",AND(F148&gt;=11,F148&lt;12),"Elite Upside",AND(F148&gt;=9,F148&lt;11),"Upside",AND(F148&gt;=7,F148&lt;9),"Upside Lite",AND(F148&gt;=6,F148&lt;7),"Outlier",AND(F148&gt;=5,F148&lt;6),"Outlier Lite",F148&lt;5,"Purgatory")</f>
        <v>Outlier</v>
      </c>
      <c r="F148" s="14">
        <f>'2022'!C13</f>
        <v>6.833333333333333</v>
      </c>
      <c r="G148" s="14">
        <f t="shared" si="31"/>
        <v>55.300000000000004</v>
      </c>
      <c r="H148" s="35">
        <f t="shared" si="26"/>
        <v>-0.49478274555563911</v>
      </c>
      <c r="I148" s="36" t="str">
        <f>'2022'!D13</f>
        <v>North Carolina</v>
      </c>
      <c r="J148" s="37">
        <f>'2022'!E13</f>
        <v>4</v>
      </c>
      <c r="K148" s="38">
        <f>'2022'!F13</f>
        <v>35927</v>
      </c>
      <c r="L148" s="39">
        <f>'2022'!G13</f>
        <v>27.397260273972602</v>
      </c>
      <c r="M148" s="39" t="str">
        <f>'2022'!H13</f>
        <v>RS SR</v>
      </c>
      <c r="N148" s="39">
        <f>'2022'!I13</f>
        <v>23.978082191780821</v>
      </c>
      <c r="O148" s="39" t="str">
        <f t="shared" si="27"/>
        <v>DYNAMIC</v>
      </c>
      <c r="P148" s="39" t="str">
        <f t="shared" si="32"/>
        <v>3DOWN</v>
      </c>
      <c r="Q148" s="37">
        <f>'2022'!J13</f>
        <v>71</v>
      </c>
      <c r="R148" s="37">
        <f>'2022'!K13</f>
        <v>204</v>
      </c>
      <c r="S148" s="39">
        <f t="shared" si="29"/>
        <v>28.451909790151664</v>
      </c>
      <c r="T148" s="37">
        <f>'2022'!L13</f>
        <v>4.38</v>
      </c>
      <c r="U148" s="40">
        <f>'2022'!M13</f>
        <v>5</v>
      </c>
      <c r="V148" s="41">
        <f>'2022'!N13</f>
        <v>0.10828526481384373</v>
      </c>
      <c r="W148" s="42">
        <f>'2022'!O13</f>
        <v>0.18058035714285714</v>
      </c>
      <c r="X148" s="42">
        <f>'2022'!P13</f>
        <v>0.1513047138047138</v>
      </c>
      <c r="Y148" s="42">
        <f>'2022'!Q13</f>
        <v>0.16377816291161179</v>
      </c>
      <c r="Z148" s="42">
        <f>'2022'!R13</f>
        <v>0.21481359829200197</v>
      </c>
      <c r="AA148" s="42">
        <f>'2022'!S13</f>
        <v>0.21481359829200197</v>
      </c>
      <c r="AB148" s="42">
        <f>'2022'!T13</f>
        <v>0.19333223846280179</v>
      </c>
      <c r="AC148" s="42">
        <f>'2022'!U13</f>
        <v>5.4225696140693697E-2</v>
      </c>
      <c r="AD148" s="42">
        <f>'2022'!V13</f>
        <v>6.3477737665463302E-2</v>
      </c>
      <c r="AE148" s="42">
        <f>'2022'!W13</f>
        <v>6.3477737665463302E-2</v>
      </c>
      <c r="AF148" s="43">
        <f>'2022'!X13</f>
        <v>5.7129963898916974E-2</v>
      </c>
      <c r="AG148" s="44">
        <f>'2022'!Y13</f>
        <v>20.32054794520548</v>
      </c>
      <c r="AH148" s="45">
        <f>'2022'!Z13</f>
        <v>110.85715302395484</v>
      </c>
      <c r="AI148" s="45">
        <f>'2022'!AA13</f>
        <v>28.449117238643126</v>
      </c>
      <c r="AJ148" s="45">
        <f>'2022'!AB13</f>
        <v>0.26229508196721313</v>
      </c>
      <c r="AK148" s="45">
        <f>'2022'!AC13</f>
        <v>6</v>
      </c>
      <c r="AL148" s="45">
        <f t="shared" si="28"/>
        <v>12.309090909090909</v>
      </c>
      <c r="AM148" s="45">
        <f t="shared" si="33"/>
        <v>7.1065989847715741E-2</v>
      </c>
      <c r="AN148" s="45">
        <f>'2022'!AD13</f>
        <v>102</v>
      </c>
      <c r="AO148" s="45">
        <f>'2022'!AE13</f>
        <v>3.86</v>
      </c>
      <c r="AP148" s="46">
        <f>'2022'!AF13</f>
        <v>47.8</v>
      </c>
      <c r="AQ148" s="47">
        <f>'2022'!AG13</f>
        <v>3</v>
      </c>
      <c r="AR148" s="48">
        <f>'2022'!AH13</f>
        <v>6</v>
      </c>
      <c r="AS148" s="48">
        <f>'2022'!AI13</f>
        <v>4</v>
      </c>
      <c r="AT148" s="48">
        <f>IF(AH148&gt;113.25,10,IF(AH148&gt;=107.84,9,IF(AH148&gt;=105.37,8,IF(AH148&gt;=103.25,7,IF(AH148&gt;=100.55,6,IF(AH148&gt;=98.75,5,IF(AH148&gt;=96.08,4,IF(AH148&gt;=94.39,3,IF(AH148&gt;=88.43,2,IF(AH148&gt;=85.16,1,IF(AH148&lt;85.16,0,FALSE)))))))))))</f>
        <v>9</v>
      </c>
      <c r="AU148" s="48">
        <f>'2022'!AK13</f>
        <v>7</v>
      </c>
      <c r="AV148" s="48">
        <f>'2022'!AL13</f>
        <v>4</v>
      </c>
      <c r="AW148" s="48">
        <f>'2022'!AM13</f>
        <v>4</v>
      </c>
      <c r="AX148" s="48">
        <f>'2022'!AN13</f>
        <v>4</v>
      </c>
      <c r="AY148" s="49">
        <f>IF(U148=1,10,IF(U148=2,7,IF(U148=3,6,IF(U148=4,4,IF(U148=5,3,IF(U148=6,2,IF(U148=7,1,IF(U148=0,0,"-"))))))))</f>
        <v>3</v>
      </c>
      <c r="AZ148" s="50">
        <f>'2022'!AP13</f>
        <v>0.5</v>
      </c>
      <c r="BA148" s="56">
        <f>'2022'!AQ13</f>
        <v>305</v>
      </c>
      <c r="BB148" s="57">
        <f>'2022'!AR13</f>
        <v>1730</v>
      </c>
      <c r="BC148" s="57">
        <f>'2022'!AS13</f>
        <v>2</v>
      </c>
      <c r="BD148" s="57">
        <f>'2022'!AT13</f>
        <v>17</v>
      </c>
      <c r="BE148" s="57">
        <f>'2022'!AU13</f>
        <v>71</v>
      </c>
      <c r="BF148" s="57">
        <f>'2022'!AV13</f>
        <v>7</v>
      </c>
      <c r="BG148" s="58">
        <f>'2022'!AW13</f>
        <v>4.3</v>
      </c>
      <c r="BH148" s="58">
        <f>'2022'!AX13</f>
        <v>29.5</v>
      </c>
      <c r="BI148" s="58">
        <f>'2022'!AY13</f>
        <v>2.99</v>
      </c>
      <c r="BJ148" s="58">
        <f>'2022'!AZ13</f>
        <v>24.6</v>
      </c>
      <c r="BK148" s="57">
        <f>'2022'!BA13</f>
        <v>108</v>
      </c>
      <c r="BL148" s="57">
        <f>'2022'!BB13</f>
        <v>2084</v>
      </c>
      <c r="BM148" s="57">
        <f>'2022'!BC13</f>
        <v>10</v>
      </c>
      <c r="BN148" s="57">
        <f>'2022'!BD13</f>
        <v>0</v>
      </c>
      <c r="BO148" s="59">
        <f>'2022'!BE13</f>
        <v>11</v>
      </c>
      <c r="BP148" s="56">
        <f>'2022'!BF13</f>
        <v>625</v>
      </c>
      <c r="BQ148" s="57">
        <f>'2022'!BG13</f>
        <v>2123</v>
      </c>
      <c r="BR148" s="57">
        <f>'2022'!BH13</f>
        <v>4</v>
      </c>
      <c r="BS148" s="57">
        <f>'2022'!BI13</f>
        <v>19</v>
      </c>
      <c r="BT148" s="57">
        <f>'2022'!BJ13</f>
        <v>113</v>
      </c>
      <c r="BU148" s="57">
        <f>'2022'!BK13</f>
        <v>13</v>
      </c>
      <c r="BV148" s="58">
        <f>'2022'!BL13</f>
        <v>5.5</v>
      </c>
      <c r="BW148" s="58">
        <f>'2022'!BM13</f>
        <v>26.6</v>
      </c>
      <c r="BX148" s="58">
        <f>'2022'!BN13</f>
        <v>2.36</v>
      </c>
      <c r="BY148" s="58">
        <f>'2022'!BO13</f>
        <v>46.6</v>
      </c>
      <c r="BZ148" s="57">
        <f>'2022'!BP13</f>
        <v>184</v>
      </c>
      <c r="CA148" s="57">
        <f>'2022'!BQ13</f>
        <v>2357</v>
      </c>
      <c r="CB148" s="57">
        <f>'2022'!BR13</f>
        <v>2</v>
      </c>
      <c r="CC148" s="57">
        <f>'2022'!BS13</f>
        <v>0</v>
      </c>
      <c r="CD148" s="59">
        <f>'2022'!BT13</f>
        <v>15</v>
      </c>
      <c r="CE148" s="56">
        <f>'2022'!BU13</f>
        <v>656</v>
      </c>
      <c r="CF148" s="57">
        <f>'2022'!BV13</f>
        <v>1874</v>
      </c>
      <c r="CG148" s="57">
        <f>'2022'!BW13</f>
        <v>3</v>
      </c>
      <c r="CH148" s="57">
        <f>'2022'!BX13</f>
        <v>13</v>
      </c>
      <c r="CI148" s="57">
        <f>'2022'!BY13</f>
        <v>135</v>
      </c>
      <c r="CJ148" s="57">
        <f>'2022'!BZ13</f>
        <v>24</v>
      </c>
      <c r="CK148" s="58">
        <f>'2022'!CA13</f>
        <v>4.9000000000000004</v>
      </c>
      <c r="CL148" s="58">
        <f>'2022'!CB13</f>
        <v>48.9</v>
      </c>
      <c r="CM148" s="58">
        <f>'2022'!CC13</f>
        <v>2.9</v>
      </c>
      <c r="CN148" s="58">
        <f>'2022'!CD13</f>
        <v>32.5</v>
      </c>
      <c r="CO148" s="57">
        <f>'2022'!CE13</f>
        <v>63</v>
      </c>
      <c r="CP148" s="57">
        <f>'2022'!CF13</f>
        <v>2878</v>
      </c>
      <c r="CQ148" s="57">
        <f>'2022'!CG13</f>
        <v>13</v>
      </c>
      <c r="CR148" s="57">
        <f>'2022'!CH13</f>
        <v>0</v>
      </c>
      <c r="CS148" s="59">
        <f>'2022'!CI13</f>
        <v>19</v>
      </c>
      <c r="CT148" s="56">
        <f>'2022'!CJ13</f>
        <v>456</v>
      </c>
      <c r="CU148" s="57">
        <f>'2022'!CK13</f>
        <v>1415</v>
      </c>
      <c r="CV148" s="57">
        <f>'2022'!CL13</f>
        <v>4</v>
      </c>
      <c r="CW148" s="57">
        <f>'2022'!CM13</f>
        <v>12</v>
      </c>
      <c r="CX148" s="57">
        <f>'2022'!CN13</f>
        <v>100</v>
      </c>
      <c r="CY148" s="57">
        <f>'2022'!CO13</f>
        <v>15</v>
      </c>
      <c r="CZ148" s="58">
        <f>'2022'!CP13</f>
        <v>4.5999999999999996</v>
      </c>
      <c r="DA148" s="58">
        <f>'2022'!CQ13</f>
        <v>41.3</v>
      </c>
      <c r="DB148" s="58">
        <f>'2022'!CR13</f>
        <v>2.66</v>
      </c>
      <c r="DC148" s="58">
        <f>'2022'!CS13</f>
        <v>21.1</v>
      </c>
      <c r="DD148" s="57">
        <f>'2022'!CT13</f>
        <v>111</v>
      </c>
      <c r="DE148" s="57">
        <f>'2022'!CU13</f>
        <v>2047</v>
      </c>
      <c r="DF148" s="57">
        <f>'2022'!CV13</f>
        <v>16</v>
      </c>
      <c r="DG148" s="57">
        <f>'2022'!CW13</f>
        <v>0</v>
      </c>
      <c r="DH148" s="59">
        <f>'2022'!CX13</f>
        <v>14</v>
      </c>
      <c r="DI148" s="56">
        <f>'2022'!CY13</f>
        <v>1097</v>
      </c>
      <c r="DJ148" s="57">
        <f>'2022'!CZ13</f>
        <v>2765</v>
      </c>
      <c r="DK148" s="57">
        <f>'2022'!DA13</f>
        <v>13</v>
      </c>
      <c r="DL148" s="57">
        <f>'2022'!DB13</f>
        <v>30</v>
      </c>
      <c r="DM148" s="57">
        <f>'2022'!DC13</f>
        <v>183</v>
      </c>
      <c r="DN148" s="57">
        <f>'2022'!DD13</f>
        <v>48</v>
      </c>
      <c r="DO148" s="58">
        <f>'2022'!DE13</f>
        <v>6</v>
      </c>
      <c r="DP148" s="58">
        <f>'2022'!DF13</f>
        <v>102</v>
      </c>
      <c r="DQ148" s="58">
        <f>'2022'!DG13</f>
        <v>3.86</v>
      </c>
      <c r="DR148" s="58">
        <f>'2022'!DH13</f>
        <v>47.8</v>
      </c>
      <c r="DS148" s="57">
        <f>'2022'!DI13</f>
        <v>211</v>
      </c>
      <c r="DT148" s="57">
        <f>'2022'!DJ13</f>
        <v>3324</v>
      </c>
      <c r="DU148" s="57">
        <f>'2022'!DK13</f>
        <v>14</v>
      </c>
      <c r="DV148" s="57">
        <f>'2022'!DL13</f>
        <v>0</v>
      </c>
      <c r="DW148" s="59">
        <f>'2022'!DM13</f>
        <v>26</v>
      </c>
    </row>
    <row r="149" spans="1:127" ht="15.75" customHeight="1" x14ac:dyDescent="0.2">
      <c r="A149" s="33">
        <f t="shared" si="25"/>
        <v>147</v>
      </c>
      <c r="B149" s="11">
        <f>'2024'!A16</f>
        <v>14</v>
      </c>
      <c r="C149" s="11">
        <v>2024</v>
      </c>
      <c r="D149" s="34" t="str">
        <f>'2024'!B16</f>
        <v>George Holani</v>
      </c>
      <c r="E149" s="224" t="str" cm="1">
        <f t="array" ref="E149">_xlfn.IFS(F149&gt;=13,"Cornerstone",AND(F149&gt;=12,F149&lt;13),"Elite",AND(F149&gt;=11,F149&lt;12),"Elite Upside",AND(F149&gt;=9,F149&lt;11),"Upside",AND(F149&gt;=7,F149&lt;9),"Upside Lite",AND(F149&gt;=6,F149&lt;7),"Outlier",AND(F149&gt;=5,F149&lt;6),"Outlier Lite",F149&lt;5,"Purgatory")</f>
        <v>Outlier</v>
      </c>
      <c r="F149" s="14">
        <f>'2024'!C16</f>
        <v>6.8000000000000007</v>
      </c>
      <c r="G149" s="14">
        <f t="shared" si="31"/>
        <v>55.000000000000007</v>
      </c>
      <c r="H149" s="35">
        <f t="shared" si="26"/>
        <v>-0.50889024769696001</v>
      </c>
      <c r="I149" s="36" t="str">
        <f>'2024'!D16</f>
        <v>Boise State</v>
      </c>
      <c r="J149" s="37">
        <f>'2024'!E16</f>
        <v>7</v>
      </c>
      <c r="K149" s="38">
        <f>'2024'!F16</f>
        <v>36876</v>
      </c>
      <c r="L149" s="39">
        <f>'2024'!G16</f>
        <v>24.797260273972604</v>
      </c>
      <c r="M149" s="39" t="str">
        <f>'2024'!H16</f>
        <v>RS SR</v>
      </c>
      <c r="N149" s="39">
        <f>'2024'!I16</f>
        <v>23.378082191780823</v>
      </c>
      <c r="O149" s="39" t="str">
        <f t="shared" si="27"/>
        <v>BELL CALF</v>
      </c>
      <c r="P149" s="39" t="str">
        <f t="shared" si="32"/>
        <v>SLASHER</v>
      </c>
      <c r="Q149" s="37">
        <f>'2024'!J16</f>
        <v>70</v>
      </c>
      <c r="R149" s="37">
        <f>'2024'!K16</f>
        <v>208</v>
      </c>
      <c r="S149" s="39">
        <f t="shared" si="29"/>
        <v>29.84456189320542</v>
      </c>
      <c r="T149" s="37">
        <f>'2024'!L16</f>
        <v>4.5199999999999996</v>
      </c>
      <c r="U149" s="40">
        <f>'2024'!M16</f>
        <v>0</v>
      </c>
      <c r="V149" s="41">
        <f>'2024'!N16</f>
        <v>0.20315463711690127</v>
      </c>
      <c r="W149" s="42">
        <f>'2024'!O16</f>
        <v>0.15125732652675361</v>
      </c>
      <c r="X149" s="42">
        <f>'2024'!P16</f>
        <v>0.65079365079365081</v>
      </c>
      <c r="Y149" s="42">
        <f>'2024'!Q16</f>
        <v>0.25972219462273716</v>
      </c>
      <c r="Z149" s="42">
        <f>'2024'!R16</f>
        <v>0.27395690050435578</v>
      </c>
      <c r="AA149" s="42">
        <f>'2024'!S16</f>
        <v>0.46237527564900327</v>
      </c>
      <c r="AB149" s="42">
        <f>'2024'!T16</f>
        <v>0.34678145673675242</v>
      </c>
      <c r="AC149" s="42">
        <f>'2024'!U16</f>
        <v>6.0941157478408274E-2</v>
      </c>
      <c r="AD149" s="42">
        <f>'2024'!V16</f>
        <v>0.11240397650248531</v>
      </c>
      <c r="AE149" s="42">
        <f>'2024'!W16</f>
        <v>0.11240397650248531</v>
      </c>
      <c r="AF149" s="43">
        <f>'2024'!X16</f>
        <v>8.4302982376863983E-2</v>
      </c>
      <c r="AG149" s="44">
        <f>'2024'!Y16</f>
        <v>18.717808219178082</v>
      </c>
      <c r="AH149" s="45">
        <f>'2024'!Z16</f>
        <v>99.66429324789874</v>
      </c>
      <c r="AI149" s="45">
        <f>'2024'!AA16</f>
        <v>29.841632653061225</v>
      </c>
      <c r="AJ149" s="45">
        <f>'2024'!AB16</f>
        <v>0.31674208144796379</v>
      </c>
      <c r="AK149" s="45">
        <f>'2024'!AC16</f>
        <v>5.6917293233082704</v>
      </c>
      <c r="AL149" s="45">
        <f t="shared" si="28"/>
        <v>8.8181818181818183</v>
      </c>
      <c r="AM149" s="45">
        <f t="shared" si="33"/>
        <v>0.11333333333333333</v>
      </c>
      <c r="AN149" s="45">
        <f>'2024'!AD16</f>
        <v>121.6</v>
      </c>
      <c r="AO149" s="45">
        <f>'2024'!AE16</f>
        <v>3.65</v>
      </c>
      <c r="AP149" s="46">
        <f>'2024'!AF16</f>
        <v>38.200000000000003</v>
      </c>
      <c r="AQ149" s="47">
        <f>'2024'!AG16</f>
        <v>9</v>
      </c>
      <c r="AR149" s="48">
        <f>'2024'!AH16</f>
        <v>8</v>
      </c>
      <c r="AS149" s="48">
        <f>'2024'!AI16</f>
        <v>9</v>
      </c>
      <c r="AT149" s="48">
        <f>'2024'!AJ16</f>
        <v>5</v>
      </c>
      <c r="AU149" s="48">
        <f>'2024'!AK16</f>
        <v>8</v>
      </c>
      <c r="AV149" s="48">
        <f>'2024'!AL16</f>
        <v>3</v>
      </c>
      <c r="AW149" s="48">
        <f>'2024'!AM16</f>
        <v>6</v>
      </c>
      <c r="AX149" s="48">
        <f>'2024'!AN16</f>
        <v>2</v>
      </c>
      <c r="AY149" s="49">
        <f>'2024'!AO16</f>
        <v>0</v>
      </c>
      <c r="AZ149" s="50">
        <f>'2024'!AP16</f>
        <v>0</v>
      </c>
      <c r="BA149" s="56">
        <f>'2024'!AQ16</f>
        <v>1016</v>
      </c>
      <c r="BB149" s="57">
        <f>'2024'!AR16</f>
        <v>2346.4</v>
      </c>
      <c r="BC149" s="57">
        <f>'2024'!AS16</f>
        <v>26.599999999999998</v>
      </c>
      <c r="BD149" s="57">
        <f>'2024'!AT16</f>
        <v>26.599999999999998</v>
      </c>
      <c r="BE149" s="57">
        <f>'2024'!AU16</f>
        <v>191</v>
      </c>
      <c r="BF149" s="57">
        <f>'2024'!AV16</f>
        <v>44</v>
      </c>
      <c r="BG149" s="58">
        <f>'2024'!AW16</f>
        <v>5.3193717277486909</v>
      </c>
      <c r="BH149" s="58">
        <f>'2024'!AX16</f>
        <v>95.8</v>
      </c>
      <c r="BI149" s="58">
        <f>'2024'!AY16</f>
        <v>3.52</v>
      </c>
      <c r="BJ149" s="58">
        <f>'2024'!AZ16</f>
        <v>34.4</v>
      </c>
      <c r="BK149" s="57">
        <f>'2024'!BA16</f>
        <v>205</v>
      </c>
      <c r="BL149" s="57">
        <f>'2024'!BB16</f>
        <v>3663.7999999999997</v>
      </c>
      <c r="BM149" s="57">
        <f>'2024'!BC16</f>
        <v>26</v>
      </c>
      <c r="BN149" s="57">
        <f>'2024'!BD16</f>
        <v>3</v>
      </c>
      <c r="BO149" s="59">
        <f>'2024'!BE16</f>
        <v>30.800000000000004</v>
      </c>
      <c r="BP149" s="56">
        <f>'2024'!BF16</f>
        <v>108</v>
      </c>
      <c r="BQ149" s="57">
        <f>'2024'!BG16</f>
        <v>332.1</v>
      </c>
      <c r="BR149" s="57">
        <f>'2024'!BH16</f>
        <v>1</v>
      </c>
      <c r="BS149" s="57">
        <f>'2024'!BI16</f>
        <v>0</v>
      </c>
      <c r="BT149" s="57">
        <f>'2024'!BJ16</f>
        <v>19</v>
      </c>
      <c r="BU149" s="57">
        <f>'2024'!BK16</f>
        <v>2</v>
      </c>
      <c r="BV149" s="58">
        <f>'2024'!BL16</f>
        <v>5.6842105263157894</v>
      </c>
      <c r="BW149" s="58">
        <f>'2024'!BM16</f>
        <v>49.6</v>
      </c>
      <c r="BX149" s="58">
        <f>'2024'!BN16</f>
        <v>2.58</v>
      </c>
      <c r="BY149" s="58">
        <f>'2024'!BO16</f>
        <v>31.5</v>
      </c>
      <c r="BZ149" s="57">
        <f>'2024'!BP16</f>
        <v>52</v>
      </c>
      <c r="CA149" s="57">
        <f>'2024'!BQ16</f>
        <v>725.7</v>
      </c>
      <c r="CB149" s="57">
        <f>'2024'!BR16</f>
        <v>7</v>
      </c>
      <c r="CC149" s="57">
        <f>'2024'!BS16</f>
        <v>2</v>
      </c>
      <c r="CD149" s="59">
        <f>'2024'!BT16</f>
        <v>5.0999999999999996</v>
      </c>
      <c r="CE149" s="56">
        <f>'2024'!BU16</f>
        <v>569</v>
      </c>
      <c r="CF149" s="57">
        <f>'2024'!BV16</f>
        <v>1118.7</v>
      </c>
      <c r="CG149" s="57">
        <f>'2024'!BW16</f>
        <v>1</v>
      </c>
      <c r="CH149" s="57">
        <f>'2024'!BX16</f>
        <v>11.700000000000001</v>
      </c>
      <c r="CI149" s="57">
        <f>'2024'!BY16</f>
        <v>119</v>
      </c>
      <c r="CJ149" s="57">
        <f>'2024'!BZ16</f>
        <v>36</v>
      </c>
      <c r="CK149" s="58">
        <f>'2024'!CA16</f>
        <v>4.7815126050420167</v>
      </c>
      <c r="CL149" s="58">
        <f>'2024'!CB16</f>
        <v>111.7</v>
      </c>
      <c r="CM149" s="58">
        <f>'2024'!CC16</f>
        <v>3.54</v>
      </c>
      <c r="CN149" s="58">
        <f>'2024'!CD16</f>
        <v>25.1</v>
      </c>
      <c r="CO149" s="57">
        <f>'2024'!CE16</f>
        <v>169</v>
      </c>
      <c r="CP149" s="57">
        <f>'2024'!CF16</f>
        <v>15.299999999999999</v>
      </c>
      <c r="CQ149" s="57">
        <f>'2024'!CG16</f>
        <v>14</v>
      </c>
      <c r="CR149" s="57">
        <f>'2024'!CH16</f>
        <v>0</v>
      </c>
      <c r="CS149" s="59">
        <f>'2024'!CI16</f>
        <v>15.299999999999999</v>
      </c>
      <c r="CT149" s="56">
        <f>'2024'!CJ16</f>
        <v>1156</v>
      </c>
      <c r="CU149" s="57">
        <f>'2024'!CK16</f>
        <v>2554.5</v>
      </c>
      <c r="CV149" s="57">
        <f>'2024'!CL16</f>
        <v>10</v>
      </c>
      <c r="CW149" s="57">
        <f>'2024'!CM16</f>
        <v>24.7</v>
      </c>
      <c r="CX149" s="57">
        <f>'2024'!CN16</f>
        <v>221</v>
      </c>
      <c r="CY149" s="57">
        <f>'2024'!CO16</f>
        <v>70</v>
      </c>
      <c r="CZ149" s="58">
        <f>'2024'!CP16</f>
        <v>5.2307692307692308</v>
      </c>
      <c r="DA149" s="58">
        <f>'2024'!CQ16</f>
        <v>114.8</v>
      </c>
      <c r="DB149" s="58">
        <f>'2024'!CR16</f>
        <v>3.43</v>
      </c>
      <c r="DC149" s="58">
        <f>'2024'!CS16</f>
        <v>31.9</v>
      </c>
      <c r="DD149" s="57">
        <f>'2024'!CT16</f>
        <v>151</v>
      </c>
      <c r="DE149" s="57">
        <f>'2024'!CU16</f>
        <v>2477.7999999999997</v>
      </c>
      <c r="DF149" s="57">
        <f>'2024'!CV16</f>
        <v>24</v>
      </c>
      <c r="DG149" s="57">
        <f>'2024'!CW16</f>
        <v>3</v>
      </c>
      <c r="DH149" s="59">
        <f>'2024'!CX16</f>
        <v>18.2</v>
      </c>
      <c r="DI149" s="56">
        <f>'2024'!CY16</f>
        <v>757</v>
      </c>
      <c r="DJ149" s="57">
        <f>'2024'!CZ16</f>
        <v>1719.2</v>
      </c>
      <c r="DK149" s="57">
        <f>'2024'!DA16</f>
        <v>7</v>
      </c>
      <c r="DL149" s="57">
        <f>'2024'!DB16</f>
        <v>19.2</v>
      </c>
      <c r="DM149" s="57">
        <f>'2024'!DC16</f>
        <v>133</v>
      </c>
      <c r="DN149" s="57">
        <f>'2024'!DD16</f>
        <v>39</v>
      </c>
      <c r="DO149" s="58">
        <f>'2024'!DE16</f>
        <v>5.6917293233082704</v>
      </c>
      <c r="DP149" s="58">
        <f>'2024'!DF16</f>
        <v>121.6</v>
      </c>
      <c r="DQ149" s="58">
        <f>'2024'!DG16</f>
        <v>3.65</v>
      </c>
      <c r="DR149" s="58">
        <f>'2024'!DH16</f>
        <v>38.200000000000003</v>
      </c>
      <c r="DS149" s="57">
        <f>'2024'!DI16</f>
        <v>199</v>
      </c>
      <c r="DT149" s="57">
        <f>'2024'!DJ16</f>
        <v>1770.4</v>
      </c>
      <c r="DU149" s="57">
        <f>'2024'!DK16</f>
        <v>17</v>
      </c>
      <c r="DV149" s="57">
        <f>'2024'!DL16</f>
        <v>0</v>
      </c>
      <c r="DW149" s="59">
        <f>'2024'!DM16</f>
        <v>11.2</v>
      </c>
    </row>
    <row r="150" spans="1:127" ht="15.75" customHeight="1" x14ac:dyDescent="0.2">
      <c r="A150" s="33">
        <f t="shared" si="25"/>
        <v>148</v>
      </c>
      <c r="B150" s="11">
        <f>'2019'!A14</f>
        <v>12</v>
      </c>
      <c r="C150" s="11">
        <v>2019</v>
      </c>
      <c r="D150" s="34" t="str">
        <f>'2019'!B14</f>
        <v>Travis Homer</v>
      </c>
      <c r="E150" s="224" t="str" cm="1">
        <f t="array" ref="E150">_xlfn.IFS(F150&gt;=13,"Cornerstone",AND(F150&gt;=12,F150&lt;13),"Elite",AND(F150&gt;=11,F150&lt;12),"Elite Upside",AND(F150&gt;=9,F150&lt;11),"Upside",AND(F150&gt;=7,F150&lt;9),"Upside Lite",AND(F150&gt;=6,F150&lt;7),"Outlier",AND(F150&gt;=5,F150&lt;6),"Outlier Lite",F150&lt;5,"Purgatory")</f>
        <v>Outlier</v>
      </c>
      <c r="F150" s="14">
        <f>'2019'!C14</f>
        <v>6.7888888888888888</v>
      </c>
      <c r="G150" s="14">
        <f t="shared" si="31"/>
        <v>54.7</v>
      </c>
      <c r="H150" s="35">
        <f t="shared" si="26"/>
        <v>-0.5135927484107341</v>
      </c>
      <c r="I150" s="36" t="str">
        <f>'2019'!D14</f>
        <v>Miami</v>
      </c>
      <c r="J150" s="37">
        <f>'2019'!E14</f>
        <v>4</v>
      </c>
      <c r="K150" s="38">
        <f>'2019'!F14</f>
        <v>36014</v>
      </c>
      <c r="L150" s="39">
        <f>'2019'!G14</f>
        <v>27.158904109589042</v>
      </c>
      <c r="M150" s="39" t="str">
        <f>'2019'!H14</f>
        <v>JR</v>
      </c>
      <c r="N150" s="39">
        <f>'2019'!I14</f>
        <v>20.728767123287671</v>
      </c>
      <c r="O150" s="39" t="str">
        <f t="shared" si="27"/>
        <v>DYNAMIC</v>
      </c>
      <c r="P150" s="39" t="str">
        <f t="shared" si="32"/>
        <v>HORSE</v>
      </c>
      <c r="Q150" s="37">
        <f>'2019'!J14</f>
        <v>70</v>
      </c>
      <c r="R150" s="37">
        <f>'2019'!K14</f>
        <v>201</v>
      </c>
      <c r="S150" s="39">
        <f t="shared" si="29"/>
        <v>28.840177598722544</v>
      </c>
      <c r="T150" s="37">
        <f>'2019'!L14</f>
        <v>4.4800000000000004</v>
      </c>
      <c r="U150" s="40">
        <f>'2019'!M14</f>
        <v>6</v>
      </c>
      <c r="V150" s="41">
        <f>'2019'!N14</f>
        <v>0</v>
      </c>
      <c r="W150" s="42">
        <f>'2019'!O14</f>
        <v>0</v>
      </c>
      <c r="X150" s="42">
        <f>'2019'!P14</f>
        <v>7.4047318042261149E-3</v>
      </c>
      <c r="Y150" s="42">
        <f>'2019'!Q14</f>
        <v>0.22677856189204654</v>
      </c>
      <c r="Z150" s="42">
        <f>'2019'!R14</f>
        <v>0.25064322469982847</v>
      </c>
      <c r="AA150" s="42">
        <f>'2019'!S14</f>
        <v>0.25064322469982847</v>
      </c>
      <c r="AB150" s="42">
        <f>'2019'!T14</f>
        <v>0.22557890222984564</v>
      </c>
      <c r="AC150" s="42">
        <f>'2019'!U14</f>
        <v>6.9457659372026637E-2</v>
      </c>
      <c r="AD150" s="42">
        <f>'2019'!V14</f>
        <v>8.5517241379310341E-2</v>
      </c>
      <c r="AE150" s="42">
        <f>'2019'!W14</f>
        <v>8.5517241379310341E-2</v>
      </c>
      <c r="AF150" s="43">
        <f>'2019'!X14</f>
        <v>7.6965517241379303E-2</v>
      </c>
      <c r="AG150" s="44">
        <f>'2019'!Y14</f>
        <v>19.079452054794519</v>
      </c>
      <c r="AH150" s="45">
        <f>'2019'!Z14</f>
        <v>99.796198249508649</v>
      </c>
      <c r="AI150" s="45">
        <f>'2019'!AA14</f>
        <v>28.837346938775511</v>
      </c>
      <c r="AJ150" s="45">
        <f>'2019'!AB14</f>
        <v>0.19018404907975461</v>
      </c>
      <c r="AK150" s="45">
        <f>'2019'!AC14</f>
        <v>6</v>
      </c>
      <c r="AL150" s="45">
        <f t="shared" si="28"/>
        <v>10.945945945945946</v>
      </c>
      <c r="AM150" s="45">
        <f t="shared" si="33"/>
        <v>0.10382513661202186</v>
      </c>
      <c r="AN150" s="45">
        <f>'2019'!AD14</f>
        <v>87.4</v>
      </c>
      <c r="AO150" s="45">
        <f>'2019'!AE14</f>
        <v>4.0599999999999996</v>
      </c>
      <c r="AP150" s="46">
        <f>'2019'!AF14</f>
        <v>49.2</v>
      </c>
      <c r="AQ150" s="47">
        <f>'2019'!AG14</f>
        <v>4</v>
      </c>
      <c r="AR150" s="48">
        <f>'2019'!AH14</f>
        <v>8</v>
      </c>
      <c r="AS150" s="48">
        <f>'2019'!AI14</f>
        <v>8</v>
      </c>
      <c r="AT150" s="48">
        <f>IF(AH150&gt;113.25,10,IF(AH150&gt;=107.84,9,IF(AH150&gt;=105.37,8,IF(AH150&gt;=103.25,7,IF(AH150&gt;=100.55,6,IF(AH150&gt;=98.75,5,IF(AH150&gt;=96.08,4,IF(AH150&gt;=94.39,3,IF(AH150&gt;=88.43,2,IF(AH150&gt;=85.16,1,IF(AH150&lt;85.16,0,FALSE)))))))))))</f>
        <v>5</v>
      </c>
      <c r="AU150" s="48">
        <f>'2019'!AK14</f>
        <v>3</v>
      </c>
      <c r="AV150" s="48">
        <f>'2019'!AL14</f>
        <v>4</v>
      </c>
      <c r="AW150" s="48">
        <f>'2019'!AM14</f>
        <v>3</v>
      </c>
      <c r="AX150" s="48">
        <f>'2019'!AN14</f>
        <v>5</v>
      </c>
      <c r="AY150" s="49">
        <f>IF(U150=1,10,IF(U150=2,7,IF(U150=3,6,IF(U150=4,4,IF(U150=5,3,IF(U150=6,2,IF(U150=7,1,IF(U150=0,0,"-"))))))))</f>
        <v>2</v>
      </c>
      <c r="AZ150" s="50">
        <f>'2019'!AP14</f>
        <v>0</v>
      </c>
      <c r="BA150" s="56">
        <f>'2019'!AQ14</f>
        <v>0</v>
      </c>
      <c r="BB150" s="57">
        <f>'2019'!AR14</f>
        <v>2345</v>
      </c>
      <c r="BC150" s="57">
        <f>'2019'!AS14</f>
        <v>0</v>
      </c>
      <c r="BD150" s="57">
        <f>'2019'!AT14</f>
        <v>19</v>
      </c>
      <c r="BE150" s="57">
        <f>'2019'!AU14</f>
        <v>0</v>
      </c>
      <c r="BF150" s="57">
        <f>'2019'!AV14</f>
        <v>0</v>
      </c>
      <c r="BG150" s="58">
        <f>'2019'!AW14</f>
        <v>0</v>
      </c>
      <c r="BH150" s="58">
        <f>'2019'!AX14</f>
        <v>0</v>
      </c>
      <c r="BI150" s="58">
        <f>'2019'!AY14</f>
        <v>0</v>
      </c>
      <c r="BJ150" s="58">
        <f>'2019'!AZ14</f>
        <v>0</v>
      </c>
      <c r="BK150" s="57">
        <f>'2019'!BA14</f>
        <v>0</v>
      </c>
      <c r="BL150" s="57">
        <f>'2019'!BB14</f>
        <v>3249</v>
      </c>
      <c r="BM150" s="57">
        <f>'2019'!BC14</f>
        <v>0</v>
      </c>
      <c r="BN150" s="57">
        <f>'2019'!BD14</f>
        <v>0</v>
      </c>
      <c r="BO150" s="59">
        <f>'2019'!BE14</f>
        <v>26</v>
      </c>
      <c r="BP150" s="56">
        <f>'2019'!BF14</f>
        <v>0</v>
      </c>
      <c r="BQ150" s="57">
        <f>'2019'!BG14</f>
        <v>1548</v>
      </c>
      <c r="BR150" s="57">
        <f>'2019'!BH14</f>
        <v>0</v>
      </c>
      <c r="BS150" s="57">
        <f>'2019'!BI14</f>
        <v>20</v>
      </c>
      <c r="BT150" s="57">
        <f>'2019'!BJ14</f>
        <v>0</v>
      </c>
      <c r="BU150" s="57">
        <f>'2019'!BK14</f>
        <v>0</v>
      </c>
      <c r="BV150" s="58">
        <f>'2019'!BL14</f>
        <v>0</v>
      </c>
      <c r="BW150" s="58">
        <f>'2019'!BM14</f>
        <v>0</v>
      </c>
      <c r="BX150" s="58">
        <f>'2019'!BN14</f>
        <v>0</v>
      </c>
      <c r="BY150" s="58">
        <f>'2019'!BO14</f>
        <v>0</v>
      </c>
      <c r="BZ150" s="57">
        <f>'2019'!BP14</f>
        <v>0</v>
      </c>
      <c r="CA150" s="57">
        <f>'2019'!BQ14</f>
        <v>3602</v>
      </c>
      <c r="CB150" s="57">
        <f>'2019'!BR14</f>
        <v>0</v>
      </c>
      <c r="CC150" s="57">
        <f>'2019'!BS14</f>
        <v>0</v>
      </c>
      <c r="CD150" s="59">
        <f>'2019'!BT14</f>
        <v>18</v>
      </c>
      <c r="CE150" s="56">
        <f>'2019'!BU14</f>
        <v>41</v>
      </c>
      <c r="CF150" s="57">
        <f>'2019'!BV14</f>
        <v>1973</v>
      </c>
      <c r="CG150" s="57">
        <f>'2019'!BW14</f>
        <v>0</v>
      </c>
      <c r="CH150" s="57">
        <f>'2019'!BX14</f>
        <v>24</v>
      </c>
      <c r="CI150" s="57">
        <f>'2019'!BY14</f>
        <v>7</v>
      </c>
      <c r="CJ150" s="57">
        <f>'2019'!BZ14</f>
        <v>1</v>
      </c>
      <c r="CK150" s="58">
        <f>'2019'!CA14</f>
        <v>5.9</v>
      </c>
      <c r="CL150" s="58">
        <f>'2019'!CB14</f>
        <v>55.1</v>
      </c>
      <c r="CM150" s="58">
        <f>'2019'!CC14</f>
        <v>3.86</v>
      </c>
      <c r="CN150" s="58">
        <f>'2019'!CD14</f>
        <v>41.5</v>
      </c>
      <c r="CO150" s="57">
        <f>'2019'!CE14</f>
        <v>0</v>
      </c>
      <c r="CP150" s="57">
        <f>'2019'!CF14</f>
        <v>3564</v>
      </c>
      <c r="CQ150" s="57">
        <f>'2019'!CG14</f>
        <v>0</v>
      </c>
      <c r="CR150" s="57">
        <f>'2019'!CH14</f>
        <v>0</v>
      </c>
      <c r="CS150" s="59">
        <f>'2019'!CI14</f>
        <v>27</v>
      </c>
      <c r="CT150" s="56">
        <f>'2019'!CJ14</f>
        <v>970</v>
      </c>
      <c r="CU150" s="57">
        <f>'2019'!CK14</f>
        <v>2090</v>
      </c>
      <c r="CV150" s="57">
        <f>'2019'!CL14</f>
        <v>8</v>
      </c>
      <c r="CW150" s="57">
        <f>'2019'!CM14</f>
        <v>19</v>
      </c>
      <c r="CX150" s="57">
        <f>'2019'!CN14</f>
        <v>163</v>
      </c>
      <c r="CY150" s="57">
        <f>'2019'!CO14</f>
        <v>31</v>
      </c>
      <c r="CZ150" s="58">
        <f>'2019'!CP14</f>
        <v>6</v>
      </c>
      <c r="DA150" s="58">
        <f>'2019'!CQ14</f>
        <v>87.4</v>
      </c>
      <c r="DB150" s="58">
        <f>'2019'!CR14</f>
        <v>4.0599999999999996</v>
      </c>
      <c r="DC150" s="58">
        <f>'2019'!CS14</f>
        <v>47.9</v>
      </c>
      <c r="DD150" s="57">
        <f>'2019'!CT14</f>
        <v>219</v>
      </c>
      <c r="DE150" s="57">
        <f>'2019'!CU14</f>
        <v>3153</v>
      </c>
      <c r="DF150" s="57">
        <f>'2019'!CV14</f>
        <v>18</v>
      </c>
      <c r="DG150" s="57">
        <f>'2019'!CW14</f>
        <v>0</v>
      </c>
      <c r="DH150" s="59">
        <f>'2019'!CX14</f>
        <v>26</v>
      </c>
      <c r="DI150" s="56">
        <f>'2019'!CY14</f>
        <v>983</v>
      </c>
      <c r="DJ150" s="57">
        <f>'2019'!CZ14</f>
        <v>2489</v>
      </c>
      <c r="DK150" s="57">
        <f>'2019'!DA14</f>
        <v>4</v>
      </c>
      <c r="DL150" s="57">
        <f>'2019'!DB14</f>
        <v>25</v>
      </c>
      <c r="DM150" s="57">
        <f>'2019'!DC14</f>
        <v>164</v>
      </c>
      <c r="DN150" s="57">
        <f>'2019'!DD14</f>
        <v>29</v>
      </c>
      <c r="DO150" s="58">
        <f>'2019'!DE14</f>
        <v>6</v>
      </c>
      <c r="DP150" s="58">
        <f>'2019'!DF14</f>
        <v>77.400000000000006</v>
      </c>
      <c r="DQ150" s="58">
        <f>'2019'!DG14</f>
        <v>4.05</v>
      </c>
      <c r="DR150" s="58">
        <f>'2019'!DH14</f>
        <v>49.2</v>
      </c>
      <c r="DS150" s="57">
        <f>'2019'!DI14</f>
        <v>186</v>
      </c>
      <c r="DT150" s="57">
        <f>'2019'!DJ14</f>
        <v>2175</v>
      </c>
      <c r="DU150" s="57">
        <f>'2019'!DK14</f>
        <v>19</v>
      </c>
      <c r="DV150" s="57">
        <f>'2019'!DL14</f>
        <v>0</v>
      </c>
      <c r="DW150" s="59">
        <f>'2019'!DM14</f>
        <v>19</v>
      </c>
    </row>
    <row r="151" spans="1:127" ht="15.75" customHeight="1" x14ac:dyDescent="0.2">
      <c r="A151" s="33">
        <f t="shared" si="25"/>
        <v>149</v>
      </c>
      <c r="B151" s="11">
        <f>'2019'!A15</f>
        <v>13</v>
      </c>
      <c r="C151" s="11">
        <v>2019</v>
      </c>
      <c r="D151" s="34" t="str">
        <f>'2019'!B15</f>
        <v>Alexander Mattison</v>
      </c>
      <c r="E151" s="224" t="str" cm="1">
        <f t="array" ref="E151">_xlfn.IFS(F151&gt;=13,"Cornerstone",AND(F151&gt;=12,F151&lt;13),"Elite",AND(F151&gt;=11,F151&lt;12),"Elite Upside",AND(F151&gt;=9,F151&lt;11),"Upside",AND(F151&gt;=7,F151&lt;9),"Upside Lite",AND(F151&gt;=6,F151&lt;7),"Outlier",AND(F151&gt;=5,F151&lt;6),"Outlier Lite",F151&lt;5,"Purgatory")</f>
        <v>Outlier</v>
      </c>
      <c r="F151" s="14">
        <f>'2019'!C15</f>
        <v>6.7388888888888898</v>
      </c>
      <c r="G151" s="14">
        <f t="shared" si="31"/>
        <v>54.400000000000006</v>
      </c>
      <c r="H151" s="35">
        <f t="shared" si="26"/>
        <v>-0.53475400162271569</v>
      </c>
      <c r="I151" s="36" t="str">
        <f>'2019'!D15</f>
        <v>Boise State</v>
      </c>
      <c r="J151" s="37">
        <f>'2019'!E15</f>
        <v>7</v>
      </c>
      <c r="K151" s="38">
        <f>'2019'!F15</f>
        <v>35965</v>
      </c>
      <c r="L151" s="39">
        <f>'2019'!G15</f>
        <v>27.293150684931508</v>
      </c>
      <c r="M151" s="39" t="str">
        <f>'2019'!H15</f>
        <v>JR</v>
      </c>
      <c r="N151" s="39">
        <f>'2019'!I15</f>
        <v>20.863013698630137</v>
      </c>
      <c r="O151" s="39" t="str">
        <f t="shared" si="27"/>
        <v>BELL COW</v>
      </c>
      <c r="P151" s="39" t="str">
        <f t="shared" si="32"/>
        <v>PLODDER</v>
      </c>
      <c r="Q151" s="37">
        <f>'2019'!J15</f>
        <v>71</v>
      </c>
      <c r="R151" s="37">
        <f>'2019'!K15</f>
        <v>221</v>
      </c>
      <c r="S151" s="39">
        <f t="shared" si="29"/>
        <v>30.822902272664301</v>
      </c>
      <c r="T151" s="37">
        <f>'2019'!L15</f>
        <v>4.5999999999999996</v>
      </c>
      <c r="U151" s="40">
        <f>'2019'!M15</f>
        <v>3</v>
      </c>
      <c r="V151" s="41">
        <f>'2019'!N15</f>
        <v>0</v>
      </c>
      <c r="W151" s="42">
        <f>'2019'!O15</f>
        <v>0</v>
      </c>
      <c r="X151" s="42">
        <f>'2019'!P15</f>
        <v>6.2154246664497231E-2</v>
      </c>
      <c r="Y151" s="42">
        <f>'2019'!Q15</f>
        <v>0.24234963067182555</v>
      </c>
      <c r="Z151" s="42">
        <f>'2019'!R15</f>
        <v>0.26581854703716101</v>
      </c>
      <c r="AA151" s="42">
        <f>'2019'!S15</f>
        <v>0.26581854703716101</v>
      </c>
      <c r="AB151" s="42">
        <f>'2019'!T15</f>
        <v>0.19936391027787076</v>
      </c>
      <c r="AC151" s="42">
        <f>'2019'!U15</f>
        <v>7.8596682077780797E-2</v>
      </c>
      <c r="AD151" s="42">
        <f>'2019'!V15</f>
        <v>4.5574288724973655E-2</v>
      </c>
      <c r="AE151" s="42">
        <f>'2019'!W15</f>
        <v>6.2085485401377226E-2</v>
      </c>
      <c r="AF151" s="43">
        <f>'2019'!X15</f>
        <v>4.6564114051032918E-2</v>
      </c>
      <c r="AG151" s="44">
        <f>'2019'!Y15</f>
        <v>19.213698630136985</v>
      </c>
      <c r="AH151" s="45">
        <f>'2019'!Z15</f>
        <v>98.716771309422171</v>
      </c>
      <c r="AI151" s="45">
        <f>'2019'!AA15</f>
        <v>30.819877008530053</v>
      </c>
      <c r="AJ151" s="45">
        <f>'2019'!AB15</f>
        <v>0.2251655629139073</v>
      </c>
      <c r="AK151" s="45">
        <f>'2019'!AC15</f>
        <v>5.0999999999999996</v>
      </c>
      <c r="AL151" s="45">
        <f t="shared" si="28"/>
        <v>8.6</v>
      </c>
      <c r="AM151" s="45">
        <f t="shared" si="33"/>
        <v>8.2066869300911852E-2</v>
      </c>
      <c r="AN151" s="45">
        <f>'2019'!AD15</f>
        <v>65.099999999999994</v>
      </c>
      <c r="AO151" s="45">
        <f>'2019'!AE15</f>
        <v>3.23</v>
      </c>
      <c r="AP151" s="46">
        <f>'2019'!AF15</f>
        <v>35.5</v>
      </c>
      <c r="AQ151" s="47">
        <f>'2019'!AG15</f>
        <v>3</v>
      </c>
      <c r="AR151" s="48">
        <f>'2019'!AH15</f>
        <v>5</v>
      </c>
      <c r="AS151" s="48">
        <f>'2019'!AI15</f>
        <v>7</v>
      </c>
      <c r="AT151" s="48">
        <f>IF(AH151&gt;113.25,10,IF(AH151&gt;=107.84,9,IF(AH151&gt;=105.37,8,IF(AH151&gt;=103.25,7,IF(AH151&gt;=100.55,6,IF(AH151&gt;=98.75,5,IF(AH151&gt;=96.08,4,IF(AH151&gt;=94.39,3,IF(AH151&gt;=88.43,2,IF(AH151&gt;=85.16,1,IF(AH151&lt;85.16,0,FALSE)))))))))))</f>
        <v>4</v>
      </c>
      <c r="AU151" s="48">
        <f>'2019'!AK15</f>
        <v>5</v>
      </c>
      <c r="AV151" s="48">
        <f>'2019'!AL15</f>
        <v>1</v>
      </c>
      <c r="AW151" s="48">
        <f>'2019'!AM15</f>
        <v>1</v>
      </c>
      <c r="AX151" s="48">
        <f>'2019'!AN15</f>
        <v>1</v>
      </c>
      <c r="AY151" s="49">
        <f>IF(U151=1,10,IF(U151=2,7,IF(U151=3,6,IF(U151=4,4,IF(U151=5,3,IF(U151=6,2,IF(U151=7,1,IF(U151=0,0,"-"))))))))</f>
        <v>6</v>
      </c>
      <c r="AZ151" s="50">
        <f>'2019'!AP15</f>
        <v>1</v>
      </c>
      <c r="BA151" s="56">
        <f>'2019'!AQ15</f>
        <v>0</v>
      </c>
      <c r="BB151" s="57">
        <f>'2019'!AR15</f>
        <v>2994</v>
      </c>
      <c r="BC151" s="57">
        <f>'2019'!AS15</f>
        <v>0</v>
      </c>
      <c r="BD151" s="57">
        <f>'2019'!AT15</f>
        <v>39</v>
      </c>
      <c r="BE151" s="57">
        <f>'2019'!AU15</f>
        <v>0</v>
      </c>
      <c r="BF151" s="57">
        <f>'2019'!AV15</f>
        <v>0</v>
      </c>
      <c r="BG151" s="58">
        <f>'2019'!AW15</f>
        <v>0</v>
      </c>
      <c r="BH151" s="58">
        <f>'2019'!AX15</f>
        <v>0</v>
      </c>
      <c r="BI151" s="58">
        <f>'2019'!AY15</f>
        <v>0</v>
      </c>
      <c r="BJ151" s="58">
        <f>'2019'!AZ15</f>
        <v>0</v>
      </c>
      <c r="BK151" s="57">
        <f>'2019'!BA15</f>
        <v>0</v>
      </c>
      <c r="BL151" s="57">
        <f>'2019'!BB15</f>
        <v>3926</v>
      </c>
      <c r="BM151" s="57">
        <f>'2019'!BC15</f>
        <v>0</v>
      </c>
      <c r="BN151" s="57">
        <f>'2019'!BD15</f>
        <v>0</v>
      </c>
      <c r="BO151" s="59">
        <f>'2019'!BE15</f>
        <v>27</v>
      </c>
      <c r="BP151" s="56">
        <f>'2019'!BF15</f>
        <v>0</v>
      </c>
      <c r="BQ151" s="57">
        <f>'2019'!BG15</f>
        <v>2488</v>
      </c>
      <c r="BR151" s="57">
        <f>'2019'!BH15</f>
        <v>0</v>
      </c>
      <c r="BS151" s="57">
        <f>'2019'!BI15</f>
        <v>36</v>
      </c>
      <c r="BT151" s="57">
        <f>'2019'!BJ15</f>
        <v>0</v>
      </c>
      <c r="BU151" s="57">
        <f>'2019'!BK15</f>
        <v>0</v>
      </c>
      <c r="BV151" s="58">
        <f>'2019'!BL15</f>
        <v>0</v>
      </c>
      <c r="BW151" s="58">
        <f>'2019'!BM15</f>
        <v>0</v>
      </c>
      <c r="BX151" s="58">
        <f>'2019'!BN15</f>
        <v>0</v>
      </c>
      <c r="BY151" s="58">
        <f>'2019'!BO15</f>
        <v>0</v>
      </c>
      <c r="BZ151" s="57">
        <f>'2019'!BP15</f>
        <v>0</v>
      </c>
      <c r="CA151" s="57">
        <f>'2019'!BQ15</f>
        <v>4032</v>
      </c>
      <c r="CB151" s="57">
        <f>'2019'!BR15</f>
        <v>0</v>
      </c>
      <c r="CC151" s="57">
        <f>'2019'!BS15</f>
        <v>0</v>
      </c>
      <c r="CD151" s="59">
        <f>'2019'!BT15</f>
        <v>24</v>
      </c>
      <c r="CE151" s="56">
        <f>'2019'!BU15</f>
        <v>328</v>
      </c>
      <c r="CF151" s="57">
        <f>'2019'!BV15</f>
        <v>2268</v>
      </c>
      <c r="CG151" s="57">
        <f>'2019'!BW15</f>
        <v>4</v>
      </c>
      <c r="CH151" s="57">
        <f>'2019'!BX15</f>
        <v>29</v>
      </c>
      <c r="CI151" s="57">
        <f>'2019'!BY15</f>
        <v>67</v>
      </c>
      <c r="CJ151" s="57">
        <f>'2019'!BZ15</f>
        <v>12</v>
      </c>
      <c r="CK151" s="58">
        <f>'2019'!CA15</f>
        <v>4.9000000000000004</v>
      </c>
      <c r="CL151" s="58">
        <f>'2019'!CB15</f>
        <v>56.6</v>
      </c>
      <c r="CM151" s="58">
        <f>'2019'!CC15</f>
        <v>2.91</v>
      </c>
      <c r="CN151" s="58">
        <f>'2019'!CD15</f>
        <v>25.6</v>
      </c>
      <c r="CO151" s="57">
        <f>'2019'!CE15</f>
        <v>54</v>
      </c>
      <c r="CP151" s="57">
        <f>'2019'!CF15</f>
        <v>3878</v>
      </c>
      <c r="CQ151" s="57">
        <f>'2019'!CG15</f>
        <v>5</v>
      </c>
      <c r="CR151" s="57">
        <f>'2019'!CH15</f>
        <v>0</v>
      </c>
      <c r="CS151" s="59">
        <f>'2019'!CI15</f>
        <v>28</v>
      </c>
      <c r="CT151" s="56">
        <f>'2019'!CJ15</f>
        <v>1089</v>
      </c>
      <c r="CU151" s="57">
        <f>'2019'!CK15</f>
        <v>2009</v>
      </c>
      <c r="CV151" s="57">
        <f>'2019'!CL15</f>
        <v>12</v>
      </c>
      <c r="CW151" s="57">
        <f>'2019'!CM15</f>
        <v>25</v>
      </c>
      <c r="CX151" s="57">
        <f>'2019'!CN15</f>
        <v>213</v>
      </c>
      <c r="CY151" s="57">
        <f>'2019'!CO15</f>
        <v>40</v>
      </c>
      <c r="CZ151" s="58">
        <f>'2019'!CP15</f>
        <v>5.0999999999999996</v>
      </c>
      <c r="DA151" s="58">
        <f>'2019'!CQ15</f>
        <v>61.6</v>
      </c>
      <c r="DB151" s="58">
        <f>'2019'!CR15</f>
        <v>3.23</v>
      </c>
      <c r="DC151" s="58">
        <f>'2019'!CS15</f>
        <v>35.5</v>
      </c>
      <c r="DD151" s="57">
        <f>'2019'!CT15</f>
        <v>289</v>
      </c>
      <c r="DE151" s="57">
        <f>'2019'!CU15</f>
        <v>3677</v>
      </c>
      <c r="DF151" s="57">
        <f>'2019'!CV15</f>
        <v>28</v>
      </c>
      <c r="DG151" s="57">
        <f>'2019'!CW15</f>
        <v>0</v>
      </c>
      <c r="DH151" s="59">
        <f>'2019'!CX15</f>
        <v>26</v>
      </c>
      <c r="DI151" s="56">
        <f>'2019'!CY15</f>
        <v>1415</v>
      </c>
      <c r="DJ151" s="57">
        <f>'2019'!CZ15</f>
        <v>2178</v>
      </c>
      <c r="DK151" s="57">
        <f>'2019'!DA15</f>
        <v>17</v>
      </c>
      <c r="DL151" s="57">
        <f>'2019'!DB15</f>
        <v>24</v>
      </c>
      <c r="DM151" s="57">
        <f>'2019'!DC15</f>
        <v>302</v>
      </c>
      <c r="DN151" s="57">
        <f>'2019'!DD15</f>
        <v>68</v>
      </c>
      <c r="DO151" s="58">
        <f>'2019'!DE15</f>
        <v>4.7</v>
      </c>
      <c r="DP151" s="58">
        <f>'2019'!DF15</f>
        <v>65.099999999999994</v>
      </c>
      <c r="DQ151" s="58">
        <f>'2019'!DG15</f>
        <v>2.85</v>
      </c>
      <c r="DR151" s="58">
        <f>'2019'!DH15</f>
        <v>19</v>
      </c>
      <c r="DS151" s="57">
        <f>'2019'!DI15</f>
        <v>173</v>
      </c>
      <c r="DT151" s="57">
        <f>'2019'!DJ15</f>
        <v>3796</v>
      </c>
      <c r="DU151" s="57">
        <f>'2019'!DK15</f>
        <v>27</v>
      </c>
      <c r="DV151" s="57">
        <f>'2019'!DL15</f>
        <v>0</v>
      </c>
      <c r="DW151" s="59">
        <f>'2019'!DM15</f>
        <v>31</v>
      </c>
    </row>
    <row r="152" spans="1:127" ht="15.75" customHeight="1" x14ac:dyDescent="0.2">
      <c r="A152" s="33">
        <f t="shared" si="25"/>
        <v>150</v>
      </c>
      <c r="B152" s="11">
        <f>'2023'!A17</f>
        <v>15</v>
      </c>
      <c r="C152" s="11">
        <v>2023</v>
      </c>
      <c r="D152" s="34" t="str">
        <f>'2023'!B17</f>
        <v>Kenny McIntosh</v>
      </c>
      <c r="E152" s="224" t="str" cm="1">
        <f t="array" ref="E152">_xlfn.IFS(F152&gt;=13,"Cornerstone",AND(F152&gt;=12,F152&lt;13),"Elite",AND(F152&gt;=11,F152&lt;12),"Elite Upside",AND(F152&gt;=9,F152&lt;11),"Upside",AND(F152&gt;=7,F152&lt;9),"Upside Lite",AND(F152&gt;=6,F152&lt;7),"Outlier",AND(F152&gt;=5,F152&lt;6),"Outlier Lite",F152&lt;5,"Purgatory")</f>
        <v>Outlier</v>
      </c>
      <c r="F152" s="14">
        <f>'2023'!C17</f>
        <v>6.7111111111111112</v>
      </c>
      <c r="G152" s="14">
        <f t="shared" si="31"/>
        <v>54.1</v>
      </c>
      <c r="H152" s="35">
        <f t="shared" si="26"/>
        <v>-0.54651025340715043</v>
      </c>
      <c r="I152" s="36" t="str">
        <f>'2023'!D17</f>
        <v>Georgia</v>
      </c>
      <c r="J152" s="37">
        <f>'2023'!E17</f>
        <v>1</v>
      </c>
      <c r="K152" s="38">
        <f>'2023'!F17</f>
        <v>36619</v>
      </c>
      <c r="L152" s="39">
        <f>'2023'!G17</f>
        <v>25.5013698630137</v>
      </c>
      <c r="M152" s="39" t="str">
        <f>'2023'!H17</f>
        <v>SR</v>
      </c>
      <c r="N152" s="39">
        <f>'2023'!I17</f>
        <v>23.079452054794519</v>
      </c>
      <c r="O152" s="39" t="str">
        <f t="shared" si="27"/>
        <v>BELL COW</v>
      </c>
      <c r="P152" s="39" t="str">
        <f t="shared" si="32"/>
        <v>+RECEIVER</v>
      </c>
      <c r="Q152" s="37">
        <f>'2023'!J17</f>
        <v>72</v>
      </c>
      <c r="R152" s="37">
        <f>'2023'!K17</f>
        <v>204</v>
      </c>
      <c r="S152" s="39">
        <f t="shared" si="29"/>
        <v>27.667067371171782</v>
      </c>
      <c r="T152" s="37">
        <f>'2023'!L17</f>
        <v>4.62</v>
      </c>
      <c r="U152" s="40">
        <f>'2023'!M17</f>
        <v>7</v>
      </c>
      <c r="V152" s="41">
        <f>'2023'!N17</f>
        <v>0</v>
      </c>
      <c r="W152" s="42">
        <f>'2023'!O17</f>
        <v>3.0981970943462278E-2</v>
      </c>
      <c r="X152" s="42">
        <f>'2023'!P17</f>
        <v>8.535722706908748E-2</v>
      </c>
      <c r="Y152" s="42">
        <f>'2023'!Q17</f>
        <v>8.5817524841915085E-2</v>
      </c>
      <c r="Z152" s="42">
        <f>'2023'!R17</f>
        <v>0.17733138220034589</v>
      </c>
      <c r="AA152" s="42">
        <f>'2023'!S17</f>
        <v>0.17733138220034589</v>
      </c>
      <c r="AB152" s="42">
        <f>'2023'!T17</f>
        <v>0.17733138220034589</v>
      </c>
      <c r="AC152" s="42">
        <f>'2023'!U17</f>
        <v>6.4055055584965589E-2</v>
      </c>
      <c r="AD152" s="42">
        <f>'2023'!V17</f>
        <v>0.11471715122830742</v>
      </c>
      <c r="AE152" s="42">
        <f>'2023'!W17</f>
        <v>0.11471715122830742</v>
      </c>
      <c r="AF152" s="43">
        <f>'2023'!X17</f>
        <v>0.11471715122830742</v>
      </c>
      <c r="AG152" s="44">
        <f>'2023'!Y17</f>
        <v>22.435616438356163</v>
      </c>
      <c r="AH152" s="45">
        <f>'2023'!Z17</f>
        <v>89.555499569671596</v>
      </c>
      <c r="AI152" s="45">
        <f>'2023'!AA17</f>
        <v>27.664351851851851</v>
      </c>
      <c r="AJ152" s="45">
        <f>'2023'!AB17</f>
        <v>0.46551724137931033</v>
      </c>
      <c r="AK152" s="45">
        <f>'2023'!AC17</f>
        <v>5.7</v>
      </c>
      <c r="AL152" s="45">
        <f t="shared" si="28"/>
        <v>11.533333333333333</v>
      </c>
      <c r="AM152" s="45">
        <f t="shared" si="33"/>
        <v>0.21761658031088082</v>
      </c>
      <c r="AN152" s="45">
        <f>'2023'!AD17</f>
        <v>183.2</v>
      </c>
      <c r="AO152" s="45">
        <f>'2023'!AE17</f>
        <v>3.76</v>
      </c>
      <c r="AP152" s="46">
        <f>'2023'!AF17</f>
        <v>27.3</v>
      </c>
      <c r="AQ152" s="47">
        <f>'2023'!AG17</f>
        <v>3</v>
      </c>
      <c r="AR152" s="48">
        <f>'2023'!AH17</f>
        <v>9</v>
      </c>
      <c r="AS152" s="48">
        <f>'2023'!AI17</f>
        <v>1</v>
      </c>
      <c r="AT152" s="48">
        <f>IF(AH152&gt;113.25,10,IF(AH152&gt;=107.84,9,IF(AH152&gt;=105.37,8,IF(AH152&gt;=103.25,7,IF(AH152&gt;=100.55,6,IF(AH152&gt;=98.75,5,IF(AH152&gt;=96.08,4,IF(AH152&gt;=94.39,3,IF(AH152&gt;=88.43,2,IF(AH152&gt;=85.16,1,IF(AH152&lt;85.16,0,FALSE)))))))))))</f>
        <v>2</v>
      </c>
      <c r="AU152" s="48">
        <f>'2023'!AK17</f>
        <v>10</v>
      </c>
      <c r="AV152" s="48">
        <f>'2023'!AL17</f>
        <v>3</v>
      </c>
      <c r="AW152" s="48">
        <f>'2023'!AM17</f>
        <v>9</v>
      </c>
      <c r="AX152" s="48">
        <f>'2023'!AN17</f>
        <v>3</v>
      </c>
      <c r="AY152" s="49">
        <f>'2023'!AO17</f>
        <v>1</v>
      </c>
      <c r="AZ152" s="50">
        <f>'2023'!AP17</f>
        <v>1</v>
      </c>
      <c r="BA152" s="56">
        <f>'2023'!AQ17</f>
        <v>0</v>
      </c>
      <c r="BB152" s="57">
        <f>'2023'!AR17</f>
        <v>3343</v>
      </c>
      <c r="BC152" s="57">
        <f>'2023'!AS17</f>
        <v>0</v>
      </c>
      <c r="BD152" s="57">
        <f>'2023'!AT17</f>
        <v>30</v>
      </c>
      <c r="BE152" s="57">
        <f>'2023'!AU17</f>
        <v>0</v>
      </c>
      <c r="BF152" s="57">
        <f>'2023'!AV17</f>
        <v>0</v>
      </c>
      <c r="BG152" s="58">
        <f>'2023'!AW17</f>
        <v>0</v>
      </c>
      <c r="BH152" s="58">
        <f>'2023'!AX17</f>
        <v>0</v>
      </c>
      <c r="BI152" s="58">
        <f>'2023'!AY17</f>
        <v>0</v>
      </c>
      <c r="BJ152" s="58">
        <f>'2023'!AZ17</f>
        <v>0</v>
      </c>
      <c r="BK152" s="57">
        <f>'2023'!BA17</f>
        <v>0</v>
      </c>
      <c r="BL152" s="57">
        <f>'2023'!BB17</f>
        <v>3165</v>
      </c>
      <c r="BM152" s="57">
        <f>'2023'!BC17</f>
        <v>0</v>
      </c>
      <c r="BN152" s="57">
        <f>'2023'!BD17</f>
        <v>0</v>
      </c>
      <c r="BO152" s="59">
        <f>'2023'!BE17</f>
        <v>34</v>
      </c>
      <c r="BP152" s="56">
        <f>'2023'!BF17</f>
        <v>174</v>
      </c>
      <c r="BQ152" s="57">
        <f>'2023'!BG17</f>
        <v>2591</v>
      </c>
      <c r="BR152" s="57">
        <f>'2023'!BH17</f>
        <v>2</v>
      </c>
      <c r="BS152" s="57">
        <f>'2023'!BI17</f>
        <v>21</v>
      </c>
      <c r="BT152" s="57">
        <f>'2023'!BJ17</f>
        <v>25</v>
      </c>
      <c r="BU152" s="57">
        <f>'2023'!BK17</f>
        <v>2</v>
      </c>
      <c r="BV152" s="58">
        <f>'2023'!BL17</f>
        <v>7</v>
      </c>
      <c r="BW152" s="58">
        <f>'2023'!BM17</f>
        <v>16.600000000000001</v>
      </c>
      <c r="BX152" s="58">
        <f>'2023'!BN17</f>
        <v>2.16</v>
      </c>
      <c r="BY152" s="58">
        <f>'2023'!BO17</f>
        <v>50.6</v>
      </c>
      <c r="BZ152" s="57">
        <f>'2023'!BP17</f>
        <v>3</v>
      </c>
      <c r="CA152" s="57">
        <f>'2023'!BQ17</f>
        <v>3122</v>
      </c>
      <c r="CB152" s="57">
        <f>'2023'!BR17</f>
        <v>1</v>
      </c>
      <c r="CC152" s="57">
        <f>'2023'!BS17</f>
        <v>0</v>
      </c>
      <c r="CD152" s="59">
        <f>'2023'!BT17</f>
        <v>26</v>
      </c>
      <c r="CE152" s="56">
        <f>'2023'!BU17</f>
        <v>251</v>
      </c>
      <c r="CF152" s="57">
        <f>'2023'!BV17</f>
        <v>1742</v>
      </c>
      <c r="CG152" s="57">
        <f>'2023'!BW17</f>
        <v>1</v>
      </c>
      <c r="CH152" s="57">
        <f>'2023'!BX17</f>
        <v>18</v>
      </c>
      <c r="CI152" s="57">
        <f>'2023'!BY17</f>
        <v>47</v>
      </c>
      <c r="CJ152" s="57">
        <f>'2023'!BZ17</f>
        <v>18</v>
      </c>
      <c r="CK152" s="58">
        <f>'2023'!CA17</f>
        <v>5.3</v>
      </c>
      <c r="CL152" s="58">
        <f>'2023'!CB17</f>
        <v>160.5</v>
      </c>
      <c r="CM152" s="58">
        <f>'2023'!CC17</f>
        <v>3.98</v>
      </c>
      <c r="CN152" s="58">
        <f>'2023'!CD17</f>
        <v>19.899999999999999</v>
      </c>
      <c r="CO152" s="57">
        <f>'2023'!CE17</f>
        <v>111</v>
      </c>
      <c r="CP152" s="57">
        <f>'2023'!CF17</f>
        <v>2499</v>
      </c>
      <c r="CQ152" s="57">
        <f>'2023'!CG17</f>
        <v>10</v>
      </c>
      <c r="CR152" s="57">
        <f>'2023'!CH17</f>
        <v>0</v>
      </c>
      <c r="CS152" s="59">
        <f>'2023'!CI17</f>
        <v>19</v>
      </c>
      <c r="CT152" s="56">
        <f>'2023'!CJ17</f>
        <v>328</v>
      </c>
      <c r="CU152" s="57">
        <f>'2023'!CK17</f>
        <v>2864</v>
      </c>
      <c r="CV152" s="57">
        <f>'2023'!CL17</f>
        <v>3</v>
      </c>
      <c r="CW152" s="57">
        <f>'2023'!CM17</f>
        <v>29</v>
      </c>
      <c r="CX152" s="57">
        <f>'2023'!CN17</f>
        <v>58</v>
      </c>
      <c r="CY152" s="57">
        <f>'2023'!CO17</f>
        <v>27</v>
      </c>
      <c r="CZ152" s="58">
        <f>'2023'!CP17</f>
        <v>5.7</v>
      </c>
      <c r="DA152" s="58">
        <f>'2023'!CQ17</f>
        <v>183.2</v>
      </c>
      <c r="DB152" s="58">
        <f>'2023'!CR17</f>
        <v>3.76</v>
      </c>
      <c r="DC152" s="58">
        <f>'2023'!CS17</f>
        <v>27.1</v>
      </c>
      <c r="DD152" s="57">
        <f>'2023'!CT17</f>
        <v>242</v>
      </c>
      <c r="DE152" s="57">
        <f>'2023'!CU17</f>
        <v>3778</v>
      </c>
      <c r="DF152" s="57">
        <f>'2023'!CV17</f>
        <v>22</v>
      </c>
      <c r="DG152" s="57">
        <f>'2023'!CW17</f>
        <v>0</v>
      </c>
      <c r="DH152" s="59">
        <f>'2023'!CX17</f>
        <v>39</v>
      </c>
      <c r="DI152" s="56">
        <f>'2023'!CY17</f>
        <v>824</v>
      </c>
      <c r="DJ152" s="57">
        <f>'2023'!CZ17</f>
        <v>3080</v>
      </c>
      <c r="DK152" s="57">
        <f>'2023'!DA17</f>
        <v>10</v>
      </c>
      <c r="DL152" s="57">
        <f>'2023'!DB17</f>
        <v>44</v>
      </c>
      <c r="DM152" s="57">
        <f>'2023'!DC17</f>
        <v>151</v>
      </c>
      <c r="DN152" s="57">
        <f>'2023'!DD17</f>
        <v>45</v>
      </c>
      <c r="DO152" s="58">
        <f>'2023'!DE17</f>
        <v>5.5</v>
      </c>
      <c r="DP152" s="58">
        <f>'2023'!DF17</f>
        <v>96.1</v>
      </c>
      <c r="DQ152" s="58">
        <f>'2023'!DG17</f>
        <v>3.09</v>
      </c>
      <c r="DR152" s="58">
        <f>'2023'!DH17</f>
        <v>27.3</v>
      </c>
      <c r="DS152" s="57">
        <f>'2023'!DI17</f>
        <v>509</v>
      </c>
      <c r="DT152" s="57">
        <f>'2023'!DJ17</f>
        <v>4437</v>
      </c>
      <c r="DU152" s="57">
        <f>'2023'!DK17</f>
        <v>42</v>
      </c>
      <c r="DV152" s="57">
        <f>'2023'!DL17</f>
        <v>0</v>
      </c>
      <c r="DW152" s="59">
        <f>'2023'!DM17</f>
        <v>31</v>
      </c>
    </row>
    <row r="153" spans="1:127" ht="15.75" customHeight="1" x14ac:dyDescent="0.2">
      <c r="A153" s="33">
        <f t="shared" si="25"/>
        <v>151</v>
      </c>
      <c r="B153" s="11">
        <f>'2024'!A17</f>
        <v>15</v>
      </c>
      <c r="C153" s="11">
        <v>2024</v>
      </c>
      <c r="D153" s="34" t="str">
        <f>'2024'!B17</f>
        <v>Isaiah Davis</v>
      </c>
      <c r="E153" s="224" t="str" cm="1">
        <f t="array" ref="E153">_xlfn.IFS(F153&gt;=13,"Cornerstone",AND(F153&gt;=12,F153&lt;13),"Elite",AND(F153&gt;=11,F153&lt;12),"Elite Upside",AND(F153&gt;=9,F153&lt;11),"Upside",AND(F153&gt;=7,F153&lt;9),"Upside Lite",AND(F153&gt;=6,F153&lt;7),"Outlier",AND(F153&gt;=5,F153&lt;6),"Outlier Lite",F153&lt;5,"Purgatory")</f>
        <v>Outlier</v>
      </c>
      <c r="F153" s="14">
        <f>'2024'!C17</f>
        <v>6.6833333333333336</v>
      </c>
      <c r="G153" s="14">
        <f t="shared" si="31"/>
        <v>53.800000000000004</v>
      </c>
      <c r="H153" s="35">
        <f t="shared" si="26"/>
        <v>-0.55826650519158483</v>
      </c>
      <c r="I153" s="36" t="str">
        <f>'2024'!D17</f>
        <v>South Dakota State</v>
      </c>
      <c r="J153" s="37">
        <f>'2024'!E17</f>
        <v>11</v>
      </c>
      <c r="K153" s="38">
        <f>'2024'!F17</f>
        <v>37308</v>
      </c>
      <c r="L153" s="39">
        <f>'2024'!G17</f>
        <v>23.613698630136987</v>
      </c>
      <c r="M153" s="39" t="str">
        <f>'2024'!H17</f>
        <v>SR</v>
      </c>
      <c r="N153" s="39">
        <f>'2024'!I17</f>
        <v>22.194520547945206</v>
      </c>
      <c r="O153" s="39" t="str">
        <f t="shared" si="27"/>
        <v>BELL COW</v>
      </c>
      <c r="P153" s="39" t="str">
        <f t="shared" si="32"/>
        <v>3DOWN</v>
      </c>
      <c r="Q153" s="37">
        <f>'2024'!J17</f>
        <v>72</v>
      </c>
      <c r="R153" s="37">
        <f>'2024'!K17</f>
        <v>218</v>
      </c>
      <c r="S153" s="39">
        <f t="shared" si="29"/>
        <v>29.565787680958078</v>
      </c>
      <c r="T153" s="37">
        <f>'2024'!L17</f>
        <v>4.57</v>
      </c>
      <c r="U153" s="40">
        <f>'2024'!M17</f>
        <v>5</v>
      </c>
      <c r="V153" s="41">
        <f>'2024'!N17</f>
        <v>0</v>
      </c>
      <c r="W153" s="42">
        <f>'2024'!O17</f>
        <v>0.22110792741165233</v>
      </c>
      <c r="X153" s="42">
        <f>'2024'!P17</f>
        <v>0.22953452082645379</v>
      </c>
      <c r="Y153" s="42">
        <f>'2024'!Q17</f>
        <v>0.28918635011988703</v>
      </c>
      <c r="Z153" s="42">
        <f>'2024'!R17</f>
        <v>0.25764825286356385</v>
      </c>
      <c r="AA153" s="42">
        <f>'2024'!S17</f>
        <v>0.27341730149172544</v>
      </c>
      <c r="AB153" s="42">
        <f>'2024'!T17</f>
        <v>0.15037951582044901</v>
      </c>
      <c r="AC153" s="42">
        <f>'2024'!U17</f>
        <v>6.1785714285714284E-2</v>
      </c>
      <c r="AD153" s="42">
        <f>'2024'!V17</f>
        <v>5.9705970597059704E-2</v>
      </c>
      <c r="AE153" s="42">
        <f>'2024'!W17</f>
        <v>6.0745842441386991E-2</v>
      </c>
      <c r="AF153" s="43">
        <f>'2024'!X17</f>
        <v>3.3410213342762847E-2</v>
      </c>
      <c r="AG153" s="44">
        <f>'2024'!Y17</f>
        <v>18.539726027397261</v>
      </c>
      <c r="AH153" s="45">
        <f>'2024'!Z17</f>
        <v>99.958950799948568</v>
      </c>
      <c r="AI153" s="45">
        <f>'2024'!AA17</f>
        <v>29.562885802469136</v>
      </c>
      <c r="AJ153" s="45">
        <f>'2024'!AB17</f>
        <v>0.33898305084745761</v>
      </c>
      <c r="AK153" s="45">
        <f>'2024'!AC17</f>
        <v>6.7</v>
      </c>
      <c r="AL153" s="45">
        <f t="shared" si="28"/>
        <v>9.1886792452830193</v>
      </c>
      <c r="AM153" s="45">
        <f t="shared" si="33"/>
        <v>8.8803088803088806E-2</v>
      </c>
      <c r="AN153" s="45">
        <f>'2024'!AD17</f>
        <v>151.4</v>
      </c>
      <c r="AO153" s="45">
        <f>'2024'!AE17</f>
        <v>4.74</v>
      </c>
      <c r="AP153" s="46">
        <f>'2024'!AF17</f>
        <v>51.5</v>
      </c>
      <c r="AQ153" s="47">
        <f>'2024'!AG17</f>
        <v>2</v>
      </c>
      <c r="AR153" s="48">
        <f>'2024'!AH17</f>
        <v>3</v>
      </c>
      <c r="AS153" s="48">
        <f>'2024'!AI17</f>
        <v>9</v>
      </c>
      <c r="AT153" s="48">
        <f>'2024'!AJ17</f>
        <v>5</v>
      </c>
      <c r="AU153" s="48">
        <f>'2024'!AK17</f>
        <v>9</v>
      </c>
      <c r="AV153" s="48">
        <f>'2024'!AL17</f>
        <v>7</v>
      </c>
      <c r="AW153" s="48">
        <f>'2024'!AM17</f>
        <v>7</v>
      </c>
      <c r="AX153" s="48">
        <f>'2024'!AN17</f>
        <v>7</v>
      </c>
      <c r="AY153" s="49">
        <f>'2024'!AO17</f>
        <v>3</v>
      </c>
      <c r="AZ153" s="50">
        <f>'2024'!AP17</f>
        <v>0</v>
      </c>
      <c r="BA153" s="56">
        <f>'2024'!AQ17</f>
        <v>0</v>
      </c>
      <c r="BB153" s="57">
        <f>'2024'!AR17</f>
        <v>1</v>
      </c>
      <c r="BC153" s="57">
        <f>'2024'!AS17</f>
        <v>0</v>
      </c>
      <c r="BD153" s="57">
        <f>'2024'!AT17</f>
        <v>0</v>
      </c>
      <c r="BE153" s="57">
        <f>'2024'!AU17</f>
        <v>0</v>
      </c>
      <c r="BF153" s="57">
        <f>'2024'!AV17</f>
        <v>0</v>
      </c>
      <c r="BG153" s="58">
        <f>'2024'!AW17</f>
        <v>0</v>
      </c>
      <c r="BH153" s="58">
        <f>'2024'!AX17</f>
        <v>0</v>
      </c>
      <c r="BI153" s="58">
        <f>'2024'!AY17</f>
        <v>0</v>
      </c>
      <c r="BJ153" s="58">
        <f>'2024'!AZ17</f>
        <v>0</v>
      </c>
      <c r="BK153" s="57">
        <f>'2024'!BA17</f>
        <v>0</v>
      </c>
      <c r="BL153" s="57">
        <f>'2024'!BB17</f>
        <v>1</v>
      </c>
      <c r="BM153" s="57">
        <f>'2024'!BC17</f>
        <v>0</v>
      </c>
      <c r="BN153" s="57">
        <f>'2024'!BD17</f>
        <v>0</v>
      </c>
      <c r="BO153" s="59">
        <f>'2024'!BE17</f>
        <v>0</v>
      </c>
      <c r="BP153" s="56">
        <f>'2024'!BF17</f>
        <v>819</v>
      </c>
      <c r="BQ153" s="57">
        <f>'2024'!BG17</f>
        <v>2474</v>
      </c>
      <c r="BR153" s="57">
        <f>'2024'!BH17</f>
        <v>10</v>
      </c>
      <c r="BS153" s="57">
        <f>'2024'!BI17</f>
        <v>0</v>
      </c>
      <c r="BT153" s="57">
        <f>'2024'!BJ17</f>
        <v>96</v>
      </c>
      <c r="BU153" s="57">
        <f>'2024'!BK17</f>
        <v>23</v>
      </c>
      <c r="BV153" s="58">
        <f>'2024'!BL17</f>
        <v>8.5</v>
      </c>
      <c r="BW153" s="58">
        <f>'2024'!BM17</f>
        <v>135.9</v>
      </c>
      <c r="BX153" s="58">
        <f>'2024'!BN17</f>
        <v>5.83</v>
      </c>
      <c r="BY153" s="58">
        <f>'2024'!BO17</f>
        <v>50.3</v>
      </c>
      <c r="BZ153" s="57">
        <f>'2024'!BP17</f>
        <v>107</v>
      </c>
      <c r="CA153" s="57">
        <f>'2024'!BQ17</f>
        <v>1714</v>
      </c>
      <c r="CB153" s="57">
        <f>'2024'!BR17</f>
        <v>7</v>
      </c>
      <c r="CC153" s="57">
        <f>'2024'!BS17</f>
        <v>0</v>
      </c>
      <c r="CD153" s="59">
        <f>'2024'!BT17</f>
        <v>0</v>
      </c>
      <c r="CE153" s="56">
        <f>'2024'!BU17</f>
        <v>701</v>
      </c>
      <c r="CF153" s="57">
        <f>'2024'!BV17</f>
        <v>1486.33</v>
      </c>
      <c r="CG153" s="57">
        <f>'2024'!BW17</f>
        <v>7</v>
      </c>
      <c r="CH153" s="57">
        <f>'2024'!BX17</f>
        <v>0</v>
      </c>
      <c r="CI153" s="57">
        <f>'2024'!BY17</f>
        <v>95</v>
      </c>
      <c r="CJ153" s="57">
        <f>'2024'!BZ17</f>
        <v>23</v>
      </c>
      <c r="CK153" s="58">
        <f>'2024'!CA17</f>
        <v>7.4</v>
      </c>
      <c r="CL153" s="58">
        <f>'2024'!CB17</f>
        <v>151.4</v>
      </c>
      <c r="CM153" s="58">
        <f>'2024'!CC17</f>
        <v>4.74</v>
      </c>
      <c r="CN153" s="58">
        <f>'2024'!CD17</f>
        <v>51.5</v>
      </c>
      <c r="CO153" s="57">
        <f>'2024'!CE17</f>
        <v>8</v>
      </c>
      <c r="CP153" s="57">
        <f>'2024'!CF17</f>
        <v>1602.53</v>
      </c>
      <c r="CQ153" s="57">
        <f>'2024'!CG17</f>
        <v>2</v>
      </c>
      <c r="CR153" s="57">
        <f>'2024'!CH17</f>
        <v>0</v>
      </c>
      <c r="CS153" s="59">
        <f>'2024'!CI17</f>
        <v>0</v>
      </c>
      <c r="CT153" s="56">
        <f>'2024'!CJ17</f>
        <v>1454</v>
      </c>
      <c r="CU153" s="57">
        <f>'2024'!CK17</f>
        <v>2826.13</v>
      </c>
      <c r="CV153" s="57">
        <f>'2024'!CL17</f>
        <v>15</v>
      </c>
      <c r="CW153" s="57">
        <f>'2024'!CM17</f>
        <v>0</v>
      </c>
      <c r="CX153" s="57">
        <f>'2024'!CN17</f>
        <v>250</v>
      </c>
      <c r="CY153" s="57">
        <f>'2024'!CO17</f>
        <v>71</v>
      </c>
      <c r="CZ153" s="58">
        <f>'2024'!CP17</f>
        <v>5.8</v>
      </c>
      <c r="DA153" s="58">
        <f>'2024'!CQ17</f>
        <v>106.6</v>
      </c>
      <c r="DB153" s="58">
        <f>'2024'!CR17</f>
        <v>3.75</v>
      </c>
      <c r="DC153" s="58">
        <f>'2024'!CS17</f>
        <v>33.200000000000003</v>
      </c>
      <c r="DD153" s="57">
        <f>'2024'!CT17</f>
        <v>173</v>
      </c>
      <c r="DE153" s="57">
        <f>'2024'!CU17</f>
        <v>2800</v>
      </c>
      <c r="DF153" s="57">
        <f>'2024'!CV17</f>
        <v>21</v>
      </c>
      <c r="DG153" s="57">
        <f>'2024'!CW17</f>
        <v>0</v>
      </c>
      <c r="DH153" s="59">
        <f>'2024'!CX17</f>
        <v>0</v>
      </c>
      <c r="DI153" s="56">
        <f>'2024'!CY17</f>
        <v>1578</v>
      </c>
      <c r="DJ153" s="57">
        <f>'2024'!CZ17</f>
        <v>3564</v>
      </c>
      <c r="DK153" s="57">
        <f>'2024'!DA17</f>
        <v>18</v>
      </c>
      <c r="DL153" s="57">
        <f>'2024'!DB17</f>
        <v>0</v>
      </c>
      <c r="DM153" s="57">
        <f>'2024'!DC17</f>
        <v>236</v>
      </c>
      <c r="DN153" s="57">
        <f>'2024'!DD17</f>
        <v>80</v>
      </c>
      <c r="DO153" s="58">
        <f>'2024'!DE17</f>
        <v>6.7</v>
      </c>
      <c r="DP153" s="58">
        <f>'2024'!DF17</f>
        <v>139.30000000000001</v>
      </c>
      <c r="DQ153" s="58">
        <f>'2024'!DG17</f>
        <v>3.97</v>
      </c>
      <c r="DR153" s="58">
        <f>'2024'!DH17</f>
        <v>38.5</v>
      </c>
      <c r="DS153" s="57">
        <f>'2024'!DI17</f>
        <v>199</v>
      </c>
      <c r="DT153" s="57">
        <f>'2024'!DJ17</f>
        <v>3333</v>
      </c>
      <c r="DU153" s="57">
        <f>'2024'!DK17</f>
        <v>23</v>
      </c>
      <c r="DV153" s="57">
        <f>'2024'!DL17</f>
        <v>1</v>
      </c>
      <c r="DW153" s="59">
        <f>'2024'!DM17</f>
        <v>0</v>
      </c>
    </row>
    <row r="154" spans="1:127" ht="15.75" customHeight="1" x14ac:dyDescent="0.2">
      <c r="A154" s="33">
        <f t="shared" si="25"/>
        <v>152</v>
      </c>
      <c r="B154" s="11">
        <f>'2025'!A21</f>
        <v>19</v>
      </c>
      <c r="C154" s="11">
        <v>2025</v>
      </c>
      <c r="D154" s="34" t="str">
        <f>'2025'!B21</f>
        <v>Ollie Gordon II</v>
      </c>
      <c r="E154" s="224" t="str" cm="1">
        <f t="array" ref="E154">_xlfn.IFS(F154&gt;=13,"Cornerstone",AND(F154&gt;=12,F154&lt;13),"Elite",AND(F154&gt;=11,F154&lt;12),"Elite Upside",AND(F154&gt;=9,F154&lt;11),"Upside",AND(F154&gt;=7,F154&lt;9),"Upside Lite",AND(F154&gt;=6,F154&lt;7),"Outlier",AND(F154&gt;=5,F154&lt;6),"Outlier Lite",F154&lt;5,"Purgatory")</f>
        <v>Outlier</v>
      </c>
      <c r="F154" s="14">
        <f>'2025'!C21</f>
        <v>6.677777777777778</v>
      </c>
      <c r="G154" s="14">
        <f t="shared" si="31"/>
        <v>53.5</v>
      </c>
      <c r="H154" s="35">
        <f t="shared" si="26"/>
        <v>-0.56061775554847171</v>
      </c>
      <c r="I154" s="36" t="str">
        <f>'2025'!D21</f>
        <v>Oklahoma State</v>
      </c>
      <c r="J154" s="37">
        <f>'2025'!E21</f>
        <v>3</v>
      </c>
      <c r="K154" s="38">
        <f>'2025'!F21</f>
        <v>38001</v>
      </c>
      <c r="L154" s="39">
        <f>'2025'!G21</f>
        <v>21.715068493150685</v>
      </c>
      <c r="M154" s="39" t="str">
        <f>'2025'!H21</f>
        <v>JR</v>
      </c>
      <c r="N154" s="39">
        <f>'2025'!I21</f>
        <v>21.295890410958904</v>
      </c>
      <c r="O154" s="39" t="str">
        <f t="shared" si="27"/>
        <v>BRUISER</v>
      </c>
      <c r="P154" s="39" t="str">
        <f t="shared" si="32"/>
        <v>SLASHER</v>
      </c>
      <c r="Q154" s="37">
        <f>'2025'!J21</f>
        <v>73</v>
      </c>
      <c r="R154" s="37">
        <f>'2025'!K21</f>
        <v>226</v>
      </c>
      <c r="S154" s="39">
        <f t="shared" si="29"/>
        <v>29.816775265001088</v>
      </c>
      <c r="T154" s="37">
        <f>'2025'!L21</f>
        <v>4.6100000000000003</v>
      </c>
      <c r="U154" s="40">
        <f>'2025'!M21</f>
        <v>6</v>
      </c>
      <c r="V154" s="41">
        <f>'2025'!N21</f>
        <v>0</v>
      </c>
      <c r="W154" s="42">
        <f>'2025'!O21</f>
        <v>0</v>
      </c>
      <c r="X154" s="42">
        <f>'2025'!P21</f>
        <v>7.2364672364672367E-2</v>
      </c>
      <c r="Y154" s="42">
        <f>'2025'!Q21</f>
        <v>0.34109706874875928</v>
      </c>
      <c r="Z154" s="42">
        <f>'2025'!R21</f>
        <v>0.23434019424396324</v>
      </c>
      <c r="AA154" s="42">
        <f>'2025'!S21</f>
        <v>0.28771863149636123</v>
      </c>
      <c r="AB154" s="42">
        <f>'2025'!T21</f>
        <v>0.25894676834672514</v>
      </c>
      <c r="AC154" s="42">
        <f>'2025'!U21</f>
        <v>8.524928958925343E-2</v>
      </c>
      <c r="AD154" s="42">
        <f>'2025'!V21</f>
        <v>6.2905070529927554E-2</v>
      </c>
      <c r="AE154" s="42">
        <f>'2025'!W21</f>
        <v>7.4077180059590492E-2</v>
      </c>
      <c r="AF154" s="43">
        <f>'2025'!X21</f>
        <v>6.6669462053631445E-2</v>
      </c>
      <c r="AG154" s="44">
        <f>'2025'!Y21</f>
        <v>19.649315068493152</v>
      </c>
      <c r="AH154" s="45">
        <f>'2025'!Z21</f>
        <v>100.07710489034962</v>
      </c>
      <c r="AI154" s="45">
        <f>'2025'!AA21</f>
        <v>29.813848752111092</v>
      </c>
      <c r="AJ154" s="45">
        <f>'2025'!AB21</f>
        <v>0.23859649122807017</v>
      </c>
      <c r="AK154" s="45">
        <f>'2025'!AC21</f>
        <v>6.0771929824561406</v>
      </c>
      <c r="AL154" s="45">
        <f t="shared" si="28"/>
        <v>7.4567901234567904</v>
      </c>
      <c r="AM154" s="45">
        <f t="shared" si="33"/>
        <v>0.13698630136986301</v>
      </c>
      <c r="AN154" s="45">
        <f>'2025'!AD21</f>
        <v>90.3</v>
      </c>
      <c r="AO154" s="45">
        <f>'2025'!AE21</f>
        <v>3.71</v>
      </c>
      <c r="AP154" s="46">
        <f>'2025'!AF21</f>
        <v>54.8</v>
      </c>
      <c r="AQ154" s="47">
        <f>'2025'!AG21</f>
        <v>6</v>
      </c>
      <c r="AR154" s="48">
        <f>'2025'!AH21</f>
        <v>7</v>
      </c>
      <c r="AS154" s="48">
        <f>'2025'!AI21</f>
        <v>6</v>
      </c>
      <c r="AT154" s="48">
        <f>'2025'!AJ21</f>
        <v>5</v>
      </c>
      <c r="AU154" s="48">
        <f>'2025'!AK21</f>
        <v>5</v>
      </c>
      <c r="AV154" s="48">
        <f>'2025'!AL21</f>
        <v>4</v>
      </c>
      <c r="AW154" s="48">
        <f>'2025'!AM21</f>
        <v>3</v>
      </c>
      <c r="AX154" s="48">
        <f>'2025'!AN21</f>
        <v>3</v>
      </c>
      <c r="AY154" s="49">
        <f>'2025'!AO21</f>
        <v>2</v>
      </c>
      <c r="AZ154" s="50">
        <f>'2025'!AP21</f>
        <v>0</v>
      </c>
      <c r="BA154" s="56">
        <f>'2025'!AQ21</f>
        <v>0</v>
      </c>
      <c r="BB154" s="57">
        <f>'2025'!AR21</f>
        <v>1</v>
      </c>
      <c r="BC154" s="57">
        <f>'2025'!AS21</f>
        <v>0</v>
      </c>
      <c r="BD154" s="57">
        <f>'2025'!AT21</f>
        <v>0</v>
      </c>
      <c r="BE154" s="57">
        <f>'2025'!AU21</f>
        <v>0</v>
      </c>
      <c r="BF154" s="57">
        <f>'2025'!AV21</f>
        <v>0</v>
      </c>
      <c r="BG154" s="58">
        <f>'2025'!AW21</f>
        <v>0</v>
      </c>
      <c r="BH154" s="58">
        <f>'2025'!AX21</f>
        <v>0</v>
      </c>
      <c r="BI154" s="58">
        <f>'2025'!AY21</f>
        <v>0</v>
      </c>
      <c r="BJ154" s="58">
        <f>'2025'!AZ21</f>
        <v>0</v>
      </c>
      <c r="BK154" s="57">
        <f>'2025'!BA21</f>
        <v>0</v>
      </c>
      <c r="BL154" s="57">
        <f>'2025'!BB21</f>
        <v>0</v>
      </c>
      <c r="BM154" s="57">
        <f>'2025'!BC21</f>
        <v>0</v>
      </c>
      <c r="BN154" s="57">
        <f>'2025'!BD21</f>
        <v>0</v>
      </c>
      <c r="BO154" s="59">
        <f>'2025'!BE21</f>
        <v>0</v>
      </c>
      <c r="BP154" s="56">
        <f>'2025'!BF21</f>
        <v>0</v>
      </c>
      <c r="BQ154" s="57">
        <f>'2025'!BG21</f>
        <v>1</v>
      </c>
      <c r="BR154" s="57">
        <f>'2025'!BH21</f>
        <v>0</v>
      </c>
      <c r="BS154" s="57">
        <f>'2025'!BI21</f>
        <v>0</v>
      </c>
      <c r="BT154" s="57">
        <f>'2025'!BJ21</f>
        <v>0</v>
      </c>
      <c r="BU154" s="57">
        <f>'2025'!BK21</f>
        <v>0</v>
      </c>
      <c r="BV154" s="58">
        <f>'2025'!BL21</f>
        <v>0</v>
      </c>
      <c r="BW154" s="58">
        <f>'2025'!BM21</f>
        <v>0</v>
      </c>
      <c r="BX154" s="58">
        <f>'2025'!BN21</f>
        <v>0</v>
      </c>
      <c r="BY154" s="58">
        <f>'2025'!BO21</f>
        <v>0</v>
      </c>
      <c r="BZ154" s="57">
        <f>'2025'!BP21</f>
        <v>0</v>
      </c>
      <c r="CA154" s="57">
        <f>'2025'!BQ21</f>
        <v>0</v>
      </c>
      <c r="CB154" s="57">
        <f>'2025'!BR21</f>
        <v>0</v>
      </c>
      <c r="CC154" s="57">
        <f>'2025'!BS21</f>
        <v>0</v>
      </c>
      <c r="CD154" s="59">
        <f>'2025'!BT21</f>
        <v>0</v>
      </c>
      <c r="CE154" s="56">
        <f>'2025'!BU21</f>
        <v>305</v>
      </c>
      <c r="CF154" s="57">
        <f>'2025'!BV21</f>
        <v>1631.5</v>
      </c>
      <c r="CG154" s="57">
        <f>'2025'!BW21</f>
        <v>2</v>
      </c>
      <c r="CH154" s="57">
        <f>'2025'!BX21</f>
        <v>19.5</v>
      </c>
      <c r="CI154" s="57">
        <f>'2025'!BY21</f>
        <v>61</v>
      </c>
      <c r="CJ154" s="57">
        <f>'2025'!BZ21</f>
        <v>16</v>
      </c>
      <c r="CK154" s="58">
        <f>'2025'!CA21</f>
        <v>5</v>
      </c>
      <c r="CL154" s="58">
        <f>'2025'!CB21</f>
        <v>82.6</v>
      </c>
      <c r="CM154" s="58">
        <f>'2025'!CC21</f>
        <v>3.02</v>
      </c>
      <c r="CN154" s="58">
        <f>'2025'!CD21</f>
        <v>43.6</v>
      </c>
      <c r="CO154" s="57">
        <f>'2025'!CE21</f>
        <v>76</v>
      </c>
      <c r="CP154" s="57">
        <f>'2025'!CF21</f>
        <v>3633.5</v>
      </c>
      <c r="CQ154" s="57">
        <f>'2025'!CG21</f>
        <v>12</v>
      </c>
      <c r="CR154" s="57">
        <f>'2025'!CH21</f>
        <v>2</v>
      </c>
      <c r="CS154" s="59">
        <f>'2025'!CI21</f>
        <v>23.400000000000002</v>
      </c>
      <c r="CT154" s="56">
        <f>'2025'!CJ21</f>
        <v>1732</v>
      </c>
      <c r="CU154" s="57">
        <f>'2025'!CK21</f>
        <v>2174.2000000000003</v>
      </c>
      <c r="CV154" s="57">
        <f>'2025'!CL21</f>
        <v>21</v>
      </c>
      <c r="CW154" s="57">
        <f>'2025'!CM21</f>
        <v>29.400000000000002</v>
      </c>
      <c r="CX154" s="57">
        <f>'2025'!CN21</f>
        <v>285</v>
      </c>
      <c r="CY154" s="57">
        <f>'2025'!CO21</f>
        <v>68</v>
      </c>
      <c r="CZ154" s="58">
        <f>'2025'!CP21</f>
        <v>6.0771929824561406</v>
      </c>
      <c r="DA154" s="58">
        <f>'2025'!CQ21</f>
        <v>90.3</v>
      </c>
      <c r="DB154" s="58">
        <f>'2025'!CR21</f>
        <v>3.71</v>
      </c>
      <c r="DC154" s="58">
        <f>'2025'!CS21</f>
        <v>54.8</v>
      </c>
      <c r="DD154" s="57">
        <f>'2025'!CT21</f>
        <v>330</v>
      </c>
      <c r="DE154" s="57">
        <f>'2025'!CU21</f>
        <v>3871</v>
      </c>
      <c r="DF154" s="57">
        <f>'2025'!CV21</f>
        <v>39</v>
      </c>
      <c r="DG154" s="57">
        <f>'2025'!CW21</f>
        <v>1</v>
      </c>
      <c r="DH154" s="59">
        <f>'2025'!CX21</f>
        <v>18.2</v>
      </c>
      <c r="DI154" s="56">
        <f>'2025'!CY21</f>
        <v>854</v>
      </c>
      <c r="DJ154" s="57">
        <f>'2025'!CZ21</f>
        <v>1341.6</v>
      </c>
      <c r="DK154" s="57">
        <f>'2025'!DA21</f>
        <v>12</v>
      </c>
      <c r="DL154" s="57">
        <f>'2025'!DB21</f>
        <v>19.200000000000003</v>
      </c>
      <c r="DM154" s="57">
        <f>'2025'!DC21</f>
        <v>189</v>
      </c>
      <c r="DN154" s="57">
        <f>'2025'!DD21</f>
        <v>41</v>
      </c>
      <c r="DO154" s="58">
        <f>'2025'!DE21</f>
        <v>4.5185185185185182</v>
      </c>
      <c r="DP154" s="58">
        <f>'2025'!DF21</f>
        <v>74.2</v>
      </c>
      <c r="DQ154" s="58">
        <f>'2025'!DG21</f>
        <v>3.25</v>
      </c>
      <c r="DR154" s="58">
        <f>'2025'!DH21</f>
        <v>29.3</v>
      </c>
      <c r="DS154" s="57">
        <f>'2025'!DI21</f>
        <v>198</v>
      </c>
      <c r="DT154" s="57">
        <f>'2025'!DJ21</f>
        <v>3147.6000000000004</v>
      </c>
      <c r="DU154" s="57">
        <f>'2025'!DK21</f>
        <v>30</v>
      </c>
      <c r="DV154" s="57">
        <f>'2025'!DL21</f>
        <v>2</v>
      </c>
      <c r="DW154" s="59">
        <f>'2025'!DM21</f>
        <v>21.6</v>
      </c>
    </row>
    <row r="155" spans="1:127" ht="15.75" customHeight="1" x14ac:dyDescent="0.2">
      <c r="A155" s="33">
        <f t="shared" si="25"/>
        <v>153</v>
      </c>
      <c r="B155" s="11">
        <f>'2021'!A13</f>
        <v>11</v>
      </c>
      <c r="C155" s="11">
        <v>2021</v>
      </c>
      <c r="D155" s="34" t="str">
        <f>'2021'!B13</f>
        <v>Jaret Patterson</v>
      </c>
      <c r="E155" s="224" t="str" cm="1">
        <f t="array" ref="E155">_xlfn.IFS(F155&gt;=13,"Cornerstone",AND(F155&gt;=12,F155&lt;13),"Elite",AND(F155&gt;=11,F155&lt;12),"Elite Upside",AND(F155&gt;=9,F155&lt;11),"Upside",AND(F155&gt;=7,F155&lt;9),"Upside Lite",AND(F155&gt;=6,F155&lt;7),"Outlier",AND(F155&gt;=5,F155&lt;6),"Outlier Lite",F155&lt;5,"Purgatory")</f>
        <v>Outlier</v>
      </c>
      <c r="F155" s="14">
        <f>'2021'!C13</f>
        <v>6.6611111111111114</v>
      </c>
      <c r="G155" s="14">
        <f t="shared" si="31"/>
        <v>53.2</v>
      </c>
      <c r="H155" s="35">
        <f t="shared" si="26"/>
        <v>-0.56767150661913235</v>
      </c>
      <c r="I155" s="36" t="str">
        <f>'2021'!D13</f>
        <v>Buffalo</v>
      </c>
      <c r="J155" s="37">
        <f>'2021'!E13</f>
        <v>7</v>
      </c>
      <c r="K155" s="38">
        <f>'2021'!F13</f>
        <v>36517</v>
      </c>
      <c r="L155" s="39">
        <f>'2021'!G13</f>
        <v>25.780821917808218</v>
      </c>
      <c r="M155" s="39" t="str">
        <f>'2021'!H13</f>
        <v>JR</v>
      </c>
      <c r="N155" s="39">
        <f>'2021'!I13</f>
        <v>21.364383561643837</v>
      </c>
      <c r="O155" s="39" t="str">
        <f t="shared" si="27"/>
        <v>DYNAMIC</v>
      </c>
      <c r="P155" s="39" t="str">
        <f t="shared" si="32"/>
        <v>3DOWN</v>
      </c>
      <c r="Q155" s="37">
        <f>'2021'!J13</f>
        <v>69</v>
      </c>
      <c r="R155" s="37">
        <f>'2021'!K13</f>
        <v>194</v>
      </c>
      <c r="S155" s="39">
        <f t="shared" si="29"/>
        <v>28.648474520221463</v>
      </c>
      <c r="T155" s="37">
        <f>'2021'!L13</f>
        <v>4.51</v>
      </c>
      <c r="U155" s="40">
        <f>'2021'!M13</f>
        <v>0</v>
      </c>
      <c r="V155" s="41">
        <f>'2021'!N13</f>
        <v>0</v>
      </c>
      <c r="W155" s="42">
        <f>'2021'!O13</f>
        <v>0</v>
      </c>
      <c r="X155" s="42">
        <f>'2021'!P13</f>
        <v>0.18507668447354816</v>
      </c>
      <c r="Y155" s="42">
        <f>'2021'!Q13</f>
        <v>0.39754504058602258</v>
      </c>
      <c r="Z155" s="42">
        <f>'2021'!R13</f>
        <v>0.32088437406632808</v>
      </c>
      <c r="AA155" s="42">
        <f>'2021'!S13</f>
        <v>0.35921470732617533</v>
      </c>
      <c r="AB155" s="42">
        <f>'2021'!T13</f>
        <v>0.2694110304946315</v>
      </c>
      <c r="AC155" s="42">
        <f>'2021'!U13</f>
        <v>0.11364902506963788</v>
      </c>
      <c r="AD155" s="42">
        <f>'2021'!V13</f>
        <v>0</v>
      </c>
      <c r="AE155" s="42">
        <f>'2021'!W13</f>
        <v>5.682451253481894E-2</v>
      </c>
      <c r="AF155" s="43">
        <f>'2021'!X13</f>
        <v>4.2618384401114207E-2</v>
      </c>
      <c r="AG155" s="44">
        <f>'2021'!Y13</f>
        <v>18.704109589041096</v>
      </c>
      <c r="AH155" s="45">
        <f>'2021'!Z13</f>
        <v>93.783310294694928</v>
      </c>
      <c r="AI155" s="45">
        <f>'2021'!AA13</f>
        <v>28.645662675908419</v>
      </c>
      <c r="AJ155" s="45">
        <f>'2021'!AB13</f>
        <v>0.33571428571428569</v>
      </c>
      <c r="AK155" s="45">
        <f>'2021'!AC13</f>
        <v>7.7</v>
      </c>
      <c r="AL155" s="45">
        <f t="shared" si="28"/>
        <v>17.733333333333334</v>
      </c>
      <c r="AM155" s="45">
        <f t="shared" si="33"/>
        <v>0</v>
      </c>
      <c r="AN155" s="45">
        <f>'2021'!AD13</f>
        <v>159.19999999999999</v>
      </c>
      <c r="AO155" s="45">
        <f>'2021'!AE13</f>
        <v>4.74</v>
      </c>
      <c r="AP155" s="46">
        <f>'2021'!AF13</f>
        <v>55.4</v>
      </c>
      <c r="AQ155" s="47">
        <f>'2021'!AG13</f>
        <v>7</v>
      </c>
      <c r="AR155" s="48">
        <f>'2021'!AH13</f>
        <v>4</v>
      </c>
      <c r="AS155" s="48">
        <f>'2021'!AI13</f>
        <v>9</v>
      </c>
      <c r="AT155" s="48">
        <f>IF(AH155&gt;113.25,10,IF(AH155&gt;=107.84,9,IF(AH155&gt;=105.37,8,IF(AH155&gt;=103.25,7,IF(AH155&gt;=100.55,6,IF(AH155&gt;=98.75,5,IF(AH155&gt;=96.08,4,IF(AH155&gt;=94.39,3,IF(AH155&gt;=88.43,2,IF(AH155&gt;=85.16,1,IF(AH155&lt;85.16,0,FALSE)))))))))))</f>
        <v>2</v>
      </c>
      <c r="AU155" s="48">
        <f>'2021'!AK13</f>
        <v>9</v>
      </c>
      <c r="AV155" s="48">
        <f>'2021'!AL13</f>
        <v>9</v>
      </c>
      <c r="AW155" s="48">
        <f>'2021'!AM13</f>
        <v>8</v>
      </c>
      <c r="AX155" s="48">
        <f>'2021'!AN13</f>
        <v>7</v>
      </c>
      <c r="AY155" s="49">
        <f>IF(U155=1,10,IF(U155=2,7,IF(U155=3,6,IF(U155=4,4,IF(U155=5,3,IF(U155=6,2,IF(U155=7,1,IF(U155=0,0,"-"))))))))</f>
        <v>0</v>
      </c>
      <c r="AZ155" s="50">
        <f>'2021'!AP13</f>
        <v>0</v>
      </c>
      <c r="BA155" s="56">
        <f>'2021'!AQ13</f>
        <v>0</v>
      </c>
      <c r="BB155" s="57">
        <f>'2021'!AR13</f>
        <v>1839</v>
      </c>
      <c r="BC155" s="57">
        <f>'2021'!AS13</f>
        <v>0</v>
      </c>
      <c r="BD155" s="57">
        <f>'2021'!AT13</f>
        <v>12</v>
      </c>
      <c r="BE155" s="57">
        <f>'2021'!AU13</f>
        <v>0</v>
      </c>
      <c r="BF155" s="57">
        <f>'2021'!AV13</f>
        <v>0</v>
      </c>
      <c r="BG155" s="58">
        <f>'2021'!AW13</f>
        <v>0</v>
      </c>
      <c r="BH155" s="58">
        <f>'2021'!AX13</f>
        <v>0</v>
      </c>
      <c r="BI155" s="58">
        <f>'2021'!AY13</f>
        <v>0</v>
      </c>
      <c r="BJ155" s="58">
        <f>'2021'!AZ13</f>
        <v>0</v>
      </c>
      <c r="BK155" s="57">
        <f>'2021'!BA13</f>
        <v>0</v>
      </c>
      <c r="BL155" s="57">
        <f>'2021'!BB13</f>
        <v>2406</v>
      </c>
      <c r="BM155" s="57">
        <f>'2021'!BC13</f>
        <v>0</v>
      </c>
      <c r="BN155" s="57">
        <f>'2021'!BD13</f>
        <v>0</v>
      </c>
      <c r="BO155" s="59">
        <f>'2021'!BE13</f>
        <v>11</v>
      </c>
      <c r="BP155" s="56">
        <f>'2021'!BF13</f>
        <v>0</v>
      </c>
      <c r="BQ155" s="57">
        <f>'2021'!BG13</f>
        <v>1693</v>
      </c>
      <c r="BR155" s="57">
        <f>'2021'!BH13</f>
        <v>0</v>
      </c>
      <c r="BS155" s="57">
        <f>'2021'!BI13</f>
        <v>18</v>
      </c>
      <c r="BT155" s="57">
        <f>'2021'!BJ13</f>
        <v>0</v>
      </c>
      <c r="BU155" s="57">
        <f>'2021'!BK13</f>
        <v>0</v>
      </c>
      <c r="BV155" s="58">
        <f>'2021'!BL13</f>
        <v>0</v>
      </c>
      <c r="BW155" s="58">
        <f>'2021'!BM13</f>
        <v>0</v>
      </c>
      <c r="BX155" s="58">
        <f>'2021'!BN13</f>
        <v>0</v>
      </c>
      <c r="BY155" s="58">
        <f>'2021'!BO13</f>
        <v>0</v>
      </c>
      <c r="BZ155" s="57">
        <f>'2021'!BP13</f>
        <v>0</v>
      </c>
      <c r="CA155" s="57">
        <f>'2021'!BQ13</f>
        <v>3490</v>
      </c>
      <c r="CB155" s="57">
        <f>'2021'!BR13</f>
        <v>0</v>
      </c>
      <c r="CC155" s="57">
        <f>'2021'!BS13</f>
        <v>0</v>
      </c>
      <c r="CD155" s="59">
        <f>'2021'!BT13</f>
        <v>24</v>
      </c>
      <c r="CE155" s="56">
        <f>'2021'!BU13</f>
        <v>1012</v>
      </c>
      <c r="CF155" s="57">
        <f>'2021'!BV13</f>
        <v>2648</v>
      </c>
      <c r="CG155" s="57">
        <f>'2021'!BW13</f>
        <v>14</v>
      </c>
      <c r="CH155" s="57">
        <f>'2021'!BX13</f>
        <v>36</v>
      </c>
      <c r="CI155" s="57">
        <f>'2021'!BY13</f>
        <v>182</v>
      </c>
      <c r="CJ155" s="57">
        <f>'2021'!BZ13</f>
        <v>48</v>
      </c>
      <c r="CK155" s="58">
        <f>'2021'!CA13</f>
        <v>5.6</v>
      </c>
      <c r="CL155" s="58">
        <f>'2021'!CB13</f>
        <v>104.2</v>
      </c>
      <c r="CM155" s="58">
        <f>'2021'!CC13</f>
        <v>3.86</v>
      </c>
      <c r="CN155" s="58">
        <f>'2021'!CD13</f>
        <v>38.299999999999997</v>
      </c>
      <c r="CO155" s="57">
        <f>'2021'!CE13</f>
        <v>62</v>
      </c>
      <c r="CP155" s="57">
        <f>'2021'!CF13</f>
        <v>3155</v>
      </c>
      <c r="CQ155" s="57">
        <f>'2021'!CG13</f>
        <v>3</v>
      </c>
      <c r="CR155" s="57">
        <f>'2021'!CH13</f>
        <v>0</v>
      </c>
      <c r="CS155" s="59">
        <f>'2021'!CI13</f>
        <v>28</v>
      </c>
      <c r="CT155" s="56">
        <f>'2021'!CJ13</f>
        <v>1804</v>
      </c>
      <c r="CU155" s="57">
        <f>'2021'!CK13</f>
        <v>3256</v>
      </c>
      <c r="CV155" s="57">
        <f>'2021'!CL13</f>
        <v>19</v>
      </c>
      <c r="CW155" s="57">
        <f>'2021'!CM13</f>
        <v>36</v>
      </c>
      <c r="CX155" s="57">
        <f>'2021'!CN13</f>
        <v>313</v>
      </c>
      <c r="CY155" s="57">
        <f>'2021'!CO13</f>
        <v>86</v>
      </c>
      <c r="CZ155" s="58">
        <f>'2021'!CP13</f>
        <v>5.8</v>
      </c>
      <c r="DA155" s="58">
        <f>'2021'!CQ13</f>
        <v>108.4</v>
      </c>
      <c r="DB155" s="58">
        <f>'2021'!CR13</f>
        <v>3.59</v>
      </c>
      <c r="DC155" s="58">
        <f>'2021'!CS13</f>
        <v>35.6</v>
      </c>
      <c r="DD155" s="57">
        <f>'2021'!CT13</f>
        <v>204</v>
      </c>
      <c r="DE155" s="57">
        <f>'2021'!CU13</f>
        <v>1795</v>
      </c>
      <c r="DF155" s="57">
        <f>'2021'!CV13</f>
        <v>12</v>
      </c>
      <c r="DG155" s="57">
        <f>'2021'!CW13</f>
        <v>0</v>
      </c>
      <c r="DH155" s="59">
        <f>'2021'!CX13</f>
        <v>14</v>
      </c>
      <c r="DI155" s="56">
        <f>'2021'!CY13</f>
        <v>1074</v>
      </c>
      <c r="DJ155" s="57">
        <f>'2021'!CZ13</f>
        <v>2010</v>
      </c>
      <c r="DK155" s="57">
        <f>'2021'!DA13</f>
        <v>19</v>
      </c>
      <c r="DL155" s="57">
        <f>'2021'!DB13</f>
        <v>32</v>
      </c>
      <c r="DM155" s="57">
        <f>'2021'!DC13</f>
        <v>140</v>
      </c>
      <c r="DN155" s="57">
        <f>'2021'!DD13</f>
        <v>47</v>
      </c>
      <c r="DO155" s="58">
        <f>'2021'!DE13</f>
        <v>7.7</v>
      </c>
      <c r="DP155" s="58">
        <f>'2021'!DF13</f>
        <v>159.19999999999999</v>
      </c>
      <c r="DQ155" s="58">
        <f>'2021'!DG13</f>
        <v>4.74</v>
      </c>
      <c r="DR155" s="58">
        <f>'2021'!DH13</f>
        <v>55.4</v>
      </c>
      <c r="DS155" s="57">
        <f>'2021'!DI13</f>
        <v>0</v>
      </c>
      <c r="DT155" s="57">
        <f>'2021'!DJ13</f>
        <v>1337</v>
      </c>
      <c r="DU155" s="57">
        <f>'2021'!DK13</f>
        <v>0</v>
      </c>
      <c r="DV155" s="57">
        <f>'2021'!DL13</f>
        <v>0</v>
      </c>
      <c r="DW155" s="59">
        <f>'2021'!DM13</f>
        <v>7</v>
      </c>
    </row>
    <row r="156" spans="1:127" ht="15.75" customHeight="1" x14ac:dyDescent="0.2">
      <c r="A156" s="33">
        <f t="shared" si="25"/>
        <v>154</v>
      </c>
      <c r="B156" s="11">
        <f>'2023'!A18</f>
        <v>16</v>
      </c>
      <c r="C156" s="11">
        <v>2023</v>
      </c>
      <c r="D156" s="34" t="str">
        <f>'2023'!B18</f>
        <v>Eric Gray</v>
      </c>
      <c r="E156" s="224" t="str" cm="1">
        <f t="array" ref="E156">_xlfn.IFS(F156&gt;=13,"Cornerstone",AND(F156&gt;=12,F156&lt;13),"Elite",AND(F156&gt;=11,F156&lt;12),"Elite Upside",AND(F156&gt;=9,F156&lt;11),"Upside",AND(F156&gt;=7,F156&lt;9),"Upside Lite",AND(F156&gt;=6,F156&lt;7),"Outlier",AND(F156&gt;=5,F156&lt;6),"Outlier Lite",F156&lt;5,"Purgatory")</f>
        <v>Outlier</v>
      </c>
      <c r="F156" s="14">
        <f>'2023'!C18</f>
        <v>6.6611111111111105</v>
      </c>
      <c r="G156" s="14">
        <f t="shared" si="31"/>
        <v>52.900000000000006</v>
      </c>
      <c r="H156" s="35">
        <f t="shared" si="26"/>
        <v>-0.56767150661913268</v>
      </c>
      <c r="I156" s="36" t="str">
        <f>'2023'!D18</f>
        <v>Oklahoma</v>
      </c>
      <c r="J156" s="37">
        <f>'2023'!E18</f>
        <v>3</v>
      </c>
      <c r="K156" s="38">
        <f>'2023'!F18</f>
        <v>36468</v>
      </c>
      <c r="L156" s="39">
        <f>'2023'!G18</f>
        <v>25.915068493150685</v>
      </c>
      <c r="M156" s="39" t="str">
        <f>'2023'!H18</f>
        <v>SR</v>
      </c>
      <c r="N156" s="39">
        <f>'2023'!I18</f>
        <v>23.493150684931507</v>
      </c>
      <c r="O156" s="39" t="str">
        <f t="shared" si="27"/>
        <v>BELL CALF</v>
      </c>
      <c r="P156" s="39" t="str">
        <f t="shared" si="32"/>
        <v>SLASHER</v>
      </c>
      <c r="Q156" s="37">
        <f>'2023'!J18</f>
        <v>69</v>
      </c>
      <c r="R156" s="37">
        <f>'2023'!K18</f>
        <v>207</v>
      </c>
      <c r="S156" s="39">
        <f t="shared" si="29"/>
        <v>30.568217658174451</v>
      </c>
      <c r="T156" s="37">
        <f>'2023'!L18</f>
        <v>4.57</v>
      </c>
      <c r="U156" s="40">
        <f>'2023'!M18</f>
        <v>5</v>
      </c>
      <c r="V156" s="41">
        <f>'2023'!N18</f>
        <v>0</v>
      </c>
      <c r="W156" s="42">
        <f>'2023'!O18</f>
        <v>0.13762626262626262</v>
      </c>
      <c r="X156" s="42">
        <f>'2023'!P18</f>
        <v>0.29462738301559793</v>
      </c>
      <c r="Y156" s="42">
        <f>'2023'!Q18</f>
        <v>0.10244526130733578</v>
      </c>
      <c r="Z156" s="42">
        <f>'2023'!R18</f>
        <v>0.26160337552742619</v>
      </c>
      <c r="AA156" s="42">
        <f>'2023'!S18</f>
        <v>0.27811537927151209</v>
      </c>
      <c r="AB156" s="42">
        <f>'2023'!T18</f>
        <v>0.2503038413443609</v>
      </c>
      <c r="AC156" s="42">
        <f>'2023'!U18</f>
        <v>6.6861313868613145E-2</v>
      </c>
      <c r="AD156" s="42">
        <f>'2023'!V18</f>
        <v>7.190332326283988E-2</v>
      </c>
      <c r="AE156" s="42">
        <f>'2023'!W18</f>
        <v>7.190332326283988E-2</v>
      </c>
      <c r="AF156" s="43">
        <f>'2023'!X18</f>
        <v>6.47129909365559E-2</v>
      </c>
      <c r="AG156" s="44">
        <f>'2023'!Y18</f>
        <v>20.838356164383562</v>
      </c>
      <c r="AH156" s="45">
        <f>'2023'!Z18</f>
        <v>94.915150530226384</v>
      </c>
      <c r="AI156" s="45">
        <f>'2023'!AA18</f>
        <v>30.565217391304348</v>
      </c>
      <c r="AJ156" s="45">
        <f>'2023'!AB18</f>
        <v>0.34615384615384615</v>
      </c>
      <c r="AK156" s="45">
        <f>'2023'!AC18</f>
        <v>6.5</v>
      </c>
      <c r="AL156" s="45">
        <f t="shared" si="28"/>
        <v>8.3564356435643568</v>
      </c>
      <c r="AM156" s="45">
        <f t="shared" si="33"/>
        <v>0.13821138211382114</v>
      </c>
      <c r="AN156" s="45">
        <f>'2023'!AD18</f>
        <v>105.3</v>
      </c>
      <c r="AO156" s="45">
        <f>'2023'!AE18</f>
        <v>3.43</v>
      </c>
      <c r="AP156" s="46">
        <f>'2023'!AF18</f>
        <v>39.6</v>
      </c>
      <c r="AQ156" s="47">
        <f>'2023'!AG18</f>
        <v>6</v>
      </c>
      <c r="AR156" s="48">
        <f>'2023'!AH18</f>
        <v>7</v>
      </c>
      <c r="AS156" s="48">
        <f>'2023'!AI18</f>
        <v>3</v>
      </c>
      <c r="AT156" s="48">
        <f>IF(AH156&gt;113.25,10,IF(AH156&gt;=107.84,9,IF(AH156&gt;=105.37,8,IF(AH156&gt;=103.25,7,IF(AH156&gt;=100.55,6,IF(AH156&gt;=98.75,5,IF(AH156&gt;=96.08,4,IF(AH156&gt;=94.39,3,IF(AH156&gt;=88.43,2,IF(AH156&gt;=85.16,1,IF(AH156&lt;85.16,0,FALSE)))))))))))</f>
        <v>3</v>
      </c>
      <c r="AU156" s="48">
        <f>'2023'!AK18</f>
        <v>9</v>
      </c>
      <c r="AV156" s="48">
        <f>'2023'!AL18</f>
        <v>6</v>
      </c>
      <c r="AW156" s="48">
        <f>'2023'!AM18</f>
        <v>4</v>
      </c>
      <c r="AX156" s="48">
        <f>'2023'!AN18</f>
        <v>1</v>
      </c>
      <c r="AY156" s="49">
        <f>'2023'!AO18</f>
        <v>3</v>
      </c>
      <c r="AZ156" s="50">
        <f>'2023'!AP18</f>
        <v>0</v>
      </c>
      <c r="BA156" s="56">
        <f>'2023'!AQ18</f>
        <v>0</v>
      </c>
      <c r="BB156" s="57">
        <f>'2023'!AR18</f>
        <v>1549</v>
      </c>
      <c r="BC156" s="57">
        <f>'2023'!AS18</f>
        <v>0</v>
      </c>
      <c r="BD156" s="57">
        <f>'2023'!AT18</f>
        <v>15</v>
      </c>
      <c r="BE156" s="57">
        <f>'2023'!AU18</f>
        <v>0</v>
      </c>
      <c r="BF156" s="57">
        <f>'2023'!AV18</f>
        <v>0</v>
      </c>
      <c r="BG156" s="58">
        <f>'2023'!AW18</f>
        <v>0</v>
      </c>
      <c r="BH156" s="58">
        <f>'2023'!AX18</f>
        <v>0</v>
      </c>
      <c r="BI156" s="58">
        <f>'2023'!AY18</f>
        <v>0</v>
      </c>
      <c r="BJ156" s="58">
        <f>'2023'!AZ18</f>
        <v>0</v>
      </c>
      <c r="BK156" s="57">
        <f>'2023'!BA18</f>
        <v>0</v>
      </c>
      <c r="BL156" s="57">
        <f>'2023'!BB18</f>
        <v>2357</v>
      </c>
      <c r="BM156" s="57">
        <f>'2023'!BC18</f>
        <v>0</v>
      </c>
      <c r="BN156" s="57">
        <f>'2023'!BD18</f>
        <v>0</v>
      </c>
      <c r="BO156" s="59">
        <f>'2023'!BE18</f>
        <v>15</v>
      </c>
      <c r="BP156" s="56">
        <f>'2023'!BF18</f>
        <v>539</v>
      </c>
      <c r="BQ156" s="57">
        <f>'2023'!BG18</f>
        <v>1874</v>
      </c>
      <c r="BR156" s="57">
        <f>'2023'!BH18</f>
        <v>4</v>
      </c>
      <c r="BS156" s="57">
        <f>'2023'!BI18</f>
        <v>13</v>
      </c>
      <c r="BT156" s="57">
        <f>'2023'!BJ18</f>
        <v>101</v>
      </c>
      <c r="BU156" s="57">
        <f>'2023'!BK18</f>
        <v>24</v>
      </c>
      <c r="BV156" s="58">
        <f>'2023'!BL18</f>
        <v>5.3</v>
      </c>
      <c r="BW156" s="58">
        <f>'2023'!BM18</f>
        <v>93.2</v>
      </c>
      <c r="BX156" s="58">
        <f>'2023'!BN18</f>
        <v>3.66</v>
      </c>
      <c r="BY156" s="58">
        <f>'2023'!BO18</f>
        <v>44</v>
      </c>
      <c r="BZ156" s="57">
        <f>'2023'!BP18</f>
        <v>115</v>
      </c>
      <c r="CA156" s="57">
        <f>'2023'!BQ18</f>
        <v>2878</v>
      </c>
      <c r="CB156" s="57">
        <f>'2023'!BR18</f>
        <v>13</v>
      </c>
      <c r="CC156" s="57">
        <f>'2023'!BS18</f>
        <v>0</v>
      </c>
      <c r="CD156" s="59">
        <f>'2023'!BT18</f>
        <v>19</v>
      </c>
      <c r="CE156" s="56">
        <f>'2023'!BU18</f>
        <v>758</v>
      </c>
      <c r="CF156" s="57">
        <f>'2023'!BV18</f>
        <v>1415</v>
      </c>
      <c r="CG156" s="57">
        <f>'2023'!BW18</f>
        <v>4</v>
      </c>
      <c r="CH156" s="57">
        <f>'2023'!BX18</f>
        <v>12</v>
      </c>
      <c r="CI156" s="57">
        <f>'2023'!BY18</f>
        <v>156</v>
      </c>
      <c r="CJ156" s="57">
        <f>'2023'!BZ18</f>
        <v>26</v>
      </c>
      <c r="CK156" s="58">
        <f>'2023'!CA18</f>
        <v>4.9000000000000004</v>
      </c>
      <c r="CL156" s="58">
        <f>'2023'!CB18</f>
        <v>41.2</v>
      </c>
      <c r="CM156" s="58">
        <f>'2023'!CC18</f>
        <v>2.57</v>
      </c>
      <c r="CN156" s="58">
        <f>'2023'!CD18</f>
        <v>18.3</v>
      </c>
      <c r="CO156" s="57">
        <f>'2023'!CE18</f>
        <v>262</v>
      </c>
      <c r="CP156" s="57">
        <f>'2023'!CF18</f>
        <v>2047</v>
      </c>
      <c r="CQ156" s="57">
        <f>'2023'!CG18</f>
        <v>31</v>
      </c>
      <c r="CR156" s="57">
        <f>'2023'!CH18</f>
        <v>0</v>
      </c>
      <c r="CS156" s="59">
        <f>'2023'!CI18</f>
        <v>14</v>
      </c>
      <c r="CT156" s="56">
        <f>'2023'!CJ18</f>
        <v>412</v>
      </c>
      <c r="CU156" s="57">
        <f>'2023'!CK18</f>
        <v>2832</v>
      </c>
      <c r="CV156" s="57">
        <f>'2023'!CL18</f>
        <v>2</v>
      </c>
      <c r="CW156" s="57">
        <f>'2023'!CM18</f>
        <v>30</v>
      </c>
      <c r="CX156" s="57">
        <f>'2023'!CN18</f>
        <v>78</v>
      </c>
      <c r="CY156" s="57">
        <f>'2023'!CO18</f>
        <v>27</v>
      </c>
      <c r="CZ156" s="58">
        <f>'2023'!CP18</f>
        <v>5.3</v>
      </c>
      <c r="DA156" s="58">
        <f>'2023'!CQ18</f>
        <v>105.3</v>
      </c>
      <c r="DB156" s="58">
        <f>'2023'!CR18</f>
        <v>3.04</v>
      </c>
      <c r="DC156" s="58">
        <f>'2023'!CS18</f>
        <v>39.6</v>
      </c>
      <c r="DD156" s="57">
        <f>'2023'!CT18</f>
        <v>229</v>
      </c>
      <c r="DE156" s="57">
        <f>'2023'!CU18</f>
        <v>3425</v>
      </c>
      <c r="DF156" s="57">
        <f>'2023'!CV18</f>
        <v>23</v>
      </c>
      <c r="DG156" s="57">
        <f>'2023'!CW18</f>
        <v>0</v>
      </c>
      <c r="DH156" s="59">
        <f>'2023'!CX18</f>
        <v>32</v>
      </c>
      <c r="DI156" s="56">
        <f>'2023'!CY18</f>
        <v>1374</v>
      </c>
      <c r="DJ156" s="57">
        <f>'2023'!CZ18</f>
        <v>2852</v>
      </c>
      <c r="DK156" s="57">
        <f>'2023'!DA18</f>
        <v>11</v>
      </c>
      <c r="DL156" s="57">
        <f>'2023'!DB18</f>
        <v>28</v>
      </c>
      <c r="DM156" s="57">
        <f>'2023'!DC18</f>
        <v>212</v>
      </c>
      <c r="DN156" s="57">
        <f>'2023'!DD18</f>
        <v>58</v>
      </c>
      <c r="DO156" s="58">
        <f>'2023'!DE18</f>
        <v>6.5</v>
      </c>
      <c r="DP156" s="58">
        <f>'2023'!DF18</f>
        <v>96.2</v>
      </c>
      <c r="DQ156" s="58">
        <f>'2023'!DG18</f>
        <v>3.43</v>
      </c>
      <c r="DR156" s="58">
        <f>'2023'!DH18</f>
        <v>39.200000000000003</v>
      </c>
      <c r="DS156" s="57">
        <f>'2023'!DI18</f>
        <v>238</v>
      </c>
      <c r="DT156" s="57">
        <f>'2023'!DJ18</f>
        <v>3310</v>
      </c>
      <c r="DU156" s="57">
        <f>'2023'!DK18</f>
        <v>34</v>
      </c>
      <c r="DV156" s="57">
        <f>'2023'!DL18</f>
        <v>0</v>
      </c>
      <c r="DW156" s="59">
        <f>'2023'!DM18</f>
        <v>27</v>
      </c>
    </row>
    <row r="157" spans="1:127" ht="15.75" customHeight="1" x14ac:dyDescent="0.2">
      <c r="A157" s="33">
        <f t="shared" si="25"/>
        <v>155</v>
      </c>
      <c r="B157" s="11">
        <f>'2016'!A15</f>
        <v>13</v>
      </c>
      <c r="C157" s="11">
        <v>2016</v>
      </c>
      <c r="D157" s="34" t="str">
        <f>'2016'!B15</f>
        <v>Wendell Smallwood</v>
      </c>
      <c r="E157" s="224" t="str" cm="1">
        <f t="array" ref="E157">_xlfn.IFS(F157&gt;=13,"Cornerstone",AND(F157&gt;=12,F157&lt;13),"Elite",AND(F157&gt;=11,F157&lt;12),"Elite Upside",AND(F157&gt;=9,F157&lt;11),"Upside",AND(F157&gt;=7,F157&lt;9),"Upside Lite",AND(F157&gt;=6,F157&lt;7),"Outlier",AND(F157&gt;=5,F157&lt;6),"Outlier Lite",F157&lt;5,"Purgatory")</f>
        <v>Outlier</v>
      </c>
      <c r="F157" s="14">
        <f>'2016'!C15</f>
        <v>6.6333333333333337</v>
      </c>
      <c r="G157" s="14">
        <f t="shared" si="31"/>
        <v>52.5</v>
      </c>
      <c r="H157" s="35">
        <f t="shared" si="26"/>
        <v>-0.57942775840356675</v>
      </c>
      <c r="I157" s="36" t="str">
        <f>'2016'!D15</f>
        <v>West Virginia</v>
      </c>
      <c r="J157" s="37">
        <f>'2016'!E15</f>
        <v>3</v>
      </c>
      <c r="K157" s="38">
        <f>'2016'!F15</f>
        <v>34354</v>
      </c>
      <c r="L157" s="39">
        <f>'2016'!G15</f>
        <v>31.706849315068492</v>
      </c>
      <c r="M157" s="39" t="str">
        <f>'2016'!H15</f>
        <v>JR</v>
      </c>
      <c r="N157" s="39">
        <f>'2016'!I15</f>
        <v>22.282191780821918</v>
      </c>
      <c r="O157" s="39" t="str">
        <f t="shared" si="27"/>
        <v>DYNAMIC</v>
      </c>
      <c r="P157" s="39" t="str">
        <f t="shared" si="32"/>
        <v>PLODDER</v>
      </c>
      <c r="Q157" s="37">
        <f>'2016'!J15</f>
        <v>71</v>
      </c>
      <c r="R157" s="37">
        <f>'2016'!K15</f>
        <v>208</v>
      </c>
      <c r="S157" s="39">
        <f t="shared" si="29"/>
        <v>29.009790374272285</v>
      </c>
      <c r="T157" s="37">
        <f>'2016'!L15</f>
        <v>4.47</v>
      </c>
      <c r="U157" s="55">
        <f>'2016'!M15</f>
        <v>5</v>
      </c>
      <c r="V157" s="41">
        <f>'2016'!N15</f>
        <v>0</v>
      </c>
      <c r="W157" s="42">
        <f>'2016'!O15</f>
        <v>0</v>
      </c>
      <c r="X157" s="42">
        <f>'2016'!P15</f>
        <v>7.1573398215733983E-2</v>
      </c>
      <c r="Y157" s="42">
        <f>'2016'!Q15</f>
        <v>0.1606796564779758</v>
      </c>
      <c r="Z157" s="42">
        <f>'2016'!R15</f>
        <v>0.2674748640977534</v>
      </c>
      <c r="AA157" s="42">
        <f>'2016'!S15</f>
        <v>0.2674748640977534</v>
      </c>
      <c r="AB157" s="42">
        <f>'2016'!T15</f>
        <v>0.24072737768797806</v>
      </c>
      <c r="AC157" s="42">
        <f>'2016'!U15</f>
        <v>7.9107012860956075E-2</v>
      </c>
      <c r="AD157" s="42">
        <f>'2016'!V15</f>
        <v>4.6796146199724727E-2</v>
      </c>
      <c r="AE157" s="42">
        <f>'2016'!W15</f>
        <v>6.2951579530340404E-2</v>
      </c>
      <c r="AF157" s="43">
        <f>'2016'!X15</f>
        <v>5.6656421577306368E-2</v>
      </c>
      <c r="AG157" s="44">
        <f>'2016'!Y15</f>
        <v>20.627397260273973</v>
      </c>
      <c r="AH157" s="45">
        <f>'2016'!Z15</f>
        <v>104.19892491456234</v>
      </c>
      <c r="AI157" s="45">
        <f>'2016'!AA15</f>
        <v>29.006943066851814</v>
      </c>
      <c r="AJ157" s="45">
        <f>'2016'!AB15</f>
        <v>0.18487394957983194</v>
      </c>
      <c r="AK157" s="45">
        <f>'2016'!AC15</f>
        <v>6.3655462184873945</v>
      </c>
      <c r="AL157" s="45">
        <f t="shared" si="28"/>
        <v>9.1194029850746272</v>
      </c>
      <c r="AM157" s="45">
        <f t="shared" si="33"/>
        <v>9.5057034220532313E-2</v>
      </c>
      <c r="AN157" s="45">
        <f>'2016'!AD15</f>
        <v>50</v>
      </c>
      <c r="AO157" s="45">
        <f>'2016'!AE15</f>
        <v>2.74</v>
      </c>
      <c r="AP157" s="46">
        <f>'2016'!AF15</f>
        <v>32.700000000000003</v>
      </c>
      <c r="AQ157" s="47">
        <f>'2016'!AG15</f>
        <v>6</v>
      </c>
      <c r="AR157" s="48">
        <f>'2016'!AH15</f>
        <v>6</v>
      </c>
      <c r="AS157" s="48">
        <f>'2016'!AI15</f>
        <v>3</v>
      </c>
      <c r="AT157" s="48">
        <f>'2016'!AJ15</f>
        <v>7</v>
      </c>
      <c r="AU157" s="48">
        <f>'2016'!AK15</f>
        <v>5</v>
      </c>
      <c r="AV157" s="48">
        <f>'2016'!AL15</f>
        <v>5</v>
      </c>
      <c r="AW157" s="48">
        <f>'2016'!AM15</f>
        <v>3</v>
      </c>
      <c r="AX157" s="48">
        <f>'2016'!AN15</f>
        <v>1</v>
      </c>
      <c r="AY157" s="49">
        <f>'2016'!AO15</f>
        <v>3</v>
      </c>
      <c r="AZ157" s="50">
        <f>'2016'!AP15</f>
        <v>0</v>
      </c>
      <c r="BA157" s="56">
        <f>'2016'!AQ15</f>
        <v>0</v>
      </c>
      <c r="BB157" s="57">
        <f>'2016'!AR15</f>
        <v>1</v>
      </c>
      <c r="BC157" s="57">
        <f>'2016'!AS15</f>
        <v>0</v>
      </c>
      <c r="BD157" s="57">
        <f>'2016'!AT15</f>
        <v>0</v>
      </c>
      <c r="BE157" s="57">
        <f>'2016'!AU15</f>
        <v>0</v>
      </c>
      <c r="BF157" s="57">
        <f>'2016'!AV15</f>
        <v>0</v>
      </c>
      <c r="BG157" s="58">
        <f>'2016'!AW15</f>
        <v>0</v>
      </c>
      <c r="BH157" s="58">
        <f>'2016'!AX15</f>
        <v>0</v>
      </c>
      <c r="BI157" s="58">
        <f>'2016'!AY15</f>
        <v>0</v>
      </c>
      <c r="BJ157" s="58">
        <f>'2016'!AZ15</f>
        <v>0</v>
      </c>
      <c r="BK157" s="57">
        <f>'2016'!BA15</f>
        <v>0</v>
      </c>
      <c r="BL157" s="57">
        <f>'2016'!BB15</f>
        <v>1</v>
      </c>
      <c r="BM157" s="57">
        <f>'2016'!BC15</f>
        <v>0</v>
      </c>
      <c r="BN157" s="57">
        <f>'2016'!BD15</f>
        <v>0</v>
      </c>
      <c r="BO157" s="59">
        <f>'2016'!BE15</f>
        <v>0</v>
      </c>
      <c r="BP157" s="56">
        <f>'2016'!BF15</f>
        <v>0</v>
      </c>
      <c r="BQ157" s="57">
        <f>'2016'!BG15</f>
        <v>1</v>
      </c>
      <c r="BR157" s="57">
        <f>'2016'!BH15</f>
        <v>0</v>
      </c>
      <c r="BS157" s="57">
        <f>'2016'!BI15</f>
        <v>0</v>
      </c>
      <c r="BT157" s="57">
        <f>'2016'!BJ15</f>
        <v>0</v>
      </c>
      <c r="BU157" s="57">
        <f>'2016'!BK15</f>
        <v>0</v>
      </c>
      <c r="BV157" s="58">
        <f>'2016'!BL15</f>
        <v>0</v>
      </c>
      <c r="BW157" s="58">
        <f>'2016'!BM15</f>
        <v>0</v>
      </c>
      <c r="BX157" s="58">
        <f>'2016'!BN15</f>
        <v>0</v>
      </c>
      <c r="BY157" s="58">
        <f>'2016'!BO15</f>
        <v>0</v>
      </c>
      <c r="BZ157" s="57">
        <f>'2016'!BP15</f>
        <v>0</v>
      </c>
      <c r="CA157" s="57">
        <f>'2016'!BQ15</f>
        <v>1</v>
      </c>
      <c r="CB157" s="57">
        <f>'2016'!BR15</f>
        <v>0</v>
      </c>
      <c r="CC157" s="57">
        <f>'2016'!BS15</f>
        <v>0</v>
      </c>
      <c r="CD157" s="59">
        <f>'2016'!BT15</f>
        <v>0</v>
      </c>
      <c r="CE157" s="56">
        <f>'2016'!BU15</f>
        <v>221</v>
      </c>
      <c r="CF157" s="57">
        <f>'2016'!BV15</f>
        <v>1784</v>
      </c>
      <c r="CG157" s="57">
        <f>'2016'!BW15</f>
        <v>1</v>
      </c>
      <c r="CH157" s="57">
        <f>'2016'!BX15</f>
        <v>18</v>
      </c>
      <c r="CI157" s="57">
        <f>'2016'!BY15</f>
        <v>0</v>
      </c>
      <c r="CJ157" s="57">
        <f>'2016'!BZ15</f>
        <v>0</v>
      </c>
      <c r="CK157" s="58">
        <f>'2016'!CA15</f>
        <v>0</v>
      </c>
      <c r="CL157" s="58">
        <f>'2016'!CB15</f>
        <v>0</v>
      </c>
      <c r="CM157" s="58">
        <f>'2016'!CC15</f>
        <v>0</v>
      </c>
      <c r="CN157" s="58">
        <f>'2016'!CD15</f>
        <v>0</v>
      </c>
      <c r="CO157" s="57">
        <f>'2016'!CE15</f>
        <v>132</v>
      </c>
      <c r="CP157" s="57">
        <f>'2016'!CF15</f>
        <v>3148</v>
      </c>
      <c r="CQ157" s="57">
        <f>'2016'!CG15</f>
        <v>11</v>
      </c>
      <c r="CR157" s="57">
        <f>'2016'!CH15</f>
        <v>0</v>
      </c>
      <c r="CS157" s="59">
        <f>'2016'!CI15</f>
        <v>16</v>
      </c>
      <c r="CT157" s="56">
        <f>'2016'!CJ15</f>
        <v>718</v>
      </c>
      <c r="CU157" s="57">
        <f>'2016'!CK15</f>
        <v>2376.4</v>
      </c>
      <c r="CV157" s="57">
        <f>'2016'!CL15</f>
        <v>2</v>
      </c>
      <c r="CW157" s="57">
        <f>'2016'!CM15</f>
        <v>18.2</v>
      </c>
      <c r="CX157" s="57">
        <f>'2016'!CN15</f>
        <v>148</v>
      </c>
      <c r="CY157" s="57">
        <f>'2016'!CO15</f>
        <v>17</v>
      </c>
      <c r="CZ157" s="58">
        <f>'2016'!CP15</f>
        <v>4.8513513513513518</v>
      </c>
      <c r="DA157" s="58">
        <f>'2016'!CQ15</f>
        <v>35.1</v>
      </c>
      <c r="DB157" s="58">
        <f>'2016'!CR15</f>
        <v>2.42</v>
      </c>
      <c r="DC157" s="58">
        <f>'2016'!CS15</f>
        <v>21.2</v>
      </c>
      <c r="DD157" s="57">
        <f>'2016'!CT15</f>
        <v>326</v>
      </c>
      <c r="DE157" s="57">
        <f>'2016'!CU15</f>
        <v>4121</v>
      </c>
      <c r="DF157" s="57">
        <f>'2016'!CV15</f>
        <v>31</v>
      </c>
      <c r="DG157" s="57">
        <f>'2016'!CW15</f>
        <v>0</v>
      </c>
      <c r="DH157" s="59">
        <f>'2016'!CX15</f>
        <v>26</v>
      </c>
      <c r="DI157" s="56">
        <f>'2016'!CY15</f>
        <v>1515</v>
      </c>
      <c r="DJ157" s="57">
        <f>'2016'!CZ15</f>
        <v>2966.6</v>
      </c>
      <c r="DK157" s="57">
        <f>'2016'!DA15</f>
        <v>9</v>
      </c>
      <c r="DL157" s="57">
        <f>'2016'!DB15</f>
        <v>24.7</v>
      </c>
      <c r="DM157" s="57">
        <f>'2016'!DC15</f>
        <v>238</v>
      </c>
      <c r="DN157" s="57">
        <f>'2016'!DD15</f>
        <v>44</v>
      </c>
      <c r="DO157" s="58">
        <f>'2016'!DE15</f>
        <v>6.3655462184873945</v>
      </c>
      <c r="DP157" s="58">
        <f>'2016'!DF15</f>
        <v>50</v>
      </c>
      <c r="DQ157" s="58">
        <f>'2016'!DG15</f>
        <v>2.74</v>
      </c>
      <c r="DR157" s="58">
        <f>'2016'!DH15</f>
        <v>32.700000000000003</v>
      </c>
      <c r="DS157" s="57">
        <f>'2016'!DI15</f>
        <v>153</v>
      </c>
      <c r="DT157" s="57">
        <f>'2016'!DJ15</f>
        <v>3269.5</v>
      </c>
      <c r="DU157" s="57">
        <f>'2016'!DK15</f>
        <v>25</v>
      </c>
      <c r="DV157" s="57">
        <f>'2016'!DL15</f>
        <v>0</v>
      </c>
      <c r="DW157" s="59">
        <f>'2016'!DM15</f>
        <v>26</v>
      </c>
    </row>
    <row r="158" spans="1:127" ht="15.75" customHeight="1" x14ac:dyDescent="0.2">
      <c r="A158" s="33">
        <f t="shared" si="25"/>
        <v>156</v>
      </c>
      <c r="B158" s="11">
        <f>'2022'!A14</f>
        <v>12</v>
      </c>
      <c r="C158" s="11">
        <v>2022</v>
      </c>
      <c r="D158" s="34" t="str">
        <f>'2022'!B14</f>
        <v>Tyler Allgeier</v>
      </c>
      <c r="E158" s="224" t="str" cm="1">
        <f t="array" ref="E158">_xlfn.IFS(F158&gt;=13,"Cornerstone",AND(F158&gt;=12,F158&lt;13),"Elite",AND(F158&gt;=11,F158&lt;12),"Elite Upside",AND(F158&gt;=9,F158&lt;11),"Upside",AND(F158&gt;=7,F158&lt;9),"Upside Lite",AND(F158&gt;=6,F158&lt;7),"Outlier",AND(F158&gt;=5,F158&lt;6),"Outlier Lite",F158&lt;5,"Purgatory")</f>
        <v>Outlier</v>
      </c>
      <c r="F158" s="14">
        <f>'2022'!C14</f>
        <v>6.6277777777777782</v>
      </c>
      <c r="G158" s="14">
        <f t="shared" si="31"/>
        <v>52.2</v>
      </c>
      <c r="H158" s="35">
        <f t="shared" si="26"/>
        <v>-0.58177900876045363</v>
      </c>
      <c r="I158" s="36" t="str">
        <f>'2022'!D14</f>
        <v>BYU</v>
      </c>
      <c r="J158" s="37">
        <f>'2022'!E14</f>
        <v>7</v>
      </c>
      <c r="K158" s="38">
        <f>'2022'!F14</f>
        <v>36631</v>
      </c>
      <c r="L158" s="39">
        <f>'2022'!G14</f>
        <v>25.468493150684932</v>
      </c>
      <c r="M158" s="39" t="str">
        <f>'2022'!H14</f>
        <v>SR</v>
      </c>
      <c r="N158" s="39">
        <f>'2022'!I14</f>
        <v>22.049315068493151</v>
      </c>
      <c r="O158" s="39" t="str">
        <f t="shared" si="27"/>
        <v>BELL COW</v>
      </c>
      <c r="P158" s="39" t="str">
        <f t="shared" si="32"/>
        <v>3DOWN</v>
      </c>
      <c r="Q158" s="37">
        <f>'2022'!J14</f>
        <v>71</v>
      </c>
      <c r="R158" s="37">
        <f>'2022'!K14</f>
        <v>224</v>
      </c>
      <c r="S158" s="39">
        <f t="shared" si="29"/>
        <v>31.241312710754766</v>
      </c>
      <c r="T158" s="37">
        <f>'2022'!L14</f>
        <v>4.5999999999999996</v>
      </c>
      <c r="U158" s="40">
        <f>'2022'!M14</f>
        <v>5</v>
      </c>
      <c r="V158" s="41">
        <f>'2022'!N14</f>
        <v>0</v>
      </c>
      <c r="W158" s="42">
        <f>'2022'!O14</f>
        <v>1.3069139966273187E-2</v>
      </c>
      <c r="X158" s="42">
        <f>'2022'!P14</f>
        <v>3.2241289651586062E-2</v>
      </c>
      <c r="Y158" s="42">
        <f>'2022'!Q14</f>
        <v>0.2085860197893393</v>
      </c>
      <c r="Z158" s="42">
        <f>'2022'!R14</f>
        <v>0.30730050933786079</v>
      </c>
      <c r="AA158" s="42">
        <f>'2022'!S14</f>
        <v>0.30730050933786079</v>
      </c>
      <c r="AB158" s="42">
        <f>'2022'!T14</f>
        <v>0.2304753820033956</v>
      </c>
      <c r="AC158" s="42">
        <f>'2022'!U14</f>
        <v>4.3663739021329986E-2</v>
      </c>
      <c r="AD158" s="42">
        <f>'2022'!V14</f>
        <v>5.7966792892513837E-2</v>
      </c>
      <c r="AE158" s="42">
        <f>'2022'!W14</f>
        <v>5.7966792892513837E-2</v>
      </c>
      <c r="AF158" s="43">
        <f>'2022'!X14</f>
        <v>4.3475094669385379E-2</v>
      </c>
      <c r="AG158" s="44">
        <f>'2022'!Y14</f>
        <v>20.405479452054795</v>
      </c>
      <c r="AH158" s="45">
        <f>'2022'!Z14</f>
        <v>100.05681797878084</v>
      </c>
      <c r="AI158" s="45">
        <f>'2022'!AA14</f>
        <v>31.238246379686569</v>
      </c>
      <c r="AJ158" s="45">
        <f>'2022'!AB14</f>
        <v>0.28859060402684567</v>
      </c>
      <c r="AK158" s="45">
        <f>'2022'!AC14</f>
        <v>7.6</v>
      </c>
      <c r="AL158" s="45">
        <f t="shared" si="28"/>
        <v>9.7111111111111104</v>
      </c>
      <c r="AM158" s="45">
        <f t="shared" si="33"/>
        <v>9.2409240924092403E-2</v>
      </c>
      <c r="AN158" s="45">
        <f>'2022'!AD14</f>
        <v>142</v>
      </c>
      <c r="AO158" s="45">
        <f>'2022'!AE14</f>
        <v>4.72</v>
      </c>
      <c r="AP158" s="46">
        <f>'2022'!AF14</f>
        <v>50.9</v>
      </c>
      <c r="AQ158" s="47">
        <f>'2022'!AG14</f>
        <v>5</v>
      </c>
      <c r="AR158" s="48">
        <f>'2022'!AH14</f>
        <v>5</v>
      </c>
      <c r="AS158" s="48">
        <f>'2022'!AI14</f>
        <v>4</v>
      </c>
      <c r="AT158" s="48">
        <f>IF(AH158&gt;113.25,10,IF(AH158&gt;=107.84,9,IF(AH158&gt;=105.37,8,IF(AH158&gt;=103.25,7,IF(AH158&gt;=100.55,6,IF(AH158&gt;=98.75,5,IF(AH158&gt;=96.08,4,IF(AH158&gt;=94.39,3,IF(AH158&gt;=88.43,2,IF(AH158&gt;=85.16,1,IF(AH158&lt;85.16,0,FALSE)))))))))))</f>
        <v>5</v>
      </c>
      <c r="AU158" s="48">
        <f>'2022'!AK14</f>
        <v>8</v>
      </c>
      <c r="AV158" s="48">
        <f>'2022'!AL14</f>
        <v>9</v>
      </c>
      <c r="AW158" s="48">
        <f>'2022'!AM14</f>
        <v>7</v>
      </c>
      <c r="AX158" s="48">
        <f>'2022'!AN14</f>
        <v>7</v>
      </c>
      <c r="AY158" s="49">
        <f>IF(U158=1,10,IF(U158=2,7,IF(U158=3,6,IF(U158=4,4,IF(U158=5,3,IF(U158=6,2,IF(U158=7,1,IF(U158=0,0,"-"))))))))</f>
        <v>3</v>
      </c>
      <c r="AZ158" s="50">
        <f>'2022'!AP14</f>
        <v>0</v>
      </c>
      <c r="BA158" s="56">
        <f>'2022'!AQ14</f>
        <v>0</v>
      </c>
      <c r="BB158" s="57">
        <f>'2022'!AR14</f>
        <v>1697</v>
      </c>
      <c r="BC158" s="57">
        <f>'2022'!AS14</f>
        <v>0</v>
      </c>
      <c r="BD158" s="57">
        <f>'2022'!AT14</f>
        <v>12</v>
      </c>
      <c r="BE158" s="57">
        <f>'2022'!AU14</f>
        <v>0</v>
      </c>
      <c r="BF158" s="57">
        <f>'2022'!AV14</f>
        <v>0</v>
      </c>
      <c r="BG158" s="58">
        <f>'2022'!AW14</f>
        <v>0</v>
      </c>
      <c r="BH158" s="58">
        <f>'2022'!AX14</f>
        <v>0</v>
      </c>
      <c r="BI158" s="58">
        <f>'2022'!AY14</f>
        <v>0</v>
      </c>
      <c r="BJ158" s="58">
        <f>'2022'!AZ14</f>
        <v>0</v>
      </c>
      <c r="BK158" s="57">
        <f>'2022'!BA14</f>
        <v>0</v>
      </c>
      <c r="BL158" s="57">
        <f>'2022'!BB14</f>
        <v>2530</v>
      </c>
      <c r="BM158" s="57">
        <f>'2022'!BC14</f>
        <v>0</v>
      </c>
      <c r="BN158" s="57">
        <f>'2022'!BD14</f>
        <v>0</v>
      </c>
      <c r="BO158" s="59">
        <f>'2022'!BE14</f>
        <v>13</v>
      </c>
      <c r="BP158" s="56">
        <f>'2022'!BF14</f>
        <v>65</v>
      </c>
      <c r="BQ158" s="57">
        <f>'2022'!BG14</f>
        <v>1991</v>
      </c>
      <c r="BR158" s="57">
        <f>'2022'!BH14</f>
        <v>0</v>
      </c>
      <c r="BS158" s="57">
        <f>'2022'!BI14</f>
        <v>27</v>
      </c>
      <c r="BT158" s="57">
        <f>'2022'!BJ14</f>
        <v>9</v>
      </c>
      <c r="BU158" s="57">
        <f>'2022'!BK14</f>
        <v>0</v>
      </c>
      <c r="BV158" s="58">
        <f>'2022'!BL14</f>
        <v>7.2</v>
      </c>
      <c r="BW158" s="58">
        <f>'2022'!BM14</f>
        <v>0</v>
      </c>
      <c r="BX158" s="58">
        <f>'2022'!BN14</f>
        <v>2.89</v>
      </c>
      <c r="BY158" s="58">
        <f>'2022'!BO14</f>
        <v>67.7</v>
      </c>
      <c r="BZ158" s="57">
        <f>'2022'!BP14</f>
        <v>-3</v>
      </c>
      <c r="CA158" s="57">
        <f>'2022'!BQ14</f>
        <v>2753</v>
      </c>
      <c r="CB158" s="57">
        <f>'2022'!BR14</f>
        <v>0</v>
      </c>
      <c r="CC158" s="57">
        <f>'2022'!BS14</f>
        <v>0</v>
      </c>
      <c r="CD158" s="59">
        <f>'2022'!BT14</f>
        <v>18</v>
      </c>
      <c r="CE158" s="56">
        <f>'2022'!BU14</f>
        <v>119</v>
      </c>
      <c r="CF158" s="57">
        <f>'2022'!BV14</f>
        <v>2068</v>
      </c>
      <c r="CG158" s="57">
        <f>'2022'!BW14</f>
        <v>0</v>
      </c>
      <c r="CH158" s="57">
        <f>'2022'!BX14</f>
        <v>25</v>
      </c>
      <c r="CI158" s="57">
        <f>'2022'!BY14</f>
        <v>17</v>
      </c>
      <c r="CJ158" s="57">
        <f>'2022'!BZ14</f>
        <v>10</v>
      </c>
      <c r="CK158" s="58">
        <f>'2022'!CA14</f>
        <v>7</v>
      </c>
      <c r="CL158" s="58">
        <f>'2022'!CB14</f>
        <v>412.9</v>
      </c>
      <c r="CM158" s="58">
        <f>'2022'!CC14</f>
        <v>6.35</v>
      </c>
      <c r="CN158" s="58">
        <f>'2022'!CD14</f>
        <v>58.8</v>
      </c>
      <c r="CO158" s="57">
        <f>'2022'!CE14</f>
        <v>67</v>
      </c>
      <c r="CP158" s="57">
        <f>'2022'!CF14</f>
        <v>3701</v>
      </c>
      <c r="CQ158" s="57">
        <f>'2022'!CG14</f>
        <v>3</v>
      </c>
      <c r="CR158" s="57">
        <f>'2022'!CH14</f>
        <v>0</v>
      </c>
      <c r="CS158" s="59">
        <f>'2022'!CI14</f>
        <v>20</v>
      </c>
      <c r="CT158" s="56">
        <f>'2022'!CJ14</f>
        <v>1133</v>
      </c>
      <c r="CU158" s="57">
        <f>'2022'!CK14</f>
        <v>2281</v>
      </c>
      <c r="CV158" s="57">
        <f>'2022'!CL14</f>
        <v>13</v>
      </c>
      <c r="CW158" s="57">
        <f>'2022'!CM14</f>
        <v>34</v>
      </c>
      <c r="CX158" s="57">
        <f>'2022'!CN14</f>
        <v>149</v>
      </c>
      <c r="CY158" s="57">
        <f>'2022'!CO14</f>
        <v>43</v>
      </c>
      <c r="CZ158" s="58">
        <f>'2022'!CP14</f>
        <v>7.6</v>
      </c>
      <c r="DA158" s="58">
        <f>'2022'!CQ14</f>
        <v>142</v>
      </c>
      <c r="DB158" s="58">
        <f>'2022'!CR14</f>
        <v>4.72</v>
      </c>
      <c r="DC158" s="58">
        <f>'2022'!CS14</f>
        <v>50.9</v>
      </c>
      <c r="DD158" s="57">
        <f>'2022'!CT14</f>
        <v>174</v>
      </c>
      <c r="DE158" s="57">
        <f>'2022'!CU14</f>
        <v>3985</v>
      </c>
      <c r="DF158" s="57">
        <f>'2022'!CV14</f>
        <v>14</v>
      </c>
      <c r="DG158" s="57">
        <f>'2022'!CW14</f>
        <v>0</v>
      </c>
      <c r="DH158" s="59">
        <f>'2022'!CX14</f>
        <v>34</v>
      </c>
      <c r="DI158" s="56">
        <f>'2022'!CY14</f>
        <v>1611</v>
      </c>
      <c r="DJ158" s="57">
        <f>'2022'!CZ14</f>
        <v>2457</v>
      </c>
      <c r="DK158" s="57">
        <f>'2022'!DA14</f>
        <v>23</v>
      </c>
      <c r="DL158" s="57">
        <f>'2022'!DB14</f>
        <v>30</v>
      </c>
      <c r="DM158" s="57">
        <f>'2022'!DC14</f>
        <v>275</v>
      </c>
      <c r="DN158" s="57">
        <f>'2022'!DD14</f>
        <v>77</v>
      </c>
      <c r="DO158" s="58">
        <f>'2022'!DE14</f>
        <v>5.9</v>
      </c>
      <c r="DP158" s="58">
        <f>'2022'!DF14</f>
        <v>112.5</v>
      </c>
      <c r="DQ158" s="58">
        <f>'2022'!DG14</f>
        <v>4.16</v>
      </c>
      <c r="DR158" s="58">
        <f>'2022'!DH14</f>
        <v>36.799999999999997</v>
      </c>
      <c r="DS158" s="57">
        <f>'2022'!DI14</f>
        <v>199</v>
      </c>
      <c r="DT158" s="57">
        <f>'2022'!DJ14</f>
        <v>3433</v>
      </c>
      <c r="DU158" s="57">
        <f>'2022'!DK14</f>
        <v>28</v>
      </c>
      <c r="DV158" s="57">
        <f>'2022'!DL14</f>
        <v>0</v>
      </c>
      <c r="DW158" s="59">
        <f>'2022'!DM14</f>
        <v>26</v>
      </c>
    </row>
    <row r="159" spans="1:127" ht="15.75" customHeight="1" x14ac:dyDescent="0.2">
      <c r="A159" s="33">
        <f t="shared" si="25"/>
        <v>157</v>
      </c>
      <c r="B159" s="11">
        <f>'2019'!A16</f>
        <v>14</v>
      </c>
      <c r="C159" s="11">
        <v>2019</v>
      </c>
      <c r="D159" s="34" t="str">
        <f>'2019'!B16</f>
        <v>Jordan Scarlett</v>
      </c>
      <c r="E159" s="224" t="str" cm="1">
        <f t="array" ref="E159">_xlfn.IFS(F159&gt;=13,"Cornerstone",AND(F159&gt;=12,F159&lt;13),"Elite",AND(F159&gt;=11,F159&lt;12),"Elite Upside",AND(F159&gt;=9,F159&lt;11),"Upside",AND(F159&gt;=7,F159&lt;9),"Upside Lite",AND(F159&gt;=6,F159&lt;7),"Outlier",AND(F159&gt;=5,F159&lt;6),"Outlier Lite",F159&lt;5,"Purgatory")</f>
        <v>Outlier</v>
      </c>
      <c r="F159" s="14">
        <f>'2019'!C16</f>
        <v>6.6166666666666663</v>
      </c>
      <c r="G159" s="14">
        <f t="shared" si="31"/>
        <v>51.9</v>
      </c>
      <c r="H159" s="35">
        <f t="shared" si="26"/>
        <v>-0.58648150947422772</v>
      </c>
      <c r="I159" s="36" t="str">
        <f>'2019'!D16</f>
        <v>Florida</v>
      </c>
      <c r="J159" s="37">
        <f>'2019'!E16</f>
        <v>1</v>
      </c>
      <c r="K159" s="38">
        <f>'2019'!F16</f>
        <v>35104</v>
      </c>
      <c r="L159" s="39">
        <f>'2019'!G16</f>
        <v>29.652054794520549</v>
      </c>
      <c r="M159" s="39" t="str">
        <f>'2019'!H16</f>
        <v>JR</v>
      </c>
      <c r="N159" s="39">
        <f>'2019'!I16</f>
        <v>23.221917808219178</v>
      </c>
      <c r="O159" s="39" t="str">
        <f t="shared" si="27"/>
        <v>DYNAMIC</v>
      </c>
      <c r="P159" s="39" t="str">
        <f t="shared" si="32"/>
        <v>3DOWN</v>
      </c>
      <c r="Q159" s="37">
        <f>'2019'!J16</f>
        <v>71</v>
      </c>
      <c r="R159" s="37">
        <f>'2019'!K16</f>
        <v>208</v>
      </c>
      <c r="S159" s="39">
        <f t="shared" si="29"/>
        <v>29.009790374272285</v>
      </c>
      <c r="T159" s="37">
        <f>'2019'!L16</f>
        <v>4.47</v>
      </c>
      <c r="U159" s="40">
        <f>'2019'!M16</f>
        <v>5</v>
      </c>
      <c r="V159" s="41">
        <f>'2019'!N16</f>
        <v>0</v>
      </c>
      <c r="W159" s="42">
        <f>'2019'!O16</f>
        <v>3.8922155688622756E-2</v>
      </c>
      <c r="X159" s="42">
        <f>'2019'!P16</f>
        <v>0.2039355992844365</v>
      </c>
      <c r="Y159" s="42">
        <f>'2019'!Q16</f>
        <v>0</v>
      </c>
      <c r="Z159" s="42">
        <f>'2019'!R16</f>
        <v>0.15269515053181901</v>
      </c>
      <c r="AA159" s="42">
        <f>'2019'!S16</f>
        <v>0.17831537490812777</v>
      </c>
      <c r="AB159" s="42">
        <f>'2019'!T16</f>
        <v>0.17831537490812777</v>
      </c>
      <c r="AC159" s="42">
        <f>'2019'!U16</f>
        <v>0</v>
      </c>
      <c r="AD159" s="42">
        <f>'2019'!V16</f>
        <v>2.7377521613832854E-2</v>
      </c>
      <c r="AE159" s="42">
        <f>'2019'!W16</f>
        <v>2.7377521613832854E-2</v>
      </c>
      <c r="AF159" s="43">
        <f>'2019'!X16</f>
        <v>2.7377521613832854E-2</v>
      </c>
      <c r="AG159" s="44">
        <f>'2019'!Y16</f>
        <v>20.575342465753426</v>
      </c>
      <c r="AH159" s="45">
        <f>'2019'!Z16</f>
        <v>104.19892491456234</v>
      </c>
      <c r="AI159" s="45">
        <f>'2019'!AA16</f>
        <v>29.006943066851814</v>
      </c>
      <c r="AJ159" s="45">
        <f>'2019'!AB16</f>
        <v>0.32061068702290074</v>
      </c>
      <c r="AK159" s="45">
        <f>'2019'!AC16</f>
        <v>5.9</v>
      </c>
      <c r="AL159" s="45">
        <f t="shared" si="28"/>
        <v>7.1428571428571432</v>
      </c>
      <c r="AM159" s="45">
        <f t="shared" si="33"/>
        <v>6.4285714285714279E-2</v>
      </c>
      <c r="AN159" s="45">
        <f>'2019'!AD16</f>
        <v>125.5</v>
      </c>
      <c r="AO159" s="45">
        <f>'2019'!AE16</f>
        <v>3.99</v>
      </c>
      <c r="AP159" s="46">
        <f>'2019'!AF16</f>
        <v>37.1</v>
      </c>
      <c r="AQ159" s="47">
        <f>'2019'!AG16</f>
        <v>3</v>
      </c>
      <c r="AR159" s="48">
        <f>'2019'!AH16</f>
        <v>3</v>
      </c>
      <c r="AS159" s="48">
        <f>'2019'!AI16</f>
        <v>3</v>
      </c>
      <c r="AT159" s="48">
        <f>IF(AH159&gt;113.25,10,IF(AH159&gt;=107.84,9,IF(AH159&gt;=105.37,8,IF(AH159&gt;=103.25,7,IF(AH159&gt;=100.55,6,IF(AH159&gt;=98.75,5,IF(AH159&gt;=96.08,4,IF(AH159&gt;=94.39,3,IF(AH159&gt;=88.43,2,IF(AH159&gt;=85.16,1,IF(AH159&lt;85.16,0,FALSE)))))))))))</f>
        <v>7</v>
      </c>
      <c r="AU159" s="48">
        <f>'2019'!AK16</f>
        <v>9</v>
      </c>
      <c r="AV159" s="48">
        <f>'2019'!AL16</f>
        <v>4</v>
      </c>
      <c r="AW159" s="48">
        <f>'2019'!AM16</f>
        <v>6</v>
      </c>
      <c r="AX159" s="48">
        <f>'2019'!AN16</f>
        <v>4</v>
      </c>
      <c r="AY159" s="49">
        <f>IF(U159=1,10,IF(U159=2,7,IF(U159=3,6,IF(U159=4,4,IF(U159=5,3,IF(U159=6,2,IF(U159=7,1,IF(U159=0,0,"-"))))))))</f>
        <v>3</v>
      </c>
      <c r="AZ159" s="50">
        <f>'2019'!AP16</f>
        <v>0</v>
      </c>
      <c r="BA159" s="56">
        <f>'2019'!AQ16</f>
        <v>0</v>
      </c>
      <c r="BB159" s="57">
        <f>'2019'!AR16</f>
        <v>2252</v>
      </c>
      <c r="BC159" s="57">
        <f>'2019'!AS16</f>
        <v>0</v>
      </c>
      <c r="BD159" s="57">
        <f>'2019'!AT16</f>
        <v>22</v>
      </c>
      <c r="BE159" s="57">
        <f>'2019'!AU16</f>
        <v>0</v>
      </c>
      <c r="BF159" s="57">
        <f>'2019'!AV16</f>
        <v>0</v>
      </c>
      <c r="BG159" s="58">
        <f>'2019'!AW16</f>
        <v>0</v>
      </c>
      <c r="BH159" s="58">
        <f>'2019'!AX16</f>
        <v>0</v>
      </c>
      <c r="BI159" s="58">
        <f>'2019'!AY16</f>
        <v>0</v>
      </c>
      <c r="BJ159" s="58">
        <f>'2019'!AZ16</f>
        <v>0</v>
      </c>
      <c r="BK159" s="57">
        <f>'2019'!BA16</f>
        <v>0</v>
      </c>
      <c r="BL159" s="57">
        <f>'2019'!BB16</f>
        <v>2159</v>
      </c>
      <c r="BM159" s="57">
        <f>'2019'!BC16</f>
        <v>0</v>
      </c>
      <c r="BN159" s="57">
        <f>'2019'!BD16</f>
        <v>0</v>
      </c>
      <c r="BO159" s="59">
        <f>'2019'!BE16</f>
        <v>18</v>
      </c>
      <c r="BP159" s="56">
        <f>'2019'!BF16</f>
        <v>181</v>
      </c>
      <c r="BQ159" s="57">
        <f>'2019'!BG16</f>
        <v>1777</v>
      </c>
      <c r="BR159" s="57">
        <f>'2019'!BH16</f>
        <v>1</v>
      </c>
      <c r="BS159" s="57">
        <f>'2019'!BI16</f>
        <v>19</v>
      </c>
      <c r="BT159" s="57">
        <f>'2019'!BJ16</f>
        <v>34</v>
      </c>
      <c r="BU159" s="57">
        <f>'2019'!BK16</f>
        <v>10</v>
      </c>
      <c r="BV159" s="58">
        <f>'2019'!BL16</f>
        <v>5.3</v>
      </c>
      <c r="BW159" s="58">
        <f>'2019'!BM16</f>
        <v>109.2</v>
      </c>
      <c r="BX159" s="58">
        <f>'2019'!BN16</f>
        <v>3.82</v>
      </c>
      <c r="BY159" s="58">
        <f>'2019'!BO16</f>
        <v>52.5</v>
      </c>
      <c r="BZ159" s="57">
        <f>'2019'!BP16</f>
        <v>1</v>
      </c>
      <c r="CA159" s="57">
        <f>'2019'!BQ16</f>
        <v>2899</v>
      </c>
      <c r="CB159" s="57">
        <f>'2019'!BR16</f>
        <v>1</v>
      </c>
      <c r="CC159" s="57">
        <f>'2019'!BS16</f>
        <v>0</v>
      </c>
      <c r="CD159" s="59">
        <f>'2019'!BT16</f>
        <v>20</v>
      </c>
      <c r="CE159" s="56">
        <f>'2019'!BU16</f>
        <v>889</v>
      </c>
      <c r="CF159" s="57">
        <f>'2019'!BV16</f>
        <v>1667</v>
      </c>
      <c r="CG159" s="57">
        <f>'2019'!BW16</f>
        <v>6</v>
      </c>
      <c r="CH159" s="57">
        <f>'2019'!BX16</f>
        <v>11</v>
      </c>
      <c r="CI159" s="57">
        <f>'2019'!BY16</f>
        <v>179</v>
      </c>
      <c r="CJ159" s="57">
        <f>'2019'!BZ16</f>
        <v>50</v>
      </c>
      <c r="CK159" s="58">
        <f>'2019'!CA16</f>
        <v>5</v>
      </c>
      <c r="CL159" s="58">
        <f>'2019'!CB16</f>
        <v>104.5</v>
      </c>
      <c r="CM159" s="58">
        <f>'2019'!CC16</f>
        <v>3.75</v>
      </c>
      <c r="CN159" s="58">
        <f>'2019'!CD16</f>
        <v>26</v>
      </c>
      <c r="CO159" s="57">
        <f>'2019'!CE16</f>
        <v>23</v>
      </c>
      <c r="CP159" s="57">
        <f>'2019'!CF16</f>
        <v>2805</v>
      </c>
      <c r="CQ159" s="57">
        <f>'2019'!CG16</f>
        <v>4</v>
      </c>
      <c r="CR159" s="57">
        <f>'2019'!CH16</f>
        <v>0</v>
      </c>
      <c r="CS159" s="59">
        <f>'2019'!CI16</f>
        <v>18</v>
      </c>
      <c r="CT159" s="56">
        <f>'2019'!CJ16</f>
        <v>0</v>
      </c>
      <c r="CU159" s="57">
        <f>'2019'!CK16</f>
        <v>1720</v>
      </c>
      <c r="CV159" s="57">
        <f>'2019'!CL16</f>
        <v>0</v>
      </c>
      <c r="CW159" s="57">
        <f>'2019'!CM16</f>
        <v>15</v>
      </c>
      <c r="CX159" s="57">
        <f>'2019'!CN16</f>
        <v>0</v>
      </c>
      <c r="CY159" s="57">
        <f>'2019'!CO16</f>
        <v>0</v>
      </c>
      <c r="CZ159" s="58">
        <f>'2019'!CP16</f>
        <v>0</v>
      </c>
      <c r="DA159" s="58">
        <f>'2019'!CQ16</f>
        <v>0</v>
      </c>
      <c r="DB159" s="58">
        <f>'2019'!CR16</f>
        <v>0</v>
      </c>
      <c r="DC159" s="58">
        <f>'2019'!CS16</f>
        <v>0</v>
      </c>
      <c r="DD159" s="57">
        <f>'2019'!CT16</f>
        <v>0</v>
      </c>
      <c r="DE159" s="57">
        <f>'2019'!CU16</f>
        <v>1975</v>
      </c>
      <c r="DF159" s="57">
        <f>'2019'!CV16</f>
        <v>0</v>
      </c>
      <c r="DG159" s="57">
        <f>'2019'!CW16</f>
        <v>0</v>
      </c>
      <c r="DH159" s="59">
        <f>'2019'!CX16</f>
        <v>10</v>
      </c>
      <c r="DI159" s="56">
        <f>'2019'!CY16</f>
        <v>771</v>
      </c>
      <c r="DJ159" s="57">
        <f>'2019'!CZ16</f>
        <v>2771</v>
      </c>
      <c r="DK159" s="57">
        <f>'2019'!DA16</f>
        <v>5</v>
      </c>
      <c r="DL159" s="57">
        <f>'2019'!DB16</f>
        <v>23</v>
      </c>
      <c r="DM159" s="57">
        <f>'2019'!DC16</f>
        <v>131</v>
      </c>
      <c r="DN159" s="57">
        <f>'2019'!DD16</f>
        <v>42</v>
      </c>
      <c r="DO159" s="58">
        <f>'2019'!DE16</f>
        <v>5.9</v>
      </c>
      <c r="DP159" s="58">
        <f>'2019'!DF16</f>
        <v>125.5</v>
      </c>
      <c r="DQ159" s="58">
        <f>'2019'!DG16</f>
        <v>3.99</v>
      </c>
      <c r="DR159" s="58">
        <f>'2019'!DH16</f>
        <v>37.1</v>
      </c>
      <c r="DS159" s="57">
        <f>'2019'!DI16</f>
        <v>76</v>
      </c>
      <c r="DT159" s="57">
        <f>'2019'!DJ16</f>
        <v>2776</v>
      </c>
      <c r="DU159" s="57">
        <f>'2019'!DK16</f>
        <v>9</v>
      </c>
      <c r="DV159" s="57">
        <f>'2019'!DL16</f>
        <v>0</v>
      </c>
      <c r="DW159" s="59">
        <f>'2019'!DM16</f>
        <v>28</v>
      </c>
    </row>
    <row r="160" spans="1:127" ht="15.75" customHeight="1" x14ac:dyDescent="0.2">
      <c r="A160" s="33">
        <f t="shared" si="25"/>
        <v>158</v>
      </c>
      <c r="B160" s="11">
        <f>'2020'!A14</f>
        <v>12</v>
      </c>
      <c r="C160" s="11">
        <v>2020</v>
      </c>
      <c r="D160" s="34" t="str">
        <f>'2020'!B14</f>
        <v>Eno Benjamin</v>
      </c>
      <c r="E160" s="224" t="str" cm="1">
        <f t="array" ref="E160">_xlfn.IFS(F160&gt;=13,"Cornerstone",AND(F160&gt;=12,F160&lt;13),"Elite",AND(F160&gt;=11,F160&lt;12),"Elite Upside",AND(F160&gt;=9,F160&lt;11),"Upside",AND(F160&gt;=7,F160&lt;9),"Upside Lite",AND(F160&gt;=6,F160&lt;7),"Outlier",AND(F160&gt;=5,F160&lt;6),"Outlier Lite",F160&lt;5,"Purgatory")</f>
        <v>Outlier</v>
      </c>
      <c r="F160" s="14">
        <f>'2020'!C14</f>
        <v>6.6055555555555552</v>
      </c>
      <c r="G160" s="14">
        <f t="shared" si="31"/>
        <v>51.6</v>
      </c>
      <c r="H160" s="35">
        <f t="shared" si="26"/>
        <v>-0.59118401018800149</v>
      </c>
      <c r="I160" s="36" t="str">
        <f>'2020'!D14</f>
        <v>Arizona State</v>
      </c>
      <c r="J160" s="37">
        <f>'2020'!E14</f>
        <v>5</v>
      </c>
      <c r="K160" s="38">
        <f>'2020'!F14</f>
        <v>36263</v>
      </c>
      <c r="L160" s="39">
        <f>'2020'!G14</f>
        <v>26.476712328767125</v>
      </c>
      <c r="M160" s="39" t="str">
        <f>'2020'!H14</f>
        <v>JR</v>
      </c>
      <c r="N160" s="39">
        <f>'2020'!I14</f>
        <v>21.043835616438358</v>
      </c>
      <c r="O160" s="39" t="str">
        <f t="shared" si="27"/>
        <v>BELL CALF</v>
      </c>
      <c r="P160" s="39" t="str">
        <f t="shared" si="32"/>
        <v>PLODDER</v>
      </c>
      <c r="Q160" s="37">
        <f>'2020'!J14</f>
        <v>68</v>
      </c>
      <c r="R160" s="37">
        <f>'2020'!K14</f>
        <v>207</v>
      </c>
      <c r="S160" s="39">
        <f t="shared" si="29"/>
        <v>31.473893657129882</v>
      </c>
      <c r="T160" s="37">
        <f>'2020'!L14</f>
        <v>4.57</v>
      </c>
      <c r="U160" s="40">
        <f>'2020'!M14</f>
        <v>7</v>
      </c>
      <c r="V160" s="41">
        <f>'2020'!N14</f>
        <v>0</v>
      </c>
      <c r="W160" s="42">
        <f>'2020'!O14</f>
        <v>0</v>
      </c>
      <c r="X160" s="42">
        <f>'2020'!P14</f>
        <v>2.8750000000000001E-2</v>
      </c>
      <c r="Y160" s="42">
        <f>'2020'!Q14</f>
        <v>0.35167066642052797</v>
      </c>
      <c r="Z160" s="42">
        <f>'2020'!R14</f>
        <v>0.29212321686996073</v>
      </c>
      <c r="AA160" s="42">
        <f>'2020'!S14</f>
        <v>0.32189694164524435</v>
      </c>
      <c r="AB160" s="42">
        <f>'2020'!T14</f>
        <v>0.27361240039845769</v>
      </c>
      <c r="AC160" s="42">
        <f>'2020'!U14</f>
        <v>8.6942148760330573E-2</v>
      </c>
      <c r="AD160" s="42">
        <f>'2020'!V14</f>
        <v>0.10695517774343122</v>
      </c>
      <c r="AE160" s="42">
        <f>'2020'!W14</f>
        <v>0.10695517774343122</v>
      </c>
      <c r="AF160" s="43">
        <f>'2020'!X14</f>
        <v>9.0911901081916532E-2</v>
      </c>
      <c r="AG160" s="44">
        <f>'2020'!Y14</f>
        <v>19.397260273972602</v>
      </c>
      <c r="AH160" s="45">
        <f>'2020'!Z14</f>
        <v>94.915150530226384</v>
      </c>
      <c r="AI160" s="45">
        <f>'2020'!AA14</f>
        <v>31.470804498269896</v>
      </c>
      <c r="AJ160" s="45">
        <f>'2020'!AB14</f>
        <v>0.28000000000000003</v>
      </c>
      <c r="AK160" s="45">
        <f>'2020'!AC14</f>
        <v>5.5</v>
      </c>
      <c r="AL160" s="45">
        <f t="shared" si="28"/>
        <v>10.064516129032258</v>
      </c>
      <c r="AM160" s="45">
        <f t="shared" si="33"/>
        <v>0.14237288135593221</v>
      </c>
      <c r="AN160" s="45">
        <f>'2020'!AD14</f>
        <v>101.5</v>
      </c>
      <c r="AO160" s="45">
        <f>'2020'!AE14</f>
        <v>3.43</v>
      </c>
      <c r="AP160" s="46">
        <f>'2020'!AF14</f>
        <v>43.7</v>
      </c>
      <c r="AQ160" s="47">
        <f>'2020'!AG14</f>
        <v>7</v>
      </c>
      <c r="AR160" s="48">
        <f>'2020'!AH14</f>
        <v>9</v>
      </c>
      <c r="AS160" s="48">
        <f>'2020'!AI14</f>
        <v>6</v>
      </c>
      <c r="AT160" s="48">
        <f>IF(AH160&gt;113.25,10,IF(AH160&gt;=107.84,9,IF(AH160&gt;=105.37,8,IF(AH160&gt;=103.25,7,IF(AH160&gt;=100.55,6,IF(AH160&gt;=98.75,5,IF(AH160&gt;=96.08,4,IF(AH160&gt;=94.39,3,IF(AH160&gt;=88.43,2,IF(AH160&gt;=85.16,1,IF(AH160&lt;85.16,0,FALSE)))))))))))</f>
        <v>3</v>
      </c>
      <c r="AU160" s="48">
        <f>'2020'!AK14</f>
        <v>8</v>
      </c>
      <c r="AV160" s="48">
        <f>'2020'!AL14</f>
        <v>3</v>
      </c>
      <c r="AW160" s="48">
        <f>'2020'!AM14</f>
        <v>4</v>
      </c>
      <c r="AX160" s="48">
        <f>'2020'!AN14</f>
        <v>1</v>
      </c>
      <c r="AY160" s="49">
        <f>IF(U160=1,10,IF(U160=2,7,IF(U160=3,6,IF(U160=4,4,IF(U160=5,3,IF(U160=6,2,IF(U160=7,1,IF(U160=0,0,"-"))))))))</f>
        <v>1</v>
      </c>
      <c r="AZ160" s="50">
        <f>'2020'!AP14</f>
        <v>0</v>
      </c>
      <c r="BA160" s="56">
        <f>'2020'!AQ14</f>
        <v>0</v>
      </c>
      <c r="BB160" s="57">
        <f>'2020'!AR14</f>
        <v>2319</v>
      </c>
      <c r="BC160" s="57">
        <f>'2020'!AS14</f>
        <v>0</v>
      </c>
      <c r="BD160" s="57">
        <f>'2020'!AT14</f>
        <v>19</v>
      </c>
      <c r="BE160" s="57">
        <f>'2020'!AU14</f>
        <v>0</v>
      </c>
      <c r="BF160" s="57">
        <f>'2020'!AV14</f>
        <v>0</v>
      </c>
      <c r="BG160" s="58">
        <f>'2020'!AW14</f>
        <v>0</v>
      </c>
      <c r="BH160" s="58">
        <f>'2020'!AX14</f>
        <v>0</v>
      </c>
      <c r="BI160" s="58">
        <f>'2020'!AY14</f>
        <v>0</v>
      </c>
      <c r="BJ160" s="58">
        <f>'2020'!AZ14</f>
        <v>0</v>
      </c>
      <c r="BK160" s="57">
        <f>'2020'!BA14</f>
        <v>0</v>
      </c>
      <c r="BL160" s="57">
        <f>'2020'!BB14</f>
        <v>3887</v>
      </c>
      <c r="BM160" s="57">
        <f>'2020'!BC14</f>
        <v>0</v>
      </c>
      <c r="BN160" s="57">
        <f>'2020'!BD14</f>
        <v>0</v>
      </c>
      <c r="BO160" s="59">
        <f>'2020'!BE14</f>
        <v>30</v>
      </c>
      <c r="BP160" s="56">
        <f>'2020'!BF14</f>
        <v>0</v>
      </c>
      <c r="BQ160" s="57">
        <f>'2020'!BG14</f>
        <v>1578</v>
      </c>
      <c r="BR160" s="57">
        <f>'2020'!BH14</f>
        <v>0</v>
      </c>
      <c r="BS160" s="57">
        <f>'2020'!BI14</f>
        <v>27</v>
      </c>
      <c r="BT160" s="57">
        <f>'2020'!BJ14</f>
        <v>0</v>
      </c>
      <c r="BU160" s="57">
        <f>'2020'!BK14</f>
        <v>0</v>
      </c>
      <c r="BV160" s="58">
        <f>'2020'!BL14</f>
        <v>0</v>
      </c>
      <c r="BW160" s="58">
        <f>'2020'!BM14</f>
        <v>0</v>
      </c>
      <c r="BX160" s="58">
        <f>'2020'!BN14</f>
        <v>0</v>
      </c>
      <c r="BY160" s="58">
        <f>'2020'!BO14</f>
        <v>0</v>
      </c>
      <c r="BZ160" s="57">
        <f>'2020'!BP14</f>
        <v>0</v>
      </c>
      <c r="CA160" s="57">
        <f>'2020'!BQ14</f>
        <v>3111</v>
      </c>
      <c r="CB160" s="57">
        <f>'2020'!BR14</f>
        <v>0</v>
      </c>
      <c r="CC160" s="57">
        <f>'2020'!BS14</f>
        <v>0</v>
      </c>
      <c r="CD160" s="59">
        <f>'2020'!BT14</f>
        <v>16</v>
      </c>
      <c r="CE160" s="56">
        <f>'2020'!BU14</f>
        <v>146</v>
      </c>
      <c r="CF160" s="57">
        <f>'2020'!BV14</f>
        <v>2276</v>
      </c>
      <c r="CG160" s="57">
        <f>'2020'!BW14</f>
        <v>1</v>
      </c>
      <c r="CH160" s="57">
        <f>'2020'!BX14</f>
        <v>27</v>
      </c>
      <c r="CI160" s="57">
        <f>'2020'!BY14</f>
        <v>23</v>
      </c>
      <c r="CJ160" s="57">
        <f>'2020'!BZ14</f>
        <v>9</v>
      </c>
      <c r="CK160" s="58">
        <f>'2020'!CA14</f>
        <v>6.3</v>
      </c>
      <c r="CL160" s="58">
        <f>'2020'!CB14</f>
        <v>153.69999999999999</v>
      </c>
      <c r="CM160" s="58">
        <f>'2020'!CC14</f>
        <v>3.91</v>
      </c>
      <c r="CN160" s="58">
        <f>'2020'!CD14</f>
        <v>52.7</v>
      </c>
      <c r="CO160" s="57">
        <f>'2020'!CE14</f>
        <v>15</v>
      </c>
      <c r="CP160" s="57">
        <f>'2020'!CF14</f>
        <v>3324</v>
      </c>
      <c r="CQ160" s="57">
        <f>'2020'!CG14</f>
        <v>5</v>
      </c>
      <c r="CR160" s="57">
        <f>'2020'!CH14</f>
        <v>0</v>
      </c>
      <c r="CS160" s="59">
        <f>'2020'!CI14</f>
        <v>21</v>
      </c>
      <c r="CT160" s="56">
        <f>'2020'!CJ14</f>
        <v>1642</v>
      </c>
      <c r="CU160" s="57">
        <f>'2020'!CK14</f>
        <v>2392</v>
      </c>
      <c r="CV160" s="57">
        <f>'2020'!CL14</f>
        <v>16</v>
      </c>
      <c r="CW160" s="57">
        <f>'2020'!CM14</f>
        <v>26</v>
      </c>
      <c r="CX160" s="57">
        <f>'2020'!CN14</f>
        <v>300</v>
      </c>
      <c r="CY160" s="57">
        <f>'2020'!CO14</f>
        <v>84</v>
      </c>
      <c r="CZ160" s="58">
        <f>'2020'!CP14</f>
        <v>5.5</v>
      </c>
      <c r="DA160" s="58">
        <f>'2020'!CQ14</f>
        <v>101.5</v>
      </c>
      <c r="DB160" s="58">
        <f>'2020'!CR14</f>
        <v>3.43</v>
      </c>
      <c r="DC160" s="58">
        <f>'2020'!CS14</f>
        <v>43.7</v>
      </c>
      <c r="DD160" s="57">
        <f>'2020'!CT14</f>
        <v>263</v>
      </c>
      <c r="DE160" s="57">
        <f>'2020'!CU14</f>
        <v>3025</v>
      </c>
      <c r="DF160" s="57">
        <f>'2020'!CV14</f>
        <v>15</v>
      </c>
      <c r="DG160" s="57">
        <f>'2020'!CW14</f>
        <v>0</v>
      </c>
      <c r="DH160" s="59">
        <f>'2020'!CX14</f>
        <v>20</v>
      </c>
      <c r="DI160" s="56">
        <f>'2020'!CY14</f>
        <v>1067</v>
      </c>
      <c r="DJ160" s="57">
        <f>'2020'!CZ14</f>
        <v>1602</v>
      </c>
      <c r="DK160" s="57">
        <f>'2020'!DA14</f>
        <v>10</v>
      </c>
      <c r="DL160" s="57">
        <f>'2020'!DB14</f>
        <v>13</v>
      </c>
      <c r="DM160" s="57">
        <f>'2020'!DC14</f>
        <v>253</v>
      </c>
      <c r="DN160" s="57">
        <f>'2020'!DD14</f>
        <v>62</v>
      </c>
      <c r="DO160" s="58">
        <f>'2020'!DE14</f>
        <v>4.2</v>
      </c>
      <c r="DP160" s="58">
        <f>'2020'!DF14</f>
        <v>69.900000000000006</v>
      </c>
      <c r="DQ160" s="58">
        <f>'2020'!DG14</f>
        <v>2.91</v>
      </c>
      <c r="DR160" s="58">
        <f>'2020'!DH14</f>
        <v>23</v>
      </c>
      <c r="DS160" s="57">
        <f>'2020'!DI14</f>
        <v>346</v>
      </c>
      <c r="DT160" s="57">
        <f>'2020'!DJ14</f>
        <v>3235</v>
      </c>
      <c r="DU160" s="57">
        <f>'2020'!DK14</f>
        <v>42</v>
      </c>
      <c r="DV160" s="57">
        <f>'2020'!DL14</f>
        <v>0</v>
      </c>
      <c r="DW160" s="59">
        <f>'2020'!DM14</f>
        <v>21</v>
      </c>
    </row>
    <row r="161" spans="1:127" ht="15.75" customHeight="1" x14ac:dyDescent="0.2">
      <c r="A161" s="33">
        <f t="shared" si="25"/>
        <v>159</v>
      </c>
      <c r="B161" s="11">
        <f>'2025'!A22</f>
        <v>20</v>
      </c>
      <c r="C161" s="11">
        <v>2025</v>
      </c>
      <c r="D161" s="34" t="str">
        <f>'2025'!B22</f>
        <v>Raheim Sanders</v>
      </c>
      <c r="E161" s="224" t="str" cm="1">
        <f t="array" ref="E161">_xlfn.IFS(F161&gt;=13,"Cornerstone",AND(F161&gt;=12,F161&lt;13),"Elite",AND(F161&gt;=11,F161&lt;12),"Elite Upside",AND(F161&gt;=9,F161&lt;11),"Upside",AND(F161&gt;=7,F161&lt;9),"Upside Lite",AND(F161&gt;=6,F161&lt;7),"Outlier",AND(F161&gt;=5,F161&lt;6),"Outlier Lite",F161&lt;5,"Purgatory")</f>
        <v>Outlier</v>
      </c>
      <c r="F161" s="14">
        <f>'2025'!C22</f>
        <v>6.6000000000000005</v>
      </c>
      <c r="G161" s="14">
        <f t="shared" si="31"/>
        <v>51.300000000000004</v>
      </c>
      <c r="H161" s="35">
        <f t="shared" si="26"/>
        <v>-0.59353526054488803</v>
      </c>
      <c r="I161" s="36" t="str">
        <f>'2025'!D22</f>
        <v>South Carolina</v>
      </c>
      <c r="J161" s="37">
        <f>'2025'!E22</f>
        <v>1</v>
      </c>
      <c r="K161" s="38">
        <f>'2025'!F22</f>
        <v>37415</v>
      </c>
      <c r="L161" s="39">
        <f>'2025'!G22</f>
        <v>23.32054794520548</v>
      </c>
      <c r="M161" s="39" t="str">
        <f>'2025'!H22</f>
        <v>SR</v>
      </c>
      <c r="N161" s="39">
        <f>'2025'!I22</f>
        <v>22.901369863013699</v>
      </c>
      <c r="O161" s="39" t="str">
        <f t="shared" si="27"/>
        <v>FREAK</v>
      </c>
      <c r="P161" s="39" t="str">
        <f t="shared" si="32"/>
        <v>SLASHER</v>
      </c>
      <c r="Q161" s="37">
        <f>'2025'!J22</f>
        <v>72</v>
      </c>
      <c r="R161" s="37">
        <f>'2025'!K22</f>
        <v>217</v>
      </c>
      <c r="S161" s="39">
        <f t="shared" si="29"/>
        <v>29.430164801687628</v>
      </c>
      <c r="T161" s="37">
        <f>'2025'!L22</f>
        <v>4.46</v>
      </c>
      <c r="U161" s="40">
        <f>'2025'!M22</f>
        <v>0</v>
      </c>
      <c r="V161" s="41">
        <f>'2025'!N22</f>
        <v>0</v>
      </c>
      <c r="W161" s="42">
        <f>'2025'!O22</f>
        <v>0.11921081399989587</v>
      </c>
      <c r="X161" s="42">
        <f>'2025'!P22</f>
        <v>0.28022561922668193</v>
      </c>
      <c r="Y161" s="42">
        <f>'2025'!Q22</f>
        <v>0.14497192445125065</v>
      </c>
      <c r="Z161" s="42">
        <f>'2025'!R22</f>
        <v>0.24358345594245542</v>
      </c>
      <c r="AA161" s="42">
        <f>'2025'!S22</f>
        <v>0.26190453758456866</v>
      </c>
      <c r="AB161" s="42">
        <f>'2025'!T22</f>
        <v>0.26190453758456866</v>
      </c>
      <c r="AC161" s="42">
        <f>'2025'!U22</f>
        <v>6.6666666666666666E-2</v>
      </c>
      <c r="AD161" s="42">
        <f>'2025'!V22</f>
        <v>0.11601014622500745</v>
      </c>
      <c r="AE161" s="42">
        <f>'2025'!W22</f>
        <v>0.11601014622500745</v>
      </c>
      <c r="AF161" s="43">
        <f>'2025'!X22</f>
        <v>0.11601014622500745</v>
      </c>
      <c r="AG161" s="44">
        <f>'2025'!Y22</f>
        <v>20.257534246575343</v>
      </c>
      <c r="AH161" s="45">
        <f>'2025'!Z22</f>
        <v>109.68577159094527</v>
      </c>
      <c r="AI161" s="45">
        <f>'2025'!AA22</f>
        <v>29.427276234567902</v>
      </c>
      <c r="AJ161" s="45">
        <f>'2025'!AB22</f>
        <v>0.29017857142857145</v>
      </c>
      <c r="AK161" s="45">
        <f>'2025'!AC22</f>
        <v>4.8142076502732243</v>
      </c>
      <c r="AL161" s="45">
        <f t="shared" si="28"/>
        <v>9.9066666666666663</v>
      </c>
      <c r="AM161" s="45">
        <f t="shared" si="33"/>
        <v>0.12857142857142856</v>
      </c>
      <c r="AN161" s="45">
        <f>'2025'!AD22</f>
        <v>119.4</v>
      </c>
      <c r="AO161" s="45">
        <f>'2025'!AE22</f>
        <v>3.69</v>
      </c>
      <c r="AP161" s="46">
        <f>'2025'!AF22</f>
        <v>47.6</v>
      </c>
      <c r="AQ161" s="47">
        <f>'2025'!AG22</f>
        <v>7</v>
      </c>
      <c r="AR161" s="48">
        <f>'2025'!AH22</f>
        <v>9</v>
      </c>
      <c r="AS161" s="48">
        <f>'2025'!AI22</f>
        <v>4</v>
      </c>
      <c r="AT161" s="48">
        <f>'2025'!AJ22</f>
        <v>9</v>
      </c>
      <c r="AU161" s="48">
        <f>'2025'!AK22</f>
        <v>8</v>
      </c>
      <c r="AV161" s="48">
        <f>'2025'!AL22</f>
        <v>0</v>
      </c>
      <c r="AW161" s="48">
        <f>'2025'!AM22</f>
        <v>6</v>
      </c>
      <c r="AX161" s="48">
        <f>'2025'!AN22</f>
        <v>3</v>
      </c>
      <c r="AY161" s="49">
        <f>'2025'!AO22</f>
        <v>0</v>
      </c>
      <c r="AZ161" s="50">
        <f>'2025'!AP22</f>
        <v>0</v>
      </c>
      <c r="BA161" s="56">
        <f>'2025'!AQ22</f>
        <v>0</v>
      </c>
      <c r="BB161" s="57">
        <f>'2025'!AR22</f>
        <v>1</v>
      </c>
      <c r="BC161" s="57">
        <f>'2025'!AS22</f>
        <v>0</v>
      </c>
      <c r="BD161" s="57">
        <f>'2025'!AT22</f>
        <v>0</v>
      </c>
      <c r="BE161" s="57">
        <f>'2025'!AU22</f>
        <v>0</v>
      </c>
      <c r="BF161" s="57">
        <f>'2025'!AV22</f>
        <v>0</v>
      </c>
      <c r="BG161" s="58">
        <f>'2025'!AW22</f>
        <v>0</v>
      </c>
      <c r="BH161" s="58">
        <f>'2025'!AX22</f>
        <v>0</v>
      </c>
      <c r="BI161" s="58">
        <f>'2025'!AY22</f>
        <v>0</v>
      </c>
      <c r="BJ161" s="58">
        <f>'2025'!AZ22</f>
        <v>0</v>
      </c>
      <c r="BK161" s="57">
        <f>'2025'!BA22</f>
        <v>0</v>
      </c>
      <c r="BL161" s="57">
        <f>'2025'!BB22</f>
        <v>1</v>
      </c>
      <c r="BM161" s="57">
        <f>'2025'!BC22</f>
        <v>0</v>
      </c>
      <c r="BN161" s="57">
        <f>'2025'!BD22</f>
        <v>0</v>
      </c>
      <c r="BO161" s="59">
        <f>'2025'!BE22</f>
        <v>0</v>
      </c>
      <c r="BP161" s="56">
        <f>'2025'!BF22</f>
        <v>578</v>
      </c>
      <c r="BQ161" s="57">
        <f>'2025'!BG22</f>
        <v>2982.2000000000003</v>
      </c>
      <c r="BR161" s="57">
        <f>'2025'!BH22</f>
        <v>5</v>
      </c>
      <c r="BS161" s="57">
        <f>'2025'!BI22</f>
        <v>26</v>
      </c>
      <c r="BT161" s="57">
        <f>'2025'!BJ22</f>
        <v>114</v>
      </c>
      <c r="BU161" s="57">
        <f>'2025'!BK22</f>
        <v>19</v>
      </c>
      <c r="BV161" s="58">
        <f>'2025'!BL22</f>
        <v>5.0701754385964914</v>
      </c>
      <c r="BW161" s="58">
        <f>'2025'!BM22</f>
        <v>58.6</v>
      </c>
      <c r="BX161" s="58">
        <f>'2025'!BN22</f>
        <v>3.18</v>
      </c>
      <c r="BY161" s="58">
        <f>'2025'!BO22</f>
        <v>15.4</v>
      </c>
      <c r="BZ161" s="57">
        <f>'2025'!BP22</f>
        <v>109</v>
      </c>
      <c r="CA161" s="57">
        <f>'2025'!BQ22</f>
        <v>2780.7000000000003</v>
      </c>
      <c r="CB161" s="57">
        <f>'2025'!BR22</f>
        <v>11</v>
      </c>
      <c r="CC161" s="57">
        <f>'2025'!BS22</f>
        <v>1</v>
      </c>
      <c r="CD161" s="59">
        <f>'2025'!BT22</f>
        <v>22.099999999999998</v>
      </c>
      <c r="CE161" s="56">
        <f>'2025'!BU22</f>
        <v>1466</v>
      </c>
      <c r="CF161" s="57">
        <f>'2025'!BV22</f>
        <v>3077.1</v>
      </c>
      <c r="CG161" s="57">
        <f>'2025'!BW22</f>
        <v>10</v>
      </c>
      <c r="CH161" s="57">
        <f>'2025'!BX22</f>
        <v>27.3</v>
      </c>
      <c r="CI161" s="57">
        <f>'2025'!BY22</f>
        <v>224</v>
      </c>
      <c r="CJ161" s="57">
        <f>'2025'!BZ22</f>
        <v>65</v>
      </c>
      <c r="CK161" s="58">
        <f>'2025'!CA22</f>
        <v>6.5446428571428568</v>
      </c>
      <c r="CL161" s="58">
        <f>'2025'!CB22</f>
        <v>93.8</v>
      </c>
      <c r="CM161" s="58">
        <f>'2025'!CC22</f>
        <v>3.14</v>
      </c>
      <c r="CN161" s="58">
        <f>'2025'!CD22</f>
        <v>47.6</v>
      </c>
      <c r="CO161" s="57">
        <f>'2025'!CE22</f>
        <v>248</v>
      </c>
      <c r="CP161" s="57">
        <f>'2025'!CF22</f>
        <v>3039.4</v>
      </c>
      <c r="CQ161" s="57">
        <f>'2025'!CG22</f>
        <v>27</v>
      </c>
      <c r="CR161" s="57">
        <f>'2025'!CH22</f>
        <v>2</v>
      </c>
      <c r="CS161" s="59">
        <f>'2025'!CI22</f>
        <v>26</v>
      </c>
      <c r="CT161" s="56">
        <f>'2025'!CJ22</f>
        <v>209</v>
      </c>
      <c r="CU161" s="57">
        <f>'2025'!CK22</f>
        <v>834</v>
      </c>
      <c r="CV161" s="57">
        <f>'2025'!CL22</f>
        <v>2</v>
      </c>
      <c r="CW161" s="57">
        <f>'2025'!CM22</f>
        <v>4.8000000000000007</v>
      </c>
      <c r="CX161" s="57">
        <f>'2025'!CN22</f>
        <v>62</v>
      </c>
      <c r="CY161" s="57">
        <f>'2025'!CO22</f>
        <v>14</v>
      </c>
      <c r="CZ161" s="58">
        <f>'2025'!CP22</f>
        <v>3.370967741935484</v>
      </c>
      <c r="DA161" s="58">
        <f>'2025'!CQ22</f>
        <v>64.7</v>
      </c>
      <c r="DB161" s="58">
        <f>'2025'!CR22</f>
        <v>2.4500000000000002</v>
      </c>
      <c r="DC161" s="58">
        <f>'2025'!CS22</f>
        <v>16.3</v>
      </c>
      <c r="DD161" s="57">
        <f>'2025'!CT22</f>
        <v>75</v>
      </c>
      <c r="DE161" s="57">
        <f>'2025'!CU22</f>
        <v>1125</v>
      </c>
      <c r="DF161" s="57">
        <f>'2025'!CV22</f>
        <v>10</v>
      </c>
      <c r="DG161" s="57">
        <f>'2025'!CW22</f>
        <v>0</v>
      </c>
      <c r="DH161" s="59">
        <f>'2025'!CX22</f>
        <v>10.8</v>
      </c>
      <c r="DI161" s="56">
        <f>'2025'!CY22</f>
        <v>881</v>
      </c>
      <c r="DJ161" s="57">
        <f>'2025'!CZ22</f>
        <v>2212.8000000000002</v>
      </c>
      <c r="DK161" s="57">
        <f>'2025'!DA22</f>
        <v>11</v>
      </c>
      <c r="DL161" s="57">
        <f>'2025'!DB22</f>
        <v>25.200000000000003</v>
      </c>
      <c r="DM161" s="57">
        <f>'2025'!DC22</f>
        <v>183</v>
      </c>
      <c r="DN161" s="57">
        <f>'2025'!DD22</f>
        <v>46</v>
      </c>
      <c r="DO161" s="58">
        <f>'2025'!DE22</f>
        <v>4.8142076502732243</v>
      </c>
      <c r="DP161" s="58">
        <f>'2025'!DF22</f>
        <v>119.4</v>
      </c>
      <c r="DQ161" s="58">
        <f>'2025'!DG22</f>
        <v>3.69</v>
      </c>
      <c r="DR161" s="58">
        <f>'2025'!DH22</f>
        <v>37.1</v>
      </c>
      <c r="DS161" s="57">
        <f>'2025'!DI22</f>
        <v>311</v>
      </c>
      <c r="DT161" s="57">
        <f>'2025'!DJ22</f>
        <v>2680.8</v>
      </c>
      <c r="DU161" s="57">
        <f>'2025'!DK22</f>
        <v>27</v>
      </c>
      <c r="DV161" s="57">
        <f>'2025'!DL22</f>
        <v>2</v>
      </c>
      <c r="DW161" s="59">
        <f>'2025'!DM22</f>
        <v>20.399999999999999</v>
      </c>
    </row>
    <row r="162" spans="1:127" ht="15.75" customHeight="1" x14ac:dyDescent="0.2">
      <c r="A162" s="33">
        <f t="shared" si="25"/>
        <v>160</v>
      </c>
      <c r="B162" s="11">
        <f>'2020'!A15</f>
        <v>13</v>
      </c>
      <c r="C162" s="11">
        <v>2020</v>
      </c>
      <c r="D162" s="34" t="str">
        <f>'2020'!B15</f>
        <v>Darrynton Evans</v>
      </c>
      <c r="E162" s="224" t="str" cm="1">
        <f t="array" ref="E162">_xlfn.IFS(F162&gt;=13,"Cornerstone",AND(F162&gt;=12,F162&lt;13),"Elite",AND(F162&gt;=11,F162&lt;12),"Elite Upside",AND(F162&gt;=9,F162&lt;11),"Upside",AND(F162&gt;=7,F162&lt;9),"Upside Lite",AND(F162&gt;=6,F162&lt;7),"Outlier",AND(F162&gt;=5,F162&lt;6),"Outlier Lite",F162&lt;5,"Purgatory")</f>
        <v>Outlier</v>
      </c>
      <c r="F162" s="14">
        <f>'2020'!C15</f>
        <v>6.5944444444444441</v>
      </c>
      <c r="G162" s="14">
        <f t="shared" si="31"/>
        <v>51</v>
      </c>
      <c r="H162" s="35">
        <f t="shared" si="26"/>
        <v>-0.59588651090177525</v>
      </c>
      <c r="I162" s="36" t="str">
        <f>'2020'!D15</f>
        <v>App State</v>
      </c>
      <c r="J162" s="37">
        <f>'2020'!E15</f>
        <v>8</v>
      </c>
      <c r="K162" s="38">
        <f>'2020'!F15</f>
        <v>35985</v>
      </c>
      <c r="L162" s="39">
        <f>'2020'!G15</f>
        <v>27.238356164383561</v>
      </c>
      <c r="M162" s="39" t="str">
        <f>'2020'!H15</f>
        <v>JR</v>
      </c>
      <c r="N162" s="39">
        <f>'2020'!I15</f>
        <v>21.805479452054794</v>
      </c>
      <c r="O162" s="39" t="str">
        <f t="shared" si="27"/>
        <v>DYNAMIC</v>
      </c>
      <c r="P162" s="39" t="str">
        <f t="shared" si="32"/>
        <v>HORSE</v>
      </c>
      <c r="Q162" s="37">
        <f>'2020'!J15</f>
        <v>70</v>
      </c>
      <c r="R162" s="37">
        <f>'2020'!K15</f>
        <v>203</v>
      </c>
      <c r="S162" s="39">
        <f t="shared" si="29"/>
        <v>29.127144540003364</v>
      </c>
      <c r="T162" s="37">
        <f>'2020'!L15</f>
        <v>4.41</v>
      </c>
      <c r="U162" s="40">
        <f>'2020'!M15</f>
        <v>3</v>
      </c>
      <c r="V162" s="41">
        <f>'2020'!N15</f>
        <v>0</v>
      </c>
      <c r="W162" s="42">
        <f>'2020'!O15</f>
        <v>4.4551798174986577E-2</v>
      </c>
      <c r="X162" s="42">
        <f>'2020'!P15</f>
        <v>0</v>
      </c>
      <c r="Y162" s="42">
        <f>'2020'!Q15</f>
        <v>0.22719971443869355</v>
      </c>
      <c r="Z162" s="42">
        <f>'2020'!R15</f>
        <v>0.27737467018469658</v>
      </c>
      <c r="AA162" s="42">
        <f>'2020'!S15</f>
        <v>0.27737467018469658</v>
      </c>
      <c r="AB162" s="42">
        <f>'2020'!T15</f>
        <v>0.18029353562005279</v>
      </c>
      <c r="AC162" s="42">
        <f>'2020'!U15</f>
        <v>3.5916061339790153E-2</v>
      </c>
      <c r="AD162" s="42">
        <f>'2020'!V15</f>
        <v>7.0113314447592071E-2</v>
      </c>
      <c r="AE162" s="42">
        <f>'2020'!W15</f>
        <v>7.0113314447592071E-2</v>
      </c>
      <c r="AF162" s="43">
        <f>'2020'!X15</f>
        <v>4.5573654390934845E-2</v>
      </c>
      <c r="AG162" s="44">
        <f>'2020'!Y15</f>
        <v>20.158904109589042</v>
      </c>
      <c r="AH162" s="45">
        <f>'2020'!Z15</f>
        <v>107.34249257173711</v>
      </c>
      <c r="AI162" s="45">
        <f>'2020'!AA15</f>
        <v>29.124285714285712</v>
      </c>
      <c r="AJ162" s="45">
        <f>'2020'!AB15</f>
        <v>0.1953125</v>
      </c>
      <c r="AK162" s="45">
        <f>'2020'!AC15</f>
        <v>6.7</v>
      </c>
      <c r="AL162" s="45">
        <f t="shared" si="28"/>
        <v>11.392857142857142</v>
      </c>
      <c r="AM162" s="45">
        <f t="shared" si="33"/>
        <v>7.5812274368231042E-2</v>
      </c>
      <c r="AN162" s="45">
        <f>'2020'!AD15</f>
        <v>71.400000000000006</v>
      </c>
      <c r="AO162" s="45">
        <f>'2020'!AE15</f>
        <v>3.9</v>
      </c>
      <c r="AP162" s="46">
        <f>'2020'!AF15</f>
        <v>65.5</v>
      </c>
      <c r="AQ162" s="47">
        <f>'2020'!AG15</f>
        <v>3</v>
      </c>
      <c r="AR162" s="48">
        <f>'2020'!AH15</f>
        <v>5</v>
      </c>
      <c r="AS162" s="48">
        <f>'2020'!AI15</f>
        <v>4</v>
      </c>
      <c r="AT162" s="48">
        <f>IF(AH162&gt;113.25,10,IF(AH162&gt;=107.84,9,IF(AH162&gt;=105.37,8,IF(AH162&gt;=103.25,7,IF(AH162&gt;=100.55,6,IF(AH162&gt;=98.75,5,IF(AH162&gt;=96.08,4,IF(AH162&gt;=94.39,3,IF(AH162&gt;=88.43,2,IF(AH162&gt;=85.16,1,IF(AH162&lt;85.16,0,FALSE)))))))))))</f>
        <v>8</v>
      </c>
      <c r="AU162" s="48">
        <f>'2020'!AK15</f>
        <v>3</v>
      </c>
      <c r="AV162" s="48">
        <f>'2020'!AL15</f>
        <v>7</v>
      </c>
      <c r="AW162" s="48">
        <f>'2020'!AM15</f>
        <v>1</v>
      </c>
      <c r="AX162" s="48">
        <f>'2020'!AN15</f>
        <v>4</v>
      </c>
      <c r="AY162" s="49">
        <f>IF(U162=1,10,IF(U162=2,7,IF(U162=3,6,IF(U162=4,4,IF(U162=5,3,IF(U162=6,2,IF(U162=7,1,IF(U162=0,0,"-"))))))))</f>
        <v>6</v>
      </c>
      <c r="AZ162" s="50">
        <f>'2020'!AP15</f>
        <v>0</v>
      </c>
      <c r="BA162" s="56">
        <f>'2020'!AQ15</f>
        <v>0</v>
      </c>
      <c r="BB162" s="57">
        <f>'2020'!AR15</f>
        <v>3529</v>
      </c>
      <c r="BC162" s="57">
        <f>'2020'!AS15</f>
        <v>0</v>
      </c>
      <c r="BD162" s="57">
        <f>'2020'!AT15</f>
        <v>25</v>
      </c>
      <c r="BE162" s="57">
        <f>'2020'!AU15</f>
        <v>0</v>
      </c>
      <c r="BF162" s="57">
        <f>'2020'!AV15</f>
        <v>0</v>
      </c>
      <c r="BG162" s="58">
        <f>'2020'!AW15</f>
        <v>0</v>
      </c>
      <c r="BH162" s="58">
        <f>'2020'!AX15</f>
        <v>0</v>
      </c>
      <c r="BI162" s="58">
        <f>'2020'!AY15</f>
        <v>0</v>
      </c>
      <c r="BJ162" s="58">
        <f>'2020'!AZ15</f>
        <v>0</v>
      </c>
      <c r="BK162" s="57">
        <f>'2020'!BA15</f>
        <v>0</v>
      </c>
      <c r="BL162" s="57">
        <f>'2020'!BB15</f>
        <v>2546</v>
      </c>
      <c r="BM162" s="57">
        <f>'2020'!BC15</f>
        <v>0</v>
      </c>
      <c r="BN162" s="57">
        <f>'2020'!BD15</f>
        <v>0</v>
      </c>
      <c r="BO162" s="59">
        <f>'2020'!BE15</f>
        <v>33</v>
      </c>
      <c r="BP162" s="56">
        <f>'2020'!BF15</f>
        <v>217</v>
      </c>
      <c r="BQ162" s="57">
        <f>'2020'!BG15</f>
        <v>3262</v>
      </c>
      <c r="BR162" s="57">
        <f>'2020'!BH15</f>
        <v>0</v>
      </c>
      <c r="BS162" s="57">
        <f>'2020'!BI15</f>
        <v>29</v>
      </c>
      <c r="BT162" s="57">
        <f>'2020'!BJ15</f>
        <v>48</v>
      </c>
      <c r="BU162" s="57">
        <f>'2020'!BK15</f>
        <v>5</v>
      </c>
      <c r="BV162" s="58">
        <f>'2020'!BL15</f>
        <v>4.5</v>
      </c>
      <c r="BW162" s="58">
        <f>'2020'!BM15</f>
        <v>38</v>
      </c>
      <c r="BX162" s="58">
        <f>'2020'!BN15</f>
        <v>2.56</v>
      </c>
      <c r="BY162" s="58">
        <f>'2020'!BO15</f>
        <v>22.6</v>
      </c>
      <c r="BZ162" s="57">
        <f>'2020'!BP15</f>
        <v>32</v>
      </c>
      <c r="CA162" s="57">
        <f>'2020'!BQ15</f>
        <v>2327</v>
      </c>
      <c r="CB162" s="57">
        <f>'2020'!BR15</f>
        <v>6</v>
      </c>
      <c r="CC162" s="57">
        <f>'2020'!BS15</f>
        <v>0</v>
      </c>
      <c r="CD162" s="59">
        <f>'2020'!BT15</f>
        <v>16</v>
      </c>
      <c r="CE162" s="56">
        <f>'2020'!BU15</f>
        <v>0</v>
      </c>
      <c r="CF162" s="57">
        <f>'2020'!BV15</f>
        <v>2907</v>
      </c>
      <c r="CG162" s="57">
        <f>'2020'!BW15</f>
        <v>0</v>
      </c>
      <c r="CH162" s="57">
        <f>'2020'!BX15</f>
        <v>27</v>
      </c>
      <c r="CI162" s="57">
        <f>'2020'!BY15</f>
        <v>0</v>
      </c>
      <c r="CJ162" s="57">
        <f>'2020'!BZ15</f>
        <v>0</v>
      </c>
      <c r="CK162" s="58">
        <f>'2020'!CA15</f>
        <v>0</v>
      </c>
      <c r="CL162" s="58">
        <f>'2020'!CB15</f>
        <v>0</v>
      </c>
      <c r="CM162" s="58">
        <f>'2020'!CC15</f>
        <v>0</v>
      </c>
      <c r="CN162" s="58">
        <f>'2020'!CD15</f>
        <v>0</v>
      </c>
      <c r="CO162" s="57">
        <f>'2020'!CE15</f>
        <v>0</v>
      </c>
      <c r="CP162" s="57">
        <f>'2020'!CF15</f>
        <v>2811</v>
      </c>
      <c r="CQ162" s="57">
        <f>'2020'!CG15</f>
        <v>0</v>
      </c>
      <c r="CR162" s="57">
        <f>'2020'!CH15</f>
        <v>0</v>
      </c>
      <c r="CS162" s="59">
        <f>'2020'!CI15</f>
        <v>28</v>
      </c>
      <c r="CT162" s="56">
        <f>'2020'!CJ15</f>
        <v>1184</v>
      </c>
      <c r="CU162" s="57">
        <f>'2020'!CK15</f>
        <v>3125</v>
      </c>
      <c r="CV162" s="57">
        <f>'2020'!CL15</f>
        <v>7</v>
      </c>
      <c r="CW162" s="57">
        <f>'2020'!CM15</f>
        <v>31</v>
      </c>
      <c r="CX162" s="57">
        <f>'2020'!CN15</f>
        <v>178</v>
      </c>
      <c r="CY162" s="57">
        <f>'2020'!CO15</f>
        <v>34</v>
      </c>
      <c r="CZ162" s="58">
        <f>'2020'!CP15</f>
        <v>6.7</v>
      </c>
      <c r="DA162" s="58">
        <f>'2020'!CQ15</f>
        <v>71.400000000000006</v>
      </c>
      <c r="DB162" s="58">
        <f>'2020'!CR15</f>
        <v>3.9</v>
      </c>
      <c r="DC162" s="58">
        <f>'2020'!CS15</f>
        <v>65.5</v>
      </c>
      <c r="DD162" s="57">
        <f>'2020'!CT15</f>
        <v>89</v>
      </c>
      <c r="DE162" s="57">
        <f>'2020'!CU15</f>
        <v>2478</v>
      </c>
      <c r="DF162" s="57">
        <f>'2020'!CV15</f>
        <v>1</v>
      </c>
      <c r="DG162" s="57">
        <f>'2020'!CW15</f>
        <v>0</v>
      </c>
      <c r="DH162" s="59">
        <f>'2020'!CX15</f>
        <v>27</v>
      </c>
      <c r="DI162" s="56">
        <f>'2020'!CY15</f>
        <v>1484</v>
      </c>
      <c r="DJ162" s="57">
        <f>'2020'!CZ15</f>
        <v>3240</v>
      </c>
      <c r="DK162" s="57">
        <f>'2020'!DA15</f>
        <v>18</v>
      </c>
      <c r="DL162" s="57">
        <f>'2020'!DB15</f>
        <v>35</v>
      </c>
      <c r="DM162" s="57">
        <f>'2020'!DC15</f>
        <v>256</v>
      </c>
      <c r="DN162" s="57">
        <f>'2020'!DD15</f>
        <v>50</v>
      </c>
      <c r="DO162" s="58">
        <f>'2020'!DE15</f>
        <v>5.8</v>
      </c>
      <c r="DP162" s="58">
        <f>'2020'!DF15</f>
        <v>60.1</v>
      </c>
      <c r="DQ162" s="58">
        <f>'2020'!DG15</f>
        <v>2.97</v>
      </c>
      <c r="DR162" s="58">
        <f>'2020'!DH15</f>
        <v>47.8</v>
      </c>
      <c r="DS162" s="57">
        <f>'2020'!DI15</f>
        <v>198</v>
      </c>
      <c r="DT162" s="57">
        <f>'2020'!DJ15</f>
        <v>2824</v>
      </c>
      <c r="DU162" s="57">
        <f>'2020'!DK15</f>
        <v>21</v>
      </c>
      <c r="DV162" s="57">
        <f>'2020'!DL15</f>
        <v>0</v>
      </c>
      <c r="DW162" s="59">
        <f>'2020'!DM15</f>
        <v>30</v>
      </c>
    </row>
    <row r="163" spans="1:127" ht="15.75" customHeight="1" x14ac:dyDescent="0.2">
      <c r="A163" s="33">
        <f t="shared" si="25"/>
        <v>161</v>
      </c>
      <c r="B163" s="11">
        <f>'2015'!A10</f>
        <v>8</v>
      </c>
      <c r="C163" s="11">
        <v>2015</v>
      </c>
      <c r="D163" s="34" t="str">
        <f>'2015'!B10</f>
        <v>Mike Davis</v>
      </c>
      <c r="E163" s="224" t="str" cm="1">
        <f t="array" ref="E163">_xlfn.IFS(F163&gt;=13,"Cornerstone",AND(F163&gt;=12,F163&lt;13),"Elite",AND(F163&gt;=11,F163&lt;12),"Elite Upside",AND(F163&gt;=9,F163&lt;11),"Upside",AND(F163&gt;=7,F163&lt;9),"Upside Lite",AND(F163&gt;=6,F163&lt;7),"Outlier",AND(F163&gt;=5,F163&lt;6),"Outlier Lite",F163&lt;5,"Purgatory")</f>
        <v>Outlier</v>
      </c>
      <c r="F163" s="14">
        <f>'2015'!C10</f>
        <v>6.5777777777777784</v>
      </c>
      <c r="G163" s="14">
        <f t="shared" si="31"/>
        <v>50.4</v>
      </c>
      <c r="H163" s="35">
        <f t="shared" si="26"/>
        <v>-0.60294026197243544</v>
      </c>
      <c r="I163" s="36" t="str">
        <f>'2015'!D10</f>
        <v>South Carolina</v>
      </c>
      <c r="J163" s="37">
        <f>'2015'!E10</f>
        <v>1</v>
      </c>
      <c r="K163" s="38">
        <f>'2015'!F10</f>
        <v>34019</v>
      </c>
      <c r="L163" s="39">
        <f>'2015'!G10</f>
        <v>32.624657534246573</v>
      </c>
      <c r="M163" s="39" t="str">
        <f>'2015'!H10</f>
        <v>JR</v>
      </c>
      <c r="N163" s="39">
        <f>'2015'!I10</f>
        <v>22.197260273972603</v>
      </c>
      <c r="O163" s="39" t="str">
        <f t="shared" si="27"/>
        <v>BELL CALF</v>
      </c>
      <c r="P163" s="39" t="str">
        <f t="shared" si="32"/>
        <v>PLODDER</v>
      </c>
      <c r="Q163" s="37">
        <f>'2015'!J10</f>
        <v>69</v>
      </c>
      <c r="R163" s="37">
        <f>'2015'!K10</f>
        <v>217</v>
      </c>
      <c r="S163" s="39">
        <f t="shared" si="29"/>
        <v>32.044943148907514</v>
      </c>
      <c r="T163" s="39">
        <f>'2015'!L10</f>
        <v>4.6100000000000003</v>
      </c>
      <c r="U163" s="55">
        <f>'2015'!M10</f>
        <v>4</v>
      </c>
      <c r="V163" s="41">
        <f>'2015'!N10</f>
        <v>0</v>
      </c>
      <c r="W163" s="42">
        <f>'2015'!O10</f>
        <v>0</v>
      </c>
      <c r="X163" s="42">
        <f>'2015'!P10</f>
        <v>6.85962117188883E-2</v>
      </c>
      <c r="Y163" s="42">
        <f>'2015'!Q10</f>
        <v>0.2828137666740364</v>
      </c>
      <c r="Z163" s="42">
        <f>'2015'!R10</f>
        <v>0.23333680302557164</v>
      </c>
      <c r="AA163" s="42">
        <f>'2015'!S10</f>
        <v>0.25807528484980402</v>
      </c>
      <c r="AB163" s="42">
        <f>'2015'!T10</f>
        <v>0.25807528484980402</v>
      </c>
      <c r="AC163" s="42">
        <f>'2015'!U10</f>
        <v>0.11557656947727868</v>
      </c>
      <c r="AD163" s="42">
        <f>'2015'!V10</f>
        <v>0.10023970363913708</v>
      </c>
      <c r="AE163" s="42">
        <f>'2015'!W10</f>
        <v>0.10790813655820788</v>
      </c>
      <c r="AF163" s="43">
        <f>'2015'!X10</f>
        <v>0.10790813655820788</v>
      </c>
      <c r="AG163" s="44">
        <f>'2015'!Y10</f>
        <v>20.545205479452054</v>
      </c>
      <c r="AH163" s="45">
        <f>'2015'!Z10</f>
        <v>96.091733456663121</v>
      </c>
      <c r="AI163" s="45">
        <f>'2015'!AA10</f>
        <v>32.041797941608905</v>
      </c>
      <c r="AJ163" s="45">
        <f>'2015'!AB10</f>
        <v>0.1407035175879397</v>
      </c>
      <c r="AK163" s="45">
        <f>'2015'!AC10</f>
        <v>5.8275862068965516</v>
      </c>
      <c r="AL163" s="45">
        <f t="shared" si="28"/>
        <v>10.785714285714286</v>
      </c>
      <c r="AM163" s="45">
        <f t="shared" si="33"/>
        <v>0.13852813852813853</v>
      </c>
      <c r="AN163" s="45">
        <f>'2015'!AD10</f>
        <v>35.799999999999997</v>
      </c>
      <c r="AO163" s="45">
        <f>'2015'!AE10</f>
        <v>2.5</v>
      </c>
      <c r="AP163" s="46">
        <f>'2015'!AF10</f>
        <v>33.200000000000003</v>
      </c>
      <c r="AQ163" s="47">
        <f>'2015'!AG10</f>
        <v>6</v>
      </c>
      <c r="AR163" s="48">
        <f>'2015'!AH10</f>
        <v>9</v>
      </c>
      <c r="AS163" s="48">
        <f>'2015'!AI10</f>
        <v>3</v>
      </c>
      <c r="AT163" s="48">
        <f>'2015'!AJ10</f>
        <v>4</v>
      </c>
      <c r="AU163" s="48">
        <f>'2015'!AK10</f>
        <v>1</v>
      </c>
      <c r="AV163" s="48">
        <f>'2015'!AL10</f>
        <v>4</v>
      </c>
      <c r="AW163" s="48">
        <f>'2015'!AM10</f>
        <v>0</v>
      </c>
      <c r="AX163" s="48">
        <f>'2015'!AN10</f>
        <v>0</v>
      </c>
      <c r="AY163" s="49">
        <f>'2015'!AO10</f>
        <v>4</v>
      </c>
      <c r="AZ163" s="50">
        <f>'2015'!AP10</f>
        <v>0.5</v>
      </c>
      <c r="BA163" s="56">
        <f>'2015'!AQ10</f>
        <v>0</v>
      </c>
      <c r="BB163" s="57">
        <f>'2015'!AR10</f>
        <v>1</v>
      </c>
      <c r="BC163" s="57">
        <f>'2015'!AS10</f>
        <v>0</v>
      </c>
      <c r="BD163" s="57">
        <f>'2015'!AT10</f>
        <v>0</v>
      </c>
      <c r="BE163" s="57">
        <f>'2015'!AU10</f>
        <v>0</v>
      </c>
      <c r="BF163" s="57">
        <f>'2015'!AV10</f>
        <v>0</v>
      </c>
      <c r="BG163" s="58">
        <f>'2015'!AW10</f>
        <v>0</v>
      </c>
      <c r="BH163" s="58">
        <f>'2015'!AX10</f>
        <v>0</v>
      </c>
      <c r="BI163" s="58">
        <f>'2015'!AY10</f>
        <v>0</v>
      </c>
      <c r="BJ163" s="58">
        <f>'2015'!AZ10</f>
        <v>0</v>
      </c>
      <c r="BK163" s="57">
        <f>'2015'!BA10</f>
        <v>0</v>
      </c>
      <c r="BL163" s="57">
        <f>'2015'!BB10</f>
        <v>1</v>
      </c>
      <c r="BM163" s="57">
        <f>'2015'!BC10</f>
        <v>0</v>
      </c>
      <c r="BN163" s="57">
        <f>'2015'!BD10</f>
        <v>0</v>
      </c>
      <c r="BO163" s="59">
        <f>'2015'!BE10</f>
        <v>0</v>
      </c>
      <c r="BP163" s="56">
        <f>'2015'!BF10</f>
        <v>0</v>
      </c>
      <c r="BQ163" s="57">
        <f>'2015'!BG10</f>
        <v>1</v>
      </c>
      <c r="BR163" s="57">
        <f>'2015'!BH10</f>
        <v>0</v>
      </c>
      <c r="BS163" s="57">
        <f>'2015'!BI10</f>
        <v>0</v>
      </c>
      <c r="BT163" s="57">
        <f>'2015'!BJ10</f>
        <v>0</v>
      </c>
      <c r="BU163" s="57">
        <f>'2015'!BK10</f>
        <v>0</v>
      </c>
      <c r="BV163" s="58">
        <f>'2015'!BL10</f>
        <v>0</v>
      </c>
      <c r="BW163" s="58">
        <f>'2015'!BM10</f>
        <v>0</v>
      </c>
      <c r="BX163" s="58">
        <f>'2015'!BN10</f>
        <v>0</v>
      </c>
      <c r="BY163" s="58">
        <f>'2015'!BO10</f>
        <v>0</v>
      </c>
      <c r="BZ163" s="57">
        <f>'2015'!BP10</f>
        <v>0</v>
      </c>
      <c r="CA163" s="57">
        <f>'2015'!BQ10</f>
        <v>1</v>
      </c>
      <c r="CB163" s="57">
        <f>'2015'!BR10</f>
        <v>0</v>
      </c>
      <c r="CC163" s="57">
        <f>'2015'!BS10</f>
        <v>0</v>
      </c>
      <c r="CD163" s="59">
        <f>'2015'!BT10</f>
        <v>0</v>
      </c>
      <c r="CE163" s="56">
        <f>'2015'!BU10</f>
        <v>275</v>
      </c>
      <c r="CF163" s="57">
        <f>'2015'!BV10</f>
        <v>1662</v>
      </c>
      <c r="CG163" s="57">
        <f>'2015'!BW10</f>
        <v>2</v>
      </c>
      <c r="CH163" s="57">
        <f>'2015'!BX10</f>
        <v>0</v>
      </c>
      <c r="CI163" s="57">
        <f>'2015'!BY10</f>
        <v>52</v>
      </c>
      <c r="CJ163" s="57">
        <f>'2015'!BZ10</f>
        <v>0</v>
      </c>
      <c r="CK163" s="58">
        <f>'2015'!CA10</f>
        <v>0</v>
      </c>
      <c r="CL163" s="58">
        <f>'2015'!CB10</f>
        <v>0</v>
      </c>
      <c r="CM163" s="58">
        <f>'2015'!CC10</f>
        <v>0</v>
      </c>
      <c r="CN163" s="58">
        <f>'2015'!CD10</f>
        <v>0</v>
      </c>
      <c r="CO163" s="57">
        <f>'2015'!CE10</f>
        <v>35</v>
      </c>
      <c r="CP163" s="57">
        <f>'2015'!CF10</f>
        <v>2857.2</v>
      </c>
      <c r="CQ163" s="57">
        <f>'2015'!CG10</f>
        <v>4</v>
      </c>
      <c r="CR163" s="57">
        <f>'2015'!CH10</f>
        <v>0</v>
      </c>
      <c r="CS163" s="59">
        <f>'2015'!CI10</f>
        <v>0</v>
      </c>
      <c r="CT163" s="56">
        <f>'2015'!CJ10</f>
        <v>1183</v>
      </c>
      <c r="CU163" s="57">
        <f>'2015'!CK10</f>
        <v>2382</v>
      </c>
      <c r="CV163" s="57">
        <f>'2015'!CL10</f>
        <v>11</v>
      </c>
      <c r="CW163" s="57">
        <f>'2015'!CM10</f>
        <v>0</v>
      </c>
      <c r="CX163" s="57">
        <f>'2015'!CN10</f>
        <v>203</v>
      </c>
      <c r="CY163" s="57">
        <f>'2015'!CO10</f>
        <v>0</v>
      </c>
      <c r="CZ163" s="58">
        <f>'2015'!CP10</f>
        <v>5.8275862068965516</v>
      </c>
      <c r="DA163" s="58">
        <f>'2015'!CQ10</f>
        <v>0</v>
      </c>
      <c r="DB163" s="58">
        <f>'2015'!CR10</f>
        <v>0</v>
      </c>
      <c r="DC163" s="58">
        <f>'2015'!CS10</f>
        <v>0</v>
      </c>
      <c r="DD163" s="57">
        <f>'2015'!CT10</f>
        <v>352</v>
      </c>
      <c r="DE163" s="57">
        <f>'2015'!CU10</f>
        <v>3045.6000000000004</v>
      </c>
      <c r="DF163" s="57">
        <f>'2015'!CV10</f>
        <v>34</v>
      </c>
      <c r="DG163" s="57">
        <f>'2015'!CW10</f>
        <v>0</v>
      </c>
      <c r="DH163" s="59">
        <f>'2015'!CX10</f>
        <v>0</v>
      </c>
      <c r="DI163" s="56">
        <f>'2015'!CY10</f>
        <v>977</v>
      </c>
      <c r="DJ163" s="57">
        <f>'2015'!CZ10</f>
        <v>2093</v>
      </c>
      <c r="DK163" s="57">
        <f>'2015'!DA10</f>
        <v>9</v>
      </c>
      <c r="DL163" s="57">
        <f>'2015'!DB10</f>
        <v>23.400000000000002</v>
      </c>
      <c r="DM163" s="57">
        <f>'2015'!DC10</f>
        <v>199</v>
      </c>
      <c r="DN163" s="57">
        <f>'2015'!DD10</f>
        <v>28</v>
      </c>
      <c r="DO163" s="58">
        <f>'2015'!DE10</f>
        <v>4.9095477386934672</v>
      </c>
      <c r="DP163" s="58">
        <f>'2015'!DF10</f>
        <v>35.799999999999997</v>
      </c>
      <c r="DQ163" s="58">
        <f>'2015'!DG10</f>
        <v>2.5</v>
      </c>
      <c r="DR163" s="58">
        <f>'2015'!DH10</f>
        <v>33.200000000000003</v>
      </c>
      <c r="DS163" s="57">
        <f>'2015'!DI10</f>
        <v>368</v>
      </c>
      <c r="DT163" s="57">
        <f>'2015'!DJ10</f>
        <v>3671.2</v>
      </c>
      <c r="DU163" s="57">
        <f>'2015'!DK10</f>
        <v>32</v>
      </c>
      <c r="DV163" s="57">
        <f>'2015'!DL10</f>
        <v>2</v>
      </c>
      <c r="DW163" s="59">
        <f>'2015'!DM10</f>
        <v>28.6</v>
      </c>
    </row>
    <row r="164" spans="1:127" ht="15.75" customHeight="1" x14ac:dyDescent="0.2">
      <c r="A164" s="33">
        <f t="shared" si="25"/>
        <v>161</v>
      </c>
      <c r="B164" s="11">
        <f>'2020'!A16</f>
        <v>14</v>
      </c>
      <c r="C164" s="11">
        <v>2020</v>
      </c>
      <c r="D164" s="34" t="str">
        <f>'2020'!B16</f>
        <v>DeeJay Dallas</v>
      </c>
      <c r="E164" s="224" t="str" cm="1">
        <f t="array" ref="E164">_xlfn.IFS(F164&gt;=13,"Cornerstone",AND(F164&gt;=12,F164&lt;13),"Elite",AND(F164&gt;=11,F164&lt;12),"Elite Upside",AND(F164&gt;=9,F164&lt;11),"Upside",AND(F164&gt;=7,F164&lt;9),"Upside Lite",AND(F164&gt;=6,F164&lt;7),"Outlier",AND(F164&gt;=5,F164&lt;6),"Outlier Lite",F164&lt;5,"Purgatory")</f>
        <v>Outlier</v>
      </c>
      <c r="F164" s="14">
        <f>'2020'!C16</f>
        <v>6.5777777777777784</v>
      </c>
      <c r="G164" s="14">
        <f t="shared" si="31"/>
        <v>50.4</v>
      </c>
      <c r="H164" s="35">
        <f t="shared" si="26"/>
        <v>-0.60294026197243544</v>
      </c>
      <c r="I164" s="36" t="str">
        <f>'2020'!D16</f>
        <v>Miami</v>
      </c>
      <c r="J164" s="37">
        <f>'2020'!E16</f>
        <v>4</v>
      </c>
      <c r="K164" s="38">
        <f>'2020'!F16</f>
        <v>36054</v>
      </c>
      <c r="L164" s="39">
        <f>'2020'!G16</f>
        <v>27.049315068493151</v>
      </c>
      <c r="M164" s="39" t="str">
        <f>'2020'!H16</f>
        <v>JR</v>
      </c>
      <c r="N164" s="39">
        <f>'2020'!I16</f>
        <v>21.616438356164384</v>
      </c>
      <c r="O164" s="39" t="str">
        <f t="shared" si="27"/>
        <v>BELL CALF</v>
      </c>
      <c r="P164" s="39" t="str">
        <f t="shared" si="32"/>
        <v>SLASHER</v>
      </c>
      <c r="Q164" s="37">
        <f>'2020'!J16</f>
        <v>70</v>
      </c>
      <c r="R164" s="37">
        <f>'2020'!K16</f>
        <v>217</v>
      </c>
      <c r="S164" s="39">
        <f t="shared" si="29"/>
        <v>31.135913128969111</v>
      </c>
      <c r="T164" s="37">
        <f>'2020'!L16</f>
        <v>4.58</v>
      </c>
      <c r="U164" s="40">
        <f>'2020'!M16</f>
        <v>4</v>
      </c>
      <c r="V164" s="41">
        <f>'2020'!N16</f>
        <v>0</v>
      </c>
      <c r="W164" s="42">
        <f>'2020'!O16</f>
        <v>0</v>
      </c>
      <c r="X164" s="42">
        <f>'2020'!P16</f>
        <v>5.8935723822239175E-2</v>
      </c>
      <c r="Y164" s="42">
        <f>'2020'!Q16</f>
        <v>0.15030017152658662</v>
      </c>
      <c r="Z164" s="42">
        <f>'2020'!R16</f>
        <v>0.17322999581064097</v>
      </c>
      <c r="AA164" s="42">
        <f>'2020'!S16</f>
        <v>0.17322999581064097</v>
      </c>
      <c r="AB164" s="42">
        <f>'2020'!T16</f>
        <v>0.15590699622957688</v>
      </c>
      <c r="AC164" s="42">
        <f>'2020'!U16</f>
        <v>3.9080459770114942E-2</v>
      </c>
      <c r="AD164" s="42">
        <f>'2020'!V16</f>
        <v>4.3223217042297007E-2</v>
      </c>
      <c r="AE164" s="42">
        <f>'2020'!W16</f>
        <v>4.3223217042297007E-2</v>
      </c>
      <c r="AF164" s="43">
        <f>'2020'!X16</f>
        <v>3.8900895338067308E-2</v>
      </c>
      <c r="AG164" s="44">
        <f>'2020'!Y16</f>
        <v>19.969863013698632</v>
      </c>
      <c r="AH164" s="45">
        <f>'2020'!Z16</f>
        <v>98.634266097994285</v>
      </c>
      <c r="AI164" s="45">
        <f>'2020'!AA16</f>
        <v>31.132857142857141</v>
      </c>
      <c r="AJ164" s="45">
        <f>'2020'!AB16</f>
        <v>0.31304347826086959</v>
      </c>
      <c r="AK164" s="45">
        <f>'2020'!AC16</f>
        <v>6</v>
      </c>
      <c r="AL164" s="45">
        <f t="shared" si="28"/>
        <v>14.409090909090908</v>
      </c>
      <c r="AM164" s="45">
        <f t="shared" si="33"/>
        <v>0.10852713178294573</v>
      </c>
      <c r="AN164" s="45">
        <f>'2020'!AD16</f>
        <v>118</v>
      </c>
      <c r="AO164" s="45">
        <f>'2020'!AE16</f>
        <v>3.67</v>
      </c>
      <c r="AP164" s="46">
        <f>'2020'!AF16</f>
        <v>54.2</v>
      </c>
      <c r="AQ164" s="47">
        <f>'2020'!AG16</f>
        <v>2</v>
      </c>
      <c r="AR164" s="48">
        <f>'2020'!AH16</f>
        <v>4</v>
      </c>
      <c r="AS164" s="48">
        <f>'2020'!AI16</f>
        <v>5</v>
      </c>
      <c r="AT164" s="48">
        <f>IF(AH164&gt;113.25,10,IF(AH164&gt;=107.84,9,IF(AH164&gt;=105.37,8,IF(AH164&gt;=103.25,7,IF(AH164&gt;=100.55,6,IF(AH164&gt;=98.75,5,IF(AH164&gt;=96.08,4,IF(AH164&gt;=94.39,3,IF(AH164&gt;=88.43,2,IF(AH164&gt;=85.16,1,IF(AH164&lt;85.16,0,FALSE)))))))))))</f>
        <v>4</v>
      </c>
      <c r="AU164" s="48">
        <f>'2020'!AK16</f>
        <v>8</v>
      </c>
      <c r="AV164" s="48">
        <f>'2020'!AL16</f>
        <v>4</v>
      </c>
      <c r="AW164" s="48">
        <f>'2020'!AM16</f>
        <v>5</v>
      </c>
      <c r="AX164" s="48">
        <f>'2020'!AN16</f>
        <v>3</v>
      </c>
      <c r="AY164" s="49">
        <f>IF(U164=1,10,IF(U164=2,7,IF(U164=3,6,IF(U164=4,4,IF(U164=5,3,IF(U164=6,2,IF(U164=7,1,IF(U164=0,0,"-"))))))))</f>
        <v>4</v>
      </c>
      <c r="AZ164" s="50">
        <f>'2020'!AP16</f>
        <v>0</v>
      </c>
      <c r="BA164" s="56">
        <f>'2020'!AQ16</f>
        <v>0</v>
      </c>
      <c r="BB164" s="57">
        <f>'2020'!AR16</f>
        <v>1548</v>
      </c>
      <c r="BC164" s="57">
        <f>'2020'!AS16</f>
        <v>0</v>
      </c>
      <c r="BD164" s="57">
        <f>'2020'!AT16</f>
        <v>20</v>
      </c>
      <c r="BE164" s="57">
        <f>'2020'!AU16</f>
        <v>0</v>
      </c>
      <c r="BF164" s="57">
        <f>'2020'!AV16</f>
        <v>0</v>
      </c>
      <c r="BG164" s="58">
        <f>'2020'!AW16</f>
        <v>0</v>
      </c>
      <c r="BH164" s="58">
        <f>'2020'!AX16</f>
        <v>0</v>
      </c>
      <c r="BI164" s="58">
        <f>'2020'!AY16</f>
        <v>0</v>
      </c>
      <c r="BJ164" s="58">
        <f>'2020'!AZ16</f>
        <v>0</v>
      </c>
      <c r="BK164" s="57">
        <f>'2020'!BA16</f>
        <v>0</v>
      </c>
      <c r="BL164" s="57">
        <f>'2020'!BB16</f>
        <v>3602</v>
      </c>
      <c r="BM164" s="57">
        <f>'2020'!BC16</f>
        <v>0</v>
      </c>
      <c r="BN164" s="57">
        <f>'2020'!BD16</f>
        <v>0</v>
      </c>
      <c r="BO164" s="59">
        <f>'2020'!BE16</f>
        <v>18</v>
      </c>
      <c r="BP164" s="56">
        <f>'2020'!BF16</f>
        <v>0</v>
      </c>
      <c r="BQ164" s="57">
        <f>'2020'!BG16</f>
        <v>1973</v>
      </c>
      <c r="BR164" s="57">
        <f>'2020'!BH16</f>
        <v>0</v>
      </c>
      <c r="BS164" s="57">
        <f>'2020'!BI16</f>
        <v>24</v>
      </c>
      <c r="BT164" s="57">
        <f>'2020'!BJ16</f>
        <v>0</v>
      </c>
      <c r="BU164" s="57">
        <f>'2020'!BK16</f>
        <v>0</v>
      </c>
      <c r="BV164" s="58">
        <f>'2020'!BL16</f>
        <v>0</v>
      </c>
      <c r="BW164" s="58">
        <f>'2020'!BM16</f>
        <v>0</v>
      </c>
      <c r="BX164" s="58">
        <f>'2020'!BN16</f>
        <v>0</v>
      </c>
      <c r="BY164" s="58">
        <f>'2020'!BO16</f>
        <v>0</v>
      </c>
      <c r="BZ164" s="57">
        <f>'2020'!BP16</f>
        <v>0</v>
      </c>
      <c r="CA164" s="57">
        <f>'2020'!BQ16</f>
        <v>3564</v>
      </c>
      <c r="CB164" s="57">
        <f>'2020'!BR16</f>
        <v>0</v>
      </c>
      <c r="CC164" s="57">
        <f>'2020'!BS16</f>
        <v>0</v>
      </c>
      <c r="CD164" s="59">
        <f>'2020'!BT16</f>
        <v>27</v>
      </c>
      <c r="CE164" s="56">
        <f>'2020'!BU16</f>
        <v>217</v>
      </c>
      <c r="CF164" s="57">
        <f>'2020'!BV16</f>
        <v>2090</v>
      </c>
      <c r="CG164" s="57">
        <f>'2020'!BW16</f>
        <v>3</v>
      </c>
      <c r="CH164" s="57">
        <f>'2020'!BX16</f>
        <v>19</v>
      </c>
      <c r="CI164" s="57">
        <f>'2020'!BY16</f>
        <v>41</v>
      </c>
      <c r="CJ164" s="57">
        <f>'2020'!BZ16</f>
        <v>14</v>
      </c>
      <c r="CK164" s="58">
        <f>'2020'!CA16</f>
        <v>5.3</v>
      </c>
      <c r="CL164" s="58">
        <f>'2020'!CB16</f>
        <v>160.30000000000001</v>
      </c>
      <c r="CM164" s="58">
        <f>'2020'!CC16</f>
        <v>4.24</v>
      </c>
      <c r="CN164" s="58">
        <f>'2020'!CD16</f>
        <v>45.6</v>
      </c>
      <c r="CO164" s="57">
        <f>'2020'!CE16</f>
        <v>92</v>
      </c>
      <c r="CP164" s="57">
        <f>'2020'!CF16</f>
        <v>3153</v>
      </c>
      <c r="CQ164" s="57">
        <f>'2020'!CG16</f>
        <v>4</v>
      </c>
      <c r="CR164" s="57">
        <f>'2020'!CH16</f>
        <v>0</v>
      </c>
      <c r="CS164" s="59">
        <f>'2020'!CI16</f>
        <v>26</v>
      </c>
      <c r="CT164" s="56">
        <f>'2020'!CJ16</f>
        <v>616</v>
      </c>
      <c r="CU164" s="57">
        <f>'2020'!CK16</f>
        <v>2489</v>
      </c>
      <c r="CV164" s="57">
        <f>'2020'!CL16</f>
        <v>6</v>
      </c>
      <c r="CW164" s="57">
        <f>'2020'!CM16</f>
        <v>25</v>
      </c>
      <c r="CX164" s="57">
        <f>'2020'!CN16</f>
        <v>109</v>
      </c>
      <c r="CY164" s="57">
        <f>'2020'!CO16</f>
        <v>31</v>
      </c>
      <c r="CZ164" s="58">
        <f>'2020'!CP16</f>
        <v>5.7</v>
      </c>
      <c r="DA164" s="58">
        <f>'2020'!CQ16</f>
        <v>107.9</v>
      </c>
      <c r="DB164" s="58">
        <f>'2020'!CR16</f>
        <v>3.67</v>
      </c>
      <c r="DC164" s="58">
        <f>'2020'!CS16</f>
        <v>54.2</v>
      </c>
      <c r="DD164" s="57">
        <f>'2020'!CT16</f>
        <v>85</v>
      </c>
      <c r="DE164" s="57">
        <f>'2020'!CU16</f>
        <v>2175</v>
      </c>
      <c r="DF164" s="57">
        <f>'2020'!CV16</f>
        <v>4</v>
      </c>
      <c r="DG164" s="57">
        <f>'2020'!CW16</f>
        <v>0</v>
      </c>
      <c r="DH164" s="59">
        <f>'2020'!CX16</f>
        <v>19</v>
      </c>
      <c r="DI164" s="56">
        <f>'2020'!CY16</f>
        <v>687</v>
      </c>
      <c r="DJ164" s="57">
        <f>'2020'!CZ16</f>
        <v>1535</v>
      </c>
      <c r="DK164" s="57">
        <f>'2020'!DA16</f>
        <v>8</v>
      </c>
      <c r="DL164" s="57">
        <f>'2020'!DB16</f>
        <v>16</v>
      </c>
      <c r="DM164" s="57">
        <f>'2020'!DC16</f>
        <v>115</v>
      </c>
      <c r="DN164" s="57">
        <f>'2020'!DD16</f>
        <v>36</v>
      </c>
      <c r="DO164" s="58">
        <f>'2020'!DE16</f>
        <v>6</v>
      </c>
      <c r="DP164" s="58">
        <f>'2020'!DF16</f>
        <v>118</v>
      </c>
      <c r="DQ164" s="58">
        <f>'2020'!DG16</f>
        <v>3.54</v>
      </c>
      <c r="DR164" s="58">
        <f>'2020'!DH16</f>
        <v>49.6</v>
      </c>
      <c r="DS164" s="57">
        <f>'2020'!DI16</f>
        <v>140</v>
      </c>
      <c r="DT164" s="57">
        <f>'2020'!DJ16</f>
        <v>3239</v>
      </c>
      <c r="DU164" s="57">
        <f>'2020'!DK16</f>
        <v>14</v>
      </c>
      <c r="DV164" s="57">
        <f>'2020'!DL16</f>
        <v>0</v>
      </c>
      <c r="DW164" s="59">
        <f>'2020'!DM16</f>
        <v>27</v>
      </c>
    </row>
    <row r="165" spans="1:127" ht="15.75" customHeight="1" x14ac:dyDescent="0.2">
      <c r="A165" s="33">
        <f t="shared" si="25"/>
        <v>163</v>
      </c>
      <c r="B165" s="11">
        <f>'2022'!A15</f>
        <v>13</v>
      </c>
      <c r="C165" s="11">
        <v>2022</v>
      </c>
      <c r="D165" s="34" t="str">
        <f>'2022'!B15</f>
        <v>Zamir White</v>
      </c>
      <c r="E165" s="224" t="str" cm="1">
        <f t="array" ref="E165">_xlfn.IFS(F165&gt;=13,"Cornerstone",AND(F165&gt;=12,F165&lt;13),"Elite",AND(F165&gt;=11,F165&lt;12),"Elite Upside",AND(F165&gt;=9,F165&lt;11),"Upside",AND(F165&gt;=7,F165&lt;9),"Upside Lite",AND(F165&gt;=6,F165&lt;7),"Outlier",AND(F165&gt;=5,F165&lt;6),"Outlier Lite",F165&lt;5,"Purgatory")</f>
        <v>Outlier</v>
      </c>
      <c r="F165" s="14">
        <f>'2022'!C15</f>
        <v>6.5444444444444443</v>
      </c>
      <c r="G165" s="14">
        <f t="shared" si="31"/>
        <v>50.1</v>
      </c>
      <c r="H165" s="35">
        <f t="shared" si="26"/>
        <v>-0.61704776411375717</v>
      </c>
      <c r="I165" s="36" t="str">
        <f>'2022'!D15</f>
        <v>Georgia</v>
      </c>
      <c r="J165" s="37">
        <f>'2022'!E15</f>
        <v>1</v>
      </c>
      <c r="K165" s="38">
        <f>'2022'!F15</f>
        <v>36421</v>
      </c>
      <c r="L165" s="39">
        <f>'2022'!G15</f>
        <v>26.043835616438358</v>
      </c>
      <c r="M165" s="39" t="str">
        <f>'2022'!H15</f>
        <v>JR</v>
      </c>
      <c r="N165" s="39">
        <f>'2022'!I15</f>
        <v>22.624657534246577</v>
      </c>
      <c r="O165" s="39" t="str">
        <f t="shared" si="27"/>
        <v>DYNAMIC</v>
      </c>
      <c r="P165" s="39" t="str">
        <f t="shared" si="32"/>
        <v>PLODDER</v>
      </c>
      <c r="Q165" s="37">
        <f>'2022'!J15</f>
        <v>72</v>
      </c>
      <c r="R165" s="37">
        <f>'2022'!K15</f>
        <v>214</v>
      </c>
      <c r="S165" s="39">
        <f t="shared" si="29"/>
        <v>29.023296163876278</v>
      </c>
      <c r="T165" s="37">
        <f>'2022'!L15</f>
        <v>4.4000000000000004</v>
      </c>
      <c r="U165" s="40">
        <f>'2022'!M15</f>
        <v>4</v>
      </c>
      <c r="V165" s="41">
        <f>'2022'!N15</f>
        <v>0</v>
      </c>
      <c r="W165" s="42">
        <f>'2022'!O15</f>
        <v>0</v>
      </c>
      <c r="X165" s="42">
        <f>'2022'!P15</f>
        <v>7.4916856292665854E-2</v>
      </c>
      <c r="Y165" s="42">
        <f>'2022'!Q15</f>
        <v>0.19240745107286017</v>
      </c>
      <c r="Z165" s="42">
        <f>'2022'!R15</f>
        <v>0.12319703586079132</v>
      </c>
      <c r="AA165" s="42">
        <f>'2022'!S15</f>
        <v>0.15780224346682575</v>
      </c>
      <c r="AB165" s="42">
        <f>'2022'!T15</f>
        <v>0.15780224346682575</v>
      </c>
      <c r="AC165" s="42">
        <f>'2022'!U15</f>
        <v>1.4805922368947578E-2</v>
      </c>
      <c r="AD165" s="42">
        <f>'2022'!V15</f>
        <v>1.9057702488088937E-2</v>
      </c>
      <c r="AE165" s="42">
        <f>'2022'!W15</f>
        <v>1.9057702488088937E-2</v>
      </c>
      <c r="AF165" s="43">
        <f>'2022'!X15</f>
        <v>1.9057702488088937E-2</v>
      </c>
      <c r="AG165" s="44">
        <f>'2022'!Y15</f>
        <v>20.980821917808218</v>
      </c>
      <c r="AH165" s="45">
        <f>'2022'!Z15</f>
        <v>114.19131206884772</v>
      </c>
      <c r="AI165" s="45">
        <f>'2022'!AA15</f>
        <v>29.0204475308642</v>
      </c>
      <c r="AJ165" s="45">
        <f>'2022'!AB15</f>
        <v>0.22981366459627328</v>
      </c>
      <c r="AK165" s="45">
        <f>'2022'!AC15</f>
        <v>5.4</v>
      </c>
      <c r="AL165" s="45">
        <f t="shared" si="28"/>
        <v>8.0625</v>
      </c>
      <c r="AM165" s="45">
        <f t="shared" si="33"/>
        <v>4.7337278106508875E-2</v>
      </c>
      <c r="AN165" s="45">
        <f>'2022'!AD15</f>
        <v>83.1</v>
      </c>
      <c r="AO165" s="45">
        <f>'2022'!AE15</f>
        <v>3.6</v>
      </c>
      <c r="AP165" s="46">
        <f>'2022'!AF15</f>
        <v>34.9</v>
      </c>
      <c r="AQ165" s="47">
        <f>'2022'!AG15</f>
        <v>2</v>
      </c>
      <c r="AR165" s="48">
        <f>'2022'!AH15</f>
        <v>1</v>
      </c>
      <c r="AS165" s="48">
        <f>'2022'!AI15</f>
        <v>3</v>
      </c>
      <c r="AT165" s="48">
        <f>IF(AH165&gt;113.25,10,IF(AH165&gt;=107.84,9,IF(AH165&gt;=105.37,8,IF(AH165&gt;=103.25,7,IF(AH165&gt;=100.55,6,IF(AH165&gt;=98.75,5,IF(AH165&gt;=96.08,4,IF(AH165&gt;=94.39,3,IF(AH165&gt;=88.43,2,IF(AH165&gt;=85.16,1,IF(AH165&lt;85.16,0,FALSE)))))))))))</f>
        <v>10</v>
      </c>
      <c r="AU165" s="48">
        <f>'2022'!AK15</f>
        <v>5</v>
      </c>
      <c r="AV165" s="48">
        <f>'2022'!AL15</f>
        <v>2</v>
      </c>
      <c r="AW165" s="48">
        <f>'2022'!AM15</f>
        <v>2</v>
      </c>
      <c r="AX165" s="48">
        <f>'2022'!AN15</f>
        <v>2</v>
      </c>
      <c r="AY165" s="49">
        <f>IF(U165=1,10,IF(U165=2,7,IF(U165=3,6,IF(U165=4,4,IF(U165=5,3,IF(U165=6,2,IF(U165=7,1,IF(U165=0,0,"-"))))))))</f>
        <v>4</v>
      </c>
      <c r="AZ165" s="50">
        <f>'2022'!AP15</f>
        <v>1</v>
      </c>
      <c r="BA165" s="56">
        <f>'2022'!AQ15</f>
        <v>0</v>
      </c>
      <c r="BB165" s="57">
        <f>'2022'!AR15</f>
        <v>3876</v>
      </c>
      <c r="BC165" s="57">
        <f>'2022'!AS15</f>
        <v>0</v>
      </c>
      <c r="BD165" s="57">
        <f>'2022'!AT15</f>
        <v>42</v>
      </c>
      <c r="BE165" s="57">
        <f>'2022'!AU15</f>
        <v>0</v>
      </c>
      <c r="BF165" s="57">
        <f>'2022'!AV15</f>
        <v>0</v>
      </c>
      <c r="BG165" s="58">
        <f>'2022'!AW15</f>
        <v>0</v>
      </c>
      <c r="BH165" s="58">
        <f>'2022'!AX15</f>
        <v>0</v>
      </c>
      <c r="BI165" s="58">
        <f>'2022'!AY15</f>
        <v>0</v>
      </c>
      <c r="BJ165" s="58">
        <f>'2022'!AZ15</f>
        <v>0</v>
      </c>
      <c r="BK165" s="57">
        <f>'2022'!BA15</f>
        <v>0</v>
      </c>
      <c r="BL165" s="57">
        <f>'2022'!BB15</f>
        <v>2653</v>
      </c>
      <c r="BM165" s="57">
        <f>'2022'!BC15</f>
        <v>0</v>
      </c>
      <c r="BN165" s="57">
        <f>'2022'!BD15</f>
        <v>0</v>
      </c>
      <c r="BO165" s="59">
        <f>'2022'!BE15</f>
        <v>24</v>
      </c>
      <c r="BP165" s="56">
        <f>'2022'!BF15</f>
        <v>0</v>
      </c>
      <c r="BQ165" s="57">
        <f>'2022'!BG15</f>
        <v>3343</v>
      </c>
      <c r="BR165" s="57">
        <f>'2022'!BH15</f>
        <v>0</v>
      </c>
      <c r="BS165" s="57">
        <f>'2022'!BI15</f>
        <v>30</v>
      </c>
      <c r="BT165" s="57">
        <f>'2022'!BJ15</f>
        <v>0</v>
      </c>
      <c r="BU165" s="57">
        <f>'2022'!BK15</f>
        <v>0</v>
      </c>
      <c r="BV165" s="58">
        <f>'2022'!BL15</f>
        <v>0</v>
      </c>
      <c r="BW165" s="58">
        <f>'2022'!BM15</f>
        <v>0</v>
      </c>
      <c r="BX165" s="58">
        <f>'2022'!BN15</f>
        <v>0</v>
      </c>
      <c r="BY165" s="58">
        <f>'2022'!BO15</f>
        <v>0</v>
      </c>
      <c r="BZ165" s="57">
        <f>'2022'!BP15</f>
        <v>0</v>
      </c>
      <c r="CA165" s="57">
        <f>'2022'!BQ15</f>
        <v>3165</v>
      </c>
      <c r="CB165" s="57">
        <f>'2022'!BR15</f>
        <v>0</v>
      </c>
      <c r="CC165" s="57">
        <f>'2022'!BS15</f>
        <v>0</v>
      </c>
      <c r="CD165" s="59">
        <f>'2022'!BT15</f>
        <v>34</v>
      </c>
      <c r="CE165" s="56">
        <f>'2022'!BU15</f>
        <v>408</v>
      </c>
      <c r="CF165" s="57">
        <f>'2022'!BV15</f>
        <v>2591</v>
      </c>
      <c r="CG165" s="57">
        <f>'2022'!BW15</f>
        <v>3</v>
      </c>
      <c r="CH165" s="57">
        <f>'2022'!BX15</f>
        <v>21</v>
      </c>
      <c r="CI165" s="57">
        <f>'2022'!BY15</f>
        <v>78</v>
      </c>
      <c r="CJ165" s="57">
        <f>'2022'!BZ15</f>
        <v>19</v>
      </c>
      <c r="CK165" s="58">
        <f>'2022'!CA15</f>
        <v>5.2</v>
      </c>
      <c r="CL165" s="58">
        <f>'2022'!CB15</f>
        <v>94.2</v>
      </c>
      <c r="CM165" s="58">
        <f>'2022'!CC15</f>
        <v>3.59</v>
      </c>
      <c r="CN165" s="58">
        <f>'2022'!CD15</f>
        <v>16.899999999999999</v>
      </c>
      <c r="CO165" s="57">
        <f>'2022'!CE15</f>
        <v>20</v>
      </c>
      <c r="CP165" s="57">
        <f>'2022'!CF15</f>
        <v>3122</v>
      </c>
      <c r="CQ165" s="57">
        <f>'2022'!CG15</f>
        <v>2</v>
      </c>
      <c r="CR165" s="57">
        <f>'2022'!CH15</f>
        <v>0</v>
      </c>
      <c r="CS165" s="59">
        <f>'2022'!CI15</f>
        <v>26</v>
      </c>
      <c r="CT165" s="56">
        <f>'2022'!CJ15</f>
        <v>779</v>
      </c>
      <c r="CU165" s="57">
        <f>'2022'!CK15</f>
        <v>1742</v>
      </c>
      <c r="CV165" s="57">
        <f>'2022'!CL15</f>
        <v>11</v>
      </c>
      <c r="CW165" s="57">
        <f>'2022'!CM15</f>
        <v>18</v>
      </c>
      <c r="CX165" s="57">
        <f>'2022'!CN15</f>
        <v>144</v>
      </c>
      <c r="CY165" s="57">
        <f>'2022'!CO15</f>
        <v>27</v>
      </c>
      <c r="CZ165" s="58">
        <f>'2022'!CP15</f>
        <v>5.4</v>
      </c>
      <c r="DA165" s="58">
        <f>'2022'!CQ15</f>
        <v>51.9</v>
      </c>
      <c r="DB165" s="58">
        <f>'2022'!CR15</f>
        <v>2.78</v>
      </c>
      <c r="DC165" s="58">
        <f>'2022'!CS15</f>
        <v>34.9</v>
      </c>
      <c r="DD165" s="57">
        <f>'2022'!CT15</f>
        <v>37</v>
      </c>
      <c r="DE165" s="57">
        <f>'2022'!CU15</f>
        <v>2499</v>
      </c>
      <c r="DF165" s="57">
        <f>'2022'!CV15</f>
        <v>6</v>
      </c>
      <c r="DG165" s="57">
        <f>'2022'!CW15</f>
        <v>0</v>
      </c>
      <c r="DH165" s="59">
        <f>'2022'!CX15</f>
        <v>19</v>
      </c>
      <c r="DI165" s="56">
        <f>'2022'!CY15</f>
        <v>859</v>
      </c>
      <c r="DJ165" s="57">
        <f>'2022'!CZ15</f>
        <v>3779</v>
      </c>
      <c r="DK165" s="57">
        <f>'2022'!DA15</f>
        <v>11</v>
      </c>
      <c r="DL165" s="57">
        <f>'2022'!DB15</f>
        <v>29</v>
      </c>
      <c r="DM165" s="57">
        <f>'2022'!DC15</f>
        <v>161</v>
      </c>
      <c r="DN165" s="57">
        <f>'2022'!DD15</f>
        <v>37</v>
      </c>
      <c r="DO165" s="58">
        <f>'2022'!DE15</f>
        <v>5.3</v>
      </c>
      <c r="DP165" s="58">
        <f>'2022'!DF15</f>
        <v>83.1</v>
      </c>
      <c r="DQ165" s="58">
        <f>'2022'!DG15</f>
        <v>3.6</v>
      </c>
      <c r="DR165" s="58">
        <f>'2022'!DH15</f>
        <v>25</v>
      </c>
      <c r="DS165" s="57">
        <f>'2022'!DI15</f>
        <v>72</v>
      </c>
      <c r="DT165" s="57">
        <f>'2022'!DJ15</f>
        <v>3778</v>
      </c>
      <c r="DU165" s="57">
        <f>'2022'!DK15</f>
        <v>8</v>
      </c>
      <c r="DV165" s="57">
        <f>'2022'!DL15</f>
        <v>0</v>
      </c>
      <c r="DW165" s="59">
        <f>'2022'!DM15</f>
        <v>39</v>
      </c>
    </row>
    <row r="166" spans="1:127" ht="15.75" customHeight="1" x14ac:dyDescent="0.2">
      <c r="A166" s="33">
        <f t="shared" si="25"/>
        <v>164</v>
      </c>
      <c r="B166" s="11">
        <f>'2015'!A11</f>
        <v>9</v>
      </c>
      <c r="C166" s="11">
        <v>2015</v>
      </c>
      <c r="D166" s="34" t="str">
        <f>'2015'!B11</f>
        <v>Javorius Allen</v>
      </c>
      <c r="E166" s="224" t="str" cm="1">
        <f t="array" ref="E166">_xlfn.IFS(F166&gt;=13,"Cornerstone",AND(F166&gt;=12,F166&lt;13),"Elite",AND(F166&gt;=11,F166&lt;12),"Elite Upside",AND(F166&gt;=9,F166&lt;11),"Upside",AND(F166&gt;=7,F166&lt;9),"Upside Lite",AND(F166&gt;=6,F166&lt;7),"Outlier",AND(F166&gt;=5,F166&lt;6),"Outlier Lite",F166&lt;5,"Purgatory")</f>
        <v>Outlier</v>
      </c>
      <c r="F166" s="14">
        <f>'2015'!C11</f>
        <v>6.4833333333333334</v>
      </c>
      <c r="G166" s="14">
        <f t="shared" si="31"/>
        <v>49.5</v>
      </c>
      <c r="H166" s="35">
        <f t="shared" si="26"/>
        <v>-0.64291151803951285</v>
      </c>
      <c r="I166" s="36" t="str">
        <f>'2015'!D11</f>
        <v>USC</v>
      </c>
      <c r="J166" s="37">
        <f>'2015'!E11</f>
        <v>5</v>
      </c>
      <c r="K166" s="38">
        <f>'2015'!F11</f>
        <v>33477</v>
      </c>
      <c r="L166" s="39">
        <f>'2015'!G11</f>
        <v>34.109589041095887</v>
      </c>
      <c r="M166" s="39" t="str">
        <f>'2015'!H11</f>
        <v>JR</v>
      </c>
      <c r="N166" s="39">
        <f>'2015'!I11</f>
        <v>23.682191780821917</v>
      </c>
      <c r="O166" s="39" t="str">
        <f t="shared" si="27"/>
        <v>BELL COW</v>
      </c>
      <c r="P166" s="39" t="str">
        <f t="shared" si="32"/>
        <v>PLODDER</v>
      </c>
      <c r="Q166" s="37">
        <f>'2015'!J11</f>
        <v>72</v>
      </c>
      <c r="R166" s="37">
        <f>'2015'!K11</f>
        <v>221</v>
      </c>
      <c r="S166" s="39">
        <f t="shared" si="29"/>
        <v>29.972656318769427</v>
      </c>
      <c r="T166" s="39">
        <f>'2015'!L11</f>
        <v>4.53</v>
      </c>
      <c r="U166" s="55">
        <f>'2015'!M11</f>
        <v>4</v>
      </c>
      <c r="V166" s="41">
        <f>'2015'!N11</f>
        <v>0</v>
      </c>
      <c r="W166" s="42">
        <f>'2015'!O11</f>
        <v>0</v>
      </c>
      <c r="X166" s="42">
        <f>'2015'!P11</f>
        <v>0</v>
      </c>
      <c r="Y166" s="42">
        <f>'2015'!Q11</f>
        <v>0.1998727907021568</v>
      </c>
      <c r="Z166" s="42">
        <f>'2015'!R11</f>
        <v>0.32678859601936522</v>
      </c>
      <c r="AA166" s="42">
        <f>'2015'!S11</f>
        <v>0.32678859601936522</v>
      </c>
      <c r="AB166" s="42">
        <f>'2015'!T11</f>
        <v>0.27777030661646041</v>
      </c>
      <c r="AC166" s="42">
        <f>'2015'!U11</f>
        <v>8.5357179148460527E-2</v>
      </c>
      <c r="AD166" s="42">
        <f>'2015'!V11</f>
        <v>0.12007884226360288</v>
      </c>
      <c r="AE166" s="42">
        <f>'2015'!W11</f>
        <v>0.12007884226360288</v>
      </c>
      <c r="AF166" s="43">
        <f>'2015'!X11</f>
        <v>0.10206701592406245</v>
      </c>
      <c r="AG166" s="44">
        <f>'2015'!Y11</f>
        <v>22.030136986301368</v>
      </c>
      <c r="AH166" s="45">
        <f>'2015'!Z11</f>
        <v>104.96136290292813</v>
      </c>
      <c r="AI166" s="45">
        <f>'2015'!AA11</f>
        <v>29.969714506172842</v>
      </c>
      <c r="AJ166" s="45">
        <f>'2015'!AB11</f>
        <v>0.16</v>
      </c>
      <c r="AK166" s="45">
        <f>'2015'!AC11</f>
        <v>5.8148148148148149</v>
      </c>
      <c r="AL166" s="45">
        <f t="shared" si="28"/>
        <v>11.171875</v>
      </c>
      <c r="AM166" s="45">
        <f t="shared" si="33"/>
        <v>0.13249211356466878</v>
      </c>
      <c r="AN166" s="45">
        <f>'2015'!AD11</f>
        <v>41</v>
      </c>
      <c r="AO166" s="45">
        <f>'2015'!AE11</f>
        <v>2.6</v>
      </c>
      <c r="AP166" s="46">
        <f>'2015'!AF11</f>
        <v>35.700000000000003</v>
      </c>
      <c r="AQ166" s="47">
        <f>'2015'!AG11</f>
        <v>7</v>
      </c>
      <c r="AR166" s="48">
        <f>'2015'!AH11</f>
        <v>9</v>
      </c>
      <c r="AS166" s="48">
        <f>'2015'!AI11</f>
        <v>1</v>
      </c>
      <c r="AT166" s="48">
        <f>'2015'!AJ11</f>
        <v>7</v>
      </c>
      <c r="AU166" s="48">
        <f>'2015'!AK11</f>
        <v>2</v>
      </c>
      <c r="AV166" s="48">
        <f>'2015'!AL11</f>
        <v>4</v>
      </c>
      <c r="AW166" s="48">
        <f>'2015'!AM11</f>
        <v>0</v>
      </c>
      <c r="AX166" s="48">
        <f>'2015'!AN11</f>
        <v>0</v>
      </c>
      <c r="AY166" s="49">
        <f>'2015'!AO11</f>
        <v>4</v>
      </c>
      <c r="AZ166" s="50">
        <f>'2015'!AP11</f>
        <v>0</v>
      </c>
      <c r="BA166" s="56">
        <f>'2015'!AQ11</f>
        <v>0</v>
      </c>
      <c r="BB166" s="57">
        <f>'2015'!AR11</f>
        <v>1</v>
      </c>
      <c r="BC166" s="57">
        <f>'2015'!AS11</f>
        <v>0</v>
      </c>
      <c r="BD166" s="57">
        <f>'2015'!AT11</f>
        <v>0</v>
      </c>
      <c r="BE166" s="57">
        <f>'2015'!AU11</f>
        <v>0</v>
      </c>
      <c r="BF166" s="57">
        <f>'2015'!AV11</f>
        <v>0</v>
      </c>
      <c r="BG166" s="58">
        <f>'2015'!AW11</f>
        <v>0</v>
      </c>
      <c r="BH166" s="58">
        <f>'2015'!AX11</f>
        <v>0</v>
      </c>
      <c r="BI166" s="58">
        <f>'2015'!AY11</f>
        <v>0</v>
      </c>
      <c r="BJ166" s="58">
        <f>'2015'!AZ11</f>
        <v>0</v>
      </c>
      <c r="BK166" s="57">
        <f>'2015'!BA11</f>
        <v>0</v>
      </c>
      <c r="BL166" s="57">
        <f>'2015'!BB11</f>
        <v>1</v>
      </c>
      <c r="BM166" s="57">
        <f>'2015'!BC11</f>
        <v>0</v>
      </c>
      <c r="BN166" s="57">
        <f>'2015'!BD11</f>
        <v>0</v>
      </c>
      <c r="BO166" s="59">
        <f>'2015'!BE11</f>
        <v>0</v>
      </c>
      <c r="BP166" s="56">
        <f>'2015'!BF11</f>
        <v>0</v>
      </c>
      <c r="BQ166" s="57">
        <f>'2015'!BG11</f>
        <v>1</v>
      </c>
      <c r="BR166" s="57">
        <f>'2015'!BH11</f>
        <v>0</v>
      </c>
      <c r="BS166" s="57">
        <f>'2015'!BI11</f>
        <v>0</v>
      </c>
      <c r="BT166" s="57">
        <f>'2015'!BJ11</f>
        <v>0</v>
      </c>
      <c r="BU166" s="57">
        <f>'2015'!BK11</f>
        <v>0</v>
      </c>
      <c r="BV166" s="58">
        <f>'2015'!BL11</f>
        <v>0</v>
      </c>
      <c r="BW166" s="58">
        <f>'2015'!BM11</f>
        <v>0</v>
      </c>
      <c r="BX166" s="58">
        <f>'2015'!BN11</f>
        <v>0</v>
      </c>
      <c r="BY166" s="58">
        <f>'2015'!BO11</f>
        <v>0</v>
      </c>
      <c r="BZ166" s="57">
        <f>'2015'!BP11</f>
        <v>0</v>
      </c>
      <c r="CA166" s="57">
        <f>'2015'!BQ11</f>
        <v>1</v>
      </c>
      <c r="CB166" s="57">
        <f>'2015'!BR11</f>
        <v>0</v>
      </c>
      <c r="CC166" s="57">
        <f>'2015'!BS11</f>
        <v>0</v>
      </c>
      <c r="CD166" s="59">
        <f>'2015'!BT11</f>
        <v>0</v>
      </c>
      <c r="CE166" s="56">
        <f>'2015'!BU11</f>
        <v>0</v>
      </c>
      <c r="CF166" s="57">
        <f>'2015'!BV11</f>
        <v>1</v>
      </c>
      <c r="CG166" s="57">
        <f>'2015'!BW11</f>
        <v>0</v>
      </c>
      <c r="CH166" s="57">
        <f>'2015'!BX11</f>
        <v>0</v>
      </c>
      <c r="CI166" s="57">
        <f>'2015'!BY11</f>
        <v>0</v>
      </c>
      <c r="CJ166" s="57">
        <f>'2015'!BZ11</f>
        <v>0</v>
      </c>
      <c r="CK166" s="58">
        <f>'2015'!CA11</f>
        <v>0</v>
      </c>
      <c r="CL166" s="58">
        <f>'2015'!CB11</f>
        <v>0</v>
      </c>
      <c r="CM166" s="58">
        <f>'2015'!CC11</f>
        <v>0</v>
      </c>
      <c r="CN166" s="58">
        <f>'2015'!CD11</f>
        <v>0</v>
      </c>
      <c r="CO166" s="57">
        <f>'2015'!CE11</f>
        <v>0</v>
      </c>
      <c r="CP166" s="57">
        <f>'2015'!CF11</f>
        <v>1</v>
      </c>
      <c r="CQ166" s="57">
        <f>'2015'!CG11</f>
        <v>0</v>
      </c>
      <c r="CR166" s="57">
        <f>'2015'!CH11</f>
        <v>0</v>
      </c>
      <c r="CS166" s="59">
        <f>'2015'!CI11</f>
        <v>0</v>
      </c>
      <c r="CT166" s="56">
        <f>'2015'!CJ11</f>
        <v>785</v>
      </c>
      <c r="CU166" s="57">
        <f>'2015'!CK11</f>
        <v>2236</v>
      </c>
      <c r="CV166" s="57">
        <f>'2015'!CL11</f>
        <v>14</v>
      </c>
      <c r="CW166" s="57">
        <f>'2015'!CM11</f>
        <v>0</v>
      </c>
      <c r="CX166" s="57">
        <f>'2015'!CN11</f>
        <v>135</v>
      </c>
      <c r="CY166" s="57">
        <f>'2015'!CO11</f>
        <v>0</v>
      </c>
      <c r="CZ166" s="58">
        <f>'2015'!CP11</f>
        <v>5.8148148148148149</v>
      </c>
      <c r="DA166" s="58">
        <f>'2015'!CQ11</f>
        <v>0</v>
      </c>
      <c r="DB166" s="58">
        <f>'2015'!CR11</f>
        <v>0</v>
      </c>
      <c r="DC166" s="58">
        <f>'2015'!CS11</f>
        <v>0</v>
      </c>
      <c r="DD166" s="57">
        <f>'2015'!CT11</f>
        <v>252</v>
      </c>
      <c r="DE166" s="57">
        <f>'2015'!CU11</f>
        <v>2952.2999999999997</v>
      </c>
      <c r="DF166" s="57">
        <f>'2015'!CV11</f>
        <v>22</v>
      </c>
      <c r="DG166" s="57">
        <f>'2015'!CW11</f>
        <v>1</v>
      </c>
      <c r="DH166" s="59">
        <f>'2015'!CX11</f>
        <v>0</v>
      </c>
      <c r="DI166" s="56">
        <f>'2015'!CY11</f>
        <v>1481</v>
      </c>
      <c r="DJ166" s="57">
        <f>'2015'!CZ11</f>
        <v>2093</v>
      </c>
      <c r="DK166" s="57">
        <f>'2015'!DA11</f>
        <v>11</v>
      </c>
      <c r="DL166" s="57">
        <f>'2015'!DB11</f>
        <v>18.2</v>
      </c>
      <c r="DM166" s="57">
        <f>'2015'!DC11</f>
        <v>275</v>
      </c>
      <c r="DN166" s="57">
        <f>'2015'!DD11</f>
        <v>44</v>
      </c>
      <c r="DO166" s="58">
        <f>'2015'!DE11</f>
        <v>5.3854545454545457</v>
      </c>
      <c r="DP166" s="58">
        <f>'2015'!DF11</f>
        <v>41</v>
      </c>
      <c r="DQ166" s="58">
        <f>'2015'!DG11</f>
        <v>2.6</v>
      </c>
      <c r="DR166" s="58">
        <f>'2015'!DH11</f>
        <v>35.700000000000003</v>
      </c>
      <c r="DS166" s="57">
        <f>'2015'!DI11</f>
        <v>463</v>
      </c>
      <c r="DT166" s="57">
        <f>'2015'!DJ11</f>
        <v>3855.8</v>
      </c>
      <c r="DU166" s="57">
        <f>'2015'!DK11</f>
        <v>42</v>
      </c>
      <c r="DV166" s="57">
        <f>'2015'!DL11</f>
        <v>1</v>
      </c>
      <c r="DW166" s="59">
        <f>'2015'!DM11</f>
        <v>39</v>
      </c>
    </row>
    <row r="167" spans="1:127" ht="15.75" customHeight="1" x14ac:dyDescent="0.2">
      <c r="A167" s="33">
        <f t="shared" si="25"/>
        <v>164</v>
      </c>
      <c r="B167" s="11">
        <f>'2019'!A17</f>
        <v>15</v>
      </c>
      <c r="C167" s="11">
        <v>2019</v>
      </c>
      <c r="D167" s="34" t="str">
        <f>'2019'!B17</f>
        <v>Justice Hill</v>
      </c>
      <c r="E167" s="224" t="str" cm="1">
        <f t="array" ref="E167">_xlfn.IFS(F167&gt;=13,"Cornerstone",AND(F167&gt;=12,F167&lt;13),"Elite",AND(F167&gt;=11,F167&lt;12),"Elite Upside",AND(F167&gt;=9,F167&lt;11),"Upside",AND(F167&gt;=7,F167&lt;9),"Upside Lite",AND(F167&gt;=6,F167&lt;7),"Outlier",AND(F167&gt;=5,F167&lt;6),"Outlier Lite",F167&lt;5,"Purgatory")</f>
        <v>Outlier</v>
      </c>
      <c r="F167" s="14">
        <f>'2019'!C17</f>
        <v>6.4833333333333334</v>
      </c>
      <c r="G167" s="14">
        <f t="shared" si="31"/>
        <v>49.5</v>
      </c>
      <c r="H167" s="35">
        <f t="shared" si="26"/>
        <v>-0.64291151803951285</v>
      </c>
      <c r="I167" s="36" t="str">
        <f>'2019'!D17</f>
        <v>Oklahoma State</v>
      </c>
      <c r="J167" s="37">
        <f>'2019'!E17</f>
        <v>3</v>
      </c>
      <c r="K167" s="38">
        <f>'2019'!F17</f>
        <v>35748</v>
      </c>
      <c r="L167" s="39">
        <f>'2019'!G17</f>
        <v>27.887671232876713</v>
      </c>
      <c r="M167" s="39" t="str">
        <f>'2019'!H17</f>
        <v>JR</v>
      </c>
      <c r="N167" s="39">
        <f>'2019'!I17</f>
        <v>21.457534246575342</v>
      </c>
      <c r="O167" s="39" t="str">
        <f t="shared" si="27"/>
        <v>JITTERBUG</v>
      </c>
      <c r="P167" s="39" t="str">
        <f t="shared" si="32"/>
        <v>PLODDER</v>
      </c>
      <c r="Q167" s="37">
        <f>'2019'!J17</f>
        <v>70</v>
      </c>
      <c r="R167" s="37">
        <f>'2019'!K17</f>
        <v>198</v>
      </c>
      <c r="S167" s="39">
        <f t="shared" si="29"/>
        <v>28.409727186801312</v>
      </c>
      <c r="T167" s="37">
        <f>'2019'!L17</f>
        <v>4.4000000000000004</v>
      </c>
      <c r="U167" s="40">
        <f>'2019'!M17</f>
        <v>4</v>
      </c>
      <c r="V167" s="41">
        <f>'2019'!N17</f>
        <v>0</v>
      </c>
      <c r="W167" s="42">
        <f>'2019'!O17</f>
        <v>0</v>
      </c>
      <c r="X167" s="42">
        <f>'2019'!P17</f>
        <v>0.18407960199004975</v>
      </c>
      <c r="Y167" s="42">
        <f>'2019'!Q17</f>
        <v>0.22444564629529476</v>
      </c>
      <c r="Z167" s="42">
        <f>'2019'!R17</f>
        <v>0.15349123346662566</v>
      </c>
      <c r="AA167" s="42">
        <f>'2019'!S17</f>
        <v>0.18896843988096021</v>
      </c>
      <c r="AB167" s="42">
        <f>'2019'!T17</f>
        <v>0.17007159589286419</v>
      </c>
      <c r="AC167" s="42">
        <f>'2019'!U17</f>
        <v>3.8149831982605256E-2</v>
      </c>
      <c r="AD167" s="42">
        <f>'2019'!V17</f>
        <v>1.7130089374379345E-2</v>
      </c>
      <c r="AE167" s="42">
        <f>'2019'!W17</f>
        <v>2.7639960678492302E-2</v>
      </c>
      <c r="AF167" s="43">
        <f>'2019'!X17</f>
        <v>2.4875964610643071E-2</v>
      </c>
      <c r="AG167" s="44">
        <f>'2019'!Y17</f>
        <v>18.81095890410959</v>
      </c>
      <c r="AH167" s="45">
        <f>'2019'!Z17</f>
        <v>105.65364387678434</v>
      </c>
      <c r="AI167" s="45">
        <f>'2019'!AA17</f>
        <v>28.406938775510202</v>
      </c>
      <c r="AJ167" s="45">
        <f>'2019'!AB17</f>
        <v>0.21518987341772153</v>
      </c>
      <c r="AK167" s="45">
        <f>'2019'!AC17</f>
        <v>5.9</v>
      </c>
      <c r="AL167" s="45">
        <f t="shared" si="28"/>
        <v>6.2857142857142856</v>
      </c>
      <c r="AM167" s="45">
        <f t="shared" si="33"/>
        <v>7.6023391812865493E-2</v>
      </c>
      <c r="AN167" s="45">
        <f>'2019'!AD17</f>
        <v>64.2</v>
      </c>
      <c r="AO167" s="45">
        <f>'2019'!AE17</f>
        <v>3.31</v>
      </c>
      <c r="AP167" s="46">
        <f>'2019'!AF17</f>
        <v>44.9</v>
      </c>
      <c r="AQ167" s="47">
        <f>'2019'!AG17</f>
        <v>3</v>
      </c>
      <c r="AR167" s="48">
        <f>'2019'!AH17</f>
        <v>2</v>
      </c>
      <c r="AS167" s="48">
        <f>'2019'!AI17</f>
        <v>9</v>
      </c>
      <c r="AT167" s="48">
        <f>IF(AH167&gt;113.25,10,IF(AH167&gt;=107.84,9,IF(AH167&gt;=105.37,8,IF(AH167&gt;=103.25,7,IF(AH167&gt;=100.55,6,IF(AH167&gt;=98.75,5,IF(AH167&gt;=96.08,4,IF(AH167&gt;=94.39,3,IF(AH167&gt;=88.43,2,IF(AH167&gt;=85.16,1,IF(AH167&lt;85.16,0,FALSE)))))))))))</f>
        <v>8</v>
      </c>
      <c r="AU167" s="48">
        <f>'2019'!AK17</f>
        <v>4</v>
      </c>
      <c r="AV167" s="48">
        <f>'2019'!AL17</f>
        <v>4</v>
      </c>
      <c r="AW167" s="48">
        <f>'2019'!AM17</f>
        <v>1</v>
      </c>
      <c r="AX167" s="48">
        <f>'2019'!AN17</f>
        <v>1</v>
      </c>
      <c r="AY167" s="49">
        <f>IF(U167=1,10,IF(U167=2,7,IF(U167=3,6,IF(U167=4,4,IF(U167=5,3,IF(U167=6,2,IF(U167=7,1,IF(U167=0,0,"-"))))))))</f>
        <v>4</v>
      </c>
      <c r="AZ167" s="50">
        <f>'2019'!AP17</f>
        <v>0</v>
      </c>
      <c r="BA167" s="56">
        <f>'2019'!AQ17</f>
        <v>0</v>
      </c>
      <c r="BB167" s="57">
        <f>'2019'!AR17</f>
        <v>1776</v>
      </c>
      <c r="BC167" s="57">
        <f>'2019'!AS17</f>
        <v>0</v>
      </c>
      <c r="BD167" s="57">
        <f>'2019'!AT17</f>
        <v>18</v>
      </c>
      <c r="BE167" s="57">
        <f>'2019'!AU17</f>
        <v>0</v>
      </c>
      <c r="BF167" s="57">
        <f>'2019'!AV17</f>
        <v>0</v>
      </c>
      <c r="BG167" s="58">
        <f>'2019'!AW17</f>
        <v>0</v>
      </c>
      <c r="BH167" s="58">
        <f>'2019'!AX17</f>
        <v>0</v>
      </c>
      <c r="BI167" s="58">
        <f>'2019'!AY17</f>
        <v>0</v>
      </c>
      <c r="BJ167" s="58">
        <f>'2019'!AZ17</f>
        <v>0</v>
      </c>
      <c r="BK167" s="57">
        <f>'2019'!BA17</f>
        <v>0</v>
      </c>
      <c r="BL167" s="57">
        <f>'2019'!BB17</f>
        <v>3149</v>
      </c>
      <c r="BM167" s="57">
        <f>'2019'!BC17</f>
        <v>0</v>
      </c>
      <c r="BN167" s="57">
        <f>'2019'!BD17</f>
        <v>0</v>
      </c>
      <c r="BO167" s="59">
        <f>'2019'!BE17</f>
        <v>19</v>
      </c>
      <c r="BP167" s="56">
        <f>'2019'!BF17</f>
        <v>0</v>
      </c>
      <c r="BQ167" s="57">
        <f>'2019'!BG17</f>
        <v>1649</v>
      </c>
      <c r="BR167" s="57">
        <f>'2019'!BH17</f>
        <v>0</v>
      </c>
      <c r="BS167" s="57">
        <f>'2019'!BI17</f>
        <v>25</v>
      </c>
      <c r="BT167" s="57">
        <f>'2019'!BJ17</f>
        <v>0</v>
      </c>
      <c r="BU167" s="57">
        <f>'2019'!BK17</f>
        <v>0</v>
      </c>
      <c r="BV167" s="58">
        <f>'2019'!BL17</f>
        <v>0</v>
      </c>
      <c r="BW167" s="58">
        <f>'2019'!BM17</f>
        <v>0</v>
      </c>
      <c r="BX167" s="58">
        <f>'2019'!BN17</f>
        <v>0</v>
      </c>
      <c r="BY167" s="58">
        <f>'2019'!BO17</f>
        <v>0</v>
      </c>
      <c r="BZ167" s="57">
        <f>'2019'!BP17</f>
        <v>0</v>
      </c>
      <c r="CA167" s="57">
        <f>'2019'!BQ17</f>
        <v>4591</v>
      </c>
      <c r="CB167" s="57">
        <f>'2019'!BR17</f>
        <v>0</v>
      </c>
      <c r="CC167" s="57">
        <f>'2019'!BS17</f>
        <v>0</v>
      </c>
      <c r="CD167" s="59">
        <f>'2019'!BT17</f>
        <v>35</v>
      </c>
      <c r="CE167" s="56">
        <f>'2019'!BU17</f>
        <v>1138</v>
      </c>
      <c r="CF167" s="57">
        <f>'2019'!BV17</f>
        <v>2221</v>
      </c>
      <c r="CG167" s="57">
        <f>'2019'!BW17</f>
        <v>6</v>
      </c>
      <c r="CH167" s="57">
        <f>'2019'!BX17</f>
        <v>32</v>
      </c>
      <c r="CI167" s="57">
        <f>'2019'!BY17</f>
        <v>205</v>
      </c>
      <c r="CJ167" s="57">
        <f>'2019'!BZ17</f>
        <v>33</v>
      </c>
      <c r="CK167" s="58">
        <f>'2019'!CA17</f>
        <v>5.6</v>
      </c>
      <c r="CL167" s="58">
        <f>'2019'!CB17</f>
        <v>53.6</v>
      </c>
      <c r="CM167" s="58">
        <f>'2019'!CC17</f>
        <v>3.31</v>
      </c>
      <c r="CN167" s="58">
        <f>'2019'!CD17</f>
        <v>43.2</v>
      </c>
      <c r="CO167" s="57">
        <f>'2019'!CE17</f>
        <v>46</v>
      </c>
      <c r="CP167" s="57">
        <f>'2019'!CF17</f>
        <v>4211</v>
      </c>
      <c r="CQ167" s="57">
        <f>'2019'!CG17</f>
        <v>5</v>
      </c>
      <c r="CR167" s="57">
        <f>'2019'!CH17</f>
        <v>0</v>
      </c>
      <c r="CS167" s="59">
        <f>'2019'!CI17</f>
        <v>29</v>
      </c>
      <c r="CT167" s="56">
        <f>'2019'!CJ17</f>
        <v>1467</v>
      </c>
      <c r="CU167" s="57">
        <f>'2019'!CK17</f>
        <v>2337</v>
      </c>
      <c r="CV167" s="57">
        <f>'2019'!CL17</f>
        <v>15</v>
      </c>
      <c r="CW167" s="57">
        <f>'2019'!CM17</f>
        <v>34</v>
      </c>
      <c r="CX167" s="57">
        <f>'2019'!CN17</f>
        <v>268</v>
      </c>
      <c r="CY167" s="57">
        <f>'2019'!CO17</f>
        <v>50</v>
      </c>
      <c r="CZ167" s="58">
        <f>'2019'!CP17</f>
        <v>5.5</v>
      </c>
      <c r="DA167" s="58">
        <f>'2019'!CQ17</f>
        <v>59.8</v>
      </c>
      <c r="DB167" s="58">
        <f>'2019'!CR17</f>
        <v>3.19</v>
      </c>
      <c r="DC167" s="58">
        <f>'2019'!CS17</f>
        <v>44.9</v>
      </c>
      <c r="DD167" s="57">
        <f>'2019'!CT17</f>
        <v>193</v>
      </c>
      <c r="DE167" s="57">
        <f>'2019'!CU17</f>
        <v>5059</v>
      </c>
      <c r="DF167" s="57">
        <f>'2019'!CV17</f>
        <v>31</v>
      </c>
      <c r="DG167" s="57">
        <f>'2019'!CW17</f>
        <v>0</v>
      </c>
      <c r="DH167" s="59">
        <f>'2019'!CX17</f>
        <v>37</v>
      </c>
      <c r="DI167" s="56">
        <f>'2019'!CY17</f>
        <v>929</v>
      </c>
      <c r="DJ167" s="57">
        <f>'2019'!CZ17</f>
        <v>2474</v>
      </c>
      <c r="DK167" s="57">
        <f>'2019'!DA17</f>
        <v>9</v>
      </c>
      <c r="DL167" s="57">
        <f>'2019'!DB17</f>
        <v>30</v>
      </c>
      <c r="DM167" s="57">
        <f>'2019'!DC17</f>
        <v>158</v>
      </c>
      <c r="DN167" s="57">
        <f>'2019'!DD17</f>
        <v>34</v>
      </c>
      <c r="DO167" s="58">
        <f>'2019'!DE17</f>
        <v>5.9</v>
      </c>
      <c r="DP167" s="58">
        <f>'2019'!DF17</f>
        <v>64.2</v>
      </c>
      <c r="DQ167" s="58">
        <f>'2019'!DG17</f>
        <v>2.68</v>
      </c>
      <c r="DR167" s="58">
        <f>'2019'!DH17</f>
        <v>43.9</v>
      </c>
      <c r="DS167" s="57">
        <f>'2019'!DI17</f>
        <v>69</v>
      </c>
      <c r="DT167" s="57">
        <f>'2019'!DJ17</f>
        <v>4028</v>
      </c>
      <c r="DU167" s="57">
        <f>'2019'!DK17</f>
        <v>13</v>
      </c>
      <c r="DV167" s="57">
        <f>'2019'!DL17</f>
        <v>0</v>
      </c>
      <c r="DW167" s="59">
        <f>'2019'!DM17</f>
        <v>33</v>
      </c>
    </row>
    <row r="168" spans="1:127" ht="15.75" customHeight="1" x14ac:dyDescent="0.2">
      <c r="A168" s="33">
        <f t="shared" si="25"/>
        <v>166</v>
      </c>
      <c r="B168" s="11">
        <f>'2022'!A16</f>
        <v>14</v>
      </c>
      <c r="C168" s="11">
        <v>2022</v>
      </c>
      <c r="D168" s="34" t="str">
        <f>'2022'!B16</f>
        <v>Tyler Goodson</v>
      </c>
      <c r="E168" s="224" t="str" cm="1">
        <f t="array" ref="E168">_xlfn.IFS(F168&gt;=13,"Cornerstone",AND(F168&gt;=12,F168&lt;13),"Elite",AND(F168&gt;=11,F168&lt;12),"Elite Upside",AND(F168&gt;=9,F168&lt;11),"Upside",AND(F168&gt;=7,F168&lt;9),"Upside Lite",AND(F168&gt;=6,F168&lt;7),"Outlier",AND(F168&gt;=5,F168&lt;6),"Outlier Lite",F168&lt;5,"Purgatory")</f>
        <v>Outlier</v>
      </c>
      <c r="F168" s="14">
        <f>'2022'!C16</f>
        <v>6.4444444444444446</v>
      </c>
      <c r="G168" s="14">
        <f t="shared" si="31"/>
        <v>49.2</v>
      </c>
      <c r="H168" s="35">
        <f t="shared" si="26"/>
        <v>-0.6593702705377209</v>
      </c>
      <c r="I168" s="36" t="str">
        <f>'2022'!D16</f>
        <v>Iowa</v>
      </c>
      <c r="J168" s="37">
        <f>'2022'!E16</f>
        <v>2</v>
      </c>
      <c r="K168" s="38">
        <f>'2022'!F16</f>
        <v>36840</v>
      </c>
      <c r="L168" s="39">
        <f>'2022'!G16</f>
        <v>24.895890410958906</v>
      </c>
      <c r="M168" s="39" t="str">
        <f>'2022'!H16</f>
        <v>JR</v>
      </c>
      <c r="N168" s="39">
        <f>'2022'!I16</f>
        <v>21.476712328767125</v>
      </c>
      <c r="O168" s="39" t="str">
        <f t="shared" si="27"/>
        <v>JITTERBUG</v>
      </c>
      <c r="P168" s="39" t="str">
        <f t="shared" si="32"/>
        <v>+RECEIVER</v>
      </c>
      <c r="Q168" s="37">
        <f>'2022'!J16</f>
        <v>69</v>
      </c>
      <c r="R168" s="37">
        <f>'2022'!K16</f>
        <v>197</v>
      </c>
      <c r="S168" s="39">
        <f t="shared" si="29"/>
        <v>29.091492167441384</v>
      </c>
      <c r="T168" s="37">
        <f>'2022'!L16</f>
        <v>4.42</v>
      </c>
      <c r="U168" s="40">
        <f>'2022'!M16</f>
        <v>0</v>
      </c>
      <c r="V168" s="41">
        <f>'2022'!N16</f>
        <v>0</v>
      </c>
      <c r="W168" s="42">
        <f>'2022'!O16</f>
        <v>0</v>
      </c>
      <c r="X168" s="42">
        <f>'2022'!P16</f>
        <v>0.16873032528856244</v>
      </c>
      <c r="Y168" s="42">
        <f>'2022'!Q16</f>
        <v>0.31129196337741605</v>
      </c>
      <c r="Z168" s="42">
        <f>'2022'!R16</f>
        <v>0.32808090310442145</v>
      </c>
      <c r="AA168" s="42">
        <f>'2022'!S16</f>
        <v>0.32808090310442145</v>
      </c>
      <c r="AB168" s="42">
        <f>'2022'!T16</f>
        <v>0.32808090310442145</v>
      </c>
      <c r="AC168" s="42">
        <f>'2022'!U16</f>
        <v>9.2346616065781151E-2</v>
      </c>
      <c r="AD168" s="42">
        <f>'2022'!V16</f>
        <v>9.797699325664419E-2</v>
      </c>
      <c r="AE168" s="42">
        <f>'2022'!W16</f>
        <v>9.797699325664419E-2</v>
      </c>
      <c r="AF168" s="43">
        <f>'2022'!X16</f>
        <v>9.797699325664419E-2</v>
      </c>
      <c r="AG168" s="44">
        <f>'2022'!Y16</f>
        <v>18.816438356164383</v>
      </c>
      <c r="AH168" s="45">
        <f>'2022'!Z16</f>
        <v>103.23028929732912</v>
      </c>
      <c r="AI168" s="45">
        <f>'2022'!AA16</f>
        <v>29.08863684099979</v>
      </c>
      <c r="AJ168" s="45">
        <f>'2022'!AB16</f>
        <v>0.22535211267605634</v>
      </c>
      <c r="AK168" s="45">
        <f>'2022'!AC16</f>
        <v>5.4</v>
      </c>
      <c r="AL168" s="45">
        <f t="shared" si="28"/>
        <v>7.9571428571428573</v>
      </c>
      <c r="AM168" s="45">
        <f t="shared" si="33"/>
        <v>0.10801393728222997</v>
      </c>
      <c r="AN168" s="45">
        <f>'2022'!AD16</f>
        <v>67</v>
      </c>
      <c r="AO168" s="45">
        <f>'2022'!AE16</f>
        <v>3.41</v>
      </c>
      <c r="AP168" s="46">
        <f>'2022'!AF16</f>
        <v>42.7</v>
      </c>
      <c r="AQ168" s="47">
        <f>'2022'!AG16</f>
        <v>8</v>
      </c>
      <c r="AR168" s="48">
        <f>'2022'!AH16</f>
        <v>9</v>
      </c>
      <c r="AS168" s="48">
        <f>'2022'!AI16</f>
        <v>9</v>
      </c>
      <c r="AT168" s="48">
        <f>IF(AH168&gt;113.25,10,IF(AH168&gt;=107.84,9,IF(AH168&gt;=105.37,8,IF(AH168&gt;=103.25,7,IF(AH168&gt;=100.55,6,IF(AH168&gt;=98.75,5,IF(AH168&gt;=96.08,4,IF(AH168&gt;=94.39,3,IF(AH168&gt;=88.43,2,IF(AH168&gt;=85.16,1,IF(AH168&lt;85.16,0,FALSE)))))))))))</f>
        <v>6</v>
      </c>
      <c r="AU168" s="48">
        <f>'2022'!AK16</f>
        <v>5</v>
      </c>
      <c r="AV168" s="48">
        <f>'2022'!AL16</f>
        <v>2</v>
      </c>
      <c r="AW168" s="48">
        <f>'2022'!AM16</f>
        <v>1</v>
      </c>
      <c r="AX168" s="48">
        <f>'2022'!AN16</f>
        <v>1</v>
      </c>
      <c r="AY168" s="49">
        <f>IF(U168=1,10,IF(U168=2,7,IF(U168=3,6,IF(U168=4,4,IF(U168=5,3,IF(U168=6,2,IF(U168=7,1,IF(U168=0,0,"-"))))))))</f>
        <v>0</v>
      </c>
      <c r="AZ168" s="50">
        <f>'2022'!AP16</f>
        <v>0</v>
      </c>
      <c r="BA168" s="56">
        <f>'2022'!AQ16</f>
        <v>0</v>
      </c>
      <c r="BB168" s="57">
        <f>'2022'!AR16</f>
        <v>1810</v>
      </c>
      <c r="BC168" s="57">
        <f>'2022'!AS16</f>
        <v>0</v>
      </c>
      <c r="BD168" s="57">
        <f>'2022'!AT16</f>
        <v>17</v>
      </c>
      <c r="BE168" s="57">
        <f>'2022'!AU16</f>
        <v>0</v>
      </c>
      <c r="BF168" s="57">
        <f>'2022'!AV16</f>
        <v>0</v>
      </c>
      <c r="BG168" s="58">
        <f>'2022'!AW16</f>
        <v>0</v>
      </c>
      <c r="BH168" s="58">
        <f>'2022'!AX16</f>
        <v>0</v>
      </c>
      <c r="BI168" s="58">
        <f>'2022'!AY16</f>
        <v>0</v>
      </c>
      <c r="BJ168" s="58">
        <f>'2022'!AZ16</f>
        <v>0</v>
      </c>
      <c r="BK168" s="57">
        <f>'2022'!BA16</f>
        <v>0</v>
      </c>
      <c r="BL168" s="57">
        <f>'2022'!BB16</f>
        <v>2473</v>
      </c>
      <c r="BM168" s="57">
        <f>'2022'!BC16</f>
        <v>0</v>
      </c>
      <c r="BN168" s="57">
        <f>'2022'!BD16</f>
        <v>0</v>
      </c>
      <c r="BO168" s="59">
        <f>'2022'!BE16</f>
        <v>27</v>
      </c>
      <c r="BP168" s="56">
        <f>'2022'!BF16</f>
        <v>0</v>
      </c>
      <c r="BQ168" s="57">
        <f>'2022'!BG16</f>
        <v>1929</v>
      </c>
      <c r="BR168" s="57">
        <f>'2022'!BH16</f>
        <v>0</v>
      </c>
      <c r="BS168" s="57">
        <f>'2022'!BI16</f>
        <v>19</v>
      </c>
      <c r="BT168" s="57">
        <f>'2022'!BJ16</f>
        <v>0</v>
      </c>
      <c r="BU168" s="57">
        <f>'2022'!BK16</f>
        <v>0</v>
      </c>
      <c r="BV168" s="58">
        <f>'2022'!BL16</f>
        <v>0</v>
      </c>
      <c r="BW168" s="58">
        <f>'2022'!BM16</f>
        <v>0</v>
      </c>
      <c r="BX168" s="58">
        <f>'2022'!BN16</f>
        <v>0</v>
      </c>
      <c r="BY168" s="58">
        <f>'2022'!BO16</f>
        <v>0</v>
      </c>
      <c r="BZ168" s="57">
        <f>'2022'!BP16</f>
        <v>0</v>
      </c>
      <c r="CA168" s="57">
        <f>'2022'!BQ16</f>
        <v>2946</v>
      </c>
      <c r="CB168" s="57">
        <f>'2022'!BR16</f>
        <v>0</v>
      </c>
      <c r="CC168" s="57">
        <f>'2022'!BS16</f>
        <v>0</v>
      </c>
      <c r="CD168" s="59">
        <f>'2022'!BT16</f>
        <v>27</v>
      </c>
      <c r="CE168" s="56">
        <f>'2022'!BU16</f>
        <v>640</v>
      </c>
      <c r="CF168" s="57">
        <f>'2022'!BV16</f>
        <v>1789</v>
      </c>
      <c r="CG168" s="57">
        <f>'2022'!BW16</f>
        <v>5</v>
      </c>
      <c r="CH168" s="57">
        <f>'2022'!BX16</f>
        <v>17</v>
      </c>
      <c r="CI168" s="57">
        <f>'2022'!BY16</f>
        <v>135</v>
      </c>
      <c r="CJ168" s="57">
        <f>'2022'!BZ16</f>
        <v>29</v>
      </c>
      <c r="CK168" s="58">
        <f>'2022'!CA16</f>
        <v>4.7</v>
      </c>
      <c r="CL168" s="58">
        <f>'2022'!CB16</f>
        <v>67</v>
      </c>
      <c r="CM168" s="58">
        <f>'2022'!CC16</f>
        <v>3.41</v>
      </c>
      <c r="CN168" s="58">
        <f>'2022'!CD16</f>
        <v>40.9</v>
      </c>
      <c r="CO168" s="57">
        <f>'2022'!CE16</f>
        <v>164</v>
      </c>
      <c r="CP168" s="57">
        <f>'2022'!CF16</f>
        <v>2976</v>
      </c>
      <c r="CQ168" s="57">
        <f>'2022'!CG16</f>
        <v>23</v>
      </c>
      <c r="CR168" s="57">
        <f>'2022'!CH16</f>
        <v>0</v>
      </c>
      <c r="CS168" s="59">
        <f>'2022'!CI16</f>
        <v>16</v>
      </c>
      <c r="CT168" s="56">
        <f>'2022'!CJ16</f>
        <v>772</v>
      </c>
      <c r="CU168" s="57">
        <f>'2022'!CK16</f>
        <v>1368</v>
      </c>
      <c r="CV168" s="57">
        <f>'2022'!CL16</f>
        <v>7</v>
      </c>
      <c r="CW168" s="57">
        <f>'2022'!CM16</f>
        <v>18</v>
      </c>
      <c r="CX168" s="57">
        <f>'2022'!CN16</f>
        <v>142</v>
      </c>
      <c r="CY168" s="57">
        <f>'2022'!CO16</f>
        <v>32</v>
      </c>
      <c r="CZ168" s="58">
        <f>'2022'!CP16</f>
        <v>5.4</v>
      </c>
      <c r="DA168" s="58">
        <f>'2022'!CQ16</f>
        <v>66</v>
      </c>
      <c r="DB168" s="58">
        <f>'2022'!CR16</f>
        <v>3.26</v>
      </c>
      <c r="DC168" s="58">
        <f>'2022'!CS16</f>
        <v>42.7</v>
      </c>
      <c r="DD168" s="57">
        <f>'2022'!CT16</f>
        <v>146</v>
      </c>
      <c r="DE168" s="57">
        <f>'2022'!CU16</f>
        <v>1581</v>
      </c>
      <c r="DF168" s="57">
        <f>'2022'!CV16</f>
        <v>16</v>
      </c>
      <c r="DG168" s="57">
        <f>'2022'!CW16</f>
        <v>0</v>
      </c>
      <c r="DH168" s="59">
        <f>'2022'!CX16</f>
        <v>9</v>
      </c>
      <c r="DI168" s="56">
        <f>'2022'!CY16</f>
        <v>1148</v>
      </c>
      <c r="DJ168" s="57">
        <f>'2022'!CZ16</f>
        <v>1731</v>
      </c>
      <c r="DK168" s="57">
        <f>'2022'!DA16</f>
        <v>6</v>
      </c>
      <c r="DL168" s="57">
        <f>'2022'!DB16</f>
        <v>18</v>
      </c>
      <c r="DM168" s="57">
        <f>'2022'!DC16</f>
        <v>256</v>
      </c>
      <c r="DN168" s="57">
        <f>'2022'!DD16</f>
        <v>38</v>
      </c>
      <c r="DO168" s="58">
        <f>'2022'!DE16</f>
        <v>4.5</v>
      </c>
      <c r="DP168" s="58">
        <f>'2022'!DF16</f>
        <v>33.6</v>
      </c>
      <c r="DQ168" s="58">
        <f>'2022'!DG16</f>
        <v>2.2999999999999998</v>
      </c>
      <c r="DR168" s="58">
        <f>'2022'!DH16</f>
        <v>38.6</v>
      </c>
      <c r="DS168" s="57">
        <f>'2022'!DI16</f>
        <v>247</v>
      </c>
      <c r="DT168" s="57">
        <f>'2022'!DJ16</f>
        <v>2521</v>
      </c>
      <c r="DU168" s="57">
        <f>'2022'!DK16</f>
        <v>31</v>
      </c>
      <c r="DV168" s="57">
        <f>'2022'!DL16</f>
        <v>0</v>
      </c>
      <c r="DW168" s="59">
        <f>'2022'!DM16</f>
        <v>12</v>
      </c>
    </row>
    <row r="169" spans="1:127" ht="15.75" customHeight="1" x14ac:dyDescent="0.2">
      <c r="A169" s="33">
        <f t="shared" si="25"/>
        <v>167</v>
      </c>
      <c r="B169" s="11">
        <f>'2024'!A18</f>
        <v>16</v>
      </c>
      <c r="C169" s="11">
        <v>2024</v>
      </c>
      <c r="D169" s="34" t="str">
        <f>'2024'!B18</f>
        <v>Rasheen Ali</v>
      </c>
      <c r="E169" s="224" t="str" cm="1">
        <f t="array" ref="E169">_xlfn.IFS(F169&gt;=13,"Cornerstone",AND(F169&gt;=12,F169&lt;13),"Elite",AND(F169&gt;=11,F169&lt;12),"Elite Upside",AND(F169&gt;=9,F169&lt;11),"Upside",AND(F169&gt;=7,F169&lt;9),"Upside Lite",AND(F169&gt;=6,F169&lt;7),"Outlier",AND(F169&gt;=5,F169&lt;6),"Outlier Lite",F169&lt;5,"Purgatory")</f>
        <v>Outlier</v>
      </c>
      <c r="F169" s="14">
        <f>'2024'!C18</f>
        <v>6.4111111111111114</v>
      </c>
      <c r="G169" s="14">
        <f t="shared" si="31"/>
        <v>48.9</v>
      </c>
      <c r="H169" s="35">
        <f t="shared" si="26"/>
        <v>-0.67347777267904219</v>
      </c>
      <c r="I169" s="36" t="str">
        <f>'2024'!D18</f>
        <v>Marshall</v>
      </c>
      <c r="J169" s="37">
        <f>'2024'!E18</f>
        <v>6</v>
      </c>
      <c r="K169" s="38">
        <f>'2024'!F18</f>
        <v>36938</v>
      </c>
      <c r="L169" s="39">
        <f>'2024'!G18</f>
        <v>24.627397260273973</v>
      </c>
      <c r="M169" s="39" t="str">
        <f>'2024'!H18</f>
        <v>SR</v>
      </c>
      <c r="N169" s="39">
        <f>'2024'!I18</f>
        <v>23.208219178082192</v>
      </c>
      <c r="O169" s="39" t="str">
        <f t="shared" si="27"/>
        <v>DYNAMIC</v>
      </c>
      <c r="P169" s="39" t="str">
        <f t="shared" si="32"/>
        <v>3DOWN</v>
      </c>
      <c r="Q169" s="37">
        <f>'2024'!J18</f>
        <v>71</v>
      </c>
      <c r="R169" s="37">
        <f>'2024'!K18</f>
        <v>206</v>
      </c>
      <c r="S169" s="39">
        <f t="shared" si="29"/>
        <v>28.730850082211973</v>
      </c>
      <c r="T169" s="37">
        <f>'2024'!L18</f>
        <v>4.4000000000000004</v>
      </c>
      <c r="U169" s="40">
        <f>'2024'!M18</f>
        <v>5</v>
      </c>
      <c r="V169" s="41">
        <f>'2024'!N18</f>
        <v>0</v>
      </c>
      <c r="W169" s="42">
        <f>'2024'!O18</f>
        <v>2.811142346026067E-2</v>
      </c>
      <c r="X169" s="42">
        <f>'2024'!P18</f>
        <v>0.29176557738606324</v>
      </c>
      <c r="Y169" s="42">
        <f>'2024'!Q18</f>
        <v>0.23707799279550976</v>
      </c>
      <c r="Z169" s="42">
        <f>'2024'!R18</f>
        <v>0.3100883310088331</v>
      </c>
      <c r="AA169" s="42">
        <f>'2024'!S18</f>
        <v>0.3100883310088331</v>
      </c>
      <c r="AB169" s="42">
        <f>'2024'!T18</f>
        <v>0.23256624825662481</v>
      </c>
      <c r="AC169" s="42">
        <f>'2024'!U18</f>
        <v>1.7361111111111112E-2</v>
      </c>
      <c r="AD169" s="42">
        <f>'2024'!V18</f>
        <v>7.6259946949602128E-2</v>
      </c>
      <c r="AE169" s="42">
        <f>'2024'!W18</f>
        <v>7.6259946949602128E-2</v>
      </c>
      <c r="AF169" s="43">
        <f>'2024'!X18</f>
        <v>5.7194960212201593E-2</v>
      </c>
      <c r="AG169" s="44">
        <f>'2024'!Y18</f>
        <v>20.550684931506851</v>
      </c>
      <c r="AH169" s="45">
        <f>'2024'!Z18</f>
        <v>109.92247797281604</v>
      </c>
      <c r="AI169" s="45">
        <f>'2024'!AA18</f>
        <v>28.728030152747472</v>
      </c>
      <c r="AJ169" s="45">
        <f>'2024'!AB18</f>
        <v>0.25531914893617019</v>
      </c>
      <c r="AK169" s="45">
        <f>'2024'!AC18</f>
        <v>5.8085106382978724</v>
      </c>
      <c r="AL169" s="45">
        <f t="shared" si="28"/>
        <v>7.48</v>
      </c>
      <c r="AM169" s="45">
        <f t="shared" si="33"/>
        <v>0.11392405063291139</v>
      </c>
      <c r="AN169" s="45">
        <f>'2024'!AD18</f>
        <v>110.5</v>
      </c>
      <c r="AO169" s="45">
        <f>'2024'!AE18</f>
        <v>4.51</v>
      </c>
      <c r="AP169" s="46">
        <f>'2024'!AF18</f>
        <v>47.5</v>
      </c>
      <c r="AQ169" s="47">
        <f>'2024'!AG18</f>
        <v>5</v>
      </c>
      <c r="AR169" s="48">
        <f>'2024'!AH18</f>
        <v>6</v>
      </c>
      <c r="AS169" s="48">
        <f>'2024'!AI18</f>
        <v>3</v>
      </c>
      <c r="AT169" s="48">
        <f>'2024'!AJ18</f>
        <v>9</v>
      </c>
      <c r="AU169" s="48">
        <f>'2024'!AK18</f>
        <v>6</v>
      </c>
      <c r="AV169" s="48">
        <f>'2024'!AL18</f>
        <v>4</v>
      </c>
      <c r="AW169" s="48">
        <f>'2024'!AM18</f>
        <v>5</v>
      </c>
      <c r="AX169" s="48">
        <f>'2024'!AN18</f>
        <v>7</v>
      </c>
      <c r="AY169" s="49">
        <f>'2024'!AO18</f>
        <v>3</v>
      </c>
      <c r="AZ169" s="50">
        <f>'2024'!AP18</f>
        <v>0</v>
      </c>
      <c r="BA169" s="56">
        <f>'2024'!AQ18</f>
        <v>0</v>
      </c>
      <c r="BB169" s="57">
        <f>'2024'!AR18</f>
        <v>1783</v>
      </c>
      <c r="BC169" s="57">
        <f>'2024'!AS18</f>
        <v>0</v>
      </c>
      <c r="BD169" s="57">
        <f>'2024'!AT18</f>
        <v>18</v>
      </c>
      <c r="BE169" s="57">
        <f>'2024'!AU18</f>
        <v>0</v>
      </c>
      <c r="BF169" s="57">
        <f>'2024'!AV18</f>
        <v>0</v>
      </c>
      <c r="BG169" s="58">
        <f>'2024'!AW18</f>
        <v>0</v>
      </c>
      <c r="BH169" s="58">
        <f>'2024'!AX18</f>
        <v>0</v>
      </c>
      <c r="BI169" s="58">
        <f>'2024'!AY18</f>
        <v>0</v>
      </c>
      <c r="BJ169" s="58">
        <f>'2024'!AZ18</f>
        <v>0</v>
      </c>
      <c r="BK169" s="57">
        <f>'2024'!BA18</f>
        <v>0</v>
      </c>
      <c r="BL169" s="57">
        <f>'2024'!BB18</f>
        <v>2129</v>
      </c>
      <c r="BM169" s="57">
        <f>'2024'!BC18</f>
        <v>0</v>
      </c>
      <c r="BN169" s="57">
        <f>'2024'!BD18</f>
        <v>0</v>
      </c>
      <c r="BO169" s="59">
        <f>'2024'!BE18</f>
        <v>19</v>
      </c>
      <c r="BP169" s="56">
        <f>'2024'!BF18</f>
        <v>22</v>
      </c>
      <c r="BQ169" s="57">
        <f>'2024'!BG18</f>
        <v>356.8</v>
      </c>
      <c r="BR169" s="57">
        <f>'2024'!BH18</f>
        <v>0</v>
      </c>
      <c r="BS169" s="57">
        <f>'2024'!BI18</f>
        <v>3.4</v>
      </c>
      <c r="BT169" s="57">
        <f>'2024'!BJ18</f>
        <v>5</v>
      </c>
      <c r="BU169" s="57">
        <f>'2024'!BK18</f>
        <v>1</v>
      </c>
      <c r="BV169" s="58">
        <f>'2024'!BL18</f>
        <v>4.4000000000000004</v>
      </c>
      <c r="BW169" s="58">
        <f>'2024'!BM18</f>
        <v>64</v>
      </c>
      <c r="BX169" s="58">
        <f>'2024'!BN18</f>
        <v>3.2</v>
      </c>
      <c r="BY169" s="58">
        <f>'2024'!BO18</f>
        <v>0</v>
      </c>
      <c r="BZ169" s="57">
        <f>'2024'!BP18</f>
        <v>0</v>
      </c>
      <c r="CA169" s="57">
        <f>'2024'!BQ18</f>
        <v>425.8</v>
      </c>
      <c r="CB169" s="57">
        <f>'2024'!BR18</f>
        <v>0</v>
      </c>
      <c r="CC169" s="57">
        <f>'2024'!BS18</f>
        <v>0</v>
      </c>
      <c r="CD169" s="59">
        <f>'2024'!BT18</f>
        <v>3.8</v>
      </c>
      <c r="CE169" s="56">
        <f>'2024'!BU18</f>
        <v>1389</v>
      </c>
      <c r="CF169" s="57">
        <f>'2024'!BV18</f>
        <v>2109.9</v>
      </c>
      <c r="CG169" s="57">
        <f>'2024'!BW18</f>
        <v>23</v>
      </c>
      <c r="CH169" s="57">
        <f>'2024'!BX18</f>
        <v>37.699999999999996</v>
      </c>
      <c r="CI169" s="57">
        <f>'2024'!BY18</f>
        <v>250</v>
      </c>
      <c r="CJ169" s="57">
        <f>'2024'!BZ18</f>
        <v>58</v>
      </c>
      <c r="CK169" s="58">
        <f>'2024'!CA18</f>
        <v>5.556</v>
      </c>
      <c r="CL169" s="58">
        <f>'2024'!CB18</f>
        <v>87.1</v>
      </c>
      <c r="CM169" s="58">
        <f>'2024'!CC18</f>
        <v>3.53</v>
      </c>
      <c r="CN169" s="58">
        <f>'2024'!CD18</f>
        <v>38.9</v>
      </c>
      <c r="CO169" s="57">
        <f>'2024'!CE18</f>
        <v>344</v>
      </c>
      <c r="CP169" s="57">
        <f>'2024'!CF18</f>
        <v>3829.8</v>
      </c>
      <c r="CQ169" s="57">
        <f>'2024'!CG18</f>
        <v>46</v>
      </c>
      <c r="CR169" s="57">
        <f>'2024'!CH18</f>
        <v>1</v>
      </c>
      <c r="CS169" s="59">
        <f>'2024'!CI18</f>
        <v>18.2</v>
      </c>
      <c r="CT169" s="56">
        <f>'2024'!CJ18</f>
        <v>273</v>
      </c>
      <c r="CU169" s="57">
        <f>'2024'!CK18</f>
        <v>617.70000000000005</v>
      </c>
      <c r="CV169" s="57">
        <f>'2024'!CL18</f>
        <v>1</v>
      </c>
      <c r="CW169" s="57">
        <f>'2024'!CM18</f>
        <v>4.5</v>
      </c>
      <c r="CX169" s="57">
        <f>'2024'!CN18</f>
        <v>47</v>
      </c>
      <c r="CY169" s="57">
        <f>'2024'!CO18</f>
        <v>12</v>
      </c>
      <c r="CZ169" s="58">
        <f>'2024'!CP18</f>
        <v>5.8085106382978724</v>
      </c>
      <c r="DA169" s="58">
        <f>'2024'!CQ18</f>
        <v>110.5</v>
      </c>
      <c r="DB169" s="58">
        <f>'2024'!CR18</f>
        <v>4.51</v>
      </c>
      <c r="DC169" s="58">
        <f>'2024'!CS18</f>
        <v>37</v>
      </c>
      <c r="DD169" s="57">
        <f>'2024'!CT18</f>
        <v>10</v>
      </c>
      <c r="DE169" s="57">
        <f>'2024'!CU18</f>
        <v>576</v>
      </c>
      <c r="DF169" s="57">
        <f>'2024'!CV18</f>
        <v>2</v>
      </c>
      <c r="DG169" s="57">
        <f>'2024'!CW18</f>
        <v>1</v>
      </c>
      <c r="DH169" s="59">
        <f>'2024'!CX18</f>
        <v>3.5999999999999996</v>
      </c>
      <c r="DI169" s="56">
        <f>'2024'!CY18</f>
        <v>1127</v>
      </c>
      <c r="DJ169" s="57">
        <f>'2024'!CZ18</f>
        <v>1587.6000000000001</v>
      </c>
      <c r="DK169" s="57">
        <f>'2024'!DA18</f>
        <v>15</v>
      </c>
      <c r="DL169" s="57">
        <f>'2024'!DB18</f>
        <v>19.200000000000003</v>
      </c>
      <c r="DM169" s="57">
        <f>'2024'!DC18</f>
        <v>210</v>
      </c>
      <c r="DN169" s="57">
        <f>'2024'!DD18</f>
        <v>28</v>
      </c>
      <c r="DO169" s="58">
        <f>'2024'!DE18</f>
        <v>5.4</v>
      </c>
      <c r="DP169" s="58">
        <f>'2024'!DF18</f>
        <v>35.299999999999997</v>
      </c>
      <c r="DQ169" s="58">
        <f>'2024'!DG18</f>
        <v>2.54</v>
      </c>
      <c r="DR169" s="58">
        <f>'2024'!DH18</f>
        <v>47.5</v>
      </c>
      <c r="DS169" s="57">
        <f>'2024'!DI18</f>
        <v>207</v>
      </c>
      <c r="DT169" s="57">
        <f>'2024'!DJ18</f>
        <v>2714.3999999999996</v>
      </c>
      <c r="DU169" s="57">
        <f>'2024'!DK18</f>
        <v>27</v>
      </c>
      <c r="DV169" s="57">
        <f>'2024'!DL18</f>
        <v>1</v>
      </c>
      <c r="DW169" s="59">
        <f>'2024'!DM18</f>
        <v>10.8</v>
      </c>
    </row>
    <row r="170" spans="1:127" ht="15.75" customHeight="1" x14ac:dyDescent="0.2">
      <c r="A170" s="33">
        <f t="shared" si="25"/>
        <v>168</v>
      </c>
      <c r="B170" s="11">
        <f>'2015'!A12</f>
        <v>10</v>
      </c>
      <c r="C170" s="11">
        <v>2015</v>
      </c>
      <c r="D170" s="34" t="str">
        <f>'2015'!B12</f>
        <v>Jay Ajayi</v>
      </c>
      <c r="E170" s="224" t="str" cm="1">
        <f t="array" ref="E170">_xlfn.IFS(F170&gt;=13,"Cornerstone",AND(F170&gt;=12,F170&lt;13),"Elite",AND(F170&gt;=11,F170&lt;12),"Elite Upside",AND(F170&gt;=9,F170&lt;11),"Upside",AND(F170&gt;=7,F170&lt;9),"Upside Lite",AND(F170&gt;=6,F170&lt;7),"Outlier",AND(F170&gt;=5,F170&lt;6),"Outlier Lite",F170&lt;5,"Purgatory")</f>
        <v>Outlier</v>
      </c>
      <c r="F170" s="14">
        <f>'2015'!C12</f>
        <v>6.3888888888888893</v>
      </c>
      <c r="G170" s="14">
        <f t="shared" si="31"/>
        <v>48.6</v>
      </c>
      <c r="H170" s="35">
        <f t="shared" si="26"/>
        <v>-0.68288277410658971</v>
      </c>
      <c r="I170" s="36" t="str">
        <f>'2015'!D12</f>
        <v>Boise State</v>
      </c>
      <c r="J170" s="37">
        <f>'2015'!E12</f>
        <v>7</v>
      </c>
      <c r="K170" s="38">
        <f>'2015'!F12</f>
        <v>34135</v>
      </c>
      <c r="L170" s="39">
        <f>'2015'!G12</f>
        <v>32.30684931506849</v>
      </c>
      <c r="M170" s="39" t="str">
        <f>'2015'!H12</f>
        <v>JR</v>
      </c>
      <c r="N170" s="39">
        <f>'2015'!I12</f>
        <v>21.87945205479452</v>
      </c>
      <c r="O170" s="39" t="str">
        <f t="shared" si="27"/>
        <v>BELL COW</v>
      </c>
      <c r="P170" s="39" t="str">
        <f t="shared" si="32"/>
        <v>PLODDER</v>
      </c>
      <c r="Q170" s="37">
        <f>'2015'!J12</f>
        <v>72</v>
      </c>
      <c r="R170" s="37">
        <f>'2015'!K12</f>
        <v>221</v>
      </c>
      <c r="S170" s="39">
        <f t="shared" si="29"/>
        <v>29.972656318769427</v>
      </c>
      <c r="T170" s="39">
        <f>'2015'!L12</f>
        <v>4.57</v>
      </c>
      <c r="U170" s="55">
        <f>'2015'!M12</f>
        <v>5</v>
      </c>
      <c r="V170" s="41">
        <f>'2015'!N12</f>
        <v>0</v>
      </c>
      <c r="W170" s="42">
        <f>'2015'!O12</f>
        <v>0</v>
      </c>
      <c r="X170" s="42">
        <f>'2015'!P12</f>
        <v>0.1305337483160682</v>
      </c>
      <c r="Y170" s="42">
        <f>'2015'!Q12</f>
        <v>0.26607431340872373</v>
      </c>
      <c r="Z170" s="42">
        <f>'2015'!R12</f>
        <v>0.33958556111095062</v>
      </c>
      <c r="AA170" s="42">
        <f>'2015'!S12</f>
        <v>0.33958556111095062</v>
      </c>
      <c r="AB170" s="42">
        <f>'2015'!T12</f>
        <v>0.22073061472211791</v>
      </c>
      <c r="AC170" s="42">
        <f>'2015'!U12</f>
        <v>8.6113266097750191E-2</v>
      </c>
      <c r="AD170" s="42">
        <f>'2015'!V12</f>
        <v>0.13603016099449766</v>
      </c>
      <c r="AE170" s="42">
        <f>'2015'!W12</f>
        <v>0.13603016099449766</v>
      </c>
      <c r="AF170" s="43">
        <f>'2015'!X12</f>
        <v>8.8419604646423483E-2</v>
      </c>
      <c r="AG170" s="44">
        <f>'2015'!Y12</f>
        <v>20.227397260273971</v>
      </c>
      <c r="AH170" s="45">
        <f>'2015'!Z12</f>
        <v>101.33453269169097</v>
      </c>
      <c r="AI170" s="45">
        <f>'2015'!AA12</f>
        <v>29.969714506172842</v>
      </c>
      <c r="AJ170" s="45">
        <f>'2015'!AB12</f>
        <v>0.14655172413793102</v>
      </c>
      <c r="AK170" s="45">
        <f>'2015'!AC12</f>
        <v>5.7228915662650603</v>
      </c>
      <c r="AL170" s="45">
        <f t="shared" si="28"/>
        <v>10.547945205479452</v>
      </c>
      <c r="AM170" s="45">
        <f t="shared" si="33"/>
        <v>0.12562814070351758</v>
      </c>
      <c r="AN170" s="45">
        <f>'2015'!AD12</f>
        <v>51.4</v>
      </c>
      <c r="AO170" s="45">
        <f>'2015'!AE12</f>
        <v>3.36</v>
      </c>
      <c r="AP170" s="46">
        <f>'2015'!AF12</f>
        <v>39.6</v>
      </c>
      <c r="AQ170" s="47">
        <f>'2015'!AG12</f>
        <v>4</v>
      </c>
      <c r="AR170" s="48">
        <f>'2015'!AH12</f>
        <v>8</v>
      </c>
      <c r="AS170" s="48">
        <f>'2015'!AI12</f>
        <v>4</v>
      </c>
      <c r="AT170" s="48">
        <f>'2015'!AJ12</f>
        <v>6</v>
      </c>
      <c r="AU170" s="48">
        <f>'2015'!AK12</f>
        <v>1</v>
      </c>
      <c r="AV170" s="48">
        <f>'2015'!AL12</f>
        <v>3</v>
      </c>
      <c r="AW170" s="48">
        <f>'2015'!AM12</f>
        <v>1</v>
      </c>
      <c r="AX170" s="48">
        <f>'2015'!AN12</f>
        <v>3</v>
      </c>
      <c r="AY170" s="49">
        <f>'2015'!AO12</f>
        <v>3</v>
      </c>
      <c r="AZ170" s="50">
        <f>'2015'!AP12</f>
        <v>0.5</v>
      </c>
      <c r="BA170" s="56">
        <f>'2015'!AQ12</f>
        <v>0</v>
      </c>
      <c r="BB170" s="57">
        <f>'2015'!AR12</f>
        <v>1</v>
      </c>
      <c r="BC170" s="57">
        <f>'2015'!AS12</f>
        <v>0</v>
      </c>
      <c r="BD170" s="57">
        <f>'2015'!AT12</f>
        <v>0</v>
      </c>
      <c r="BE170" s="57">
        <f>'2015'!AU12</f>
        <v>0</v>
      </c>
      <c r="BF170" s="57">
        <f>'2015'!AV12</f>
        <v>0</v>
      </c>
      <c r="BG170" s="58">
        <f>'2015'!AW12</f>
        <v>0</v>
      </c>
      <c r="BH170" s="58">
        <f>'2015'!AX12</f>
        <v>0</v>
      </c>
      <c r="BI170" s="58">
        <f>'2015'!AY12</f>
        <v>0</v>
      </c>
      <c r="BJ170" s="58">
        <f>'2015'!AZ12</f>
        <v>0</v>
      </c>
      <c r="BK170" s="57">
        <f>'2015'!BA12</f>
        <v>0</v>
      </c>
      <c r="BL170" s="57">
        <f>'2015'!BB12</f>
        <v>1</v>
      </c>
      <c r="BM170" s="57">
        <f>'2015'!BC12</f>
        <v>0</v>
      </c>
      <c r="BN170" s="57">
        <f>'2015'!BD12</f>
        <v>0</v>
      </c>
      <c r="BO170" s="59">
        <f>'2015'!BE12</f>
        <v>0</v>
      </c>
      <c r="BP170" s="56">
        <f>'2015'!BF12</f>
        <v>0</v>
      </c>
      <c r="BQ170" s="57">
        <f>'2015'!BG12</f>
        <v>1</v>
      </c>
      <c r="BR170" s="57">
        <f>'2015'!BH12</f>
        <v>0</v>
      </c>
      <c r="BS170" s="57">
        <f>'2015'!BI12</f>
        <v>0</v>
      </c>
      <c r="BT170" s="57">
        <f>'2015'!BJ12</f>
        <v>0</v>
      </c>
      <c r="BU170" s="57">
        <f>'2015'!BK12</f>
        <v>0</v>
      </c>
      <c r="BV170" s="58">
        <f>'2015'!BL12</f>
        <v>0</v>
      </c>
      <c r="BW170" s="58">
        <f>'2015'!BM12</f>
        <v>0</v>
      </c>
      <c r="BX170" s="58">
        <f>'2015'!BN12</f>
        <v>0</v>
      </c>
      <c r="BY170" s="58">
        <f>'2015'!BO12</f>
        <v>0</v>
      </c>
      <c r="BZ170" s="57">
        <f>'2015'!BP12</f>
        <v>0</v>
      </c>
      <c r="CA170" s="57">
        <f>'2015'!BQ12</f>
        <v>1</v>
      </c>
      <c r="CB170" s="57">
        <f>'2015'!BR12</f>
        <v>0</v>
      </c>
      <c r="CC170" s="57">
        <f>'2015'!BS12</f>
        <v>0</v>
      </c>
      <c r="CD170" s="59">
        <f>'2015'!BT12</f>
        <v>0</v>
      </c>
      <c r="CE170" s="56">
        <f>'2015'!BU12</f>
        <v>548</v>
      </c>
      <c r="CF170" s="57">
        <f>'2015'!BV12</f>
        <v>1850.1999999999998</v>
      </c>
      <c r="CG170" s="57">
        <f>'2015'!BW12</f>
        <v>4</v>
      </c>
      <c r="CH170" s="57">
        <f>'2015'!BX12</f>
        <v>0</v>
      </c>
      <c r="CI170" s="57">
        <f>'2015'!BY12</f>
        <v>82</v>
      </c>
      <c r="CJ170" s="57">
        <f>'2015'!BZ12</f>
        <v>0</v>
      </c>
      <c r="CK170" s="58">
        <f>'2015'!CA12</f>
        <v>0</v>
      </c>
      <c r="CL170" s="58">
        <f>'2015'!CB12</f>
        <v>0</v>
      </c>
      <c r="CM170" s="58">
        <f>'2015'!CC12</f>
        <v>0</v>
      </c>
      <c r="CN170" s="58">
        <f>'2015'!CD12</f>
        <v>0</v>
      </c>
      <c r="CO170" s="57">
        <f>'2015'!CE12</f>
        <v>14</v>
      </c>
      <c r="CP170" s="57">
        <f>'2015'!CF12</f>
        <v>2455.1999999999998</v>
      </c>
      <c r="CQ170" s="57">
        <f>'2015'!CG12</f>
        <v>1</v>
      </c>
      <c r="CR170" s="57">
        <f>'2015'!CH12</f>
        <v>0</v>
      </c>
      <c r="CS170" s="59">
        <f>'2015'!CI12</f>
        <v>0</v>
      </c>
      <c r="CT170" s="56">
        <f>'2015'!CJ12</f>
        <v>1425</v>
      </c>
      <c r="CU170" s="57">
        <f>'2015'!CK12</f>
        <v>3612</v>
      </c>
      <c r="CV170" s="57">
        <f>'2015'!CL12</f>
        <v>18</v>
      </c>
      <c r="CW170" s="57">
        <f>'2015'!CM12</f>
        <v>0</v>
      </c>
      <c r="CX170" s="57">
        <f>'2015'!CN12</f>
        <v>249</v>
      </c>
      <c r="CY170" s="57">
        <f>'2015'!CO12</f>
        <v>0</v>
      </c>
      <c r="CZ170" s="58">
        <f>'2015'!CP12</f>
        <v>5.7228915662650603</v>
      </c>
      <c r="DA170" s="58">
        <f>'2015'!CQ12</f>
        <v>0</v>
      </c>
      <c r="DB170" s="58">
        <f>'2015'!CR12</f>
        <v>0</v>
      </c>
      <c r="DC170" s="58">
        <f>'2015'!CS12</f>
        <v>0</v>
      </c>
      <c r="DD170" s="57">
        <f>'2015'!CT12</f>
        <v>222</v>
      </c>
      <c r="DE170" s="57">
        <f>'2015'!CU12</f>
        <v>2578</v>
      </c>
      <c r="DF170" s="57">
        <f>'2015'!CV12</f>
        <v>22</v>
      </c>
      <c r="DG170" s="57">
        <f>'2015'!CW12</f>
        <v>1</v>
      </c>
      <c r="DH170" s="59">
        <f>'2015'!CX12</f>
        <v>0</v>
      </c>
      <c r="DI170" s="56">
        <f>'2015'!CY12</f>
        <v>1816</v>
      </c>
      <c r="DJ170" s="57">
        <f>'2015'!CZ12</f>
        <v>2994.6</v>
      </c>
      <c r="DK170" s="57">
        <f>'2015'!DA12</f>
        <v>28</v>
      </c>
      <c r="DL170" s="57">
        <f>'2015'!DB12</f>
        <v>39.199999999999996</v>
      </c>
      <c r="DM170" s="57">
        <f>'2015'!DC12</f>
        <v>348</v>
      </c>
      <c r="DN170" s="57">
        <f>'2015'!DD12</f>
        <v>51</v>
      </c>
      <c r="DO170" s="58">
        <f>'2015'!DE12</f>
        <v>5.2183908045977008</v>
      </c>
      <c r="DP170" s="58">
        <f>'2015'!DF12</f>
        <v>51.4</v>
      </c>
      <c r="DQ170" s="58">
        <f>'2015'!DG12</f>
        <v>3.36</v>
      </c>
      <c r="DR170" s="58">
        <f>'2015'!DH12</f>
        <v>39.6</v>
      </c>
      <c r="DS170" s="57">
        <f>'2015'!DI12</f>
        <v>534</v>
      </c>
      <c r="DT170" s="57">
        <f>'2015'!DJ12</f>
        <v>3925.5999999999995</v>
      </c>
      <c r="DU170" s="57">
        <f>'2015'!DK12</f>
        <v>50</v>
      </c>
      <c r="DV170" s="57">
        <f>'2015'!DL12</f>
        <v>4</v>
      </c>
      <c r="DW170" s="59">
        <f>'2015'!DM12</f>
        <v>26.599999999999998</v>
      </c>
    </row>
    <row r="171" spans="1:127" ht="15.75" customHeight="1" x14ac:dyDescent="0.2">
      <c r="A171" s="33">
        <f t="shared" si="25"/>
        <v>169</v>
      </c>
      <c r="B171" s="11">
        <f>'2026 - WIP'!A14</f>
        <v>12</v>
      </c>
      <c r="C171" s="11">
        <v>2026</v>
      </c>
      <c r="D171" s="34" t="str">
        <f>'2026 - WIP'!B14</f>
        <v>Makhi Hughes</v>
      </c>
      <c r="E171" s="224" t="str" cm="1">
        <f t="array" ref="E171">_xlfn.IFS(F171&gt;=13,"Cornerstone",AND(F171&gt;=12,F171&lt;13),"Elite",AND(F171&gt;=11,F171&lt;12),"Elite Upside",AND(F171&gt;=9,F171&lt;11),"Upside",AND(F171&gt;=7,F171&lt;9),"Upside Lite",AND(F171&gt;=6,F171&lt;7),"Outlier",AND(F171&gt;=5,F171&lt;6),"Outlier Lite",F171&lt;5,"Purgatory")</f>
        <v>Outlier</v>
      </c>
      <c r="F171" s="14">
        <f>'2026 - WIP'!C14</f>
        <v>6.333333333333333</v>
      </c>
      <c r="G171" s="14">
        <f t="shared" si="31"/>
        <v>48.3</v>
      </c>
      <c r="H171" s="35">
        <f t="shared" si="26"/>
        <v>-0.70639527767545884</v>
      </c>
      <c r="I171" s="36" t="str">
        <f>'2026 - WIP'!D14</f>
        <v>Oregon</v>
      </c>
      <c r="J171" s="37">
        <f>'2026 - WIP'!E14</f>
        <v>2</v>
      </c>
      <c r="K171" s="38">
        <f>'2026 - WIP'!F14</f>
        <v>38139</v>
      </c>
      <c r="L171" s="39">
        <f>'2026 - WIP'!G14</f>
        <v>21.336986301369862</v>
      </c>
      <c r="M171" s="39" t="str">
        <f>'2026 - WIP'!H14</f>
        <v>JR</v>
      </c>
      <c r="N171" s="39">
        <f>'2026 - WIP'!I14</f>
        <v>21.917808219178081</v>
      </c>
      <c r="O171" s="39" t="str">
        <f t="shared" si="27"/>
        <v>DYNAMIC</v>
      </c>
      <c r="P171" s="39" t="str">
        <f>IF(OR(AND($AA171&lt;0.25,$AO171&gt;=0.133,AE171&gt;4%),(AND($O171="JITTERBUG",$AO171&gt;0.11)),(AND($O171="JITTERBUG",$AE171&gt;9.5%))),"+RECEIVER",IF(AND($AJ171&gt;=0.25,$AQ171&gt;=3.81),"3DOWN",IF($AQ171&gt;=3.81,"HORSE",IF(OR(AJ171&gt;0.28,AK171&gt;7,AR171&gt;47),"SLASHER",IF(AO171&gt;0.19,"+RECEIVER","PLODDER")))))</f>
        <v>+RECEIVER</v>
      </c>
      <c r="Q171" s="37">
        <f>'2026 - WIP'!J14</f>
        <v>71</v>
      </c>
      <c r="R171" s="37">
        <f>'2026 - WIP'!K14</f>
        <v>210</v>
      </c>
      <c r="S171" s="39">
        <f t="shared" si="29"/>
        <v>29.28873066633259</v>
      </c>
      <c r="T171" s="39">
        <f>'2026 - WIP'!L14</f>
        <v>4.4400000000000004</v>
      </c>
      <c r="U171" s="55">
        <f>'2026 - WIP'!M14</f>
        <v>0</v>
      </c>
      <c r="V171" s="41">
        <f>'2026 - WIP'!N14</f>
        <v>0</v>
      </c>
      <c r="W171" s="42">
        <f>'2026 - WIP'!O14</f>
        <v>0</v>
      </c>
      <c r="X171" s="42">
        <f>'2026 - WIP'!P14</f>
        <v>0.27793862188766649</v>
      </c>
      <c r="Y171" s="42">
        <f>'2026 - WIP'!Q14</f>
        <v>0.27918871252204586</v>
      </c>
      <c r="Z171" s="42">
        <f>'2026 - WIP'!R14</f>
        <v>3.1178707224334599E-2</v>
      </c>
      <c r="AA171" s="42">
        <f>'2026 - WIP'!S14</f>
        <v>0.15518370987319022</v>
      </c>
      <c r="AB171" s="42">
        <f>'2026 - WIP'!T14</f>
        <v>0.15518370987319022</v>
      </c>
      <c r="AC171" s="42">
        <f>'2026 - WIP'!U14</f>
        <v>6.1412487205731829E-2</v>
      </c>
      <c r="AD171" s="42">
        <f>'2026 - WIP'!V14</f>
        <v>6.993006993006993E-3</v>
      </c>
      <c r="AE171" s="42">
        <f>'2026 - WIP'!W14</f>
        <v>3.4202747099369414E-2</v>
      </c>
      <c r="AF171" s="43">
        <f>'2026 - WIP'!X14</f>
        <v>3.4202747099369414E-2</v>
      </c>
      <c r="AG171" s="44">
        <f>'2026 - WIP'!Y14</f>
        <v>19.271232876712329</v>
      </c>
      <c r="AH171" s="45">
        <f>'2026 - WIP'!Z14</f>
        <v>108.07305044566408</v>
      </c>
      <c r="AI171" s="45">
        <f>'2026 - WIP'!AA14</f>
        <v>29.28585598095616</v>
      </c>
      <c r="AJ171" s="45">
        <f>'2026 - WIP'!AB14</f>
        <v>0.27272727272727271</v>
      </c>
      <c r="AK171" s="45">
        <f>'2026 - WIP'!AC14</f>
        <v>5.3424124513618674</v>
      </c>
      <c r="AL171" s="45">
        <f t="shared" si="28"/>
        <v>7.84375</v>
      </c>
      <c r="AM171" s="45">
        <f t="shared" si="33"/>
        <v>8.3333333333333329E-2</v>
      </c>
      <c r="AN171" s="45">
        <f>'2026 - WIP'!AD14</f>
        <v>102.2</v>
      </c>
      <c r="AO171" s="45">
        <f>'2026 - WIP'!AE14</f>
        <v>3.87</v>
      </c>
      <c r="AP171" s="46">
        <f>'2026 - WIP'!AF14</f>
        <v>36.700000000000003</v>
      </c>
      <c r="AQ171" s="47">
        <f>'2026 - WIP'!AG14</f>
        <v>2</v>
      </c>
      <c r="AR171" s="48">
        <f>'2026 - WIP'!AH14</f>
        <v>3</v>
      </c>
      <c r="AS171" s="48">
        <f>'2026 - WIP'!AI14</f>
        <v>7</v>
      </c>
      <c r="AT171" s="48">
        <f>'2026 - WIP'!AJ14</f>
        <v>9</v>
      </c>
      <c r="AU171" s="48">
        <f>'2026 - WIP'!AK14</f>
        <v>7</v>
      </c>
      <c r="AV171" s="48">
        <f>'2026 - WIP'!AL14</f>
        <v>2</v>
      </c>
      <c r="AW171" s="48">
        <f>'2026 - WIP'!AM14</f>
        <v>4</v>
      </c>
      <c r="AX171" s="48">
        <f>'2026 - WIP'!AN14</f>
        <v>4</v>
      </c>
      <c r="AY171" s="49">
        <f>'2026 - WIP'!AO14</f>
        <v>0</v>
      </c>
      <c r="AZ171" s="50">
        <f>'2026 - WIP'!AP14</f>
        <v>1</v>
      </c>
      <c r="BA171" s="56">
        <f>'2026 - WIP'!AQ14</f>
        <v>0</v>
      </c>
      <c r="BB171" s="57">
        <f>'2026 - WIP'!AR14</f>
        <v>1</v>
      </c>
      <c r="BC171" s="57">
        <f>'2026 - WIP'!AS14</f>
        <v>0</v>
      </c>
      <c r="BD171" s="57">
        <f>'2026 - WIP'!AT14</f>
        <v>0</v>
      </c>
      <c r="BE171" s="57">
        <f>'2026 - WIP'!AU14</f>
        <v>0</v>
      </c>
      <c r="BF171" s="57">
        <f>'2026 - WIP'!AV14</f>
        <v>0</v>
      </c>
      <c r="BG171" s="58">
        <f>'2026 - WIP'!AW14</f>
        <v>0</v>
      </c>
      <c r="BH171" s="58">
        <f>'2026 - WIP'!AX14</f>
        <v>0</v>
      </c>
      <c r="BI171" s="58">
        <f>'2026 - WIP'!AY14</f>
        <v>0</v>
      </c>
      <c r="BJ171" s="58">
        <f>'2026 - WIP'!AZ14</f>
        <v>0</v>
      </c>
      <c r="BK171" s="57">
        <f>'2026 - WIP'!BA14</f>
        <v>0</v>
      </c>
      <c r="BL171" s="57">
        <f>'2026 - WIP'!BB14</f>
        <v>1</v>
      </c>
      <c r="BM171" s="57">
        <f>'2026 - WIP'!BC14</f>
        <v>0</v>
      </c>
      <c r="BN171" s="57">
        <f>'2026 - WIP'!BD14</f>
        <v>0</v>
      </c>
      <c r="BO171" s="59">
        <f>'2026 - WIP'!BE14</f>
        <v>0</v>
      </c>
      <c r="BP171" s="56">
        <f>'2026 - WIP'!BF14</f>
        <v>0</v>
      </c>
      <c r="BQ171" s="57">
        <f>'2026 - WIP'!BG14</f>
        <v>1</v>
      </c>
      <c r="BR171" s="57">
        <f>'2026 - WIP'!BH14</f>
        <v>0</v>
      </c>
      <c r="BS171" s="57">
        <f>'2026 - WIP'!BI14</f>
        <v>0</v>
      </c>
      <c r="BT171" s="57">
        <f>'2026 - WIP'!BJ14</f>
        <v>0</v>
      </c>
      <c r="BU171" s="57">
        <f>'2026 - WIP'!BK14</f>
        <v>0</v>
      </c>
      <c r="BV171" s="58">
        <f>'2026 - WIP'!BL14</f>
        <v>0</v>
      </c>
      <c r="BW171" s="58">
        <f>'2026 - WIP'!BM14</f>
        <v>0</v>
      </c>
      <c r="BX171" s="58">
        <f>'2026 - WIP'!BN14</f>
        <v>0</v>
      </c>
      <c r="BY171" s="58">
        <f>'2026 - WIP'!BO14</f>
        <v>0</v>
      </c>
      <c r="BZ171" s="57">
        <f>'2026 - WIP'!BP14</f>
        <v>0</v>
      </c>
      <c r="CA171" s="57">
        <f>'2026 - WIP'!BQ14</f>
        <v>1</v>
      </c>
      <c r="CB171" s="57">
        <f>'2026 - WIP'!BR14</f>
        <v>0</v>
      </c>
      <c r="CC171" s="57">
        <f>'2026 - WIP'!BS14</f>
        <v>0</v>
      </c>
      <c r="CD171" s="59">
        <f>'2026 - WIP'!BT14</f>
        <v>0</v>
      </c>
      <c r="CE171" s="56">
        <f>'2026 - WIP'!BU14</f>
        <v>1373</v>
      </c>
      <c r="CF171" s="57">
        <f>'2026 - WIP'!BV14</f>
        <v>2171</v>
      </c>
      <c r="CG171" s="57">
        <f>'2026 - WIP'!BW14</f>
        <v>7</v>
      </c>
      <c r="CH171" s="57">
        <f>'2026 - WIP'!BX14</f>
        <v>16</v>
      </c>
      <c r="CI171" s="57">
        <f>'2026 - WIP'!BY14</f>
        <v>257</v>
      </c>
      <c r="CJ171" s="57">
        <f>'2026 - WIP'!BZ14</f>
        <v>68</v>
      </c>
      <c r="CK171" s="58">
        <f>'2026 - WIP'!CA14</f>
        <v>5.3424124513618674</v>
      </c>
      <c r="CL171" s="58">
        <f>'2026 - WIP'!CB14</f>
        <v>102.2</v>
      </c>
      <c r="CM171" s="58">
        <f>'2026 - WIP'!CC14</f>
        <v>3.75</v>
      </c>
      <c r="CN171" s="58">
        <f>'2026 - WIP'!CD14</f>
        <v>36.700000000000003</v>
      </c>
      <c r="CO171" s="57">
        <f>'2026 - WIP'!CE14</f>
        <v>67</v>
      </c>
      <c r="CP171" s="57">
        <f>'2026 - WIP'!CF14</f>
        <v>3010</v>
      </c>
      <c r="CQ171" s="57">
        <f>'2026 - WIP'!CG14</f>
        <v>11</v>
      </c>
      <c r="CR171" s="57">
        <f>'2026 - WIP'!CH14</f>
        <v>0</v>
      </c>
      <c r="CS171" s="59">
        <f>'2026 - WIP'!CI14</f>
        <v>25</v>
      </c>
      <c r="CT171" s="56">
        <f>'2026 - WIP'!CJ14</f>
        <v>1403</v>
      </c>
      <c r="CU171" s="57">
        <f>'2026 - WIP'!CK14</f>
        <v>2739</v>
      </c>
      <c r="CV171" s="57">
        <f>'2026 - WIP'!CL14</f>
        <v>15</v>
      </c>
      <c r="CW171" s="57">
        <f>'2026 - WIP'!CM14</f>
        <v>32</v>
      </c>
      <c r="CX171" s="57">
        <f>'2026 - WIP'!CN14</f>
        <v>263</v>
      </c>
      <c r="CY171" s="57">
        <f>'2026 - WIP'!CO14</f>
        <v>61</v>
      </c>
      <c r="CZ171" s="58">
        <f>'2026 - WIP'!CP14</f>
        <v>5.334600760456274</v>
      </c>
      <c r="DA171" s="58">
        <f>'2026 - WIP'!CQ14</f>
        <v>86.2</v>
      </c>
      <c r="DB171" s="58">
        <f>'2026 - WIP'!CR14</f>
        <v>3.87</v>
      </c>
      <c r="DC171" s="58">
        <f>'2026 - WIP'!CS14</f>
        <v>36.4</v>
      </c>
      <c r="DD171" s="57">
        <f>'2026 - WIP'!CT14</f>
        <v>180</v>
      </c>
      <c r="DE171" s="57">
        <f>'2026 - WIP'!CU14</f>
        <v>2931</v>
      </c>
      <c r="DF171" s="57">
        <f>'2026 - WIP'!CV14</f>
        <v>20</v>
      </c>
      <c r="DG171" s="57">
        <f>'2026 - WIP'!CW14</f>
        <v>2</v>
      </c>
      <c r="DH171" s="59">
        <f>'2026 - WIP'!CX14</f>
        <v>25</v>
      </c>
      <c r="DI171" s="56">
        <f>'2026 - WIP'!CY14</f>
        <v>37</v>
      </c>
      <c r="DJ171" s="57">
        <f>'2026 - WIP'!CZ14</f>
        <v>743</v>
      </c>
      <c r="DK171" s="57">
        <f>'2026 - WIP'!DA14</f>
        <v>0</v>
      </c>
      <c r="DL171" s="57">
        <f>'2026 - WIP'!DB14</f>
        <v>0</v>
      </c>
      <c r="DM171" s="57">
        <f>'2026 - WIP'!DC14</f>
        <v>11</v>
      </c>
      <c r="DN171" s="57">
        <f>'2026 - WIP'!DD14</f>
        <v>3</v>
      </c>
      <c r="DO171" s="58">
        <f>'2026 - WIP'!DE14</f>
        <v>3.3636363636363638</v>
      </c>
      <c r="DP171" s="58">
        <f>'2026 - WIP'!DF14</f>
        <v>61.4</v>
      </c>
      <c r="DQ171" s="58">
        <f>'2026 - WIP'!DG14</f>
        <v>2.4500000000000002</v>
      </c>
      <c r="DR171" s="58">
        <f>'2026 - WIP'!DH14</f>
        <v>0</v>
      </c>
      <c r="DS171" s="57">
        <f>'2026 - WIP'!DI14</f>
        <v>4</v>
      </c>
      <c r="DT171" s="57">
        <f>'2026 - WIP'!DJ14</f>
        <v>572</v>
      </c>
      <c r="DU171" s="57">
        <f>'2026 - WIP'!DK14</f>
        <v>1</v>
      </c>
      <c r="DV171" s="57">
        <f>'2026 - WIP'!DL14</f>
        <v>0</v>
      </c>
      <c r="DW171" s="59">
        <f>'2026 - WIP'!DM14</f>
        <v>0</v>
      </c>
    </row>
    <row r="172" spans="1:127" ht="15.75" customHeight="1" x14ac:dyDescent="0.2">
      <c r="A172" s="33">
        <f t="shared" si="25"/>
        <v>170</v>
      </c>
      <c r="B172" s="11">
        <f>'2024'!A19</f>
        <v>17</v>
      </c>
      <c r="C172" s="11">
        <v>2024</v>
      </c>
      <c r="D172" s="34" t="str">
        <f>'2024'!B19</f>
        <v>Jase McClellan</v>
      </c>
      <c r="E172" s="224" t="str" cm="1">
        <f t="array" ref="E172">_xlfn.IFS(F172&gt;=13,"Cornerstone",AND(F172&gt;=12,F172&lt;13),"Elite",AND(F172&gt;=11,F172&lt;12),"Elite Upside",AND(F172&gt;=9,F172&lt;11),"Upside",AND(F172&gt;=7,F172&lt;9),"Upside Lite",AND(F172&gt;=6,F172&lt;7),"Outlier",AND(F172&gt;=5,F172&lt;6),"Outlier Lite",F172&lt;5,"Purgatory")</f>
        <v>Outlier</v>
      </c>
      <c r="F172" s="14">
        <f>'2024'!C19</f>
        <v>6.2944444444444443</v>
      </c>
      <c r="G172" s="14">
        <f t="shared" si="31"/>
        <v>47.699999999999996</v>
      </c>
      <c r="H172" s="35">
        <f t="shared" si="26"/>
        <v>-0.72285403017366701</v>
      </c>
      <c r="I172" s="36" t="str">
        <f>'2024'!D19</f>
        <v>Alabama</v>
      </c>
      <c r="J172" s="37">
        <f>'2024'!E19</f>
        <v>1</v>
      </c>
      <c r="K172" s="38">
        <f>'2024'!F19</f>
        <v>37432</v>
      </c>
      <c r="L172" s="39">
        <f>'2024'!G19</f>
        <v>23.273972602739725</v>
      </c>
      <c r="M172" s="39" t="str">
        <f>'2024'!H19</f>
        <v>SR</v>
      </c>
      <c r="N172" s="39">
        <f>'2024'!I19</f>
        <v>21.854794520547944</v>
      </c>
      <c r="O172" s="39" t="str">
        <f t="shared" si="27"/>
        <v>BELL CALF</v>
      </c>
      <c r="P172" s="39" t="str">
        <f t="shared" ref="P172:P197" si="34">IF(OR(AND($AA172&lt;0.25,$AM172&gt;=0.133,AE172&gt;4%),(AND($O172="JITTERBUG",$AM172&gt;0.11)),(AND($O172="JITTERBUG",$AE172&gt;9.5%))),"+RECEIVER",IF(AND($AJ172&gt;=0.25,$AO172&gt;=3.81),"3DOWN",IF($AO172&gt;=3.81,"HORSE",IF(OR(AJ172&gt;0.28,AK172&gt;7,AP172&gt;47),"SLASHER",IF(AM172&gt;0.19,"+RECEIVER","PLODDER")))))</f>
        <v>PLODDER</v>
      </c>
      <c r="Q172" s="37">
        <f>'2024'!J19</f>
        <v>70</v>
      </c>
      <c r="R172" s="37">
        <f>'2024'!K19</f>
        <v>221</v>
      </c>
      <c r="S172" s="39">
        <f t="shared" si="29"/>
        <v>31.709847011530755</v>
      </c>
      <c r="T172" s="37">
        <f>'2024'!L19</f>
        <v>4.55</v>
      </c>
      <c r="U172" s="40">
        <f>'2024'!M19</f>
        <v>6</v>
      </c>
      <c r="V172" s="41">
        <f>'2024'!N19</f>
        <v>0</v>
      </c>
      <c r="W172" s="42">
        <f>'2024'!O19</f>
        <v>0.11581764488741234</v>
      </c>
      <c r="X172" s="42">
        <f>'2024'!P19</f>
        <v>0.1179602703256195</v>
      </c>
      <c r="Y172" s="42">
        <f>'2024'!Q19</f>
        <v>0.13304305757135945</v>
      </c>
      <c r="Z172" s="42">
        <f>'2024'!R19</f>
        <v>0.2010178117048346</v>
      </c>
      <c r="AA172" s="42">
        <f>'2024'!S19</f>
        <v>0.2010178117048346</v>
      </c>
      <c r="AB172" s="42">
        <f>'2024'!T19</f>
        <v>0.2010178117048346</v>
      </c>
      <c r="AC172" s="42">
        <f>'2024'!U19</f>
        <v>4.7547479163820197E-2</v>
      </c>
      <c r="AD172" s="42">
        <f>'2024'!V19</f>
        <v>4.8513192796314386E-2</v>
      </c>
      <c r="AE172" s="42">
        <f>'2024'!W19</f>
        <v>4.8513192796314386E-2</v>
      </c>
      <c r="AF172" s="43">
        <f>'2024'!X19</f>
        <v>4.8513192796314386E-2</v>
      </c>
      <c r="AG172" s="44">
        <f>'2024'!Y19</f>
        <v>21.208219178082192</v>
      </c>
      <c r="AH172" s="45">
        <f>'2024'!Z19</f>
        <v>103.12802073631514</v>
      </c>
      <c r="AI172" s="45">
        <f>'2024'!AA19</f>
        <v>31.70673469387755</v>
      </c>
      <c r="AJ172" s="45">
        <f>'2024'!AB19</f>
        <v>0.27927927927927926</v>
      </c>
      <c r="AK172" s="45">
        <f>'2024'!AC19</f>
        <v>5.8648648648648649</v>
      </c>
      <c r="AL172" s="45">
        <f t="shared" si="28"/>
        <v>10.538461538461538</v>
      </c>
      <c r="AM172" s="45">
        <f t="shared" si="33"/>
        <v>7.179487179487179E-2</v>
      </c>
      <c r="AN172" s="45">
        <f>'2024'!AD19</f>
        <v>87.2</v>
      </c>
      <c r="AO172" s="45">
        <f>'2024'!AE19</f>
        <v>3.5</v>
      </c>
      <c r="AP172" s="46">
        <f>'2024'!AF19</f>
        <v>34.700000000000003</v>
      </c>
      <c r="AQ172" s="47">
        <f>'2024'!AG19</f>
        <v>4</v>
      </c>
      <c r="AR172" s="48">
        <f>'2024'!AH19</f>
        <v>5</v>
      </c>
      <c r="AS172" s="48">
        <f>'2024'!AI19</f>
        <v>2</v>
      </c>
      <c r="AT172" s="48">
        <f>'2024'!AJ19</f>
        <v>6</v>
      </c>
      <c r="AU172" s="48">
        <f>'2024'!AK19</f>
        <v>7</v>
      </c>
      <c r="AV172" s="48">
        <f>'2024'!AL19</f>
        <v>4</v>
      </c>
      <c r="AW172" s="48">
        <f>'2024'!AM19</f>
        <v>3</v>
      </c>
      <c r="AX172" s="48">
        <f>'2024'!AN19</f>
        <v>2</v>
      </c>
      <c r="AY172" s="49">
        <f>'2024'!AO19</f>
        <v>2</v>
      </c>
      <c r="AZ172" s="50">
        <f>'2024'!AP19</f>
        <v>1</v>
      </c>
      <c r="BA172" s="56">
        <f>'2024'!AQ19</f>
        <v>0</v>
      </c>
      <c r="BB172" s="57">
        <f>'2024'!AR19</f>
        <v>1</v>
      </c>
      <c r="BC172" s="57">
        <f>'2024'!AS19</f>
        <v>0</v>
      </c>
      <c r="BD172" s="57">
        <f>'2024'!AT19</f>
        <v>0</v>
      </c>
      <c r="BE172" s="57">
        <f>'2024'!AU19</f>
        <v>0</v>
      </c>
      <c r="BF172" s="57">
        <f>'2024'!AV19</f>
        <v>0</v>
      </c>
      <c r="BG172" s="58">
        <f>'2024'!AW19</f>
        <v>0</v>
      </c>
      <c r="BH172" s="58">
        <f>'2024'!AX19</f>
        <v>0</v>
      </c>
      <c r="BI172" s="58">
        <f>'2024'!AY19</f>
        <v>0</v>
      </c>
      <c r="BJ172" s="58">
        <f>'2024'!AZ19</f>
        <v>0</v>
      </c>
      <c r="BK172" s="57">
        <f>'2024'!BA19</f>
        <v>0</v>
      </c>
      <c r="BL172" s="57">
        <f>'2024'!BB19</f>
        <v>1</v>
      </c>
      <c r="BM172" s="57">
        <f>'2024'!BC19</f>
        <v>0</v>
      </c>
      <c r="BN172" s="57">
        <f>'2024'!BD19</f>
        <v>0</v>
      </c>
      <c r="BO172" s="59">
        <f>'2024'!BE19</f>
        <v>0</v>
      </c>
      <c r="BP172" s="56">
        <f>'2024'!BF19</f>
        <v>250</v>
      </c>
      <c r="BQ172" s="57">
        <f>'2024'!BG19</f>
        <v>734.4</v>
      </c>
      <c r="BR172" s="57">
        <f>'2024'!BH19</f>
        <v>2</v>
      </c>
      <c r="BS172" s="57">
        <f>'2024'!BI19</f>
        <v>11.2</v>
      </c>
      <c r="BT172" s="57">
        <f>'2024'!BJ19</f>
        <v>24</v>
      </c>
      <c r="BU172" s="57">
        <f>'2024'!BK19</f>
        <v>6</v>
      </c>
      <c r="BV172" s="58">
        <f>'2024'!BL19</f>
        <v>10.416666666666666</v>
      </c>
      <c r="BW172" s="58">
        <f>'2024'!BM19</f>
        <v>180</v>
      </c>
      <c r="BX172" s="58">
        <f>'2024'!BN19</f>
        <v>7.5</v>
      </c>
      <c r="BY172" s="58">
        <f>'2024'!BO19</f>
        <v>65.2</v>
      </c>
      <c r="BZ172" s="57">
        <f>'2024'!BP19</f>
        <v>1</v>
      </c>
      <c r="CA172" s="57">
        <f>'2024'!BQ19</f>
        <v>1432.8</v>
      </c>
      <c r="CB172" s="57">
        <f>'2024'!BR19</f>
        <v>1</v>
      </c>
      <c r="CC172" s="57">
        <f>'2024'!BS19</f>
        <v>0</v>
      </c>
      <c r="CD172" s="59">
        <f>'2024'!BT19</f>
        <v>12.8</v>
      </c>
      <c r="CE172" s="56">
        <f>'2024'!BU19</f>
        <v>191</v>
      </c>
      <c r="CF172" s="57">
        <f>'2024'!BV19</f>
        <v>750.5</v>
      </c>
      <c r="CG172" s="57">
        <f>'2024'!BW19</f>
        <v>1</v>
      </c>
      <c r="CH172" s="57">
        <f>'2024'!BX19</f>
        <v>7</v>
      </c>
      <c r="CI172" s="57">
        <f>'2024'!BY19</f>
        <v>40</v>
      </c>
      <c r="CJ172" s="57">
        <f>'2024'!BZ19</f>
        <v>15</v>
      </c>
      <c r="CK172" s="58">
        <f>'2024'!CA19</f>
        <v>4.7750000000000004</v>
      </c>
      <c r="CL172" s="58">
        <f>'2024'!CB19</f>
        <v>127.1</v>
      </c>
      <c r="CM172" s="58">
        <f>'2024'!CC19</f>
        <v>3.03</v>
      </c>
      <c r="CN172" s="58">
        <f>'2024'!CD19</f>
        <v>35.1</v>
      </c>
      <c r="CO172" s="57">
        <f>'2024'!CE19</f>
        <v>97</v>
      </c>
      <c r="CP172" s="57">
        <f>'2024'!CF19</f>
        <v>1691</v>
      </c>
      <c r="CQ172" s="57">
        <f>'2024'!CG19</f>
        <v>10</v>
      </c>
      <c r="CR172" s="57">
        <f>'2024'!CH19</f>
        <v>3</v>
      </c>
      <c r="CS172" s="59">
        <f>'2024'!CI19</f>
        <v>16</v>
      </c>
      <c r="CT172" s="56">
        <f>'2024'!CJ19</f>
        <v>651</v>
      </c>
      <c r="CU172" s="57">
        <f>'2024'!CK19</f>
        <v>2541.5</v>
      </c>
      <c r="CV172" s="57">
        <f>'2024'!CL19</f>
        <v>7</v>
      </c>
      <c r="CW172" s="57">
        <f>'2024'!CM19</f>
        <v>26</v>
      </c>
      <c r="CX172" s="57">
        <f>'2024'!CN19</f>
        <v>111</v>
      </c>
      <c r="CY172" s="57">
        <f>'2024'!CO19</f>
        <v>31</v>
      </c>
      <c r="CZ172" s="58">
        <f>'2024'!CP19</f>
        <v>5.8648648648648649</v>
      </c>
      <c r="DA172" s="58">
        <f>'2024'!CQ19</f>
        <v>86.7</v>
      </c>
      <c r="DB172" s="58">
        <f>'2024'!CR19</f>
        <v>3.5</v>
      </c>
      <c r="DC172" s="58">
        <f>'2024'!CS19</f>
        <v>34.700000000000003</v>
      </c>
      <c r="DD172" s="57">
        <f>'2024'!CT19</f>
        <v>174</v>
      </c>
      <c r="DE172" s="57">
        <f>'2024'!CU19</f>
        <v>3659.5</v>
      </c>
      <c r="DF172" s="57">
        <f>'2024'!CV19</f>
        <v>14</v>
      </c>
      <c r="DG172" s="57">
        <f>'2024'!CW19</f>
        <v>3</v>
      </c>
      <c r="DH172" s="59">
        <f>'2024'!CX19</f>
        <v>36.4</v>
      </c>
      <c r="DI172" s="56">
        <f>'2024'!CY19</f>
        <v>888</v>
      </c>
      <c r="DJ172" s="57">
        <f>'2024'!CZ19</f>
        <v>2243.7999999999997</v>
      </c>
      <c r="DK172" s="57">
        <f>'2024'!DA19</f>
        <v>8</v>
      </c>
      <c r="DL172" s="57">
        <f>'2024'!DB19</f>
        <v>29.9</v>
      </c>
      <c r="DM172" s="57">
        <f>'2024'!DC19</f>
        <v>181</v>
      </c>
      <c r="DN172" s="57">
        <f>'2024'!DD19</f>
        <v>49</v>
      </c>
      <c r="DO172" s="58">
        <f>'2024'!DE19</f>
        <v>4.9000000000000004</v>
      </c>
      <c r="DP172" s="58">
        <f>'2024'!DF19</f>
        <v>87.2</v>
      </c>
      <c r="DQ172" s="58">
        <f>'2024'!DG19</f>
        <v>3.21</v>
      </c>
      <c r="DR172" s="58">
        <f>'2024'!DH19</f>
        <v>32.9</v>
      </c>
      <c r="DS172" s="57">
        <f>'2024'!DI19</f>
        <v>139</v>
      </c>
      <c r="DT172" s="57">
        <f>'2024'!DJ19</f>
        <v>2865.2000000000003</v>
      </c>
      <c r="DU172" s="57">
        <f>'2024'!DK19</f>
        <v>14</v>
      </c>
      <c r="DV172" s="57">
        <f>'2024'!DL19</f>
        <v>0</v>
      </c>
      <c r="DW172" s="59">
        <f>'2024'!DM19</f>
        <v>20.8</v>
      </c>
    </row>
    <row r="173" spans="1:127" ht="15.75" customHeight="1" x14ac:dyDescent="0.2">
      <c r="A173" s="33">
        <f t="shared" si="25"/>
        <v>170</v>
      </c>
      <c r="B173" s="11">
        <f>'2022'!A17</f>
        <v>15</v>
      </c>
      <c r="C173" s="11">
        <v>2022</v>
      </c>
      <c r="D173" s="34" t="str">
        <f>'2022'!B17</f>
        <v>Jerrion Ealy</v>
      </c>
      <c r="E173" s="224" t="str" cm="1">
        <f t="array" ref="E173">_xlfn.IFS(F173&gt;=13,"Cornerstone",AND(F173&gt;=12,F173&lt;13),"Elite",AND(F173&gt;=11,F173&lt;12),"Elite Upside",AND(F173&gt;=9,F173&lt;11),"Upside",AND(F173&gt;=7,F173&lt;9),"Upside Lite",AND(F173&gt;=6,F173&lt;7),"Outlier",AND(F173&gt;=5,F173&lt;6),"Outlier Lite",F173&lt;5,"Purgatory")</f>
        <v>Outlier</v>
      </c>
      <c r="F173" s="14">
        <f>'2022'!C17</f>
        <v>6.2944444444444443</v>
      </c>
      <c r="G173" s="14">
        <f t="shared" si="31"/>
        <v>47.699999999999996</v>
      </c>
      <c r="H173" s="35">
        <f t="shared" si="26"/>
        <v>-0.72285403017366701</v>
      </c>
      <c r="I173" s="36" t="str">
        <f>'2022'!D17</f>
        <v>Ole Miss</v>
      </c>
      <c r="J173" s="37">
        <f>'2022'!E17</f>
        <v>1</v>
      </c>
      <c r="K173" s="38">
        <f>'2022'!F17</f>
        <v>36757</v>
      </c>
      <c r="L173" s="39">
        <f>'2022'!G17</f>
        <v>25.123287671232877</v>
      </c>
      <c r="M173" s="39" t="str">
        <f>'2022'!H17</f>
        <v>JR</v>
      </c>
      <c r="N173" s="39">
        <f>'2022'!I17</f>
        <v>21.704109589041096</v>
      </c>
      <c r="O173" s="39" t="str">
        <f t="shared" si="27"/>
        <v>DYNAMIC</v>
      </c>
      <c r="P173" s="39" t="str">
        <f t="shared" si="34"/>
        <v>+RECEIVER</v>
      </c>
      <c r="Q173" s="37">
        <f>'2022'!J17</f>
        <v>69</v>
      </c>
      <c r="R173" s="37">
        <f>'2022'!K17</f>
        <v>189</v>
      </c>
      <c r="S173" s="39">
        <f t="shared" si="29"/>
        <v>27.910111774854929</v>
      </c>
      <c r="T173" s="37">
        <f>'2022'!L17</f>
        <v>4.59</v>
      </c>
      <c r="U173" s="40">
        <f>'2022'!M17</f>
        <v>0</v>
      </c>
      <c r="V173" s="41">
        <f>'2022'!N17</f>
        <v>0</v>
      </c>
      <c r="W173" s="42">
        <f>'2022'!O17</f>
        <v>0</v>
      </c>
      <c r="X173" s="42">
        <f>'2022'!P17</f>
        <v>0.16694740782332024</v>
      </c>
      <c r="Y173" s="42">
        <f>'2022'!Q17</f>
        <v>0.162016201620162</v>
      </c>
      <c r="Z173" s="42">
        <f>'2022'!R17</f>
        <v>0.15557638238050608</v>
      </c>
      <c r="AA173" s="42">
        <f>'2022'!S17</f>
        <v>0.16126189510191316</v>
      </c>
      <c r="AB173" s="42">
        <f>'2022'!T17</f>
        <v>0.16126189510191316</v>
      </c>
      <c r="AC173" s="42">
        <f>'2022'!U17</f>
        <v>4.4940562481878804E-2</v>
      </c>
      <c r="AD173" s="42">
        <f>'2022'!V17</f>
        <v>6.1013154212146654E-2</v>
      </c>
      <c r="AE173" s="42">
        <f>'2022'!W17</f>
        <v>6.1013154212146654E-2</v>
      </c>
      <c r="AF173" s="43">
        <f>'2022'!X17</f>
        <v>6.1013154212146654E-2</v>
      </c>
      <c r="AG173" s="44">
        <f>'2022'!Y17</f>
        <v>19.043835616438358</v>
      </c>
      <c r="AH173" s="45">
        <f>'2022'!Z17</f>
        <v>85.161059847711627</v>
      </c>
      <c r="AI173" s="45">
        <f>'2022'!AA17</f>
        <v>27.907372400756142</v>
      </c>
      <c r="AJ173" s="45">
        <f>'2022'!AB17</f>
        <v>0.36893203883495146</v>
      </c>
      <c r="AK173" s="45">
        <f>'2022'!AC17</f>
        <v>5.9</v>
      </c>
      <c r="AL173" s="45">
        <f t="shared" si="28"/>
        <v>8.014705882352942</v>
      </c>
      <c r="AM173" s="45">
        <f t="shared" si="33"/>
        <v>0.1951219512195122</v>
      </c>
      <c r="AN173" s="45">
        <f>'2022'!AD17</f>
        <v>152.19999999999999</v>
      </c>
      <c r="AO173" s="45">
        <f>'2022'!AE17</f>
        <v>4.3899999999999997</v>
      </c>
      <c r="AP173" s="46">
        <f>'2022'!AF17</f>
        <v>56.7</v>
      </c>
      <c r="AQ173" s="47">
        <f>'2022'!AG17</f>
        <v>2</v>
      </c>
      <c r="AR173" s="48">
        <f>'2022'!AH17</f>
        <v>6</v>
      </c>
      <c r="AS173" s="48">
        <f>'2022'!AI17</f>
        <v>8</v>
      </c>
      <c r="AT173" s="48">
        <f>IF(AH173&gt;113.25,10,IF(AH173&gt;=107.84,9,IF(AH173&gt;=105.37,8,IF(AH173&gt;=103.25,7,IF(AH173&gt;=100.55,6,IF(AH173&gt;=98.75,5,IF(AH173&gt;=96.08,4,IF(AH173&gt;=94.39,3,IF(AH173&gt;=88.43,2,IF(AH173&gt;=85.16,1,IF(AH173&lt;85.16,0,FALSE)))))))))))</f>
        <v>1</v>
      </c>
      <c r="AU173" s="48">
        <f>'2022'!AK17</f>
        <v>9</v>
      </c>
      <c r="AV173" s="48">
        <f>'2022'!AL17</f>
        <v>4</v>
      </c>
      <c r="AW173" s="48">
        <f>'2022'!AM17</f>
        <v>8</v>
      </c>
      <c r="AX173" s="48">
        <f>'2022'!AN17</f>
        <v>6</v>
      </c>
      <c r="AY173" s="49">
        <f>IF(U173=1,10,IF(U173=2,7,IF(U173=3,6,IF(U173=4,4,IF(U173=5,3,IF(U173=6,2,IF(U173=7,1,IF(U173=0,0,"-"))))))))</f>
        <v>0</v>
      </c>
      <c r="AZ173" s="50">
        <f>'2022'!AP17</f>
        <v>0.25</v>
      </c>
      <c r="BA173" s="56">
        <f>'2022'!AQ17</f>
        <v>0</v>
      </c>
      <c r="BB173" s="57">
        <f>'2022'!AR17</f>
        <v>2293</v>
      </c>
      <c r="BC173" s="57">
        <f>'2022'!AS17</f>
        <v>0</v>
      </c>
      <c r="BD173" s="57">
        <f>'2022'!AT17</f>
        <v>35</v>
      </c>
      <c r="BE173" s="57">
        <f>'2022'!AU17</f>
        <v>0</v>
      </c>
      <c r="BF173" s="57">
        <f>'2022'!AV17</f>
        <v>0</v>
      </c>
      <c r="BG173" s="58">
        <f>'2022'!AW17</f>
        <v>0</v>
      </c>
      <c r="BH173" s="58">
        <f>'2022'!AX17</f>
        <v>0</v>
      </c>
      <c r="BI173" s="58">
        <f>'2022'!AY17</f>
        <v>0</v>
      </c>
      <c r="BJ173" s="58">
        <f>'2022'!AZ17</f>
        <v>0</v>
      </c>
      <c r="BK173" s="57">
        <f>'2022'!BA17</f>
        <v>0</v>
      </c>
      <c r="BL173" s="57">
        <f>'2022'!BB17</f>
        <v>3580</v>
      </c>
      <c r="BM173" s="57">
        <f>'2022'!BC17</f>
        <v>0</v>
      </c>
      <c r="BN173" s="57">
        <f>'2022'!BD17</f>
        <v>0</v>
      </c>
      <c r="BO173" s="59">
        <f>'2022'!BE17</f>
        <v>17</v>
      </c>
      <c r="BP173" s="56">
        <f>'2022'!BF17</f>
        <v>0</v>
      </c>
      <c r="BQ173" s="57">
        <f>'2022'!BG17</f>
        <v>1858</v>
      </c>
      <c r="BR173" s="57">
        <f>'2022'!BH17</f>
        <v>0</v>
      </c>
      <c r="BS173" s="57">
        <f>'2022'!BI17</f>
        <v>27</v>
      </c>
      <c r="BT173" s="57">
        <f>'2022'!BJ17</f>
        <v>0</v>
      </c>
      <c r="BU173" s="57">
        <f>'2022'!BK17</f>
        <v>0</v>
      </c>
      <c r="BV173" s="58">
        <f>'2022'!BL17</f>
        <v>0</v>
      </c>
      <c r="BW173" s="58">
        <f>'2022'!BM17</f>
        <v>0</v>
      </c>
      <c r="BX173" s="58">
        <f>'2022'!BN17</f>
        <v>0</v>
      </c>
      <c r="BY173" s="58">
        <f>'2022'!BO17</f>
        <v>0</v>
      </c>
      <c r="BZ173" s="57">
        <f>'2022'!BP17</f>
        <v>0</v>
      </c>
      <c r="CA173" s="57">
        <f>'2022'!BQ17</f>
        <v>4071</v>
      </c>
      <c r="CB173" s="57">
        <f>'2022'!BR17</f>
        <v>0</v>
      </c>
      <c r="CC173" s="57">
        <f>'2022'!BS17</f>
        <v>0</v>
      </c>
      <c r="CD173" s="59">
        <f>'2022'!BT17</f>
        <v>25</v>
      </c>
      <c r="CE173" s="56">
        <f>'2022'!BU17</f>
        <v>720</v>
      </c>
      <c r="CF173" s="57">
        <f>'2022'!BV17</f>
        <v>3015</v>
      </c>
      <c r="CG173" s="57">
        <f>'2022'!BW17</f>
        <v>6</v>
      </c>
      <c r="CH173" s="57">
        <f>'2022'!BX17</f>
        <v>16</v>
      </c>
      <c r="CI173" s="57">
        <f>'2022'!BY17</f>
        <v>103</v>
      </c>
      <c r="CJ173" s="57">
        <f>'2022'!BZ17</f>
        <v>38</v>
      </c>
      <c r="CK173" s="58">
        <f>'2022'!CA17</f>
        <v>7</v>
      </c>
      <c r="CL173" s="58">
        <f>'2022'!CB17</f>
        <v>152.19999999999999</v>
      </c>
      <c r="CM173" s="58">
        <f>'2022'!CC17</f>
        <v>4.3899999999999997</v>
      </c>
      <c r="CN173" s="58">
        <f>'2022'!CD17</f>
        <v>56.7</v>
      </c>
      <c r="CO173" s="57">
        <f>'2022'!CE17</f>
        <v>172</v>
      </c>
      <c r="CP173" s="57">
        <f>'2022'!CF17</f>
        <v>2328</v>
      </c>
      <c r="CQ173" s="57">
        <f>'2022'!CG17</f>
        <v>21</v>
      </c>
      <c r="CR173" s="57">
        <f>'2022'!CH17</f>
        <v>0</v>
      </c>
      <c r="CS173" s="59">
        <f>'2022'!CI17</f>
        <v>16</v>
      </c>
      <c r="CT173" s="56">
        <f>'2022'!CJ17</f>
        <v>745</v>
      </c>
      <c r="CU173" s="57">
        <f>'2022'!CK17</f>
        <v>2106</v>
      </c>
      <c r="CV173" s="57">
        <f>'2022'!CL17</f>
        <v>9</v>
      </c>
      <c r="CW173" s="57">
        <f>'2022'!CM17</f>
        <v>22</v>
      </c>
      <c r="CX173" s="57">
        <f>'2022'!CN17</f>
        <v>147</v>
      </c>
      <c r="CY173" s="57">
        <f>'2022'!CO17</f>
        <v>40</v>
      </c>
      <c r="CZ173" s="58">
        <f>'2022'!CP17</f>
        <v>5.0999999999999996</v>
      </c>
      <c r="DA173" s="58">
        <f>'2022'!CQ17</f>
        <v>81.3</v>
      </c>
      <c r="DB173" s="58">
        <f>'2022'!CR17</f>
        <v>3.14</v>
      </c>
      <c r="DC173" s="58">
        <f>'2022'!CS17</f>
        <v>28.7</v>
      </c>
      <c r="DD173" s="57">
        <f>'2022'!CT17</f>
        <v>155</v>
      </c>
      <c r="DE173" s="57">
        <f>'2022'!CU17</f>
        <v>3449</v>
      </c>
      <c r="DF173" s="57">
        <f>'2022'!CV17</f>
        <v>15</v>
      </c>
      <c r="DG173" s="57">
        <f>'2022'!CW17</f>
        <v>0</v>
      </c>
      <c r="DH173" s="59">
        <f>'2022'!CX17</f>
        <v>30</v>
      </c>
      <c r="DI173" s="56">
        <f>'2022'!CY17</f>
        <v>778</v>
      </c>
      <c r="DJ173" s="57">
        <f>'2022'!CZ17</f>
        <v>2829</v>
      </c>
      <c r="DK173" s="57">
        <f>'2022'!DA17</f>
        <v>5</v>
      </c>
      <c r="DL173" s="57">
        <f>'2022'!DB17</f>
        <v>33</v>
      </c>
      <c r="DM173" s="57">
        <f>'2022'!DC17</f>
        <v>132</v>
      </c>
      <c r="DN173" s="57">
        <f>'2022'!DD17</f>
        <v>45</v>
      </c>
      <c r="DO173" s="58">
        <f>'2022'!DE17</f>
        <v>5.9</v>
      </c>
      <c r="DP173" s="58">
        <f>'2022'!DF17</f>
        <v>131.4</v>
      </c>
      <c r="DQ173" s="58">
        <f>'2022'!DG17</f>
        <v>4.1399999999999997</v>
      </c>
      <c r="DR173" s="58">
        <f>'2022'!DH17</f>
        <v>47.2</v>
      </c>
      <c r="DS173" s="57">
        <f>'2022'!DI17</f>
        <v>218</v>
      </c>
      <c r="DT173" s="57">
        <f>'2022'!DJ17</f>
        <v>3573</v>
      </c>
      <c r="DU173" s="57">
        <f>'2022'!DK17</f>
        <v>32</v>
      </c>
      <c r="DV173" s="57">
        <f>'2022'!DL17</f>
        <v>0</v>
      </c>
      <c r="DW173" s="59">
        <f>'2022'!DM17</f>
        <v>21</v>
      </c>
    </row>
    <row r="174" spans="1:127" ht="15.75" customHeight="1" x14ac:dyDescent="0.2">
      <c r="A174" s="33">
        <f t="shared" si="25"/>
        <v>172</v>
      </c>
      <c r="B174" s="11">
        <f>'2016'!A16</f>
        <v>14</v>
      </c>
      <c r="C174" s="11">
        <v>2016</v>
      </c>
      <c r="D174" s="34" t="str">
        <f>'2016'!B16</f>
        <v>Tyler Ervin</v>
      </c>
      <c r="E174" s="224" t="str" cm="1">
        <f t="array" ref="E174">_xlfn.IFS(F174&gt;=13,"Cornerstone",AND(F174&gt;=12,F174&lt;13),"Elite",AND(F174&gt;=11,F174&lt;12),"Elite Upside",AND(F174&gt;=9,F174&lt;11),"Upside",AND(F174&gt;=7,F174&lt;9),"Upside Lite",AND(F174&gt;=6,F174&lt;7),"Outlier",AND(F174&gt;=5,F174&lt;6),"Outlier Lite",F174&lt;5,"Purgatory")</f>
        <v>Outlier</v>
      </c>
      <c r="F174" s="14">
        <f>'2016'!C16</f>
        <v>6.2888888888888879</v>
      </c>
      <c r="G174" s="14">
        <f t="shared" si="31"/>
        <v>47.4</v>
      </c>
      <c r="H174" s="35">
        <f t="shared" si="26"/>
        <v>-0.72520528053055433</v>
      </c>
      <c r="I174" s="36" t="str">
        <f>'2016'!D16</f>
        <v>San Jose State</v>
      </c>
      <c r="J174" s="37">
        <f>'2016'!E16</f>
        <v>7</v>
      </c>
      <c r="K174" s="38">
        <f>'2016'!F16</f>
        <v>34249</v>
      </c>
      <c r="L174" s="39">
        <f>'2016'!G16</f>
        <v>31.994520547945207</v>
      </c>
      <c r="M174" s="39" t="str">
        <f>'2016'!H16</f>
        <v>RS SR</v>
      </c>
      <c r="N174" s="39">
        <f>'2016'!I16</f>
        <v>22.56986301369863</v>
      </c>
      <c r="O174" s="39" t="str">
        <f t="shared" si="27"/>
        <v>JITTERBUG</v>
      </c>
      <c r="P174" s="39" t="str">
        <f t="shared" si="34"/>
        <v>+RECEIVER</v>
      </c>
      <c r="Q174" s="37">
        <f>'2016'!J16</f>
        <v>70</v>
      </c>
      <c r="R174" s="37">
        <f>'2016'!K16</f>
        <v>192</v>
      </c>
      <c r="S174" s="39">
        <f t="shared" si="29"/>
        <v>27.548826362958845</v>
      </c>
      <c r="T174" s="37">
        <f>'2016'!L16</f>
        <v>4.41</v>
      </c>
      <c r="U174" s="55">
        <f>'2016'!M16</f>
        <v>4</v>
      </c>
      <c r="V174" s="41">
        <f>'2016'!N16</f>
        <v>2.7293537594646939E-2</v>
      </c>
      <c r="W174" s="42">
        <f>'2016'!O16</f>
        <v>8.242442352706808E-2</v>
      </c>
      <c r="X174" s="42">
        <f>'2016'!P16</f>
        <v>4.0543279951348061E-3</v>
      </c>
      <c r="Y174" s="42">
        <f>'2016'!Q16</f>
        <v>0.25010561892691169</v>
      </c>
      <c r="Z174" s="42">
        <f>'2016'!R16</f>
        <v>0.36883531693220273</v>
      </c>
      <c r="AA174" s="42">
        <f>'2016'!S16</f>
        <v>0.36883531693220273</v>
      </c>
      <c r="AB174" s="42">
        <f>'2016'!T16</f>
        <v>0.23974295600593179</v>
      </c>
      <c r="AC174" s="42">
        <f>'2016'!U16</f>
        <v>0.10005265929436546</v>
      </c>
      <c r="AD174" s="42">
        <f>'2016'!V16</f>
        <v>0.11519378231150897</v>
      </c>
      <c r="AE174" s="42">
        <f>'2016'!W16</f>
        <v>0.11519378231150897</v>
      </c>
      <c r="AF174" s="43">
        <f>'2016'!X16</f>
        <v>7.4875958502480827E-2</v>
      </c>
      <c r="AG174" s="44">
        <f>'2016'!Y16</f>
        <v>20.915068493150685</v>
      </c>
      <c r="AH174" s="45">
        <f>'2016'!Z16</f>
        <v>101.52590430430308</v>
      </c>
      <c r="AI174" s="45">
        <f>'2016'!AA16</f>
        <v>27.546122448979592</v>
      </c>
      <c r="AJ174" s="45">
        <f>'2016'!AB16</f>
        <v>0.1858974358974359</v>
      </c>
      <c r="AK174" s="45">
        <f>'2016'!AC16</f>
        <v>5.6410256410256414</v>
      </c>
      <c r="AL174" s="45">
        <f t="shared" si="28"/>
        <v>8.9540229885057467</v>
      </c>
      <c r="AM174" s="45">
        <f t="shared" si="33"/>
        <v>0.13569321533923304</v>
      </c>
      <c r="AN174" s="45">
        <f>'2016'!AD16</f>
        <v>63.3</v>
      </c>
      <c r="AO174" s="45">
        <f>'2016'!AE16</f>
        <v>3.06</v>
      </c>
      <c r="AP174" s="46">
        <f>'2016'!AF16</f>
        <v>43.6</v>
      </c>
      <c r="AQ174" s="47">
        <f>'2016'!AG16</f>
        <v>5</v>
      </c>
      <c r="AR174" s="48">
        <f>'2016'!AH16</f>
        <v>7</v>
      </c>
      <c r="AS174" s="48">
        <f>'2016'!AI16</f>
        <v>3</v>
      </c>
      <c r="AT174" s="48">
        <f>'2016'!AJ16</f>
        <v>6</v>
      </c>
      <c r="AU174" s="48">
        <f>'2016'!AK16</f>
        <v>5</v>
      </c>
      <c r="AV174" s="48">
        <f>'2016'!AL16</f>
        <v>3</v>
      </c>
      <c r="AW174" s="48">
        <f>'2016'!AM16</f>
        <v>4</v>
      </c>
      <c r="AX174" s="48">
        <f>'2016'!AN16</f>
        <v>3</v>
      </c>
      <c r="AY174" s="49">
        <f>'2016'!AO16</f>
        <v>4</v>
      </c>
      <c r="AZ174" s="50">
        <f>'2016'!AP16</f>
        <v>0</v>
      </c>
      <c r="BA174" s="56">
        <f>'2016'!AQ16</f>
        <v>107</v>
      </c>
      <c r="BB174" s="57">
        <f>'2016'!AR16</f>
        <v>1221.5999999999999</v>
      </c>
      <c r="BC174" s="57">
        <f>'2016'!AS16</f>
        <v>1</v>
      </c>
      <c r="BD174" s="57">
        <f>'2016'!AT16</f>
        <v>16.799999999999997</v>
      </c>
      <c r="BE174" s="57">
        <f>'2016'!AU16</f>
        <v>0</v>
      </c>
      <c r="BF174" s="57">
        <f>'2016'!AV16</f>
        <v>0</v>
      </c>
      <c r="BG174" s="58">
        <f>'2016'!AW16</f>
        <v>0</v>
      </c>
      <c r="BH174" s="58">
        <f>'2016'!AX16</f>
        <v>0</v>
      </c>
      <c r="BI174" s="58">
        <f>'2016'!AY16</f>
        <v>0</v>
      </c>
      <c r="BJ174" s="58">
        <f>'2016'!AZ16</f>
        <v>0</v>
      </c>
      <c r="BK174" s="57">
        <f>'2016'!BA16</f>
        <v>17</v>
      </c>
      <c r="BL174" s="57">
        <f>'2016'!BB16</f>
        <v>3321.6000000000004</v>
      </c>
      <c r="BM174" s="57">
        <f>'2016'!BC16</f>
        <v>3</v>
      </c>
      <c r="BN174" s="57">
        <f>'2016'!BD16</f>
        <v>0</v>
      </c>
      <c r="BO174" s="59">
        <f>'2016'!BE16</f>
        <v>13.200000000000001</v>
      </c>
      <c r="BP174" s="56">
        <f>'2016'!BF16</f>
        <v>205</v>
      </c>
      <c r="BQ174" s="57">
        <f>'2016'!BG16</f>
        <v>1021.5</v>
      </c>
      <c r="BR174" s="57">
        <f>'2016'!BH16</f>
        <v>1</v>
      </c>
      <c r="BS174" s="57">
        <f>'2016'!BI16</f>
        <v>11.700000000000001</v>
      </c>
      <c r="BT174" s="57">
        <f>'2016'!BJ16</f>
        <v>0</v>
      </c>
      <c r="BU174" s="57">
        <f>'2016'!BK16</f>
        <v>0</v>
      </c>
      <c r="BV174" s="58">
        <f>'2016'!BL16</f>
        <v>0</v>
      </c>
      <c r="BW174" s="58">
        <f>'2016'!BM16</f>
        <v>0</v>
      </c>
      <c r="BX174" s="58">
        <f>'2016'!BN16</f>
        <v>0</v>
      </c>
      <c r="BY174" s="58">
        <f>'2016'!BO16</f>
        <v>0</v>
      </c>
      <c r="BZ174" s="57">
        <f>'2016'!BP16</f>
        <v>126</v>
      </c>
      <c r="CA174" s="57">
        <f>'2016'!BQ16</f>
        <v>2994.2999999999997</v>
      </c>
      <c r="CB174" s="57">
        <f>'2016'!BR16</f>
        <v>10</v>
      </c>
      <c r="CC174" s="57">
        <f>'2016'!BS16</f>
        <v>1</v>
      </c>
      <c r="CD174" s="59">
        <f>'2016'!BT16</f>
        <v>24.3</v>
      </c>
      <c r="CE174" s="56">
        <f>'2016'!BU16</f>
        <v>2</v>
      </c>
      <c r="CF174" s="57">
        <f>'2016'!BV16</f>
        <v>137.30000000000001</v>
      </c>
      <c r="CG174" s="57">
        <f>'2016'!BW16</f>
        <v>0</v>
      </c>
      <c r="CH174" s="57">
        <f>'2016'!BX16</f>
        <v>1</v>
      </c>
      <c r="CI174" s="57">
        <f>'2016'!BY16</f>
        <v>0</v>
      </c>
      <c r="CJ174" s="57">
        <f>'2016'!BZ16</f>
        <v>0</v>
      </c>
      <c r="CK174" s="58">
        <f>'2016'!CA16</f>
        <v>0</v>
      </c>
      <c r="CL174" s="58">
        <f>'2016'!CB16</f>
        <v>0</v>
      </c>
      <c r="CM174" s="58">
        <f>'2016'!CC16</f>
        <v>0</v>
      </c>
      <c r="CN174" s="58">
        <f>'2016'!CD16</f>
        <v>0</v>
      </c>
      <c r="CO174" s="57">
        <f>'2016'!CE16</f>
        <v>0</v>
      </c>
      <c r="CP174" s="57">
        <f>'2016'!CF16</f>
        <v>356</v>
      </c>
      <c r="CQ174" s="57">
        <f>'2016'!CG16</f>
        <v>0</v>
      </c>
      <c r="CR174" s="57">
        <f>'2016'!CH16</f>
        <v>0</v>
      </c>
      <c r="CS174" s="59">
        <f>'2016'!CI16</f>
        <v>2.8</v>
      </c>
      <c r="CT174" s="56">
        <f>'2016'!CJ16</f>
        <v>880</v>
      </c>
      <c r="CU174" s="57">
        <f>'2016'!CK16</f>
        <v>1695.6000000000001</v>
      </c>
      <c r="CV174" s="57">
        <f>'2016'!CL16</f>
        <v>4</v>
      </c>
      <c r="CW174" s="57">
        <f>'2016'!CM16</f>
        <v>10.8</v>
      </c>
      <c r="CX174" s="57">
        <f>'2016'!CN16</f>
        <v>156</v>
      </c>
      <c r="CY174" s="57">
        <f>'2016'!CO16</f>
        <v>29</v>
      </c>
      <c r="CZ174" s="58">
        <f>'2016'!CP16</f>
        <v>5.6410256410256414</v>
      </c>
      <c r="DA174" s="58">
        <f>'2016'!CQ16</f>
        <v>63.3</v>
      </c>
      <c r="DB174" s="58">
        <f>'2016'!CR16</f>
        <v>3.06</v>
      </c>
      <c r="DC174" s="58">
        <f>'2016'!CS16</f>
        <v>43.6</v>
      </c>
      <c r="DD174" s="57">
        <f>'2016'!CT16</f>
        <v>304</v>
      </c>
      <c r="DE174" s="57">
        <f>'2016'!CU16</f>
        <v>3038.3999999999996</v>
      </c>
      <c r="DF174" s="57">
        <f>'2016'!CV16</f>
        <v>28</v>
      </c>
      <c r="DG174" s="57">
        <f>'2016'!CW16</f>
        <v>1</v>
      </c>
      <c r="DH174" s="59">
        <f>'2016'!CX16</f>
        <v>15.600000000000001</v>
      </c>
      <c r="DI174" s="56">
        <f>'2016'!CY16</f>
        <v>1608</v>
      </c>
      <c r="DJ174" s="57">
        <f>'2016'!CZ16</f>
        <v>2377.7000000000003</v>
      </c>
      <c r="DK174" s="57">
        <f>'2016'!DA16</f>
        <v>13</v>
      </c>
      <c r="DL174" s="57">
        <f>'2016'!DB16</f>
        <v>23.400000000000002</v>
      </c>
      <c r="DM174" s="57">
        <f>'2016'!DC16</f>
        <v>293</v>
      </c>
      <c r="DN174" s="57">
        <f>'2016'!DD16</f>
        <v>43</v>
      </c>
      <c r="DO174" s="58">
        <f>'2016'!DE16</f>
        <v>5.4880546075085324</v>
      </c>
      <c r="DP174" s="58">
        <f>'2016'!DF16</f>
        <v>41.4</v>
      </c>
      <c r="DQ174" s="58">
        <f>'2016'!DG16</f>
        <v>2.75</v>
      </c>
      <c r="DR174" s="58">
        <f>'2016'!DH16</f>
        <v>41.7</v>
      </c>
      <c r="DS174" s="57">
        <f>'2016'!DI16</f>
        <v>332</v>
      </c>
      <c r="DT174" s="57">
        <f>'2016'!DJ16</f>
        <v>2882.1</v>
      </c>
      <c r="DU174" s="57">
        <f>'2016'!DK16</f>
        <v>46</v>
      </c>
      <c r="DV174" s="57">
        <f>'2016'!DL16</f>
        <v>2</v>
      </c>
      <c r="DW174" s="59">
        <f>'2016'!DM16</f>
        <v>20.8</v>
      </c>
    </row>
    <row r="175" spans="1:127" ht="15.75" customHeight="1" x14ac:dyDescent="0.2">
      <c r="A175" s="33">
        <f t="shared" si="25"/>
        <v>173</v>
      </c>
      <c r="B175" s="11">
        <f>'2015'!A13</f>
        <v>11</v>
      </c>
      <c r="C175" s="11">
        <v>2015</v>
      </c>
      <c r="D175" s="34" t="str">
        <f>'2015'!B13</f>
        <v>Karlos Williams</v>
      </c>
      <c r="E175" s="224" t="str" cm="1">
        <f t="array" ref="E175">_xlfn.IFS(F175&gt;=13,"Cornerstone",AND(F175&gt;=12,F175&lt;13),"Elite",AND(F175&gt;=11,F175&lt;12),"Elite Upside",AND(F175&gt;=9,F175&lt;11),"Upside",AND(F175&gt;=7,F175&lt;9),"Upside Lite",AND(F175&gt;=6,F175&lt;7),"Outlier",AND(F175&gt;=5,F175&lt;6),"Outlier Lite",F175&lt;5,"Purgatory")</f>
        <v>Outlier</v>
      </c>
      <c r="F175" s="14">
        <f>'2015'!C13</f>
        <v>6.2777777777777777</v>
      </c>
      <c r="G175" s="14">
        <f t="shared" si="31"/>
        <v>47</v>
      </c>
      <c r="H175" s="35">
        <f t="shared" si="26"/>
        <v>-0.72990778124432765</v>
      </c>
      <c r="I175" s="36" t="str">
        <f>'2015'!D13</f>
        <v>Florida State</v>
      </c>
      <c r="J175" s="37">
        <f>'2015'!E13</f>
        <v>4</v>
      </c>
      <c r="K175" s="38">
        <f>'2015'!F13</f>
        <v>34093</v>
      </c>
      <c r="L175" s="39">
        <f>'2015'!G13</f>
        <v>32.421917808219177</v>
      </c>
      <c r="M175" s="39" t="str">
        <f>'2015'!H13</f>
        <v>SR</v>
      </c>
      <c r="N175" s="39">
        <f>'2015'!I13</f>
        <v>21.994520547945207</v>
      </c>
      <c r="O175" s="39" t="str">
        <f t="shared" si="27"/>
        <v>FREAK</v>
      </c>
      <c r="P175" s="39" t="str">
        <f t="shared" si="34"/>
        <v>+RECEIVER</v>
      </c>
      <c r="Q175" s="37">
        <f>'2015'!J13</f>
        <v>73</v>
      </c>
      <c r="R175" s="37">
        <f>'2015'!K13</f>
        <v>230</v>
      </c>
      <c r="S175" s="39">
        <f t="shared" si="29"/>
        <v>30.344505800664827</v>
      </c>
      <c r="T175" s="39">
        <f>'2015'!L13</f>
        <v>4.4800000000000004</v>
      </c>
      <c r="U175" s="55">
        <f>'2015'!M13</f>
        <v>5</v>
      </c>
      <c r="V175" s="41">
        <f>'2015'!N13</f>
        <v>0</v>
      </c>
      <c r="W175" s="42">
        <f>'2015'!O13</f>
        <v>0</v>
      </c>
      <c r="X175" s="42">
        <f>'2015'!P13</f>
        <v>0</v>
      </c>
      <c r="Y175" s="42">
        <f>'2015'!Q13</f>
        <v>0.10912343470483005</v>
      </c>
      <c r="Z175" s="42">
        <f>'2015'!R13</f>
        <v>0.17935357196798066</v>
      </c>
      <c r="AA175" s="42">
        <f>'2015'!S13</f>
        <v>0.17935357196798066</v>
      </c>
      <c r="AB175" s="42">
        <f>'2015'!T13</f>
        <v>0.16141821477118259</v>
      </c>
      <c r="AC175" s="42">
        <f>'2015'!U13</f>
        <v>2.2151898734177215E-2</v>
      </c>
      <c r="AD175" s="42">
        <f>'2015'!V13</f>
        <v>7.2810198922958563E-2</v>
      </c>
      <c r="AE175" s="42">
        <f>'2015'!W13</f>
        <v>7.2810198922958563E-2</v>
      </c>
      <c r="AF175" s="43">
        <f>'2015'!X13</f>
        <v>6.5529179030662715E-2</v>
      </c>
      <c r="AG175" s="44">
        <f>'2015'!Y13</f>
        <v>21.342465753424658</v>
      </c>
      <c r="AH175" s="45">
        <f>'2015'!Z13</f>
        <v>114.1946547133681</v>
      </c>
      <c r="AI175" s="45">
        <f>'2015'!AA13</f>
        <v>30.341527491086509</v>
      </c>
      <c r="AJ175" s="45">
        <f>'2015'!AB13</f>
        <v>0.14666666666666667</v>
      </c>
      <c r="AK175" s="45">
        <f>'2015'!AC13</f>
        <v>8.0219780219780219</v>
      </c>
      <c r="AL175" s="45">
        <f t="shared" si="28"/>
        <v>8.8648648648648649</v>
      </c>
      <c r="AM175" s="45">
        <f t="shared" si="33"/>
        <v>0.16201117318435754</v>
      </c>
      <c r="AN175" s="45">
        <f>'2015'!AD13</f>
        <v>37.200000000000003</v>
      </c>
      <c r="AO175" s="45">
        <f>'2015'!AE13</f>
        <v>2.66</v>
      </c>
      <c r="AP175" s="46">
        <f>'2015'!AF13</f>
        <v>25.1</v>
      </c>
      <c r="AQ175" s="47">
        <f>'2015'!AG13</f>
        <v>2</v>
      </c>
      <c r="AR175" s="48">
        <f>'2015'!AH13</f>
        <v>7</v>
      </c>
      <c r="AS175" s="48">
        <f>'2015'!AI13</f>
        <v>2</v>
      </c>
      <c r="AT175" s="48">
        <f>'2015'!AJ13</f>
        <v>10</v>
      </c>
      <c r="AU175" s="48">
        <f>'2015'!AK13</f>
        <v>1</v>
      </c>
      <c r="AV175" s="48">
        <f>'2015'!AL13</f>
        <v>9</v>
      </c>
      <c r="AW175" s="48">
        <f>'2015'!AM13</f>
        <v>0</v>
      </c>
      <c r="AX175" s="48">
        <f>'2015'!AN13</f>
        <v>0</v>
      </c>
      <c r="AY175" s="49">
        <f>'2015'!AO13</f>
        <v>3</v>
      </c>
      <c r="AZ175" s="50">
        <f>'2015'!AP13</f>
        <v>1</v>
      </c>
      <c r="BA175" s="56">
        <f>'2015'!AQ13</f>
        <v>0</v>
      </c>
      <c r="BB175" s="57">
        <f>'2015'!AR13</f>
        <v>1</v>
      </c>
      <c r="BC175" s="57">
        <f>'2015'!AS13</f>
        <v>0</v>
      </c>
      <c r="BD175" s="57">
        <f>'2015'!AT13</f>
        <v>0</v>
      </c>
      <c r="BE175" s="57">
        <f>'2015'!AU13</f>
        <v>0</v>
      </c>
      <c r="BF175" s="57">
        <f>'2015'!AV13</f>
        <v>0</v>
      </c>
      <c r="BG175" s="58">
        <f>'2015'!AW13</f>
        <v>0</v>
      </c>
      <c r="BH175" s="58">
        <f>'2015'!AX13</f>
        <v>0</v>
      </c>
      <c r="BI175" s="58">
        <f>'2015'!AY13</f>
        <v>0</v>
      </c>
      <c r="BJ175" s="58">
        <f>'2015'!AZ13</f>
        <v>0</v>
      </c>
      <c r="BK175" s="57">
        <f>'2015'!BA13</f>
        <v>0</v>
      </c>
      <c r="BL175" s="57">
        <f>'2015'!BB13</f>
        <v>1</v>
      </c>
      <c r="BM175" s="57">
        <f>'2015'!BC13</f>
        <v>0</v>
      </c>
      <c r="BN175" s="57">
        <f>'2015'!BD13</f>
        <v>0</v>
      </c>
      <c r="BO175" s="59">
        <f>'2015'!BE13</f>
        <v>0</v>
      </c>
      <c r="BP175" s="56">
        <f>'2015'!BF13</f>
        <v>0</v>
      </c>
      <c r="BQ175" s="57">
        <f>'2015'!BG13</f>
        <v>1</v>
      </c>
      <c r="BR175" s="57">
        <f>'2015'!BH13</f>
        <v>0</v>
      </c>
      <c r="BS175" s="57">
        <f>'2015'!BI13</f>
        <v>0</v>
      </c>
      <c r="BT175" s="57">
        <f>'2015'!BJ13</f>
        <v>0</v>
      </c>
      <c r="BU175" s="57">
        <f>'2015'!BK13</f>
        <v>0</v>
      </c>
      <c r="BV175" s="58">
        <f>'2015'!BL13</f>
        <v>0</v>
      </c>
      <c r="BW175" s="58">
        <f>'2015'!BM13</f>
        <v>0</v>
      </c>
      <c r="BX175" s="58">
        <f>'2015'!BN13</f>
        <v>0</v>
      </c>
      <c r="BY175" s="58">
        <f>'2015'!BO13</f>
        <v>0</v>
      </c>
      <c r="BZ175" s="57">
        <f>'2015'!BP13</f>
        <v>0</v>
      </c>
      <c r="CA175" s="57">
        <f>'2015'!BQ13</f>
        <v>1</v>
      </c>
      <c r="CB175" s="57">
        <f>'2015'!BR13</f>
        <v>0</v>
      </c>
      <c r="CC175" s="57">
        <f>'2015'!BS13</f>
        <v>0</v>
      </c>
      <c r="CD175" s="59">
        <f>'2015'!BT13</f>
        <v>0</v>
      </c>
      <c r="CE175" s="56">
        <f>'2015'!BU13</f>
        <v>0</v>
      </c>
      <c r="CF175" s="57">
        <f>'2015'!BV13</f>
        <v>1</v>
      </c>
      <c r="CG175" s="57">
        <f>'2015'!BW13</f>
        <v>0</v>
      </c>
      <c r="CH175" s="57">
        <f>'2015'!BX13</f>
        <v>0</v>
      </c>
      <c r="CI175" s="57">
        <f>'2015'!BY13</f>
        <v>0</v>
      </c>
      <c r="CJ175" s="57">
        <f>'2015'!BZ13</f>
        <v>0</v>
      </c>
      <c r="CK175" s="58">
        <f>'2015'!CA13</f>
        <v>0</v>
      </c>
      <c r="CL175" s="58">
        <f>'2015'!CB13</f>
        <v>0</v>
      </c>
      <c r="CM175" s="58">
        <f>'2015'!CC13</f>
        <v>0</v>
      </c>
      <c r="CN175" s="58">
        <f>'2015'!CD13</f>
        <v>0</v>
      </c>
      <c r="CO175" s="57">
        <f>'2015'!CE13</f>
        <v>0</v>
      </c>
      <c r="CP175" s="57">
        <f>'2015'!CF13</f>
        <v>1</v>
      </c>
      <c r="CQ175" s="57">
        <f>'2015'!CG13</f>
        <v>0</v>
      </c>
      <c r="CR175" s="57">
        <f>'2015'!CH13</f>
        <v>0</v>
      </c>
      <c r="CS175" s="59">
        <f>'2015'!CI13</f>
        <v>0</v>
      </c>
      <c r="CT175" s="56">
        <f>'2015'!CJ13</f>
        <v>730</v>
      </c>
      <c r="CU175" s="57">
        <f>'2015'!CK13</f>
        <v>4423</v>
      </c>
      <c r="CV175" s="57">
        <f>'2015'!CL13</f>
        <v>11</v>
      </c>
      <c r="CW175" s="57">
        <f>'2015'!CM13</f>
        <v>0</v>
      </c>
      <c r="CX175" s="57">
        <f>'2015'!CN13</f>
        <v>91</v>
      </c>
      <c r="CY175" s="57">
        <f>'2015'!CO13</f>
        <v>0</v>
      </c>
      <c r="CZ175" s="58">
        <f>'2015'!CP13</f>
        <v>8.0219780219780219</v>
      </c>
      <c r="DA175" s="58">
        <f>'2015'!CQ13</f>
        <v>0</v>
      </c>
      <c r="DB175" s="58">
        <f>'2015'!CR13</f>
        <v>0</v>
      </c>
      <c r="DC175" s="58">
        <f>'2015'!CS13</f>
        <v>0</v>
      </c>
      <c r="DD175" s="57">
        <f>'2015'!CT13</f>
        <v>63</v>
      </c>
      <c r="DE175" s="57">
        <f>'2015'!CU13</f>
        <v>2844</v>
      </c>
      <c r="DF175" s="57">
        <f>'2015'!CV13</f>
        <v>8</v>
      </c>
      <c r="DG175" s="57">
        <f>'2015'!CW13</f>
        <v>0</v>
      </c>
      <c r="DH175" s="59">
        <f>'2015'!CX13</f>
        <v>0</v>
      </c>
      <c r="DI175" s="56">
        <f>'2015'!CY13</f>
        <v>685</v>
      </c>
      <c r="DJ175" s="57">
        <f>'2015'!CZ13</f>
        <v>1657.1999999999998</v>
      </c>
      <c r="DK175" s="57">
        <f>'2015'!DA13</f>
        <v>12</v>
      </c>
      <c r="DL175" s="57">
        <f>'2015'!DB13</f>
        <v>22.799999999999997</v>
      </c>
      <c r="DM175" s="57">
        <f>'2015'!DC13</f>
        <v>150</v>
      </c>
      <c r="DN175" s="57">
        <f>'2015'!DD13</f>
        <v>22</v>
      </c>
      <c r="DO175" s="58">
        <f>'2015'!DE13</f>
        <v>4.5666666666666664</v>
      </c>
      <c r="DP175" s="58">
        <f>'2015'!DF13</f>
        <v>37.200000000000003</v>
      </c>
      <c r="DQ175" s="58">
        <f>'2015'!DG13</f>
        <v>2.66</v>
      </c>
      <c r="DR175" s="58">
        <f>'2015'!DH13</f>
        <v>25.1</v>
      </c>
      <c r="DS175" s="57">
        <f>'2015'!DI13</f>
        <v>265</v>
      </c>
      <c r="DT175" s="57">
        <f>'2015'!DJ13</f>
        <v>3639.6000000000004</v>
      </c>
      <c r="DU175" s="57">
        <f>'2015'!DK13</f>
        <v>29</v>
      </c>
      <c r="DV175" s="57">
        <f>'2015'!DL13</f>
        <v>1</v>
      </c>
      <c r="DW175" s="59">
        <f>'2015'!DM13</f>
        <v>22.799999999999997</v>
      </c>
    </row>
    <row r="176" spans="1:127" ht="15.75" customHeight="1" x14ac:dyDescent="0.2">
      <c r="A176" s="33">
        <f t="shared" si="25"/>
        <v>174</v>
      </c>
      <c r="B176" s="11">
        <f>'2025'!A23</f>
        <v>21</v>
      </c>
      <c r="C176" s="11">
        <v>2025</v>
      </c>
      <c r="D176" s="34" t="str">
        <f>'2025'!B23</f>
        <v>Woody Marks</v>
      </c>
      <c r="E176" s="224" t="str" cm="1">
        <f t="array" ref="E176">_xlfn.IFS(F176&gt;=13,"Cornerstone",AND(F176&gt;=12,F176&lt;13),"Elite",AND(F176&gt;=11,F176&lt;12),"Elite Upside",AND(F176&gt;=9,F176&lt;11),"Upside",AND(F176&gt;=7,F176&lt;9),"Upside Lite",AND(F176&gt;=6,F176&lt;7),"Outlier",AND(F176&gt;=5,F176&lt;6),"Outlier Lite",F176&lt;5,"Purgatory")</f>
        <v>Outlier</v>
      </c>
      <c r="F176" s="14">
        <f>'2025'!C23</f>
        <v>6.2722222222222221</v>
      </c>
      <c r="G176" s="14">
        <f t="shared" si="31"/>
        <v>46.7</v>
      </c>
      <c r="H176" s="35">
        <f t="shared" si="26"/>
        <v>-0.73225903160121453</v>
      </c>
      <c r="I176" s="36" t="str">
        <f>'2025'!D23</f>
        <v>USC</v>
      </c>
      <c r="J176" s="37">
        <f>'2025'!E23</f>
        <v>2</v>
      </c>
      <c r="K176" s="38">
        <f>'2025'!F23</f>
        <v>36889</v>
      </c>
      <c r="L176" s="39">
        <f>'2025'!G23</f>
        <v>24.761643835616439</v>
      </c>
      <c r="M176" s="39" t="str">
        <f>'2025'!H23</f>
        <v>RS SR</v>
      </c>
      <c r="N176" s="39">
        <f>'2025'!I23</f>
        <v>24.342465753424658</v>
      </c>
      <c r="O176" s="39" t="str">
        <f t="shared" si="27"/>
        <v>BELL CALF</v>
      </c>
      <c r="P176" s="39" t="str">
        <f t="shared" si="34"/>
        <v>+RECEIVER</v>
      </c>
      <c r="Q176" s="37">
        <f>'2025'!J23</f>
        <v>70</v>
      </c>
      <c r="R176" s="37">
        <f>'2025'!K23</f>
        <v>207</v>
      </c>
      <c r="S176" s="39">
        <f t="shared" si="29"/>
        <v>29.701078422565008</v>
      </c>
      <c r="T176" s="37">
        <f>'2025'!L23</f>
        <v>4.54</v>
      </c>
      <c r="U176" s="40">
        <f>'2025'!M23</f>
        <v>4</v>
      </c>
      <c r="V176" s="41">
        <f>'2025'!N23</f>
        <v>0.15285126396237506</v>
      </c>
      <c r="W176" s="42">
        <f>'2025'!O23</f>
        <v>0.16116386444812264</v>
      </c>
      <c r="X176" s="42">
        <f>'2025'!P23</f>
        <v>0.18452532451005349</v>
      </c>
      <c r="Y176" s="42">
        <f>'2025'!Q23</f>
        <v>0.25021978765131536</v>
      </c>
      <c r="Z176" s="42">
        <f>'2025'!R23</f>
        <v>0.27714242146996038</v>
      </c>
      <c r="AA176" s="42">
        <f>'2025'!S23</f>
        <v>0.27714242146996038</v>
      </c>
      <c r="AB176" s="42">
        <f>'2025'!T23</f>
        <v>0.27714242146996038</v>
      </c>
      <c r="AC176" s="42">
        <f>'2025'!U23</f>
        <v>0.10206576213176873</v>
      </c>
      <c r="AD176" s="42">
        <f>'2025'!V23</f>
        <v>9.1640972935936968E-2</v>
      </c>
      <c r="AE176" s="42">
        <f>'2025'!W23</f>
        <v>9.6853367533852847E-2</v>
      </c>
      <c r="AF176" s="43">
        <f>'2025'!X23</f>
        <v>9.6853367533852847E-2</v>
      </c>
      <c r="AG176" s="44">
        <f>'2025'!Y23</f>
        <v>19.687671232876713</v>
      </c>
      <c r="AH176" s="45">
        <f>'2025'!Z23</f>
        <v>97.448897422519067</v>
      </c>
      <c r="AI176" s="45">
        <f>'2025'!AA23</f>
        <v>29.698163265306121</v>
      </c>
      <c r="AJ176" s="45">
        <f>'2025'!AB23</f>
        <v>0.17171717171717171</v>
      </c>
      <c r="AK176" s="45">
        <f>'2025'!AC23</f>
        <v>5.7222222222222223</v>
      </c>
      <c r="AL176" s="45">
        <f t="shared" si="28"/>
        <v>5.8521400778210113</v>
      </c>
      <c r="AM176" s="45">
        <f t="shared" si="33"/>
        <v>0.19183673469387755</v>
      </c>
      <c r="AN176" s="45">
        <f>'2025'!AD23</f>
        <v>52.7</v>
      </c>
      <c r="AO176" s="45">
        <f>'2025'!AE23</f>
        <v>3.04</v>
      </c>
      <c r="AP176" s="46">
        <f>'2025'!AF23</f>
        <v>37.6</v>
      </c>
      <c r="AQ176" s="47">
        <f>'2025'!AG23</f>
        <v>7</v>
      </c>
      <c r="AR176" s="48">
        <f>'2025'!AH23</f>
        <v>9</v>
      </c>
      <c r="AS176" s="48">
        <f>'2025'!AI23</f>
        <v>6</v>
      </c>
      <c r="AT176" s="48">
        <f>'2025'!AJ23</f>
        <v>4</v>
      </c>
      <c r="AU176" s="48">
        <f>'2025'!AK23</f>
        <v>2</v>
      </c>
      <c r="AV176" s="48">
        <f>'2025'!AL23</f>
        <v>3</v>
      </c>
      <c r="AW176" s="48">
        <f>'2025'!AM23</f>
        <v>0</v>
      </c>
      <c r="AX176" s="48">
        <f>'2025'!AN23</f>
        <v>0</v>
      </c>
      <c r="AY176" s="49">
        <f>'2025'!AO23</f>
        <v>4</v>
      </c>
      <c r="AZ176" s="50">
        <f>'2025'!AP23</f>
        <v>0.25</v>
      </c>
      <c r="BA176" s="56">
        <f>'2025'!AQ23</f>
        <v>296</v>
      </c>
      <c r="BB176" s="57">
        <f>'2025'!AR23</f>
        <v>482.9</v>
      </c>
      <c r="BC176" s="57">
        <f>'2025'!AS23</f>
        <v>3</v>
      </c>
      <c r="BD176" s="57">
        <f>'2025'!AT23</f>
        <v>7.6999999999999993</v>
      </c>
      <c r="BE176" s="57">
        <f>'2025'!AU23</f>
        <v>68</v>
      </c>
      <c r="BF176" s="57">
        <f>'2025'!AV23</f>
        <v>11</v>
      </c>
      <c r="BG176" s="58">
        <f>'2025'!AW23</f>
        <v>4.3529411764705879</v>
      </c>
      <c r="BH176" s="58">
        <f>'2025'!AX23</f>
        <v>30.8</v>
      </c>
      <c r="BI176" s="58">
        <f>'2025'!AY23</f>
        <v>2.5</v>
      </c>
      <c r="BJ176" s="58">
        <f>'2025'!AZ23</f>
        <v>26.7</v>
      </c>
      <c r="BK176" s="57">
        <f>'2025'!BA23</f>
        <v>276</v>
      </c>
      <c r="BL176" s="57">
        <f>'2025'!BB23</f>
        <v>3259.3</v>
      </c>
      <c r="BM176" s="57">
        <f>'2025'!BC23</f>
        <v>62</v>
      </c>
      <c r="BN176" s="57">
        <f>'2025'!BD23</f>
        <v>0</v>
      </c>
      <c r="BO176" s="59">
        <f>'2025'!BE23</f>
        <v>16.5</v>
      </c>
      <c r="BP176" s="56">
        <f>'2025'!BF23</f>
        <v>465</v>
      </c>
      <c r="BQ176" s="57">
        <f>'2025'!BG23</f>
        <v>821.6</v>
      </c>
      <c r="BR176" s="57">
        <f>'2025'!BH23</f>
        <v>6</v>
      </c>
      <c r="BS176" s="57">
        <f>'2025'!BI23</f>
        <v>10.4</v>
      </c>
      <c r="BT176" s="57">
        <f>'2025'!BJ23</f>
        <v>110</v>
      </c>
      <c r="BU176" s="57">
        <f>'2025'!BK23</f>
        <v>19</v>
      </c>
      <c r="BV176" s="58">
        <f>'2025'!BL23</f>
        <v>4.2272727272727275</v>
      </c>
      <c r="BW176" s="58">
        <f>'2025'!BM23</f>
        <v>40.1</v>
      </c>
      <c r="BX176" s="58">
        <f>'2025'!BN23</f>
        <v>2.2799999999999998</v>
      </c>
      <c r="BY176" s="58">
        <f>'2025'!BO23</f>
        <v>14.2</v>
      </c>
      <c r="BZ176" s="57">
        <f>'2025'!BP23</f>
        <v>460</v>
      </c>
      <c r="CA176" s="57">
        <f>'2025'!BQ23</f>
        <v>4917.9000000000005</v>
      </c>
      <c r="CB176" s="57">
        <f>'2025'!BR23</f>
        <v>78</v>
      </c>
      <c r="CC176" s="57">
        <f>'2025'!BS23</f>
        <v>3</v>
      </c>
      <c r="CD176" s="59">
        <f>'2025'!BT23</f>
        <v>36.4</v>
      </c>
      <c r="CE176" s="56">
        <f>'2025'!BU23</f>
        <v>590</v>
      </c>
      <c r="CF176" s="57">
        <f>'2025'!BV23</f>
        <v>980.40000000000009</v>
      </c>
      <c r="CG176" s="57">
        <f>'2025'!BW23</f>
        <v>9</v>
      </c>
      <c r="CH176" s="57">
        <f>'2025'!BX23</f>
        <v>10.8</v>
      </c>
      <c r="CI176" s="57">
        <f>'2025'!BY23</f>
        <v>115</v>
      </c>
      <c r="CJ176" s="57">
        <f>'2025'!BZ23</f>
        <v>12</v>
      </c>
      <c r="CK176" s="58">
        <f>'2025'!CA23</f>
        <v>5.1304347826086953</v>
      </c>
      <c r="CL176" s="58">
        <f>'2025'!CB23</f>
        <v>34.4</v>
      </c>
      <c r="CM176" s="58">
        <f>'2025'!CC23</f>
        <v>2.63</v>
      </c>
      <c r="CN176" s="58">
        <f>'2025'!CD23</f>
        <v>28.5</v>
      </c>
      <c r="CO176" s="57">
        <f>'2025'!CE23</f>
        <v>280</v>
      </c>
      <c r="CP176" s="57">
        <f>'2025'!CF23</f>
        <v>3734.3999999999996</v>
      </c>
      <c r="CQ176" s="57">
        <f>'2025'!CG23</f>
        <v>46</v>
      </c>
      <c r="CR176" s="57">
        <f>'2025'!CH23</f>
        <v>0</v>
      </c>
      <c r="CS176" s="59">
        <f>'2025'!CI23</f>
        <v>33.599999999999994</v>
      </c>
      <c r="CT176" s="56">
        <f>'2025'!CJ23</f>
        <v>573</v>
      </c>
      <c r="CU176" s="57">
        <f>'2025'!CK23</f>
        <v>1321.2</v>
      </c>
      <c r="CV176" s="57">
        <f>'2025'!CL23</f>
        <v>4</v>
      </c>
      <c r="CW176" s="57">
        <f>'2025'!CM23</f>
        <v>9</v>
      </c>
      <c r="CX176" s="57">
        <f>'2025'!CN23</f>
        <v>120</v>
      </c>
      <c r="CY176" s="57">
        <f>'2025'!CO23</f>
        <v>19</v>
      </c>
      <c r="CZ176" s="58">
        <f>'2025'!CP23</f>
        <v>4.7750000000000004</v>
      </c>
      <c r="DA176" s="58">
        <f>'2025'!CQ23</f>
        <v>52.7</v>
      </c>
      <c r="DB176" s="58">
        <f>'2025'!CR23</f>
        <v>3.03</v>
      </c>
      <c r="DC176" s="58">
        <f>'2025'!CS23</f>
        <v>31.2</v>
      </c>
      <c r="DD176" s="57">
        <f>'2025'!CT23</f>
        <v>167</v>
      </c>
      <c r="DE176" s="57">
        <f>'2025'!CU23</f>
        <v>1636.2</v>
      </c>
      <c r="DF176" s="57">
        <f>'2025'!CV23</f>
        <v>24</v>
      </c>
      <c r="DG176" s="57">
        <f>'2025'!CW23</f>
        <v>2</v>
      </c>
      <c r="DH176" s="59">
        <f>'2025'!CX23</f>
        <v>11.700000000000001</v>
      </c>
      <c r="DI176" s="56">
        <f>'2025'!CY23</f>
        <v>1133</v>
      </c>
      <c r="DJ176" s="57">
        <f>'2025'!CZ23</f>
        <v>1743.6000000000001</v>
      </c>
      <c r="DK176" s="57">
        <f>'2025'!DA23</f>
        <v>9</v>
      </c>
      <c r="DL176" s="57">
        <f>'2025'!DB23</f>
        <v>19.200000000000003</v>
      </c>
      <c r="DM176" s="57">
        <f>'2025'!DC23</f>
        <v>198</v>
      </c>
      <c r="DN176" s="57">
        <f>'2025'!DD23</f>
        <v>34</v>
      </c>
      <c r="DO176" s="58">
        <f>'2025'!DE23</f>
        <v>5.7222222222222223</v>
      </c>
      <c r="DP176" s="58">
        <f>'2025'!DF23</f>
        <v>50.8</v>
      </c>
      <c r="DQ176" s="58">
        <f>'2025'!DG23</f>
        <v>3.04</v>
      </c>
      <c r="DR176" s="58">
        <f>'2025'!DH23</f>
        <v>37.6</v>
      </c>
      <c r="DS176" s="57">
        <f>'2025'!DI23</f>
        <v>321</v>
      </c>
      <c r="DT176" s="57">
        <f>'2025'!DJ23</f>
        <v>3502.7999999999997</v>
      </c>
      <c r="DU176" s="57">
        <f>'2025'!DK23</f>
        <v>47</v>
      </c>
      <c r="DV176" s="57">
        <f>'2025'!DL23</f>
        <v>0</v>
      </c>
      <c r="DW176" s="59">
        <f>'2025'!DM23</f>
        <v>25.200000000000003</v>
      </c>
    </row>
    <row r="177" spans="1:127" ht="15.75" customHeight="1" x14ac:dyDescent="0.2">
      <c r="A177" s="33">
        <f t="shared" si="25"/>
        <v>175</v>
      </c>
      <c r="B177" s="11">
        <f>'2022'!A18</f>
        <v>16</v>
      </c>
      <c r="C177" s="11">
        <v>2022</v>
      </c>
      <c r="D177" s="34" t="str">
        <f>'2022'!B18</f>
        <v>Jerome Ford</v>
      </c>
      <c r="E177" s="224" t="str" cm="1">
        <f t="array" ref="E177">_xlfn.IFS(F177&gt;=13,"Cornerstone",AND(F177&gt;=12,F177&lt;13),"Elite",AND(F177&gt;=11,F177&lt;12),"Elite Upside",AND(F177&gt;=9,F177&lt;11),"Upside",AND(F177&gt;=7,F177&lt;9),"Upside Lite",AND(F177&gt;=6,F177&lt;7),"Outlier",AND(F177&gt;=5,F177&lt;6),"Outlier Lite",F177&lt;5,"Purgatory")</f>
        <v>Outlier</v>
      </c>
      <c r="F177" s="14">
        <f>'2022'!C18</f>
        <v>6.2555555555555555</v>
      </c>
      <c r="G177" s="14">
        <f t="shared" si="31"/>
        <v>46.400000000000006</v>
      </c>
      <c r="H177" s="35">
        <f t="shared" si="26"/>
        <v>-0.73931278267187517</v>
      </c>
      <c r="I177" s="36" t="str">
        <f>'2022'!D18</f>
        <v>Cincinnati</v>
      </c>
      <c r="J177" s="37">
        <f>'2022'!E18</f>
        <v>6</v>
      </c>
      <c r="K177" s="38">
        <f>'2022'!F18</f>
        <v>36415</v>
      </c>
      <c r="L177" s="39">
        <f>'2022'!G18</f>
        <v>26.06027397260274</v>
      </c>
      <c r="M177" s="39" t="str">
        <f>'2022'!H18</f>
        <v>SR</v>
      </c>
      <c r="N177" s="39">
        <f>'2022'!I18</f>
        <v>22.641095890410959</v>
      </c>
      <c r="O177" s="39" t="str">
        <f t="shared" si="27"/>
        <v>DYNAMIC</v>
      </c>
      <c r="P177" s="39" t="str">
        <f t="shared" si="34"/>
        <v>3DOWN</v>
      </c>
      <c r="Q177" s="37">
        <f>'2022'!J18</f>
        <v>71</v>
      </c>
      <c r="R177" s="37">
        <f>'2022'!K18</f>
        <v>210</v>
      </c>
      <c r="S177" s="39">
        <f t="shared" si="29"/>
        <v>29.28873066633259</v>
      </c>
      <c r="T177" s="37">
        <f>'2022'!L18</f>
        <v>4.46</v>
      </c>
      <c r="U177" s="40">
        <f>'2022'!M18</f>
        <v>5</v>
      </c>
      <c r="V177" s="41">
        <f>'2022'!N18</f>
        <v>0</v>
      </c>
      <c r="W177" s="42">
        <f>'2022'!O18</f>
        <v>4.6441571482364755E-3</v>
      </c>
      <c r="X177" s="42">
        <f>'2022'!P18</f>
        <v>1.8674698795180723E-2</v>
      </c>
      <c r="Y177" s="42">
        <f>'2022'!Q18</f>
        <v>0.11840354767184036</v>
      </c>
      <c r="Z177" s="42">
        <f>'2022'!R18</f>
        <v>0.26404980114127613</v>
      </c>
      <c r="AA177" s="42">
        <f>'2022'!S18</f>
        <v>0.26404980114127613</v>
      </c>
      <c r="AB177" s="42">
        <f>'2022'!T18</f>
        <v>0.19803735085595708</v>
      </c>
      <c r="AC177" s="42">
        <f>'2022'!U18</f>
        <v>2.1374685666387259E-2</v>
      </c>
      <c r="AD177" s="42">
        <f>'2022'!V18</f>
        <v>6.5146579804560262E-2</v>
      </c>
      <c r="AE177" s="42">
        <f>'2022'!W18</f>
        <v>6.5146579804560262E-2</v>
      </c>
      <c r="AF177" s="43">
        <f>'2022'!X18</f>
        <v>4.8859934853420196E-2</v>
      </c>
      <c r="AG177" s="44">
        <f>'2022'!Y18</f>
        <v>21.994520547945207</v>
      </c>
      <c r="AH177" s="45">
        <f>'2022'!Z18</f>
        <v>106.14752089446317</v>
      </c>
      <c r="AI177" s="45">
        <f>'2022'!AA18</f>
        <v>29.28585598095616</v>
      </c>
      <c r="AJ177" s="45">
        <f>'2022'!AB18</f>
        <v>0.30136986301369861</v>
      </c>
      <c r="AK177" s="45">
        <f>'2022'!AC18</f>
        <v>6.6</v>
      </c>
      <c r="AL177" s="45">
        <f t="shared" si="28"/>
        <v>9.0967741935483879</v>
      </c>
      <c r="AM177" s="45">
        <f t="shared" si="33"/>
        <v>8.9361702127659579E-2</v>
      </c>
      <c r="AN177" s="45">
        <f>'2022'!AD18</f>
        <v>131.5</v>
      </c>
      <c r="AO177" s="45">
        <f>'2022'!AE18</f>
        <v>4.63</v>
      </c>
      <c r="AP177" s="46">
        <f>'2022'!AF18</f>
        <v>66.3</v>
      </c>
      <c r="AQ177" s="47">
        <f>'2022'!AG18</f>
        <v>3</v>
      </c>
      <c r="AR177" s="48">
        <f>'2022'!AH18</f>
        <v>5</v>
      </c>
      <c r="AS177" s="48">
        <f>'2022'!AI18</f>
        <v>2</v>
      </c>
      <c r="AT177" s="48">
        <f>IF(AH177&gt;113.25,10,IF(AH177&gt;=107.84,9,IF(AH177&gt;=105.37,8,IF(AH177&gt;=103.25,7,IF(AH177&gt;=100.55,6,IF(AH177&gt;=98.75,5,IF(AH177&gt;=96.08,4,IF(AH177&gt;=94.39,3,IF(AH177&gt;=88.43,2,IF(AH177&gt;=85.16,1,IF(AH177&lt;85.16,0,FALSE)))))))))))</f>
        <v>8</v>
      </c>
      <c r="AU177" s="48">
        <f>'2022'!AK18</f>
        <v>8</v>
      </c>
      <c r="AV177" s="48">
        <f>'2022'!AL18</f>
        <v>6</v>
      </c>
      <c r="AW177" s="48">
        <f>'2022'!AM18</f>
        <v>7</v>
      </c>
      <c r="AX177" s="48">
        <f>'2022'!AN18</f>
        <v>7</v>
      </c>
      <c r="AY177" s="49">
        <f>IF(U177=1,10,IF(U177=2,7,IF(U177=3,6,IF(U177=4,4,IF(U177=5,3,IF(U177=6,2,IF(U177=7,1,IF(U177=0,0,"-"))))))))</f>
        <v>3</v>
      </c>
      <c r="AZ177" s="50">
        <f>'2022'!AP18</f>
        <v>0.25</v>
      </c>
      <c r="BA177" s="56">
        <f>'2022'!AQ18</f>
        <v>0</v>
      </c>
      <c r="BB177" s="57">
        <f>'2022'!AR18</f>
        <v>1624</v>
      </c>
      <c r="BC177" s="57">
        <f>'2022'!AS18</f>
        <v>0</v>
      </c>
      <c r="BD177" s="57">
        <f>'2022'!AT18</f>
        <v>11</v>
      </c>
      <c r="BE177" s="57">
        <f>'2022'!AU18</f>
        <v>0</v>
      </c>
      <c r="BF177" s="57">
        <f>'2022'!AV18</f>
        <v>0</v>
      </c>
      <c r="BG177" s="58">
        <f>'2022'!AW18</f>
        <v>0</v>
      </c>
      <c r="BH177" s="58">
        <f>'2022'!AX18</f>
        <v>0</v>
      </c>
      <c r="BI177" s="58">
        <f>'2022'!AY18</f>
        <v>0</v>
      </c>
      <c r="BJ177" s="58">
        <f>'2022'!AZ18</f>
        <v>0</v>
      </c>
      <c r="BK177" s="57">
        <f>'2022'!BA18</f>
        <v>0</v>
      </c>
      <c r="BL177" s="57">
        <f>'2022'!BB18</f>
        <v>2597</v>
      </c>
      <c r="BM177" s="57">
        <f>'2022'!BC18</f>
        <v>0</v>
      </c>
      <c r="BN177" s="57">
        <f>'2022'!BD18</f>
        <v>0</v>
      </c>
      <c r="BO177" s="59">
        <f>'2022'!BE18</f>
        <v>20</v>
      </c>
      <c r="BP177" s="56">
        <f>'2022'!BF18</f>
        <v>37</v>
      </c>
      <c r="BQ177" s="57">
        <f>'2022'!BG18</f>
        <v>3113</v>
      </c>
      <c r="BR177" s="57">
        <f>'2022'!BH18</f>
        <v>0</v>
      </c>
      <c r="BS177" s="57">
        <f>'2022'!BI18</f>
        <v>38</v>
      </c>
      <c r="BT177" s="57">
        <f>'2022'!BJ18</f>
        <v>7</v>
      </c>
      <c r="BU177" s="57">
        <f>'2022'!BK18</f>
        <v>4</v>
      </c>
      <c r="BV177" s="58">
        <f>'2022'!BL18</f>
        <v>5.3</v>
      </c>
      <c r="BW177" s="58">
        <f>'2022'!BM18</f>
        <v>163.30000000000001</v>
      </c>
      <c r="BX177" s="58">
        <f>'2022'!BN18</f>
        <v>2.86</v>
      </c>
      <c r="BY177" s="58">
        <f>'2022'!BO18</f>
        <v>40.5</v>
      </c>
      <c r="BZ177" s="57">
        <f>'2022'!BP18</f>
        <v>0</v>
      </c>
      <c r="CA177" s="57">
        <f>'2022'!BQ18</f>
        <v>4854</v>
      </c>
      <c r="CB177" s="57">
        <f>'2022'!BR18</f>
        <v>0</v>
      </c>
      <c r="CC177" s="57">
        <f>'2022'!BS18</f>
        <v>0</v>
      </c>
      <c r="CD177" s="59">
        <f>'2022'!BT18</f>
        <v>52</v>
      </c>
      <c r="CE177" s="56">
        <f>'2022'!BU18</f>
        <v>113</v>
      </c>
      <c r="CF177" s="57">
        <f>'2022'!BV18</f>
        <v>2191</v>
      </c>
      <c r="CG177" s="57">
        <f>'2022'!BW18</f>
        <v>3</v>
      </c>
      <c r="CH177" s="57">
        <f>'2022'!BX18</f>
        <v>27</v>
      </c>
      <c r="CI177" s="57">
        <f>'2022'!BY18</f>
        <v>24</v>
      </c>
      <c r="CJ177" s="57">
        <f>'2022'!BZ18</f>
        <v>6</v>
      </c>
      <c r="CK177" s="58">
        <f>'2022'!CA18</f>
        <v>4.7</v>
      </c>
      <c r="CL177" s="58">
        <f>'2022'!CB18</f>
        <v>92</v>
      </c>
      <c r="CM177" s="58">
        <f>'2022'!CC18</f>
        <v>3.42</v>
      </c>
      <c r="CN177" s="58">
        <f>'2022'!CD18</f>
        <v>32.700000000000003</v>
      </c>
      <c r="CO177" s="57">
        <f>'2022'!CE18</f>
        <v>11</v>
      </c>
      <c r="CP177" s="57">
        <f>'2022'!CF18</f>
        <v>4449</v>
      </c>
      <c r="CQ177" s="57">
        <f>'2022'!CG18</f>
        <v>2</v>
      </c>
      <c r="CR177" s="57">
        <f>'2022'!CH18</f>
        <v>0</v>
      </c>
      <c r="CS177" s="59">
        <f>'2022'!CI18</f>
        <v>49</v>
      </c>
      <c r="CT177" s="56">
        <f>'2022'!CJ18</f>
        <v>483</v>
      </c>
      <c r="CU177" s="57">
        <f>'2022'!CK18</f>
        <v>2124</v>
      </c>
      <c r="CV177" s="57">
        <f>'2022'!CL18</f>
        <v>8</v>
      </c>
      <c r="CW177" s="57">
        <f>'2022'!CM18</f>
        <v>29</v>
      </c>
      <c r="CX177" s="57">
        <f>'2022'!CN18</f>
        <v>73</v>
      </c>
      <c r="CY177" s="57">
        <f>'2022'!CO18</f>
        <v>22</v>
      </c>
      <c r="CZ177" s="58">
        <f>'2022'!CP18</f>
        <v>6.6</v>
      </c>
      <c r="DA177" s="58">
        <f>'2022'!CQ18</f>
        <v>131.5</v>
      </c>
      <c r="DB177" s="58">
        <f>'2022'!CR18</f>
        <v>4.63</v>
      </c>
      <c r="DC177" s="58">
        <f>'2022'!CS18</f>
        <v>66.3</v>
      </c>
      <c r="DD177" s="57">
        <f>'2022'!CT18</f>
        <v>51</v>
      </c>
      <c r="DE177" s="57">
        <f>'2022'!CU18</f>
        <v>2386</v>
      </c>
      <c r="DF177" s="57">
        <f>'2022'!CV18</f>
        <v>8</v>
      </c>
      <c r="DG177" s="57">
        <f>'2022'!CW18</f>
        <v>0</v>
      </c>
      <c r="DH177" s="59">
        <f>'2022'!CX18</f>
        <v>20</v>
      </c>
      <c r="DI177" s="56">
        <f>'2022'!CY18</f>
        <v>1307</v>
      </c>
      <c r="DJ177" s="57">
        <f>'2022'!CZ18</f>
        <v>2406</v>
      </c>
      <c r="DK177" s="57">
        <f>'2022'!DA18</f>
        <v>19</v>
      </c>
      <c r="DL177" s="57">
        <f>'2022'!DB18</f>
        <v>34</v>
      </c>
      <c r="DM177" s="57">
        <f>'2022'!DC18</f>
        <v>214</v>
      </c>
      <c r="DN177" s="57">
        <f>'2022'!DD18</f>
        <v>52</v>
      </c>
      <c r="DO177" s="58">
        <f>'2022'!DE18</f>
        <v>6.1</v>
      </c>
      <c r="DP177" s="58">
        <f>'2022'!DF18</f>
        <v>73</v>
      </c>
      <c r="DQ177" s="58">
        <f>'2022'!DG18</f>
        <v>3.07</v>
      </c>
      <c r="DR177" s="58">
        <f>'2022'!DH18</f>
        <v>41.2</v>
      </c>
      <c r="DS177" s="57">
        <f>'2022'!DI18</f>
        <v>220</v>
      </c>
      <c r="DT177" s="57">
        <f>'2022'!DJ18</f>
        <v>3377</v>
      </c>
      <c r="DU177" s="57">
        <f>'2022'!DK18</f>
        <v>21</v>
      </c>
      <c r="DV177" s="57">
        <f>'2022'!DL18</f>
        <v>0</v>
      </c>
      <c r="DW177" s="59">
        <f>'2022'!DM18</f>
        <v>33</v>
      </c>
    </row>
    <row r="178" spans="1:127" ht="15.75" customHeight="1" x14ac:dyDescent="0.2">
      <c r="A178" s="33">
        <f t="shared" si="25"/>
        <v>176</v>
      </c>
      <c r="B178" s="11">
        <f>'2016'!A17</f>
        <v>15</v>
      </c>
      <c r="C178" s="11">
        <v>2016</v>
      </c>
      <c r="D178" s="34" t="str">
        <f>'2016'!B17</f>
        <v>Kelvin Taylor</v>
      </c>
      <c r="E178" s="224" t="str" cm="1">
        <f t="array" ref="E178">_xlfn.IFS(F178&gt;=13,"Cornerstone",AND(F178&gt;=12,F178&lt;13),"Elite",AND(F178&gt;=11,F178&lt;12),"Elite Upside",AND(F178&gt;=9,F178&lt;11),"Upside",AND(F178&gt;=7,F178&lt;9),"Upside Lite",AND(F178&gt;=6,F178&lt;7),"Outlier",AND(F178&gt;=5,F178&lt;6),"Outlier Lite",F178&lt;5,"Purgatory")</f>
        <v>Outlier</v>
      </c>
      <c r="F178" s="14">
        <f>'2016'!C17</f>
        <v>6.2444444444444445</v>
      </c>
      <c r="G178" s="14">
        <f t="shared" si="31"/>
        <v>46.1</v>
      </c>
      <c r="H178" s="35">
        <f t="shared" si="26"/>
        <v>-0.74401528338564893</v>
      </c>
      <c r="I178" s="36" t="str">
        <f>'2016'!D17</f>
        <v>Florida</v>
      </c>
      <c r="J178" s="37">
        <f>'2016'!E17</f>
        <v>1</v>
      </c>
      <c r="K178" s="38">
        <f>'2016'!F17</f>
        <v>34240</v>
      </c>
      <c r="L178" s="39">
        <f>'2016'!G17</f>
        <v>32.019178082191779</v>
      </c>
      <c r="M178" s="39" t="str">
        <f>'2016'!H17</f>
        <v>JR</v>
      </c>
      <c r="N178" s="39">
        <f>'2016'!I17</f>
        <v>22.594520547945205</v>
      </c>
      <c r="O178" s="39" t="str">
        <f t="shared" si="27"/>
        <v>BELL CALF</v>
      </c>
      <c r="P178" s="39" t="str">
        <f t="shared" si="34"/>
        <v>PLODDER</v>
      </c>
      <c r="Q178" s="37">
        <f>'2016'!J17</f>
        <v>70</v>
      </c>
      <c r="R178" s="37">
        <f>'2016'!K17</f>
        <v>207</v>
      </c>
      <c r="S178" s="39">
        <f t="shared" si="29"/>
        <v>29.701078422565008</v>
      </c>
      <c r="T178" s="37">
        <f>'2016'!L17</f>
        <v>4.5999999999999996</v>
      </c>
      <c r="U178" s="55">
        <f>'2016'!M17</f>
        <v>6</v>
      </c>
      <c r="V178" s="41">
        <f>'2016'!N17</f>
        <v>0</v>
      </c>
      <c r="W178" s="42">
        <f>'2016'!O17</f>
        <v>0</v>
      </c>
      <c r="X178" s="42">
        <f>'2016'!P17</f>
        <v>0.19120794302354138</v>
      </c>
      <c r="Y178" s="42">
        <f>'2016'!Q17</f>
        <v>0.12626949582879943</v>
      </c>
      <c r="Z178" s="42">
        <f>'2016'!R17</f>
        <v>0.25210084033613445</v>
      </c>
      <c r="AA178" s="42">
        <f>'2016'!S17</f>
        <v>0.25210084033613445</v>
      </c>
      <c r="AB178" s="42">
        <f>'2016'!T17</f>
        <v>0.25210084033613445</v>
      </c>
      <c r="AC178" s="42">
        <f>'2016'!U17</f>
        <v>-3.7057624606262737E-3</v>
      </c>
      <c r="AD178" s="42">
        <f>'2016'!V17</f>
        <v>5.4201477594421045E-2</v>
      </c>
      <c r="AE178" s="42">
        <f>'2016'!W17</f>
        <v>5.4201477594421045E-2</v>
      </c>
      <c r="AF178" s="43">
        <f>'2016'!X17</f>
        <v>5.4201477594421045E-2</v>
      </c>
      <c r="AG178" s="44">
        <f>'2016'!Y17</f>
        <v>19.93972602739726</v>
      </c>
      <c r="AH178" s="45">
        <f>'2016'!Z17</f>
        <v>92.463220185748369</v>
      </c>
      <c r="AI178" s="45">
        <f>'2016'!AA17</f>
        <v>29.698163265306121</v>
      </c>
      <c r="AJ178" s="45">
        <f>'2016'!AB17</f>
        <v>0.18604651162790697</v>
      </c>
      <c r="AK178" s="45">
        <f>'2016'!AC17</f>
        <v>4.8706896551724137</v>
      </c>
      <c r="AL178" s="45">
        <f t="shared" si="28"/>
        <v>7.44</v>
      </c>
      <c r="AM178" s="45">
        <f t="shared" si="33"/>
        <v>6.5217391304347824E-2</v>
      </c>
      <c r="AN178" s="45">
        <f>'2016'!AD17</f>
        <v>53.8</v>
      </c>
      <c r="AO178" s="45">
        <f>'2016'!AE17</f>
        <v>2.52</v>
      </c>
      <c r="AP178" s="46">
        <f>'2016'!AF17</f>
        <v>35.4</v>
      </c>
      <c r="AQ178" s="47">
        <f>'2016'!AG17</f>
        <v>6</v>
      </c>
      <c r="AR178" s="48">
        <f>'2016'!AH17</f>
        <v>6</v>
      </c>
      <c r="AS178" s="48">
        <f>'2016'!AI17</f>
        <v>5</v>
      </c>
      <c r="AT178" s="48">
        <f>'2016'!AJ17</f>
        <v>2</v>
      </c>
      <c r="AU178" s="48">
        <f>'2016'!AK17</f>
        <v>5</v>
      </c>
      <c r="AV178" s="48">
        <f>'2016'!AL17</f>
        <v>0</v>
      </c>
      <c r="AW178" s="48">
        <f>'2016'!AM17</f>
        <v>3</v>
      </c>
      <c r="AX178" s="48">
        <f>'2016'!AN17</f>
        <v>1</v>
      </c>
      <c r="AY178" s="49">
        <f>'2016'!AO17</f>
        <v>2</v>
      </c>
      <c r="AZ178" s="50">
        <f>'2016'!AP17</f>
        <v>1</v>
      </c>
      <c r="BA178" s="56">
        <f>'2016'!AQ17</f>
        <v>0</v>
      </c>
      <c r="BB178" s="57">
        <f>'2016'!AR17</f>
        <v>1</v>
      </c>
      <c r="BC178" s="57">
        <f>'2016'!AS17</f>
        <v>0</v>
      </c>
      <c r="BD178" s="57">
        <f>'2016'!AT17</f>
        <v>0</v>
      </c>
      <c r="BE178" s="57">
        <f>'2016'!AU17</f>
        <v>0</v>
      </c>
      <c r="BF178" s="57">
        <f>'2016'!AV17</f>
        <v>0</v>
      </c>
      <c r="BG178" s="58">
        <f>'2016'!AW17</f>
        <v>0</v>
      </c>
      <c r="BH178" s="58">
        <f>'2016'!AX17</f>
        <v>0</v>
      </c>
      <c r="BI178" s="58">
        <f>'2016'!AY17</f>
        <v>0</v>
      </c>
      <c r="BJ178" s="58">
        <f>'2016'!AZ17</f>
        <v>0</v>
      </c>
      <c r="BK178" s="57">
        <f>'2016'!BA17</f>
        <v>0</v>
      </c>
      <c r="BL178" s="57">
        <f>'2016'!BB17</f>
        <v>1</v>
      </c>
      <c r="BM178" s="57">
        <f>'2016'!BC17</f>
        <v>0</v>
      </c>
      <c r="BN178" s="57">
        <f>'2016'!BD17</f>
        <v>0</v>
      </c>
      <c r="BO178" s="59">
        <f>'2016'!BE17</f>
        <v>0</v>
      </c>
      <c r="BP178" s="56">
        <f>'2016'!BF17</f>
        <v>0</v>
      </c>
      <c r="BQ178" s="57">
        <f>'2016'!BG17</f>
        <v>1</v>
      </c>
      <c r="BR178" s="57">
        <f>'2016'!BH17</f>
        <v>0</v>
      </c>
      <c r="BS178" s="57">
        <f>'2016'!BI17</f>
        <v>0</v>
      </c>
      <c r="BT178" s="57">
        <f>'2016'!BJ17</f>
        <v>0</v>
      </c>
      <c r="BU178" s="57">
        <f>'2016'!BK17</f>
        <v>0</v>
      </c>
      <c r="BV178" s="58">
        <f>'2016'!BL17</f>
        <v>0</v>
      </c>
      <c r="BW178" s="58">
        <f>'2016'!BM17</f>
        <v>0</v>
      </c>
      <c r="BX178" s="58">
        <f>'2016'!BN17</f>
        <v>0</v>
      </c>
      <c r="BY178" s="58">
        <f>'2016'!BO17</f>
        <v>0</v>
      </c>
      <c r="BZ178" s="57">
        <f>'2016'!BP17</f>
        <v>0</v>
      </c>
      <c r="CA178" s="57">
        <f>'2016'!BQ17</f>
        <v>1</v>
      </c>
      <c r="CB178" s="57">
        <f>'2016'!BR17</f>
        <v>0</v>
      </c>
      <c r="CC178" s="57">
        <f>'2016'!BS17</f>
        <v>0</v>
      </c>
      <c r="CD178" s="59">
        <f>'2016'!BT17</f>
        <v>0</v>
      </c>
      <c r="CE178" s="56">
        <f>'2016'!BU17</f>
        <v>508</v>
      </c>
      <c r="CF178" s="57">
        <f>'2016'!BV17</f>
        <v>1312.2</v>
      </c>
      <c r="CG178" s="57">
        <f>'2016'!BW17</f>
        <v>4</v>
      </c>
      <c r="CH178" s="57">
        <f>'2016'!BX17</f>
        <v>10.799999999999999</v>
      </c>
      <c r="CI178" s="57">
        <f>'2016'!BY17</f>
        <v>0</v>
      </c>
      <c r="CJ178" s="57">
        <f>'2016'!BZ17</f>
        <v>0</v>
      </c>
      <c r="CK178" s="58">
        <f>'2016'!CA17</f>
        <v>0</v>
      </c>
      <c r="CL178" s="58">
        <f>'2016'!CB17</f>
        <v>0</v>
      </c>
      <c r="CM178" s="58">
        <f>'2016'!CC17</f>
        <v>0</v>
      </c>
      <c r="CN178" s="58">
        <f>'2016'!CD17</f>
        <v>0</v>
      </c>
      <c r="CO178" s="57">
        <f>'2016'!CE17</f>
        <v>37</v>
      </c>
      <c r="CP178" s="57">
        <f>'2016'!CF17</f>
        <v>1538.1000000000001</v>
      </c>
      <c r="CQ178" s="57">
        <f>'2016'!CG17</f>
        <v>5</v>
      </c>
      <c r="CR178" s="57">
        <f>'2016'!CH17</f>
        <v>0</v>
      </c>
      <c r="CS178" s="59">
        <f>'2016'!CI17</f>
        <v>8.1</v>
      </c>
      <c r="CT178" s="56">
        <f>'2016'!CJ17</f>
        <v>565</v>
      </c>
      <c r="CU178" s="57">
        <f>'2016'!CK17</f>
        <v>2252.3999999999996</v>
      </c>
      <c r="CV178" s="57">
        <f>'2016'!CL17</f>
        <v>6</v>
      </c>
      <c r="CW178" s="57">
        <f>'2016'!CM17</f>
        <v>21.6</v>
      </c>
      <c r="CX178" s="57">
        <f>'2016'!CN17</f>
        <v>116</v>
      </c>
      <c r="CY178" s="57">
        <f>'2016'!CO17</f>
        <v>20</v>
      </c>
      <c r="CZ178" s="58">
        <f>'2016'!CP17</f>
        <v>4.8706896551724137</v>
      </c>
      <c r="DA178" s="58">
        <f>'2016'!CQ17</f>
        <v>34.1</v>
      </c>
      <c r="DB178" s="58">
        <f>'2016'!CR17</f>
        <v>1.91</v>
      </c>
      <c r="DC178" s="58">
        <f>'2016'!CS17</f>
        <v>35.4</v>
      </c>
      <c r="DD178" s="57">
        <f>'2016'!CT17</f>
        <v>-8</v>
      </c>
      <c r="DE178" s="57">
        <f>'2016'!CU17</f>
        <v>2158.8000000000002</v>
      </c>
      <c r="DF178" s="57">
        <f>'2016'!CV17</f>
        <v>2</v>
      </c>
      <c r="DG178" s="57">
        <f>'2016'!CW17</f>
        <v>0</v>
      </c>
      <c r="DH178" s="59">
        <f>'2016'!CX17</f>
        <v>18</v>
      </c>
      <c r="DI178" s="56">
        <f>'2016'!CY17</f>
        <v>1025</v>
      </c>
      <c r="DJ178" s="57">
        <f>'2016'!CZ17</f>
        <v>1792</v>
      </c>
      <c r="DK178" s="57">
        <f>'2016'!DA17</f>
        <v>13</v>
      </c>
      <c r="DL178" s="57">
        <f>'2016'!DB17</f>
        <v>19.599999999999998</v>
      </c>
      <c r="DM178" s="57">
        <f>'2016'!DC17</f>
        <v>258</v>
      </c>
      <c r="DN178" s="57">
        <f>'2016'!DD17</f>
        <v>48</v>
      </c>
      <c r="DO178" s="58">
        <f>'2016'!DE17</f>
        <v>3.9728682170542635</v>
      </c>
      <c r="DP178" s="58">
        <f>'2016'!DF17</f>
        <v>53.8</v>
      </c>
      <c r="DQ178" s="58">
        <f>'2016'!DG17</f>
        <v>2.52</v>
      </c>
      <c r="DR178" s="58">
        <f>'2016'!DH17</f>
        <v>32.299999999999997</v>
      </c>
      <c r="DS178" s="57">
        <f>'2016'!DI17</f>
        <v>157</v>
      </c>
      <c r="DT178" s="57">
        <f>'2016'!DJ17</f>
        <v>2896.6</v>
      </c>
      <c r="DU178" s="57">
        <f>'2016'!DK17</f>
        <v>18</v>
      </c>
      <c r="DV178" s="57">
        <f>'2016'!DL17</f>
        <v>0</v>
      </c>
      <c r="DW178" s="59">
        <f>'2016'!DM17</f>
        <v>19.599999999999998</v>
      </c>
    </row>
    <row r="179" spans="1:127" ht="15.75" customHeight="1" x14ac:dyDescent="0.2">
      <c r="A179" s="33">
        <f t="shared" si="25"/>
        <v>177</v>
      </c>
      <c r="B179" s="11">
        <f>'2018'!A16</f>
        <v>14</v>
      </c>
      <c r="C179" s="11">
        <v>2018</v>
      </c>
      <c r="D179" s="34" t="str">
        <f>'2018'!B16</f>
        <v>Justin Jackson</v>
      </c>
      <c r="E179" s="224" t="str" cm="1">
        <f t="array" ref="E179">_xlfn.IFS(F179&gt;=13,"Cornerstone",AND(F179&gt;=12,F179&lt;13),"Elite",AND(F179&gt;=11,F179&lt;12),"Elite Upside",AND(F179&gt;=9,F179&lt;11),"Upside",AND(F179&gt;=7,F179&lt;9),"Upside Lite",AND(F179&gt;=6,F179&lt;7),"Outlier",AND(F179&gt;=5,F179&lt;6),"Outlier Lite",F179&lt;5,"Purgatory")</f>
        <v>Outlier</v>
      </c>
      <c r="F179" s="14">
        <f>'2018'!C16</f>
        <v>6.2055555555555557</v>
      </c>
      <c r="G179" s="14">
        <f t="shared" si="31"/>
        <v>45.800000000000004</v>
      </c>
      <c r="H179" s="35">
        <f t="shared" si="26"/>
        <v>-0.76047403588385709</v>
      </c>
      <c r="I179" s="36" t="str">
        <f>'2018'!D16</f>
        <v>Northwestern</v>
      </c>
      <c r="J179" s="37">
        <f>'2018'!E16</f>
        <v>2</v>
      </c>
      <c r="K179" s="38">
        <f>'2018'!F16</f>
        <v>35177</v>
      </c>
      <c r="L179" s="39">
        <f>'2018'!G16</f>
        <v>29.452054794520549</v>
      </c>
      <c r="M179" s="39" t="str">
        <f>'2018'!H16</f>
        <v>SR</v>
      </c>
      <c r="N179" s="39">
        <f>'2018'!I16</f>
        <v>22.024657534246575</v>
      </c>
      <c r="O179" s="39" t="str">
        <f t="shared" si="27"/>
        <v>DYNAMIC</v>
      </c>
      <c r="P179" s="39" t="str">
        <f t="shared" si="34"/>
        <v>PLODDER</v>
      </c>
      <c r="Q179" s="37">
        <f>'2018'!J16</f>
        <v>70</v>
      </c>
      <c r="R179" s="37">
        <f>'2018'!K16</f>
        <v>199</v>
      </c>
      <c r="S179" s="39">
        <f t="shared" si="29"/>
        <v>28.553210657441721</v>
      </c>
      <c r="T179" s="37">
        <f>'2018'!L16</f>
        <v>4.5199999999999996</v>
      </c>
      <c r="U179" s="40">
        <f>'2018'!M16</f>
        <v>7</v>
      </c>
      <c r="V179" s="41">
        <f>'2018'!N16</f>
        <v>0</v>
      </c>
      <c r="W179" s="42">
        <f>'2018'!O16</f>
        <v>0.3273542600896861</v>
      </c>
      <c r="X179" s="42">
        <f>'2018'!P16</f>
        <v>0.37182502351834429</v>
      </c>
      <c r="Y179" s="42">
        <f>'2018'!Q16</f>
        <v>0.3366814757581611</v>
      </c>
      <c r="Z179" s="42">
        <f>'2018'!R16</f>
        <v>0.29807692307692307</v>
      </c>
      <c r="AA179" s="42">
        <f>'2018'!S16</f>
        <v>0.33495097329763368</v>
      </c>
      <c r="AB179" s="42">
        <f>'2018'!T16</f>
        <v>0.33495097329763368</v>
      </c>
      <c r="AC179" s="42">
        <f>'2018'!U16</f>
        <v>6.8738229755178903E-2</v>
      </c>
      <c r="AD179" s="42">
        <f>'2018'!V16</f>
        <v>9.0789473684210531E-2</v>
      </c>
      <c r="AE179" s="42">
        <f>'2018'!W16</f>
        <v>9.0789473684210531E-2</v>
      </c>
      <c r="AF179" s="43">
        <f>'2018'!X16</f>
        <v>9.0789473684210531E-2</v>
      </c>
      <c r="AG179" s="44">
        <f>'2018'!Y16</f>
        <v>18.36986301369863</v>
      </c>
      <c r="AH179" s="45">
        <f>'2018'!Z16</f>
        <v>95.351895943903116</v>
      </c>
      <c r="AI179" s="45">
        <f>'2018'!AA16</f>
        <v>28.550408163265306</v>
      </c>
      <c r="AJ179" s="45">
        <f>'2018'!AB16</f>
        <v>0.20805369127516779</v>
      </c>
      <c r="AK179" s="45">
        <f>'2018'!AC16</f>
        <v>5.0999999999999996</v>
      </c>
      <c r="AL179" s="45">
        <f t="shared" si="28"/>
        <v>7.0327868852459012</v>
      </c>
      <c r="AM179" s="45">
        <f t="shared" ref="AM179:AM210" si="35">DU179/SUM(DM179,DU179)</f>
        <v>0.13333333333333333</v>
      </c>
      <c r="AN179" s="45">
        <f>'2018'!AD16</f>
        <v>73.5</v>
      </c>
      <c r="AO179" s="45">
        <f>'2018'!AE16</f>
        <v>3.6</v>
      </c>
      <c r="AP179" s="46">
        <f>'2018'!AF16</f>
        <v>45.5</v>
      </c>
      <c r="AQ179" s="47">
        <f>'2018'!AG16</f>
        <v>9</v>
      </c>
      <c r="AR179" s="48">
        <f>'2018'!AH16</f>
        <v>9</v>
      </c>
      <c r="AS179" s="48">
        <f>'2018'!AI16</f>
        <v>10</v>
      </c>
      <c r="AT179" s="48">
        <f>IF(AH179&gt;113.25,10,IF(AH179&gt;=107.84,9,IF(AH179&gt;=105.37,8,IF(AH179&gt;=103.25,7,IF(AH179&gt;=100.55,6,IF(AH179&gt;=98.75,5,IF(AH179&gt;=96.08,4,IF(AH179&gt;=94.39,3,IF(AH179&gt;=88.43,2,IF(AH179&gt;=85.16,1,IF(AH179&lt;85.16,0,FALSE)))))))))))</f>
        <v>3</v>
      </c>
      <c r="AU179" s="48">
        <f>'2018'!AK16</f>
        <v>4</v>
      </c>
      <c r="AV179" s="48">
        <f>'2018'!AL16</f>
        <v>1</v>
      </c>
      <c r="AW179" s="48">
        <f>'2018'!AM16</f>
        <v>1</v>
      </c>
      <c r="AX179" s="48">
        <f>'2018'!AN16</f>
        <v>2</v>
      </c>
      <c r="AY179" s="49">
        <f>IF(U179=1,10,IF(U179=2,7,IF(U179=3,6,IF(U179=4,4,IF(U179=5,3,IF(U179=6,2,IF(U179=7,1,IF(U179=0,0,"-"))))))))</f>
        <v>1</v>
      </c>
      <c r="AZ179" s="50">
        <f>'2018'!AP16</f>
        <v>0</v>
      </c>
      <c r="BA179" s="56">
        <f>'2018'!AQ16</f>
        <v>0</v>
      </c>
      <c r="BB179" s="57">
        <f>'2018'!AR16</f>
        <v>2069</v>
      </c>
      <c r="BC179" s="57">
        <f>'2018'!AS16</f>
        <v>0</v>
      </c>
      <c r="BD179" s="57">
        <f>'2018'!AT16</f>
        <v>0</v>
      </c>
      <c r="BE179" s="57">
        <f>'2018'!AU16</f>
        <v>0</v>
      </c>
      <c r="BF179" s="57">
        <f>'2018'!AV16</f>
        <v>0</v>
      </c>
      <c r="BG179" s="58">
        <f>'2018'!AW16</f>
        <v>0</v>
      </c>
      <c r="BH179" s="58">
        <f>'2018'!AX16</f>
        <v>0</v>
      </c>
      <c r="BI179" s="58">
        <f>'2018'!AY16</f>
        <v>0</v>
      </c>
      <c r="BJ179" s="58">
        <f>'2018'!AZ16</f>
        <v>0</v>
      </c>
      <c r="BK179" s="57">
        <f>'2018'!BA16</f>
        <v>0</v>
      </c>
      <c r="BL179" s="57">
        <f>'2018'!BB16</f>
        <v>2726</v>
      </c>
      <c r="BM179" s="57">
        <f>'2018'!BC16</f>
        <v>0</v>
      </c>
      <c r="BN179" s="57">
        <f>'2018'!BD16</f>
        <v>0</v>
      </c>
      <c r="BO179" s="59">
        <f>'2018'!BE16</f>
        <v>0</v>
      </c>
      <c r="BP179" s="56">
        <f>'2018'!BF16</f>
        <v>1186</v>
      </c>
      <c r="BQ179" s="57">
        <f>'2018'!BG16</f>
        <v>1639</v>
      </c>
      <c r="BR179" s="57">
        <f>'2018'!BH16</f>
        <v>10</v>
      </c>
      <c r="BS179" s="57">
        <f>'2018'!BI16</f>
        <v>0</v>
      </c>
      <c r="BT179" s="57">
        <f>'2018'!BJ16</f>
        <v>245</v>
      </c>
      <c r="BU179" s="57">
        <f>'2018'!BK16</f>
        <v>64</v>
      </c>
      <c r="BV179" s="58">
        <f>'2018'!BL16</f>
        <v>4.8</v>
      </c>
      <c r="BW179" s="58">
        <f>'2018'!BM16</f>
        <v>78.7</v>
      </c>
      <c r="BX179" s="58">
        <f>'2018'!BN16</f>
        <v>3.13</v>
      </c>
      <c r="BY179" s="58">
        <f>'2018'!BO16</f>
        <v>22.1</v>
      </c>
      <c r="BZ179" s="57">
        <f>'2018'!BP16</f>
        <v>201</v>
      </c>
      <c r="CA179" s="57">
        <f>'2018'!BQ16</f>
        <v>2598</v>
      </c>
      <c r="CB179" s="57">
        <f>'2018'!BR16</f>
        <v>22</v>
      </c>
      <c r="CC179" s="57">
        <f>'2018'!BS16</f>
        <v>0</v>
      </c>
      <c r="CD179" s="59">
        <f>'2018'!BT16</f>
        <v>0</v>
      </c>
      <c r="CE179" s="56">
        <f>'2018'!BU16</f>
        <v>1419</v>
      </c>
      <c r="CF179" s="57">
        <f>'2018'!BV16</f>
        <v>2451</v>
      </c>
      <c r="CG179" s="57">
        <f>'2018'!BW16</f>
        <v>5</v>
      </c>
      <c r="CH179" s="57">
        <f>'2018'!BX16</f>
        <v>0</v>
      </c>
      <c r="CI179" s="57">
        <f>'2018'!BY16</f>
        <v>311</v>
      </c>
      <c r="CJ179" s="57">
        <f>'2018'!BZ16</f>
        <v>34</v>
      </c>
      <c r="CK179" s="58">
        <f>'2018'!CA16</f>
        <v>4.5999999999999996</v>
      </c>
      <c r="CL179" s="58">
        <f>'2018'!CB16</f>
        <v>29.2</v>
      </c>
      <c r="CM179" s="58">
        <f>'2018'!CC16</f>
        <v>2.42</v>
      </c>
      <c r="CN179" s="58">
        <f>'2018'!CD16</f>
        <v>29.6</v>
      </c>
      <c r="CO179" s="57">
        <f>'2018'!CE16</f>
        <v>162</v>
      </c>
      <c r="CP179" s="57">
        <f>'2018'!CF16</f>
        <v>1801</v>
      </c>
      <c r="CQ179" s="57">
        <f>'2018'!CG16</f>
        <v>21</v>
      </c>
      <c r="CR179" s="57">
        <f>'2018'!CH16</f>
        <v>0</v>
      </c>
      <c r="CS179" s="59">
        <f>'2018'!CI16</f>
        <v>0</v>
      </c>
      <c r="CT179" s="56">
        <f>'2018'!CJ16</f>
        <v>1524</v>
      </c>
      <c r="CU179" s="57">
        <f>'2018'!CK16</f>
        <v>1991</v>
      </c>
      <c r="CV179" s="57">
        <f>'2018'!CL16</f>
        <v>15</v>
      </c>
      <c r="CW179" s="57">
        <f>'2018'!CM16</f>
        <v>0</v>
      </c>
      <c r="CX179" s="57">
        <f>'2018'!CN16</f>
        <v>298</v>
      </c>
      <c r="CY179" s="57">
        <f>'2018'!CO16</f>
        <v>62</v>
      </c>
      <c r="CZ179" s="58">
        <f>'2018'!CP16</f>
        <v>5.0999999999999996</v>
      </c>
      <c r="DA179" s="58">
        <f>'2018'!CQ16</f>
        <v>73.5</v>
      </c>
      <c r="DB179" s="58">
        <f>'2018'!CR16</f>
        <v>3.6</v>
      </c>
      <c r="DC179" s="58">
        <f>'2018'!CS16</f>
        <v>45.5</v>
      </c>
      <c r="DD179" s="57">
        <f>'2018'!CT16</f>
        <v>219</v>
      </c>
      <c r="DE179" s="57">
        <f>'2018'!CU16</f>
        <v>3186</v>
      </c>
      <c r="DF179" s="57">
        <f>'2018'!CV16</f>
        <v>35</v>
      </c>
      <c r="DG179" s="57">
        <f>'2018'!CW16</f>
        <v>0</v>
      </c>
      <c r="DH179" s="59">
        <f>'2018'!CX16</f>
        <v>0</v>
      </c>
      <c r="DI179" s="56">
        <f>'2018'!CY16</f>
        <v>1305</v>
      </c>
      <c r="DJ179" s="57">
        <f>'2018'!CZ16</f>
        <v>2264</v>
      </c>
      <c r="DK179" s="57">
        <f>'2018'!DA16</f>
        <v>11</v>
      </c>
      <c r="DL179" s="57">
        <f>'2018'!DB16</f>
        <v>0</v>
      </c>
      <c r="DM179" s="57">
        <f>'2018'!DC16</f>
        <v>286</v>
      </c>
      <c r="DN179" s="57">
        <f>'2018'!DD16</f>
        <v>39</v>
      </c>
      <c r="DO179" s="58">
        <f>'2018'!DE16</f>
        <v>4.5999999999999996</v>
      </c>
      <c r="DP179" s="58">
        <f>'2018'!DF16</f>
        <v>37.200000000000003</v>
      </c>
      <c r="DQ179" s="58">
        <f>'2018'!DG16</f>
        <v>2.5</v>
      </c>
      <c r="DR179" s="58">
        <f>'2018'!DH16</f>
        <v>28</v>
      </c>
      <c r="DS179" s="57">
        <f>'2018'!DI16</f>
        <v>276</v>
      </c>
      <c r="DT179" s="57">
        <f>'2018'!DJ16</f>
        <v>3040</v>
      </c>
      <c r="DU179" s="57">
        <f>'2018'!DK16</f>
        <v>44</v>
      </c>
      <c r="DV179" s="57">
        <f>'2018'!DL16</f>
        <v>0</v>
      </c>
      <c r="DW179" s="59">
        <f>'2018'!DM16</f>
        <v>0</v>
      </c>
    </row>
    <row r="180" spans="1:127" ht="15.75" customHeight="1" x14ac:dyDescent="0.2">
      <c r="A180" s="33">
        <f t="shared" si="25"/>
        <v>178</v>
      </c>
      <c r="B180" s="11">
        <f>'2015'!A14</f>
        <v>12</v>
      </c>
      <c r="C180" s="11">
        <v>2015</v>
      </c>
      <c r="D180" s="34" t="str">
        <f>'2015'!B14</f>
        <v>Josh Robinson</v>
      </c>
      <c r="E180" s="224" t="str" cm="1">
        <f t="array" ref="E180">_xlfn.IFS(F180&gt;=13,"Cornerstone",AND(F180&gt;=12,F180&lt;13),"Elite",AND(F180&gt;=11,F180&lt;12),"Elite Upside",AND(F180&gt;=9,F180&lt;11),"Upside",AND(F180&gt;=7,F180&lt;9),"Upside Lite",AND(F180&gt;=6,F180&lt;7),"Outlier",AND(F180&gt;=5,F180&lt;6),"Outlier Lite",F180&lt;5,"Purgatory")</f>
        <v>Outlier</v>
      </c>
      <c r="F180" s="14">
        <f>'2015'!C14</f>
        <v>6.15</v>
      </c>
      <c r="G180" s="14">
        <f t="shared" si="31"/>
        <v>45.5</v>
      </c>
      <c r="H180" s="35">
        <f t="shared" si="26"/>
        <v>-0.78398653945272589</v>
      </c>
      <c r="I180" s="36" t="str">
        <f>'2015'!D14</f>
        <v>Mississippi State</v>
      </c>
      <c r="J180" s="37">
        <f>'2015'!E14</f>
        <v>1</v>
      </c>
      <c r="K180" s="38">
        <f>'2015'!F14</f>
        <v>33840</v>
      </c>
      <c r="L180" s="39">
        <f>'2015'!G14</f>
        <v>33.115068493150687</v>
      </c>
      <c r="M180" s="39" t="str">
        <f>'2015'!H14</f>
        <v>JR</v>
      </c>
      <c r="N180" s="39">
        <f>'2015'!I14</f>
        <v>22.687671232876713</v>
      </c>
      <c r="O180" s="39" t="str">
        <f t="shared" si="27"/>
        <v>BELL CALF</v>
      </c>
      <c r="P180" s="39" t="str">
        <f t="shared" si="34"/>
        <v>PLODDER</v>
      </c>
      <c r="Q180" s="37">
        <f>'2015'!J14</f>
        <v>68</v>
      </c>
      <c r="R180" s="37">
        <f>'2015'!K14</f>
        <v>217</v>
      </c>
      <c r="S180" s="39">
        <f t="shared" si="29"/>
        <v>32.994371611580597</v>
      </c>
      <c r="T180" s="39">
        <f>'2015'!L14</f>
        <v>4.7</v>
      </c>
      <c r="U180" s="55">
        <f>'2015'!M14</f>
        <v>6</v>
      </c>
      <c r="V180" s="41">
        <f>'2015'!N14</f>
        <v>0</v>
      </c>
      <c r="W180" s="42">
        <f>'2015'!O14</f>
        <v>0</v>
      </c>
      <c r="X180" s="42">
        <f>'2015'!P14</f>
        <v>7.4825479930191965E-2</v>
      </c>
      <c r="Y180" s="42">
        <f>'2015'!Q14</f>
        <v>0.10249999999999999</v>
      </c>
      <c r="Z180" s="42">
        <f>'2015'!R14</f>
        <v>0.23729676318232179</v>
      </c>
      <c r="AA180" s="42">
        <f>'2015'!S14</f>
        <v>0.23729676318232179</v>
      </c>
      <c r="AB180" s="42">
        <f>'2015'!T14</f>
        <v>0.23729676318232179</v>
      </c>
      <c r="AC180" s="42">
        <f>'2015'!U14</f>
        <v>4.6577561765897127E-2</v>
      </c>
      <c r="AD180" s="42">
        <f>'2015'!V14</f>
        <v>0.10139486448713382</v>
      </c>
      <c r="AE180" s="42">
        <f>'2015'!W14</f>
        <v>0.10139486448713382</v>
      </c>
      <c r="AF180" s="43">
        <f>'2015'!X14</f>
        <v>0.10139486448713382</v>
      </c>
      <c r="AG180" s="44">
        <f>'2015'!Y14</f>
        <v>22.035616438356165</v>
      </c>
      <c r="AH180" s="45">
        <f>'2015'!Z14</f>
        <v>88.940240150944263</v>
      </c>
      <c r="AI180" s="45">
        <f>'2015'!AA14</f>
        <v>32.991133217993081</v>
      </c>
      <c r="AJ180" s="45">
        <f>'2015'!AB14</f>
        <v>0.25263157894736843</v>
      </c>
      <c r="AK180" s="45">
        <f>'2015'!AC14</f>
        <v>6.3947368421052628</v>
      </c>
      <c r="AL180" s="45">
        <f t="shared" si="28"/>
        <v>11.465116279069768</v>
      </c>
      <c r="AM180" s="45">
        <f t="shared" si="35"/>
        <v>0.12844036697247707</v>
      </c>
      <c r="AN180" s="45">
        <f>'2015'!AD14</f>
        <v>94.2</v>
      </c>
      <c r="AO180" s="45">
        <f>'2015'!AE14</f>
        <v>3.54</v>
      </c>
      <c r="AP180" s="46">
        <f>'2015'!AF14</f>
        <v>44.5</v>
      </c>
      <c r="AQ180" s="47">
        <f>'2015'!AG14</f>
        <v>5</v>
      </c>
      <c r="AR180" s="48">
        <f>'2015'!AH14</f>
        <v>9</v>
      </c>
      <c r="AS180" s="48">
        <f>'2015'!AI14</f>
        <v>1</v>
      </c>
      <c r="AT180" s="48">
        <f>'2015'!AJ14</f>
        <v>2</v>
      </c>
      <c r="AU180" s="48">
        <f>'2015'!AK14</f>
        <v>6</v>
      </c>
      <c r="AV180" s="48">
        <f>'2015'!AL14</f>
        <v>5</v>
      </c>
      <c r="AW180" s="48">
        <f>'2015'!AM14</f>
        <v>5</v>
      </c>
      <c r="AX180" s="48">
        <f>'2015'!AN14</f>
        <v>4</v>
      </c>
      <c r="AY180" s="49">
        <f>'2015'!AO14</f>
        <v>2</v>
      </c>
      <c r="AZ180" s="50">
        <f>'2015'!AP14</f>
        <v>0</v>
      </c>
      <c r="BA180" s="56">
        <f>'2015'!AQ14</f>
        <v>0</v>
      </c>
      <c r="BB180" s="57">
        <f>'2015'!AR14</f>
        <v>1</v>
      </c>
      <c r="BC180" s="57">
        <f>'2015'!AS14</f>
        <v>0</v>
      </c>
      <c r="BD180" s="57">
        <f>'2015'!AT14</f>
        <v>0</v>
      </c>
      <c r="BE180" s="57">
        <f>'2015'!AU14</f>
        <v>0</v>
      </c>
      <c r="BF180" s="57">
        <f>'2015'!AV14</f>
        <v>0</v>
      </c>
      <c r="BG180" s="58">
        <f>'2015'!AW14</f>
        <v>0</v>
      </c>
      <c r="BH180" s="58">
        <f>'2015'!AX14</f>
        <v>0</v>
      </c>
      <c r="BI180" s="58">
        <f>'2015'!AY14</f>
        <v>0</v>
      </c>
      <c r="BJ180" s="58">
        <f>'2015'!AZ14</f>
        <v>0</v>
      </c>
      <c r="BK180" s="57">
        <f>'2015'!BA14</f>
        <v>0</v>
      </c>
      <c r="BL180" s="57">
        <f>'2015'!BB14</f>
        <v>1</v>
      </c>
      <c r="BM180" s="57">
        <f>'2015'!BC14</f>
        <v>0</v>
      </c>
      <c r="BN180" s="57">
        <f>'2015'!BD14</f>
        <v>0</v>
      </c>
      <c r="BO180" s="59">
        <f>'2015'!BE14</f>
        <v>0</v>
      </c>
      <c r="BP180" s="56">
        <f>'2015'!BF14</f>
        <v>0</v>
      </c>
      <c r="BQ180" s="57">
        <f>'2015'!BG14</f>
        <v>1</v>
      </c>
      <c r="BR180" s="57">
        <f>'2015'!BH14</f>
        <v>0</v>
      </c>
      <c r="BS180" s="57">
        <f>'2015'!BI14</f>
        <v>0</v>
      </c>
      <c r="BT180" s="57">
        <f>'2015'!BJ14</f>
        <v>0</v>
      </c>
      <c r="BU180" s="57">
        <f>'2015'!BK14</f>
        <v>0</v>
      </c>
      <c r="BV180" s="58">
        <f>'2015'!BL14</f>
        <v>0</v>
      </c>
      <c r="BW180" s="58">
        <f>'2015'!BM14</f>
        <v>0</v>
      </c>
      <c r="BX180" s="58">
        <f>'2015'!BN14</f>
        <v>0</v>
      </c>
      <c r="BY180" s="58">
        <f>'2015'!BO14</f>
        <v>0</v>
      </c>
      <c r="BZ180" s="57">
        <f>'2015'!BP14</f>
        <v>0</v>
      </c>
      <c r="CA180" s="57">
        <f>'2015'!BQ14</f>
        <v>1</v>
      </c>
      <c r="CB180" s="57">
        <f>'2015'!BR14</f>
        <v>0</v>
      </c>
      <c r="CC180" s="57">
        <f>'2015'!BS14</f>
        <v>0</v>
      </c>
      <c r="CD180" s="59">
        <f>'2015'!BT14</f>
        <v>0</v>
      </c>
      <c r="CE180" s="56">
        <f>'2015'!BU14</f>
        <v>335</v>
      </c>
      <c r="CF180" s="57">
        <f>'2015'!BV14</f>
        <v>1730.3999999999999</v>
      </c>
      <c r="CG180" s="57">
        <f>'2015'!BW14</f>
        <v>1</v>
      </c>
      <c r="CH180" s="57">
        <f>'2015'!BX14</f>
        <v>0</v>
      </c>
      <c r="CI180" s="57">
        <f>'2015'!BY14</f>
        <v>55</v>
      </c>
      <c r="CJ180" s="57">
        <f>'2015'!BZ14</f>
        <v>0</v>
      </c>
      <c r="CK180" s="58">
        <f>'2015'!CA14</f>
        <v>0</v>
      </c>
      <c r="CL180" s="58">
        <f>'2015'!CB14</f>
        <v>0</v>
      </c>
      <c r="CM180" s="58">
        <f>'2015'!CC14</f>
        <v>0</v>
      </c>
      <c r="CN180" s="58">
        <f>'2015'!CD14</f>
        <v>0</v>
      </c>
      <c r="CO180" s="57">
        <f>'2015'!CE14</f>
        <v>8</v>
      </c>
      <c r="CP180" s="57">
        <f>'2015'!CF14</f>
        <v>2853.6000000000004</v>
      </c>
      <c r="CQ180" s="57">
        <f>'2015'!CG14</f>
        <v>3</v>
      </c>
      <c r="CR180" s="57">
        <f>'2015'!CH14</f>
        <v>0</v>
      </c>
      <c r="CS180" s="59">
        <f>'2015'!CI14</f>
        <v>0</v>
      </c>
      <c r="CT180" s="56">
        <f>'2015'!CJ14</f>
        <v>459</v>
      </c>
      <c r="CU180" s="57">
        <f>'2015'!CK14</f>
        <v>3131</v>
      </c>
      <c r="CV180" s="57">
        <f>'2015'!CL14</f>
        <v>3</v>
      </c>
      <c r="CW180" s="57">
        <f>'2015'!CM14</f>
        <v>0</v>
      </c>
      <c r="CX180" s="57">
        <f>'2015'!CN14</f>
        <v>78</v>
      </c>
      <c r="CY180" s="57">
        <f>'2015'!CO14</f>
        <v>0</v>
      </c>
      <c r="CZ180" s="58">
        <f>'2015'!CP14</f>
        <v>5.884615384615385</v>
      </c>
      <c r="DA180" s="58">
        <f>'2015'!CQ14</f>
        <v>0</v>
      </c>
      <c r="DB180" s="58">
        <f>'2015'!CR14</f>
        <v>0</v>
      </c>
      <c r="DC180" s="58">
        <f>'2015'!CS14</f>
        <v>0</v>
      </c>
      <c r="DD180" s="57">
        <f>'2015'!CT14</f>
        <v>115</v>
      </c>
      <c r="DE180" s="57">
        <f>'2015'!CU14</f>
        <v>2469</v>
      </c>
      <c r="DF180" s="57">
        <f>'2015'!CV14</f>
        <v>12</v>
      </c>
      <c r="DG180" s="57">
        <f>'2015'!CW14</f>
        <v>0</v>
      </c>
      <c r="DH180" s="59">
        <f>'2015'!CX14</f>
        <v>0</v>
      </c>
      <c r="DI180" s="56">
        <f>'2015'!CY14</f>
        <v>1215</v>
      </c>
      <c r="DJ180" s="57">
        <f>'2015'!CZ14</f>
        <v>3030.2999999999997</v>
      </c>
      <c r="DK180" s="57">
        <f>'2015'!DA14</f>
        <v>11</v>
      </c>
      <c r="DL180" s="57">
        <f>'2015'!DB14</f>
        <v>28.6</v>
      </c>
      <c r="DM180" s="57">
        <f>'2015'!DC14</f>
        <v>190</v>
      </c>
      <c r="DN180" s="57">
        <f>'2015'!DD14</f>
        <v>48</v>
      </c>
      <c r="DO180" s="58">
        <f>'2015'!DE14</f>
        <v>6.3947368421052628</v>
      </c>
      <c r="DP180" s="58">
        <f>'2015'!DF14</f>
        <v>94.2</v>
      </c>
      <c r="DQ180" s="58">
        <f>'2015'!DG14</f>
        <v>3.54</v>
      </c>
      <c r="DR180" s="58">
        <f>'2015'!DH14</f>
        <v>44.5</v>
      </c>
      <c r="DS180" s="57">
        <f>'2015'!DI14</f>
        <v>370</v>
      </c>
      <c r="DT180" s="57">
        <f>'2015'!DJ14</f>
        <v>3649.1</v>
      </c>
      <c r="DU180" s="57">
        <f>'2015'!DK14</f>
        <v>28</v>
      </c>
      <c r="DV180" s="57">
        <f>'2015'!DL14</f>
        <v>1</v>
      </c>
      <c r="DW180" s="59">
        <f>'2015'!DM14</f>
        <v>31.2</v>
      </c>
    </row>
    <row r="181" spans="1:127" ht="15.75" customHeight="1" x14ac:dyDescent="0.2">
      <c r="A181" s="33">
        <f t="shared" si="25"/>
        <v>179</v>
      </c>
      <c r="B181" s="11">
        <f>'2019'!A18</f>
        <v>16</v>
      </c>
      <c r="C181" s="11">
        <v>2019</v>
      </c>
      <c r="D181" s="34" t="str">
        <f>'2019'!B18</f>
        <v>Qadree Ollison</v>
      </c>
      <c r="E181" s="224" t="str" cm="1">
        <f t="array" ref="E181">_xlfn.IFS(F181&gt;=13,"Cornerstone",AND(F181&gt;=12,F181&lt;13),"Elite",AND(F181&gt;=11,F181&lt;12),"Elite Upside",AND(F181&gt;=9,F181&lt;11),"Upside",AND(F181&gt;=7,F181&lt;9),"Upside Lite",AND(F181&gt;=6,F181&lt;7),"Outlier",AND(F181&gt;=5,F181&lt;6),"Outlier Lite",F181&lt;5,"Purgatory")</f>
        <v>Outlier</v>
      </c>
      <c r="F181" s="14">
        <f>'2019'!C18</f>
        <v>6.1444444444444448</v>
      </c>
      <c r="G181" s="14">
        <f t="shared" si="31"/>
        <v>45.2</v>
      </c>
      <c r="H181" s="35">
        <f t="shared" si="26"/>
        <v>-0.78633778980961277</v>
      </c>
      <c r="I181" s="36" t="str">
        <f>'2019'!D18</f>
        <v>Pitt</v>
      </c>
      <c r="J181" s="37">
        <f>'2019'!E18</f>
        <v>4</v>
      </c>
      <c r="K181" s="38">
        <f>'2019'!F18</f>
        <v>35316</v>
      </c>
      <c r="L181" s="39">
        <f>'2019'!G18</f>
        <v>29.07123287671233</v>
      </c>
      <c r="M181" s="39" t="str">
        <f>'2019'!H18</f>
        <v>SR</v>
      </c>
      <c r="N181" s="39">
        <f>'2019'!I18</f>
        <v>22.641095890410959</v>
      </c>
      <c r="O181" s="39" t="str">
        <f t="shared" si="27"/>
        <v>BRUISER</v>
      </c>
      <c r="P181" s="39" t="str">
        <f t="shared" si="34"/>
        <v>HORSE</v>
      </c>
      <c r="Q181" s="37">
        <f>'2019'!J18</f>
        <v>72</v>
      </c>
      <c r="R181" s="37">
        <f>'2019'!K18</f>
        <v>228</v>
      </c>
      <c r="S181" s="39">
        <f t="shared" si="29"/>
        <v>30.922016473662577</v>
      </c>
      <c r="T181" s="37">
        <f>'2019'!L18</f>
        <v>4.58</v>
      </c>
      <c r="U181" s="40">
        <f>'2019'!M18</f>
        <v>5</v>
      </c>
      <c r="V181" s="41">
        <f>'2019'!N18</f>
        <v>0</v>
      </c>
      <c r="W181" s="42">
        <f>'2019'!O18</f>
        <v>0.24531377343113284</v>
      </c>
      <c r="X181" s="42">
        <f>'2019'!P18</f>
        <v>2.8409090909090908E-2</v>
      </c>
      <c r="Y181" s="42">
        <f>'2019'!Q18</f>
        <v>0.1347291761492945</v>
      </c>
      <c r="Z181" s="42">
        <f>'2019'!R18</f>
        <v>0.24710200927357032</v>
      </c>
      <c r="AA181" s="42">
        <f>'2019'!S18</f>
        <v>0.24710200927357032</v>
      </c>
      <c r="AB181" s="42">
        <f>'2019'!T18</f>
        <v>0.22239180834621328</v>
      </c>
      <c r="AC181" s="42">
        <f>'2019'!U18</f>
        <v>7.4272588055130165E-2</v>
      </c>
      <c r="AD181" s="42">
        <f>'2019'!V18</f>
        <v>3.3249370277078083E-2</v>
      </c>
      <c r="AE181" s="42">
        <f>'2019'!W18</f>
        <v>5.3760979166104124E-2</v>
      </c>
      <c r="AF181" s="43">
        <f>'2019'!X18</f>
        <v>4.8384881249493715E-2</v>
      </c>
      <c r="AG181" s="44">
        <f>'2019'!Y18</f>
        <v>18.989041095890411</v>
      </c>
      <c r="AH181" s="45">
        <f>'2019'!Z18</f>
        <v>103.63415977116451</v>
      </c>
      <c r="AI181" s="45">
        <f>'2019'!AA18</f>
        <v>30.918981481481481</v>
      </c>
      <c r="AJ181" s="45">
        <f>'2019'!AB18</f>
        <v>0.17525773195876287</v>
      </c>
      <c r="AK181" s="45">
        <f>'2019'!AC18</f>
        <v>6.3</v>
      </c>
      <c r="AL181" s="45">
        <f t="shared" si="28"/>
        <v>7.5</v>
      </c>
      <c r="AM181" s="45">
        <f t="shared" si="35"/>
        <v>5.3658536585365853E-2</v>
      </c>
      <c r="AN181" s="45">
        <f>'2019'!AD18</f>
        <v>68.8</v>
      </c>
      <c r="AO181" s="45">
        <f>'2019'!AE18</f>
        <v>3.92</v>
      </c>
      <c r="AP181" s="46">
        <f>'2019'!AF18</f>
        <v>51.6</v>
      </c>
      <c r="AQ181" s="47">
        <f>'2019'!AG18</f>
        <v>4</v>
      </c>
      <c r="AR181" s="48">
        <f>'2019'!AH18</f>
        <v>5</v>
      </c>
      <c r="AS181" s="48">
        <f>'2019'!AI18</f>
        <v>8</v>
      </c>
      <c r="AT181" s="48">
        <f>IF(AH181&gt;113.25,10,IF(AH181&gt;=107.84,9,IF(AH181&gt;=105.37,8,IF(AH181&gt;=103.25,7,IF(AH181&gt;=100.55,6,IF(AH181&gt;=98.75,5,IF(AH181&gt;=96.08,4,IF(AH181&gt;=94.39,3,IF(AH181&gt;=88.43,2,IF(AH181&gt;=85.16,1,IF(AH181&lt;85.16,0,FALSE)))))))))))</f>
        <v>7</v>
      </c>
      <c r="AU181" s="48">
        <f>'2019'!AK18</f>
        <v>2</v>
      </c>
      <c r="AV181" s="48">
        <f>'2019'!AL18</f>
        <v>5</v>
      </c>
      <c r="AW181" s="48">
        <f>'2019'!AM18</f>
        <v>1</v>
      </c>
      <c r="AX181" s="48">
        <f>'2019'!AN18</f>
        <v>4</v>
      </c>
      <c r="AY181" s="49">
        <f>IF(U181=1,10,IF(U181=2,7,IF(U181=3,6,IF(U181=4,4,IF(U181=5,3,IF(U181=6,2,IF(U181=7,1,IF(U181=0,0,"-"))))))))</f>
        <v>3</v>
      </c>
      <c r="AZ181" s="50">
        <f>'2019'!AP18</f>
        <v>0</v>
      </c>
      <c r="BA181" s="56">
        <f>'2019'!AQ18</f>
        <v>0</v>
      </c>
      <c r="BB181" s="57">
        <f>'2019'!AR18</f>
        <v>3243</v>
      </c>
      <c r="BC181" s="57">
        <f>'2019'!AS18</f>
        <v>0</v>
      </c>
      <c r="BD181" s="57">
        <f>'2019'!AT18</f>
        <v>35</v>
      </c>
      <c r="BE181" s="57">
        <f>'2019'!AU18</f>
        <v>0</v>
      </c>
      <c r="BF181" s="57">
        <f>'2019'!AV18</f>
        <v>0</v>
      </c>
      <c r="BG181" s="58">
        <f>'2019'!AW18</f>
        <v>0</v>
      </c>
      <c r="BH181" s="58">
        <f>'2019'!AX18</f>
        <v>0</v>
      </c>
      <c r="BI181" s="58">
        <f>'2019'!AY18</f>
        <v>0</v>
      </c>
      <c r="BJ181" s="58">
        <f>'2019'!AZ18</f>
        <v>0</v>
      </c>
      <c r="BK181" s="57">
        <f>'2019'!BA18</f>
        <v>0</v>
      </c>
      <c r="BL181" s="57">
        <f>'2019'!BB18</f>
        <v>2417</v>
      </c>
      <c r="BM181" s="57">
        <f>'2019'!BC18</f>
        <v>0</v>
      </c>
      <c r="BN181" s="57">
        <f>'2019'!BD18</f>
        <v>0</v>
      </c>
      <c r="BO181" s="59">
        <f>'2019'!BE18</f>
        <v>17</v>
      </c>
      <c r="BP181" s="56">
        <f>'2019'!BF18</f>
        <v>1127</v>
      </c>
      <c r="BQ181" s="57">
        <f>'2019'!BG18</f>
        <v>2430</v>
      </c>
      <c r="BR181" s="57">
        <f>'2019'!BH18</f>
        <v>11</v>
      </c>
      <c r="BS181" s="57">
        <f>'2019'!BI18</f>
        <v>19</v>
      </c>
      <c r="BT181" s="57">
        <f>'2019'!BJ18</f>
        <v>212</v>
      </c>
      <c r="BU181" s="57">
        <f>'2019'!BK18</f>
        <v>19</v>
      </c>
      <c r="BV181" s="58">
        <f>'2019'!BL18</f>
        <v>5.3</v>
      </c>
      <c r="BW181" s="58">
        <f>'2019'!BM18</f>
        <v>26.4</v>
      </c>
      <c r="BX181" s="58">
        <f>'2019'!BN18</f>
        <v>2.84</v>
      </c>
      <c r="BY181" s="58">
        <f>'2019'!BO18</f>
        <v>42.7</v>
      </c>
      <c r="BZ181" s="57">
        <f>'2019'!BP18</f>
        <v>77</v>
      </c>
      <c r="CA181" s="57">
        <f>'2019'!BQ18</f>
        <v>2478</v>
      </c>
      <c r="CB181" s="57">
        <f>'2019'!BR18</f>
        <v>14</v>
      </c>
      <c r="CC181" s="57">
        <f>'2019'!BS18</f>
        <v>0</v>
      </c>
      <c r="CD181" s="59">
        <f>'2019'!BT18</f>
        <v>21</v>
      </c>
      <c r="CE181" s="56">
        <f>'2019'!BU18</f>
        <v>127</v>
      </c>
      <c r="CF181" s="57">
        <f>'2019'!BV18</f>
        <v>2926</v>
      </c>
      <c r="CG181" s="57">
        <f>'2019'!BW18</f>
        <v>2</v>
      </c>
      <c r="CH181" s="57">
        <f>'2019'!BX18</f>
        <v>36</v>
      </c>
      <c r="CI181" s="57">
        <f>'2019'!BY18</f>
        <v>33</v>
      </c>
      <c r="CJ181" s="57">
        <f>'2019'!BZ18</f>
        <v>4</v>
      </c>
      <c r="CK181" s="58">
        <f>'2019'!CA18</f>
        <v>3.8</v>
      </c>
      <c r="CL181" s="58">
        <f>'2019'!CB18</f>
        <v>29</v>
      </c>
      <c r="CM181" s="58">
        <f>'2019'!CC18</f>
        <v>2.0299999999999998</v>
      </c>
      <c r="CN181" s="58">
        <f>'2019'!CD18</f>
        <v>41.7</v>
      </c>
      <c r="CO181" s="57">
        <f>'2019'!CE18</f>
        <v>38</v>
      </c>
      <c r="CP181" s="57">
        <f>'2019'!CF18</f>
        <v>2882</v>
      </c>
      <c r="CQ181" s="57">
        <f>'2019'!CG18</f>
        <v>2</v>
      </c>
      <c r="CR181" s="57">
        <f>'2019'!CH18</f>
        <v>0</v>
      </c>
      <c r="CS181" s="59">
        <f>'2019'!CI18</f>
        <v>28</v>
      </c>
      <c r="CT181" s="56">
        <f>'2019'!CJ18</f>
        <v>398</v>
      </c>
      <c r="CU181" s="57">
        <f>'2019'!CK18</f>
        <v>1782</v>
      </c>
      <c r="CV181" s="57">
        <f>'2019'!CL18</f>
        <v>5</v>
      </c>
      <c r="CW181" s="57">
        <f>'2019'!CM18</f>
        <v>21</v>
      </c>
      <c r="CX181" s="57">
        <f>'2019'!CN18</f>
        <v>90</v>
      </c>
      <c r="CY181" s="57">
        <f>'2019'!CO18</f>
        <v>15</v>
      </c>
      <c r="CZ181" s="58">
        <f>'2019'!CP18</f>
        <v>4.4000000000000004</v>
      </c>
      <c r="DA181" s="58">
        <f>'2019'!CQ18</f>
        <v>56.2</v>
      </c>
      <c r="DB181" s="58">
        <f>'2019'!CR18</f>
        <v>3.02</v>
      </c>
      <c r="DC181" s="58">
        <f>'2019'!CS18</f>
        <v>27.1</v>
      </c>
      <c r="DD181" s="57">
        <f>'2019'!CT18</f>
        <v>194</v>
      </c>
      <c r="DE181" s="57">
        <f>'2019'!CU18</f>
        <v>2612</v>
      </c>
      <c r="DF181" s="57">
        <f>'2019'!CV18</f>
        <v>23</v>
      </c>
      <c r="DG181" s="57">
        <f>'2019'!CW18</f>
        <v>0</v>
      </c>
      <c r="DH181" s="59">
        <f>'2019'!CX18</f>
        <v>12</v>
      </c>
      <c r="DI181" s="56">
        <f>'2019'!CY18</f>
        <v>1213</v>
      </c>
      <c r="DJ181" s="57">
        <f>'2019'!CZ18</f>
        <v>3191</v>
      </c>
      <c r="DK181" s="57">
        <f>'2019'!DA18</f>
        <v>11</v>
      </c>
      <c r="DL181" s="57">
        <f>'2019'!DB18</f>
        <v>30</v>
      </c>
      <c r="DM181" s="57">
        <f>'2019'!DC18</f>
        <v>194</v>
      </c>
      <c r="DN181" s="57">
        <f>'2019'!DD18</f>
        <v>34</v>
      </c>
      <c r="DO181" s="58">
        <f>'2019'!DE18</f>
        <v>6.3</v>
      </c>
      <c r="DP181" s="58">
        <f>'2019'!DF18</f>
        <v>68.8</v>
      </c>
      <c r="DQ181" s="58">
        <f>'2019'!DG18</f>
        <v>3.92</v>
      </c>
      <c r="DR181" s="58">
        <f>'2019'!DH18</f>
        <v>51.6</v>
      </c>
      <c r="DS181" s="57">
        <f>'2019'!DI18</f>
        <v>66</v>
      </c>
      <c r="DT181" s="57">
        <f>'2019'!DJ18</f>
        <v>1985</v>
      </c>
      <c r="DU181" s="57">
        <f>'2019'!DK18</f>
        <v>11</v>
      </c>
      <c r="DV181" s="57">
        <f>'2019'!DL18</f>
        <v>0</v>
      </c>
      <c r="DW181" s="59">
        <f>'2019'!DM18</f>
        <v>12</v>
      </c>
    </row>
    <row r="182" spans="1:127" ht="15.75" customHeight="1" x14ac:dyDescent="0.2">
      <c r="A182" s="33">
        <f t="shared" si="25"/>
        <v>180</v>
      </c>
      <c r="B182" s="11">
        <f>'2025'!A24</f>
        <v>22</v>
      </c>
      <c r="C182" s="11">
        <v>2025</v>
      </c>
      <c r="D182" s="34" t="str">
        <f>'2025'!B24</f>
        <v>Donovan Edwards</v>
      </c>
      <c r="E182" s="224" t="str" cm="1">
        <f t="array" ref="E182">_xlfn.IFS(F182&gt;=13,"Cornerstone",AND(F182&gt;=12,F182&lt;13),"Elite",AND(F182&gt;=11,F182&lt;12),"Elite Upside",AND(F182&gt;=9,F182&lt;11),"Upside",AND(F182&gt;=7,F182&lt;9),"Upside Lite",AND(F182&gt;=6,F182&lt;7),"Outlier",AND(F182&gt;=5,F182&lt;6),"Outlier Lite",F182&lt;5,"Purgatory")</f>
        <v>Outlier</v>
      </c>
      <c r="F182" s="14">
        <f>'2025'!C24</f>
        <v>6.1222222222222227</v>
      </c>
      <c r="G182" s="14">
        <f t="shared" si="31"/>
        <v>44.9</v>
      </c>
      <c r="H182" s="35">
        <f t="shared" si="26"/>
        <v>-0.7957427912371603</v>
      </c>
      <c r="I182" s="36" t="str">
        <f>'2025'!D24</f>
        <v>Michigan</v>
      </c>
      <c r="J182" s="37">
        <f>'2025'!E24</f>
        <v>2</v>
      </c>
      <c r="K182" s="38">
        <f>'2025'!F24</f>
        <v>37677</v>
      </c>
      <c r="L182" s="39">
        <f>'2025'!G24</f>
        <v>22.602739726027398</v>
      </c>
      <c r="M182" s="39" t="str">
        <f>'2025'!H24</f>
        <v>JR</v>
      </c>
      <c r="N182" s="39">
        <f>'2025'!I24</f>
        <v>22.183561643835617</v>
      </c>
      <c r="O182" s="39" t="str">
        <f t="shared" si="27"/>
        <v>DYNAMIC</v>
      </c>
      <c r="P182" s="39" t="str">
        <f t="shared" si="34"/>
        <v>SLASHER</v>
      </c>
      <c r="Q182" s="37">
        <f>'2025'!J24</f>
        <v>71</v>
      </c>
      <c r="R182" s="37">
        <f>'2025'!K24</f>
        <v>205</v>
      </c>
      <c r="S182" s="39">
        <f t="shared" si="29"/>
        <v>28.59137993618182</v>
      </c>
      <c r="T182" s="37">
        <f>'2025'!L24</f>
        <v>4.4400000000000004</v>
      </c>
      <c r="U182" s="40">
        <f>'2025'!M24</f>
        <v>0</v>
      </c>
      <c r="V182" s="41">
        <f>'2025'!N24</f>
        <v>0</v>
      </c>
      <c r="W182" s="42">
        <f>'2025'!O24</f>
        <v>9.0067909973123236E-2</v>
      </c>
      <c r="X182" s="42">
        <f>'2025'!P24</f>
        <v>0.23737814060394705</v>
      </c>
      <c r="Y182" s="42">
        <f>'2025'!Q24</f>
        <v>0.12991649469275446</v>
      </c>
      <c r="Z182" s="42">
        <f>'2025'!R24</f>
        <v>0.19559902200489002</v>
      </c>
      <c r="AA182" s="42">
        <f>'2025'!S24</f>
        <v>0.21648858130441853</v>
      </c>
      <c r="AB182" s="42">
        <f>'2025'!T24</f>
        <v>0.21648858130441853</v>
      </c>
      <c r="AC182" s="42">
        <f>'2025'!U24</f>
        <v>7.7678989237248475E-2</v>
      </c>
      <c r="AD182" s="42">
        <f>'2025'!V24</f>
        <v>5.1639555899819264E-2</v>
      </c>
      <c r="AE182" s="42">
        <f>'2025'!W24</f>
        <v>6.4659272568533877E-2</v>
      </c>
      <c r="AF182" s="43">
        <f>'2025'!X24</f>
        <v>6.4659272568533877E-2</v>
      </c>
      <c r="AG182" s="44">
        <f>'2025'!Y24</f>
        <v>19.539726027397261</v>
      </c>
      <c r="AH182" s="45">
        <f>'2025'!Z24</f>
        <v>105.49988257791017</v>
      </c>
      <c r="AI182" s="45">
        <f>'2025'!AA24</f>
        <v>28.588573695695299</v>
      </c>
      <c r="AJ182" s="45">
        <f>'2025'!AB24</f>
        <v>0.22142857142857142</v>
      </c>
      <c r="AK182" s="45">
        <f>'2025'!AC24</f>
        <v>4.6614173228346454</v>
      </c>
      <c r="AL182" s="45">
        <f t="shared" si="28"/>
        <v>9.1022727272727266</v>
      </c>
      <c r="AM182" s="45">
        <f t="shared" si="35"/>
        <v>0.13013698630136986</v>
      </c>
      <c r="AN182" s="45">
        <f>'2025'!AD24</f>
        <v>72.099999999999994</v>
      </c>
      <c r="AO182" s="45">
        <f>'2025'!AE24</f>
        <v>3.7</v>
      </c>
      <c r="AP182" s="46">
        <f>'2025'!AF24</f>
        <v>53.1</v>
      </c>
      <c r="AQ182" s="47">
        <f>'2025'!AG24</f>
        <v>4</v>
      </c>
      <c r="AR182" s="48">
        <f>'2025'!AH24</f>
        <v>7</v>
      </c>
      <c r="AS182" s="48">
        <f>'2025'!AI24</f>
        <v>6</v>
      </c>
      <c r="AT182" s="48">
        <f>'2025'!AJ24</f>
        <v>8</v>
      </c>
      <c r="AU182" s="48">
        <f>'2025'!AK24</f>
        <v>5</v>
      </c>
      <c r="AV182" s="48">
        <f>'2025'!AL24</f>
        <v>0</v>
      </c>
      <c r="AW182" s="48">
        <f>'2025'!AM24</f>
        <v>1</v>
      </c>
      <c r="AX182" s="48">
        <f>'2025'!AN24</f>
        <v>3</v>
      </c>
      <c r="AY182" s="49">
        <f>'2025'!AO24</f>
        <v>0</v>
      </c>
      <c r="AZ182" s="50">
        <f>'2025'!AP24</f>
        <v>1</v>
      </c>
      <c r="BA182" s="56">
        <f>'2025'!AQ24</f>
        <v>0</v>
      </c>
      <c r="BB182" s="57">
        <f>'2025'!AR24</f>
        <v>1</v>
      </c>
      <c r="BC182" s="57">
        <f>'2025'!AS24</f>
        <v>0</v>
      </c>
      <c r="BD182" s="57">
        <f>'2025'!AT24</f>
        <v>0</v>
      </c>
      <c r="BE182" s="57">
        <f>'2025'!AU24</f>
        <v>0</v>
      </c>
      <c r="BF182" s="57">
        <f>'2025'!AV24</f>
        <v>0</v>
      </c>
      <c r="BG182" s="58">
        <f>'2025'!AW24</f>
        <v>0</v>
      </c>
      <c r="BH182" s="58">
        <f>'2025'!AX24</f>
        <v>0</v>
      </c>
      <c r="BI182" s="58">
        <f>'2025'!AY24</f>
        <v>0</v>
      </c>
      <c r="BJ182" s="58">
        <f>'2025'!AZ24</f>
        <v>0</v>
      </c>
      <c r="BK182" s="57">
        <f>'2025'!BA24</f>
        <v>0</v>
      </c>
      <c r="BL182" s="57">
        <f>'2025'!BB24</f>
        <v>1</v>
      </c>
      <c r="BM182" s="57">
        <f>'2025'!BC24</f>
        <v>0</v>
      </c>
      <c r="BN182" s="57">
        <f>'2025'!BD24</f>
        <v>0</v>
      </c>
      <c r="BO182" s="59">
        <f>'2025'!BE24</f>
        <v>0</v>
      </c>
      <c r="BP182" s="56">
        <f>'2025'!BF24</f>
        <v>174</v>
      </c>
      <c r="BQ182" s="57">
        <f>'2025'!BG24</f>
        <v>2358.4</v>
      </c>
      <c r="BR182" s="57">
        <f>'2025'!BH24</f>
        <v>3</v>
      </c>
      <c r="BS182" s="57">
        <f>'2025'!BI24</f>
        <v>30.799999999999997</v>
      </c>
      <c r="BT182" s="57">
        <f>'2025'!BJ24</f>
        <v>35</v>
      </c>
      <c r="BU182" s="57">
        <f>'2025'!BK24</f>
        <v>6</v>
      </c>
      <c r="BV182" s="58">
        <f>'2025'!BL24</f>
        <v>4.9714285714285715</v>
      </c>
      <c r="BW182" s="58">
        <f>'2025'!BM24</f>
        <v>33.5</v>
      </c>
      <c r="BX182" s="58">
        <f>'2025'!BN24</f>
        <v>2.63</v>
      </c>
      <c r="BY182" s="58">
        <f>'2025'!BO24</f>
        <v>33.299999999999997</v>
      </c>
      <c r="BZ182" s="57">
        <f>'2025'!BP24</f>
        <v>265</v>
      </c>
      <c r="CA182" s="57">
        <f>'2025'!BQ24</f>
        <v>2515.6999999999998</v>
      </c>
      <c r="CB182" s="57">
        <f>'2025'!BR24</f>
        <v>20</v>
      </c>
      <c r="CC182" s="57">
        <f>'2025'!BS24</f>
        <v>1</v>
      </c>
      <c r="CD182" s="59">
        <f>'2025'!BT24</f>
        <v>16.5</v>
      </c>
      <c r="CE182" s="56">
        <f>'2025'!BU24</f>
        <v>991</v>
      </c>
      <c r="CF182" s="57">
        <f>'2025'!BV24</f>
        <v>2627.9</v>
      </c>
      <c r="CG182" s="57">
        <f>'2025'!BW24</f>
        <v>7</v>
      </c>
      <c r="CH182" s="57">
        <f>'2025'!BX24</f>
        <v>31.9</v>
      </c>
      <c r="CI182" s="57">
        <f>'2025'!BY24</f>
        <v>140</v>
      </c>
      <c r="CJ182" s="57">
        <f>'2025'!BZ24</f>
        <v>31</v>
      </c>
      <c r="CK182" s="58">
        <f>'2025'!CA24</f>
        <v>7.0785714285714283</v>
      </c>
      <c r="CL182" s="58">
        <f>'2025'!CB24</f>
        <v>72.099999999999994</v>
      </c>
      <c r="CM182" s="58">
        <f>'2025'!CC24</f>
        <v>3.7</v>
      </c>
      <c r="CN182" s="58">
        <f>'2025'!CD24</f>
        <v>53.1</v>
      </c>
      <c r="CO182" s="57">
        <f>'2025'!CE24</f>
        <v>207</v>
      </c>
      <c r="CP182" s="57">
        <f>'2025'!CF24</f>
        <v>2418.9</v>
      </c>
      <c r="CQ182" s="57">
        <f>'2025'!CG24</f>
        <v>19</v>
      </c>
      <c r="CR182" s="57">
        <f>'2025'!CH24</f>
        <v>2</v>
      </c>
      <c r="CS182" s="59">
        <f>'2025'!CI24</f>
        <v>18.7</v>
      </c>
      <c r="CT182" s="56">
        <f>'2025'!CJ24</f>
        <v>497</v>
      </c>
      <c r="CU182" s="57">
        <f>'2025'!CK24</f>
        <v>2536.65</v>
      </c>
      <c r="CV182" s="57">
        <f>'2025'!CL24</f>
        <v>5</v>
      </c>
      <c r="CW182" s="57">
        <f>'2025'!CM24</f>
        <v>40.5</v>
      </c>
      <c r="CX182" s="57">
        <f>'2025'!CN24</f>
        <v>119</v>
      </c>
      <c r="CY182" s="57">
        <f>'2025'!CO24</f>
        <v>14</v>
      </c>
      <c r="CZ182" s="58">
        <f>'2025'!CP24</f>
        <v>4.1764705882352944</v>
      </c>
      <c r="DA182" s="58">
        <f>'2025'!CQ24</f>
        <v>35.9</v>
      </c>
      <c r="DB182" s="58">
        <f>'2025'!CR24</f>
        <v>2.67</v>
      </c>
      <c r="DC182" s="58">
        <f>'2025'!CS24</f>
        <v>29.8</v>
      </c>
      <c r="DD182" s="57">
        <f>'2025'!CT24</f>
        <v>249</v>
      </c>
      <c r="DE182" s="57">
        <f>'2025'!CU24</f>
        <v>3205.5</v>
      </c>
      <c r="DF182" s="57">
        <f>'2025'!CV24</f>
        <v>30</v>
      </c>
      <c r="DG182" s="57">
        <f>'2025'!CW24</f>
        <v>0</v>
      </c>
      <c r="DH182" s="59">
        <f>'2025'!CX24</f>
        <v>24</v>
      </c>
      <c r="DI182" s="56">
        <f>'2025'!CY24</f>
        <v>592</v>
      </c>
      <c r="DJ182" s="57">
        <f>'2025'!CZ24</f>
        <v>1886.3999999999999</v>
      </c>
      <c r="DK182" s="57">
        <f>'2025'!DA24</f>
        <v>4</v>
      </c>
      <c r="DL182" s="57">
        <f>'2025'!DB24</f>
        <v>18</v>
      </c>
      <c r="DM182" s="57">
        <f>'2025'!DC24</f>
        <v>127</v>
      </c>
      <c r="DN182" s="57">
        <f>'2025'!DD24</f>
        <v>17</v>
      </c>
      <c r="DO182" s="58">
        <f>'2025'!DE24</f>
        <v>4.6614173228346454</v>
      </c>
      <c r="DP182" s="58">
        <f>'2025'!DF24</f>
        <v>41.1</v>
      </c>
      <c r="DQ182" s="58">
        <f>'2025'!DG24</f>
        <v>2.86</v>
      </c>
      <c r="DR182" s="58">
        <f>'2025'!DH24</f>
        <v>29.9</v>
      </c>
      <c r="DS182" s="57">
        <f>'2025'!DI24</f>
        <v>80</v>
      </c>
      <c r="DT182" s="57">
        <f>'2025'!DJ24</f>
        <v>1549.1999999999998</v>
      </c>
      <c r="DU182" s="57">
        <f>'2025'!DK24</f>
        <v>19</v>
      </c>
      <c r="DV182" s="57">
        <f>'2025'!DL24</f>
        <v>1</v>
      </c>
      <c r="DW182" s="59">
        <f>'2025'!DM24</f>
        <v>10.8</v>
      </c>
    </row>
    <row r="183" spans="1:127" ht="15.75" customHeight="1" x14ac:dyDescent="0.2">
      <c r="A183" s="33">
        <f t="shared" si="25"/>
        <v>181</v>
      </c>
      <c r="B183" s="11">
        <f>'2023'!A19</f>
        <v>17</v>
      </c>
      <c r="C183" s="11">
        <v>2023</v>
      </c>
      <c r="D183" s="34" t="str">
        <f>'2023'!B19</f>
        <v>Chris Rodriguez Jr.</v>
      </c>
      <c r="E183" s="224" t="str" cm="1">
        <f t="array" ref="E183">_xlfn.IFS(F183&gt;=13,"Cornerstone",AND(F183&gt;=12,F183&lt;13),"Elite",AND(F183&gt;=11,F183&lt;12),"Elite Upside",AND(F183&gt;=9,F183&lt;11),"Upside",AND(F183&gt;=7,F183&lt;9),"Upside Lite",AND(F183&gt;=6,F183&lt;7),"Outlier",AND(F183&gt;=5,F183&lt;6),"Outlier Lite",F183&lt;5,"Purgatory")</f>
        <v>Outlier</v>
      </c>
      <c r="F183" s="14">
        <f>'2023'!C19</f>
        <v>6.1055555555555552</v>
      </c>
      <c r="G183" s="14">
        <f t="shared" si="31"/>
        <v>44.6</v>
      </c>
      <c r="H183" s="35">
        <f t="shared" si="26"/>
        <v>-0.80279654230782127</v>
      </c>
      <c r="I183" s="36" t="str">
        <f>'2023'!D19</f>
        <v>Kentucky</v>
      </c>
      <c r="J183" s="37">
        <f>'2023'!E19</f>
        <v>1</v>
      </c>
      <c r="K183" s="38">
        <f>'2023'!F19</f>
        <v>36795</v>
      </c>
      <c r="L183" s="39">
        <f>'2023'!G19</f>
        <v>25.019178082191782</v>
      </c>
      <c r="M183" s="39" t="str">
        <f>'2023'!H19</f>
        <v>RS SR</v>
      </c>
      <c r="N183" s="39">
        <f>'2023'!I19</f>
        <v>22.597260273972601</v>
      </c>
      <c r="O183" s="39" t="str">
        <f t="shared" si="27"/>
        <v>BELL COW</v>
      </c>
      <c r="P183" s="39" t="str">
        <f t="shared" si="34"/>
        <v>3DOWN</v>
      </c>
      <c r="Q183" s="37">
        <f>'2023'!J19</f>
        <v>72</v>
      </c>
      <c r="R183" s="37">
        <f>'2023'!K19</f>
        <v>217</v>
      </c>
      <c r="S183" s="39">
        <f t="shared" si="29"/>
        <v>29.430164801687628</v>
      </c>
      <c r="T183" s="37">
        <f>'2023'!L19</f>
        <v>4.55</v>
      </c>
      <c r="U183" s="40">
        <f>'2023'!M19</f>
        <v>6</v>
      </c>
      <c r="V183" s="41">
        <f>'2023'!N19</f>
        <v>9.1664890215305897E-3</v>
      </c>
      <c r="W183" s="42">
        <f>'2023'!O19</f>
        <v>0.10564484515876127</v>
      </c>
      <c r="X183" s="42">
        <f>'2023'!P19</f>
        <v>0.2278444825614637</v>
      </c>
      <c r="Y183" s="42">
        <f>'2023'!Q19</f>
        <v>0.26017731138049577</v>
      </c>
      <c r="Z183" s="42">
        <f>'2023'!R19</f>
        <v>0.22388059701492538</v>
      </c>
      <c r="AA183" s="42">
        <f>'2023'!S19</f>
        <v>0.24202895419771059</v>
      </c>
      <c r="AB183" s="42">
        <f>'2023'!T19</f>
        <v>0.24202895419771059</v>
      </c>
      <c r="AC183" s="42">
        <f>'2023'!U19</f>
        <v>2.0797817933856121E-2</v>
      </c>
      <c r="AD183" s="42">
        <f>'2023'!V19</f>
        <v>1.5129151291512915E-2</v>
      </c>
      <c r="AE183" s="42">
        <f>'2023'!W19</f>
        <v>1.7963484612684516E-2</v>
      </c>
      <c r="AF183" s="43">
        <f>'2023'!X19</f>
        <v>1.7963484612684516E-2</v>
      </c>
      <c r="AG183" s="44">
        <f>'2023'!Y19</f>
        <v>19.942465753424656</v>
      </c>
      <c r="AH183" s="45">
        <f>'2023'!Z19</f>
        <v>101.26145022525061</v>
      </c>
      <c r="AI183" s="45">
        <f>'2023'!AA19</f>
        <v>29.427276234567902</v>
      </c>
      <c r="AJ183" s="45">
        <f>'2023'!AB19</f>
        <v>0.36</v>
      </c>
      <c r="AK183" s="45">
        <f>'2023'!AC19</f>
        <v>6.1</v>
      </c>
      <c r="AL183" s="45">
        <f t="shared" si="28"/>
        <v>6</v>
      </c>
      <c r="AM183" s="45">
        <f t="shared" si="35"/>
        <v>2.7777777777777776E-2</v>
      </c>
      <c r="AN183" s="45">
        <f>'2023'!AD19</f>
        <v>142.9</v>
      </c>
      <c r="AO183" s="45">
        <f>'2023'!AE19</f>
        <v>3.94</v>
      </c>
      <c r="AP183" s="46">
        <f>'2023'!AF19</f>
        <v>46.6</v>
      </c>
      <c r="AQ183" s="47">
        <f>'2023'!AG19</f>
        <v>6</v>
      </c>
      <c r="AR183" s="48">
        <f>'2023'!AH19</f>
        <v>1</v>
      </c>
      <c r="AS183" s="48">
        <f>'2023'!AI19</f>
        <v>5</v>
      </c>
      <c r="AT183" s="48">
        <f>IF(AH183&gt;113.25,10,IF(AH183&gt;=107.84,9,IF(AH183&gt;=105.37,8,IF(AH183&gt;=103.25,7,IF(AH183&gt;=100.55,6,IF(AH183&gt;=98.75,5,IF(AH183&gt;=96.08,4,IF(AH183&gt;=94.39,3,IF(AH183&gt;=88.43,2,IF(AH183&gt;=85.16,1,IF(AH183&lt;85.16,0,FALSE)))))))))))</f>
        <v>6</v>
      </c>
      <c r="AU183" s="48">
        <f>'2023'!AK19</f>
        <v>9</v>
      </c>
      <c r="AV183" s="48">
        <f>'2023'!AL19</f>
        <v>5</v>
      </c>
      <c r="AW183" s="48">
        <f>'2023'!AM19</f>
        <v>7</v>
      </c>
      <c r="AX183" s="48">
        <f>'2023'!AN19</f>
        <v>4</v>
      </c>
      <c r="AY183" s="49">
        <f>'2023'!AO19</f>
        <v>2</v>
      </c>
      <c r="AZ183" s="50">
        <f>'2023'!AP19</f>
        <v>0</v>
      </c>
      <c r="BA183" s="56">
        <f>'2023'!AQ19</f>
        <v>43</v>
      </c>
      <c r="BB183" s="57">
        <f>'2023'!AR19</f>
        <v>2592</v>
      </c>
      <c r="BC183" s="57">
        <f>'2023'!AS19</f>
        <v>0</v>
      </c>
      <c r="BD183" s="57">
        <f>'2023'!AT19</f>
        <v>27</v>
      </c>
      <c r="BE183" s="57">
        <f>'2023'!AU19</f>
        <v>2</v>
      </c>
      <c r="BF183" s="57">
        <f>'2023'!AV19</f>
        <v>2</v>
      </c>
      <c r="BG183" s="58">
        <f>'2023'!AW19</f>
        <v>21.5</v>
      </c>
      <c r="BH183" s="58">
        <f>'2023'!AX19</f>
        <v>1300</v>
      </c>
      <c r="BI183" s="58">
        <f>'2023'!AY19</f>
        <v>13</v>
      </c>
      <c r="BJ183" s="58">
        <f>'2023'!AZ19</f>
        <v>100</v>
      </c>
      <c r="BK183" s="57">
        <f>'2023'!BA19</f>
        <v>0</v>
      </c>
      <c r="BL183" s="57">
        <f>'2023'!BB19</f>
        <v>2099</v>
      </c>
      <c r="BM183" s="57">
        <f>'2023'!BC19</f>
        <v>0</v>
      </c>
      <c r="BN183" s="57">
        <f>'2023'!BD19</f>
        <v>0</v>
      </c>
      <c r="BO183" s="59">
        <f>'2023'!BE19</f>
        <v>14</v>
      </c>
      <c r="BP183" s="56">
        <f>'2023'!BF19</f>
        <v>533</v>
      </c>
      <c r="BQ183" s="57">
        <f>'2023'!BG19</f>
        <v>3624</v>
      </c>
      <c r="BR183" s="57">
        <f>'2023'!BH19</f>
        <v>6</v>
      </c>
      <c r="BS183" s="57">
        <f>'2023'!BI19</f>
        <v>36</v>
      </c>
      <c r="BT183" s="57">
        <f>'2023'!BJ19</f>
        <v>71</v>
      </c>
      <c r="BU183" s="57">
        <f>'2023'!BK19</f>
        <v>23</v>
      </c>
      <c r="BV183" s="58">
        <f>'2023'!BL19</f>
        <v>7.5</v>
      </c>
      <c r="BW183" s="58">
        <f>'2023'!BM19</f>
        <v>140.80000000000001</v>
      </c>
      <c r="BX183" s="58">
        <f>'2023'!BN19</f>
        <v>4.41</v>
      </c>
      <c r="BY183" s="58">
        <f>'2023'!BO19</f>
        <v>52.9</v>
      </c>
      <c r="BZ183" s="57">
        <f>'2023'!BP19</f>
        <v>6</v>
      </c>
      <c r="CA183" s="57">
        <f>'2023'!BQ19</f>
        <v>1478</v>
      </c>
      <c r="CB183" s="57">
        <f>'2023'!BR19</f>
        <v>1</v>
      </c>
      <c r="CC183" s="57">
        <f>'2023'!BS19</f>
        <v>0</v>
      </c>
      <c r="CD183" s="59">
        <f>'2023'!BT19</f>
        <v>9</v>
      </c>
      <c r="CE183" s="56">
        <f>'2023'!BU19</f>
        <v>785</v>
      </c>
      <c r="CF183" s="57">
        <f>'2023'!BV19</f>
        <v>2162</v>
      </c>
      <c r="CG183" s="57">
        <f>'2023'!BW19</f>
        <v>11</v>
      </c>
      <c r="CH183" s="57">
        <f>'2023'!BX19</f>
        <v>19</v>
      </c>
      <c r="CI183" s="57">
        <f>'2023'!BY19</f>
        <v>119</v>
      </c>
      <c r="CJ183" s="57">
        <f>'2023'!BZ19</f>
        <v>31</v>
      </c>
      <c r="CK183" s="58">
        <f>'2023'!CA19</f>
        <v>6.6</v>
      </c>
      <c r="CL183" s="58">
        <f>'2023'!CB19</f>
        <v>104.9</v>
      </c>
      <c r="CM183" s="58">
        <f>'2023'!CC19</f>
        <v>3.93</v>
      </c>
      <c r="CN183" s="58">
        <f>'2023'!CD19</f>
        <v>46.6</v>
      </c>
      <c r="CO183" s="57">
        <f>'2023'!CE19</f>
        <v>12</v>
      </c>
      <c r="CP183" s="57">
        <f>'2023'!CF19</f>
        <v>1336</v>
      </c>
      <c r="CQ183" s="57">
        <f>'2023'!CG19</f>
        <v>1</v>
      </c>
      <c r="CR183" s="57">
        <f>'2023'!CH19</f>
        <v>0</v>
      </c>
      <c r="CS183" s="59">
        <f>'2023'!CI19</f>
        <v>7</v>
      </c>
      <c r="CT183" s="56">
        <f>'2023'!CJ19</f>
        <v>1377</v>
      </c>
      <c r="CU183" s="57">
        <f>'2023'!CK19</f>
        <v>2594</v>
      </c>
      <c r="CV183" s="57">
        <f>'2023'!CL19</f>
        <v>9</v>
      </c>
      <c r="CW183" s="57">
        <f>'2023'!CM19</f>
        <v>27</v>
      </c>
      <c r="CX183" s="57">
        <f>'2023'!CN19</f>
        <v>224</v>
      </c>
      <c r="CY183" s="57">
        <f>'2023'!CO19</f>
        <v>56</v>
      </c>
      <c r="CZ183" s="58">
        <f>'2023'!CP19</f>
        <v>6.1</v>
      </c>
      <c r="DA183" s="58">
        <f>'2023'!CQ19</f>
        <v>96.5</v>
      </c>
      <c r="DB183" s="58">
        <f>'2023'!CR19</f>
        <v>3.94</v>
      </c>
      <c r="DC183" s="58">
        <f>'2023'!CS19</f>
        <v>29.3</v>
      </c>
      <c r="DD183" s="57">
        <f>'2023'!CT19</f>
        <v>61</v>
      </c>
      <c r="DE183" s="57">
        <f>'2023'!CU19</f>
        <v>2933</v>
      </c>
      <c r="DF183" s="57">
        <f>'2023'!CV19</f>
        <v>13</v>
      </c>
      <c r="DG183" s="57">
        <f>'2023'!CW19</f>
        <v>0</v>
      </c>
      <c r="DH183" s="59">
        <f>'2023'!CX19</f>
        <v>24</v>
      </c>
      <c r="DI183" s="56">
        <f>'2023'!CY19</f>
        <v>904</v>
      </c>
      <c r="DJ183" s="57">
        <f>'2023'!CZ19</f>
        <v>1511</v>
      </c>
      <c r="DK183" s="57">
        <f>'2023'!DA19</f>
        <v>6</v>
      </c>
      <c r="DL183" s="57">
        <f>'2023'!DB19</f>
        <v>9</v>
      </c>
      <c r="DM183" s="57">
        <f>'2023'!DC19</f>
        <v>175</v>
      </c>
      <c r="DN183" s="57">
        <f>'2023'!DD19</f>
        <v>63</v>
      </c>
      <c r="DO183" s="58">
        <f>'2023'!DE19</f>
        <v>5.2</v>
      </c>
      <c r="DP183" s="58">
        <f>'2023'!DF19</f>
        <v>142.9</v>
      </c>
      <c r="DQ183" s="58">
        <f>'2023'!DG19</f>
        <v>3.84</v>
      </c>
      <c r="DR183" s="58">
        <f>'2023'!DH19</f>
        <v>35.4</v>
      </c>
      <c r="DS183" s="57">
        <f>'2023'!DI19</f>
        <v>41</v>
      </c>
      <c r="DT183" s="57">
        <f>'2023'!DJ19</f>
        <v>2710</v>
      </c>
      <c r="DU183" s="57">
        <f>'2023'!DK19</f>
        <v>5</v>
      </c>
      <c r="DV183" s="57">
        <f>'2023'!DL19</f>
        <v>0</v>
      </c>
      <c r="DW183" s="59">
        <f>'2023'!DM19</f>
        <v>21</v>
      </c>
    </row>
    <row r="184" spans="1:127" ht="15.75" customHeight="1" x14ac:dyDescent="0.2">
      <c r="A184" s="33">
        <f t="shared" si="25"/>
        <v>182</v>
      </c>
      <c r="B184" s="11">
        <f>'2022'!A19</f>
        <v>17</v>
      </c>
      <c r="C184" s="11">
        <v>2022</v>
      </c>
      <c r="D184" s="34" t="str">
        <f>'2022'!B19</f>
        <v>Keaontay Ingram</v>
      </c>
      <c r="E184" s="224" t="str" cm="1">
        <f t="array" ref="E184">_xlfn.IFS(F184&gt;=13,"Cornerstone",AND(F184&gt;=12,F184&lt;13),"Elite",AND(F184&gt;=11,F184&lt;12),"Elite Upside",AND(F184&gt;=9,F184&lt;11),"Upside",AND(F184&gt;=7,F184&lt;9),"Upside Lite",AND(F184&gt;=6,F184&lt;7),"Outlier",AND(F184&gt;=5,F184&lt;6),"Outlier Lite",F184&lt;5,"Purgatory")</f>
        <v>Outlier</v>
      </c>
      <c r="F184" s="14">
        <f>'2022'!C19</f>
        <v>6.072222222222222</v>
      </c>
      <c r="G184" s="14">
        <f t="shared" si="31"/>
        <v>44.3</v>
      </c>
      <c r="H184" s="35">
        <f t="shared" si="26"/>
        <v>-0.81690404444914255</v>
      </c>
      <c r="I184" s="36" t="str">
        <f>'2022'!D19</f>
        <v>USC</v>
      </c>
      <c r="J184" s="37">
        <f>'2022'!E19</f>
        <v>5</v>
      </c>
      <c r="K184" s="38">
        <f>'2022'!F19</f>
        <v>36459</v>
      </c>
      <c r="L184" s="39">
        <f>'2022'!G19</f>
        <v>25.93972602739726</v>
      </c>
      <c r="M184" s="39" t="str">
        <f>'2022'!H19</f>
        <v>SR</v>
      </c>
      <c r="N184" s="39">
        <f>'2022'!I19</f>
        <v>22.520547945205479</v>
      </c>
      <c r="O184" s="39" t="str">
        <f t="shared" si="27"/>
        <v>BELL COW</v>
      </c>
      <c r="P184" s="39" t="str">
        <f t="shared" si="34"/>
        <v>PLODDER</v>
      </c>
      <c r="Q184" s="37">
        <f>'2022'!J19</f>
        <v>72</v>
      </c>
      <c r="R184" s="37">
        <f>'2022'!K19</f>
        <v>221</v>
      </c>
      <c r="S184" s="39">
        <f t="shared" si="29"/>
        <v>29.972656318769427</v>
      </c>
      <c r="T184" s="37">
        <f>'2022'!L19</f>
        <v>4.53</v>
      </c>
      <c r="U184" s="40">
        <f>'2022'!M19</f>
        <v>6</v>
      </c>
      <c r="V184" s="41">
        <f>'2022'!N19</f>
        <v>0</v>
      </c>
      <c r="W184" s="42">
        <f>'2022'!O19</f>
        <v>0.16810427448725321</v>
      </c>
      <c r="X184" s="42">
        <f>'2022'!P19</f>
        <v>0.17998678996036988</v>
      </c>
      <c r="Y184" s="42">
        <f>'2022'!Q19</f>
        <v>7.2991165334455196E-2</v>
      </c>
      <c r="Z184" s="42">
        <f>'2022'!R19</f>
        <v>0.20030035667354984</v>
      </c>
      <c r="AA184" s="42">
        <f>'2022'!S19</f>
        <v>0.20030035667354984</v>
      </c>
      <c r="AB184" s="42">
        <f>'2022'!T19</f>
        <v>0.17025530317251736</v>
      </c>
      <c r="AC184" s="42">
        <f>'2022'!U19</f>
        <v>3.6772581220992501E-2</v>
      </c>
      <c r="AD184" s="42">
        <f>'2022'!V19</f>
        <v>4.357541899441341E-2</v>
      </c>
      <c r="AE184" s="42">
        <f>'2022'!W19</f>
        <v>4.357541899441341E-2</v>
      </c>
      <c r="AF184" s="43">
        <f>'2022'!X19</f>
        <v>3.7039106145251396E-2</v>
      </c>
      <c r="AG184" s="44">
        <f>'2022'!Y19</f>
        <v>18.863013698630137</v>
      </c>
      <c r="AH184" s="45">
        <f>'2022'!Z19</f>
        <v>104.96136290292813</v>
      </c>
      <c r="AI184" s="45">
        <f>'2022'!AA19</f>
        <v>29.969714506172842</v>
      </c>
      <c r="AJ184" s="45">
        <f>'2022'!AB19</f>
        <v>0.26573426573426573</v>
      </c>
      <c r="AK184" s="45">
        <f>'2022'!AC19</f>
        <v>5.8</v>
      </c>
      <c r="AL184" s="45">
        <f t="shared" si="28"/>
        <v>9.3661971830985919</v>
      </c>
      <c r="AM184" s="45">
        <f t="shared" si="35"/>
        <v>0.12359550561797752</v>
      </c>
      <c r="AN184" s="45">
        <f>'2022'!AD19</f>
        <v>105.9</v>
      </c>
      <c r="AO184" s="45">
        <f>'2022'!AE19</f>
        <v>3.71</v>
      </c>
      <c r="AP184" s="46">
        <f>'2022'!AF19</f>
        <v>39.700000000000003</v>
      </c>
      <c r="AQ184" s="47">
        <f>'2022'!AG19</f>
        <v>3</v>
      </c>
      <c r="AR184" s="48">
        <f>'2022'!AH19</f>
        <v>4</v>
      </c>
      <c r="AS184" s="48">
        <f>'2022'!AI19</f>
        <v>8</v>
      </c>
      <c r="AT184" s="48">
        <f>IF(AH184&gt;113.25,10,IF(AH184&gt;=107.84,9,IF(AH184&gt;=105.37,8,IF(AH184&gt;=103.25,7,IF(AH184&gt;=100.55,6,IF(AH184&gt;=98.75,5,IF(AH184&gt;=96.08,4,IF(AH184&gt;=94.39,3,IF(AH184&gt;=88.43,2,IF(AH184&gt;=85.16,1,IF(AH184&lt;85.16,0,FALSE)))))))))))</f>
        <v>7</v>
      </c>
      <c r="AU184" s="48">
        <f>'2022'!AK19</f>
        <v>7</v>
      </c>
      <c r="AV184" s="48">
        <f>'2022'!AL19</f>
        <v>4</v>
      </c>
      <c r="AW184" s="48">
        <f>'2022'!AM19</f>
        <v>4</v>
      </c>
      <c r="AX184" s="48">
        <f>'2022'!AN19</f>
        <v>3</v>
      </c>
      <c r="AY184" s="49">
        <f>IF(U184=1,10,IF(U184=2,7,IF(U184=3,6,IF(U184=4,4,IF(U184=5,3,IF(U184=6,2,IF(U184=7,1,IF(U184=0,0,"-"))))))))</f>
        <v>2</v>
      </c>
      <c r="AZ184" s="50">
        <f>'2022'!AP19</f>
        <v>0</v>
      </c>
      <c r="BA184" s="56">
        <f>'2022'!AQ19</f>
        <v>0</v>
      </c>
      <c r="BB184" s="57">
        <f>'2022'!AR19</f>
        <v>2591</v>
      </c>
      <c r="BC184" s="57">
        <f>'2022'!AS19</f>
        <v>0</v>
      </c>
      <c r="BD184" s="57">
        <f>'2022'!AT19</f>
        <v>29</v>
      </c>
      <c r="BE184" s="57">
        <f>'2022'!AU19</f>
        <v>0</v>
      </c>
      <c r="BF184" s="57">
        <f>'2022'!AV19</f>
        <v>0</v>
      </c>
      <c r="BG184" s="58">
        <f>'2022'!AW19</f>
        <v>2</v>
      </c>
      <c r="BH184" s="58">
        <f>'2022'!AX19</f>
        <v>0</v>
      </c>
      <c r="BI184" s="58">
        <f>'2022'!AY19</f>
        <v>0</v>
      </c>
      <c r="BJ184" s="58">
        <f>'2022'!AZ19</f>
        <v>0</v>
      </c>
      <c r="BK184" s="57">
        <f>'2022'!BA19</f>
        <v>0</v>
      </c>
      <c r="BL184" s="57">
        <f>'2022'!BB19</f>
        <v>3365</v>
      </c>
      <c r="BM184" s="57">
        <f>'2022'!BC19</f>
        <v>0</v>
      </c>
      <c r="BN184" s="57">
        <f>'2022'!BD19</f>
        <v>0</v>
      </c>
      <c r="BO184" s="59">
        <f>'2022'!BE19</f>
        <v>18</v>
      </c>
      <c r="BP184" s="56">
        <f>'2022'!BF19</f>
        <v>708</v>
      </c>
      <c r="BQ184" s="57">
        <f>'2022'!BG19</f>
        <v>1602</v>
      </c>
      <c r="BR184" s="57">
        <f>'2022'!BH19</f>
        <v>3</v>
      </c>
      <c r="BS184" s="57">
        <f>'2022'!BI19</f>
        <v>17</v>
      </c>
      <c r="BT184" s="57">
        <f>'2022'!BJ19</f>
        <v>142</v>
      </c>
      <c r="BU184" s="57">
        <f>'2022'!BK19</f>
        <v>29</v>
      </c>
      <c r="BV184" s="58">
        <f>'2022'!BL19</f>
        <v>5</v>
      </c>
      <c r="BW184" s="58">
        <f>'2022'!BM19</f>
        <v>66.8</v>
      </c>
      <c r="BX184" s="58">
        <f>'2022'!BN19</f>
        <v>3.05</v>
      </c>
      <c r="BY184" s="58">
        <f>'2022'!BO19</f>
        <v>28.2</v>
      </c>
      <c r="BZ184" s="57">
        <f>'2022'!BP19</f>
        <v>169</v>
      </c>
      <c r="CA184" s="57">
        <f>'2022'!BQ19</f>
        <v>3615</v>
      </c>
      <c r="CB184" s="57">
        <f>'2022'!BR19</f>
        <v>8</v>
      </c>
      <c r="CC184" s="57">
        <f>'2022'!BS19</f>
        <v>0</v>
      </c>
      <c r="CD184" s="59">
        <f>'2022'!BT19</f>
        <v>28</v>
      </c>
      <c r="CE184" s="56">
        <f>'2022'!BU19</f>
        <v>853</v>
      </c>
      <c r="CF184" s="57">
        <f>'2022'!BV19</f>
        <v>2295</v>
      </c>
      <c r="CG184" s="57">
        <f>'2022'!BW19</f>
        <v>7</v>
      </c>
      <c r="CH184" s="57">
        <f>'2022'!BX19</f>
        <v>26</v>
      </c>
      <c r="CI184" s="57">
        <f>'2022'!BY19</f>
        <v>143</v>
      </c>
      <c r="CJ184" s="57">
        <f>'2022'!BZ19</f>
        <v>38</v>
      </c>
      <c r="CK184" s="58">
        <f>'2022'!CA19</f>
        <v>6</v>
      </c>
      <c r="CL184" s="58">
        <f>'2022'!CB19</f>
        <v>105.9</v>
      </c>
      <c r="CM184" s="58">
        <f>'2022'!CC19</f>
        <v>3.66</v>
      </c>
      <c r="CN184" s="58">
        <f>'2022'!CD19</f>
        <v>38.299999999999997</v>
      </c>
      <c r="CO184" s="57">
        <f>'2022'!CE19</f>
        <v>237</v>
      </c>
      <c r="CP184" s="57">
        <f>'2022'!CF19</f>
        <v>3761</v>
      </c>
      <c r="CQ184" s="57">
        <f>'2022'!CG19</f>
        <v>30</v>
      </c>
      <c r="CR184" s="57">
        <f>'2022'!CH19</f>
        <v>0</v>
      </c>
      <c r="CS184" s="59">
        <f>'2022'!CI19</f>
        <v>32</v>
      </c>
      <c r="CT184" s="56">
        <f>'2022'!CJ19</f>
        <v>244</v>
      </c>
      <c r="CU184" s="57">
        <f>'2022'!CK19</f>
        <v>1953</v>
      </c>
      <c r="CV184" s="57">
        <f>'2022'!CL19</f>
        <v>1</v>
      </c>
      <c r="CW184" s="57">
        <f>'2022'!CM19</f>
        <v>20</v>
      </c>
      <c r="CX184" s="57">
        <f>'2022'!CN19</f>
        <v>53</v>
      </c>
      <c r="CY184" s="57">
        <f>'2022'!CO19</f>
        <v>11</v>
      </c>
      <c r="CZ184" s="58">
        <f>'2022'!CP19</f>
        <v>4.5999999999999996</v>
      </c>
      <c r="DA184" s="58">
        <f>'2022'!CQ19</f>
        <v>58.3</v>
      </c>
      <c r="DB184" s="58">
        <f>'2022'!CR19</f>
        <v>2.87</v>
      </c>
      <c r="DC184" s="58">
        <f>'2022'!CS19</f>
        <v>17.2</v>
      </c>
      <c r="DD184" s="57">
        <f>'2022'!CT19</f>
        <v>103</v>
      </c>
      <c r="DE184" s="57">
        <f>'2022'!CU19</f>
        <v>2801</v>
      </c>
      <c r="DF184" s="57">
        <f>'2022'!CV19</f>
        <v>11</v>
      </c>
      <c r="DG184" s="57">
        <f>'2022'!CW19</f>
        <v>0</v>
      </c>
      <c r="DH184" s="59">
        <f>'2022'!CX19</f>
        <v>32</v>
      </c>
      <c r="DI184" s="56">
        <f>'2022'!CY19</f>
        <v>911</v>
      </c>
      <c r="DJ184" s="57">
        <f>'2022'!CZ19</f>
        <v>1747</v>
      </c>
      <c r="DK184" s="57">
        <f>'2022'!DA19</f>
        <v>5</v>
      </c>
      <c r="DL184" s="57">
        <f>'2022'!DB19</f>
        <v>16</v>
      </c>
      <c r="DM184" s="57">
        <f>'2022'!DC19</f>
        <v>156</v>
      </c>
      <c r="DN184" s="57">
        <f>'2022'!DD19</f>
        <v>35</v>
      </c>
      <c r="DO184" s="58">
        <f>'2022'!DE19</f>
        <v>5.8</v>
      </c>
      <c r="DP184" s="58">
        <f>'2022'!DF19</f>
        <v>89.5</v>
      </c>
      <c r="DQ184" s="58">
        <f>'2022'!DG19</f>
        <v>3.71</v>
      </c>
      <c r="DR184" s="58">
        <f>'2022'!DH19</f>
        <v>39.700000000000003</v>
      </c>
      <c r="DS184" s="57">
        <f>'2022'!DI19</f>
        <v>156</v>
      </c>
      <c r="DT184" s="57">
        <f>'2022'!DJ19</f>
        <v>3580</v>
      </c>
      <c r="DU184" s="57">
        <f>'2022'!DK19</f>
        <v>22</v>
      </c>
      <c r="DV184" s="57">
        <f>'2022'!DL19</f>
        <v>0</v>
      </c>
      <c r="DW184" s="59">
        <f>'2022'!DM19</f>
        <v>21</v>
      </c>
    </row>
    <row r="185" spans="1:127" ht="15.75" customHeight="1" x14ac:dyDescent="0.2">
      <c r="A185" s="33">
        <f t="shared" si="25"/>
        <v>183</v>
      </c>
      <c r="B185" s="11">
        <f>'2024'!A20</f>
        <v>18</v>
      </c>
      <c r="C185" s="11">
        <v>2024</v>
      </c>
      <c r="D185" s="34" t="str">
        <f>'2024'!B20</f>
        <v>Keilan Robinson</v>
      </c>
      <c r="E185" s="224" t="str" cm="1">
        <f t="array" ref="E185">_xlfn.IFS(F185&gt;=13,"Cornerstone",AND(F185&gt;=12,F185&lt;13),"Elite",AND(F185&gt;=11,F185&lt;12),"Elite Upside",AND(F185&gt;=9,F185&lt;11),"Upside",AND(F185&gt;=7,F185&lt;9),"Upside Lite",AND(F185&gt;=6,F185&lt;7),"Outlier",AND(F185&gt;=5,F185&lt;6),"Outlier Lite",F185&lt;5,"Purgatory")</f>
        <v>Outlier</v>
      </c>
      <c r="F185" s="14">
        <f>'2024'!C20</f>
        <v>6.0611111111111109</v>
      </c>
      <c r="G185" s="14">
        <f t="shared" si="31"/>
        <v>44</v>
      </c>
      <c r="H185" s="35">
        <f t="shared" si="26"/>
        <v>-0.82160654516291631</v>
      </c>
      <c r="I185" s="36" t="str">
        <f>'2024'!D20</f>
        <v>Texas</v>
      </c>
      <c r="J185" s="37">
        <f>'2024'!E20</f>
        <v>3</v>
      </c>
      <c r="K185" s="38">
        <f>'2024'!F20</f>
        <v>36572</v>
      </c>
      <c r="L185" s="39">
        <f>'2024'!G20</f>
        <v>25.63013698630137</v>
      </c>
      <c r="M185" s="39" t="str">
        <f>'2024'!H20</f>
        <v>RS SR</v>
      </c>
      <c r="N185" s="39">
        <f>'2024'!I20</f>
        <v>24.210958904109589</v>
      </c>
      <c r="O185" s="39" t="str">
        <f t="shared" si="27"/>
        <v>JITTERBUG</v>
      </c>
      <c r="P185" s="39" t="str">
        <f t="shared" si="34"/>
        <v>+RECEIVER</v>
      </c>
      <c r="Q185" s="37">
        <f>'2024'!J20</f>
        <v>68</v>
      </c>
      <c r="R185" s="37">
        <f>'2024'!K20</f>
        <v>191</v>
      </c>
      <c r="S185" s="39">
        <f t="shared" si="29"/>
        <v>29.041128930008732</v>
      </c>
      <c r="T185" s="37">
        <f>'2024'!L20</f>
        <v>4.42</v>
      </c>
      <c r="U185" s="40">
        <f>'2024'!M20</f>
        <v>5</v>
      </c>
      <c r="V185" s="41">
        <f>'2024'!N20</f>
        <v>6.2145233900959093E-2</v>
      </c>
      <c r="W185" s="42">
        <f>'2024'!O20</f>
        <v>0</v>
      </c>
      <c r="X185" s="42">
        <f>'2024'!P20</f>
        <v>0.1707361023515632</v>
      </c>
      <c r="Y185" s="42">
        <f>'2024'!Q20</f>
        <v>5.4612519696318577E-2</v>
      </c>
      <c r="Z185" s="42">
        <f>'2024'!R20</f>
        <v>3.3158813263525308E-2</v>
      </c>
      <c r="AA185" s="42">
        <f>'2024'!S20</f>
        <v>0.10194745780754425</v>
      </c>
      <c r="AB185" s="42">
        <f>'2024'!T20</f>
        <v>9.1752712026789821E-2</v>
      </c>
      <c r="AC185" s="42">
        <f>'2024'!U20</f>
        <v>6.9785227200305902E-2</v>
      </c>
      <c r="AD185" s="42">
        <f>'2024'!V20</f>
        <v>1.6142050040355124E-2</v>
      </c>
      <c r="AE185" s="42">
        <f>'2024'!W20</f>
        <v>4.2963638620330515E-2</v>
      </c>
      <c r="AF185" s="43">
        <f>'2024'!X20</f>
        <v>3.8667274758297461E-2</v>
      </c>
      <c r="AG185" s="44">
        <f>'2024'!Y20</f>
        <v>21.553424657534247</v>
      </c>
      <c r="AH185" s="45">
        <f>'2024'!Z20</f>
        <v>100.08621957253737</v>
      </c>
      <c r="AI185" s="45">
        <f>'2024'!AA20</f>
        <v>29.038278546712803</v>
      </c>
      <c r="AJ185" s="45">
        <f>'2024'!AB20</f>
        <v>0.5</v>
      </c>
      <c r="AK185" s="45">
        <f>'2024'!AC20</f>
        <v>11.166666666666666</v>
      </c>
      <c r="AL185" s="45">
        <f t="shared" si="28"/>
        <v>9.4857142857142858</v>
      </c>
      <c r="AM185" s="45">
        <f t="shared" si="35"/>
        <v>0.4</v>
      </c>
      <c r="AN185" s="45">
        <f>'2024'!AD20</f>
        <v>197.1</v>
      </c>
      <c r="AO185" s="45">
        <f>'2024'!AE20</f>
        <v>3.76</v>
      </c>
      <c r="AP185" s="46">
        <f>'2024'!AF20</f>
        <v>60.2</v>
      </c>
      <c r="AQ185" s="47">
        <f>'2024'!AG20</f>
        <v>0</v>
      </c>
      <c r="AR185" s="48">
        <f>'2024'!AH20</f>
        <v>4</v>
      </c>
      <c r="AS185" s="48">
        <f>'2024'!AI20</f>
        <v>2</v>
      </c>
      <c r="AT185" s="48">
        <f>'2024'!AJ20</f>
        <v>5</v>
      </c>
      <c r="AU185" s="48">
        <f>'2024'!AK20</f>
        <v>10</v>
      </c>
      <c r="AV185" s="48">
        <f>'2024'!AL20</f>
        <v>10</v>
      </c>
      <c r="AW185" s="48">
        <f>'2024'!AM20</f>
        <v>9</v>
      </c>
      <c r="AX185" s="48">
        <f>'2024'!AN20</f>
        <v>3</v>
      </c>
      <c r="AY185" s="49">
        <f>'2024'!AO20</f>
        <v>3</v>
      </c>
      <c r="AZ185" s="50">
        <f>'2024'!AP20</f>
        <v>0</v>
      </c>
      <c r="BA185" s="56">
        <f>'2024'!AQ20</f>
        <v>254</v>
      </c>
      <c r="BB185" s="57">
        <f>'2024'!AR20</f>
        <v>1349.6</v>
      </c>
      <c r="BC185" s="57">
        <f>'2024'!AS20</f>
        <v>16.8</v>
      </c>
      <c r="BD185" s="57">
        <f>'2024'!AT20</f>
        <v>16.8</v>
      </c>
      <c r="BE185" s="57">
        <f>'2024'!AU20</f>
        <v>39</v>
      </c>
      <c r="BF185" s="57">
        <f>'2024'!AV20</f>
        <v>6</v>
      </c>
      <c r="BG185" s="58">
        <f>'2024'!AW20</f>
        <v>6.5128205128205128</v>
      </c>
      <c r="BH185" s="58">
        <f>'2024'!AX20</f>
        <v>73.400000000000006</v>
      </c>
      <c r="BI185" s="58">
        <f>'2024'!AY20</f>
        <v>4.7699999999999996</v>
      </c>
      <c r="BJ185" s="58">
        <f>'2024'!AZ20</f>
        <v>55.1</v>
      </c>
      <c r="BK185" s="57">
        <f>'2024'!BA20</f>
        <v>0</v>
      </c>
      <c r="BL185" s="57">
        <f>'2024'!BB20</f>
        <v>2737.6</v>
      </c>
      <c r="BM185" s="57">
        <f>'2024'!BC20</f>
        <v>0</v>
      </c>
      <c r="BN185" s="57">
        <f>'2024'!BD20</f>
        <v>0</v>
      </c>
      <c r="BO185" s="59">
        <f>'2024'!BE20</f>
        <v>30.4</v>
      </c>
      <c r="BP185" s="56">
        <f>'2024'!BF20</f>
        <v>0</v>
      </c>
      <c r="BQ185" s="57">
        <f>'2024'!BG20</f>
        <v>1</v>
      </c>
      <c r="BR185" s="57">
        <f>'2024'!BH20</f>
        <v>0</v>
      </c>
      <c r="BS185" s="57">
        <f>'2024'!BI20</f>
        <v>0</v>
      </c>
      <c r="BT185" s="57">
        <f>'2024'!BJ20</f>
        <v>0</v>
      </c>
      <c r="BU185" s="57">
        <f>'2024'!BK20</f>
        <v>0</v>
      </c>
      <c r="BV185" s="58">
        <f>'2024'!BL20</f>
        <v>0</v>
      </c>
      <c r="BW185" s="58">
        <f>'2024'!BM20</f>
        <v>0</v>
      </c>
      <c r="BX185" s="58">
        <f>'2024'!BN20</f>
        <v>0</v>
      </c>
      <c r="BY185" s="58">
        <f>'2024'!BO20</f>
        <v>0</v>
      </c>
      <c r="BZ185" s="57">
        <f>'2024'!BP20</f>
        <v>0</v>
      </c>
      <c r="CA185" s="57">
        <f>'2024'!BQ20</f>
        <v>1</v>
      </c>
      <c r="CB185" s="57">
        <f>'2024'!BR20</f>
        <v>0</v>
      </c>
      <c r="CC185" s="57">
        <f>'2024'!BS20</f>
        <v>0</v>
      </c>
      <c r="CD185" s="59">
        <f>'2024'!BT20</f>
        <v>0</v>
      </c>
      <c r="CE185" s="56">
        <f>'2024'!BU20</f>
        <v>322</v>
      </c>
      <c r="CF185" s="57">
        <f>'2024'!BV20</f>
        <v>2193.4</v>
      </c>
      <c r="CG185" s="57">
        <f>'2024'!BW20</f>
        <v>3</v>
      </c>
      <c r="CH185" s="57">
        <f>'2024'!BX20</f>
        <v>23.1</v>
      </c>
      <c r="CI185" s="57">
        <f>'2024'!BY20</f>
        <v>45</v>
      </c>
      <c r="CJ185" s="57">
        <f>'2024'!BZ20</f>
        <v>16</v>
      </c>
      <c r="CK185" s="58">
        <f>'2024'!CA20</f>
        <v>7.1555555555555559</v>
      </c>
      <c r="CL185" s="58">
        <f>'2024'!CB20</f>
        <v>122.8</v>
      </c>
      <c r="CM185" s="58">
        <f>'2024'!CC20</f>
        <v>3.76</v>
      </c>
      <c r="CN185" s="58">
        <f>'2024'!CD20</f>
        <v>60.2</v>
      </c>
      <c r="CO185" s="57">
        <f>'2024'!CE20</f>
        <v>57</v>
      </c>
      <c r="CP185" s="57">
        <f>'2024'!CF20</f>
        <v>26.4</v>
      </c>
      <c r="CQ185" s="57">
        <f>'2024'!CG20</f>
        <v>7</v>
      </c>
      <c r="CR185" s="57">
        <f>'2024'!CH20</f>
        <v>0</v>
      </c>
      <c r="CS185" s="59">
        <f>'2024'!CI20</f>
        <v>26.4</v>
      </c>
      <c r="CT185" s="56">
        <f>'2024'!CJ20</f>
        <v>86</v>
      </c>
      <c r="CU185" s="57">
        <f>'2024'!CK20</f>
        <v>2446.6</v>
      </c>
      <c r="CV185" s="57">
        <f>'2024'!CL20</f>
        <v>0</v>
      </c>
      <c r="CW185" s="57">
        <f>'2024'!CM20</f>
        <v>28.6</v>
      </c>
      <c r="CX185" s="57">
        <f>'2024'!CN20</f>
        <v>25</v>
      </c>
      <c r="CY185" s="57">
        <f>'2024'!CO20</f>
        <v>6</v>
      </c>
      <c r="CZ185" s="58">
        <f>'2024'!CP20</f>
        <v>3.44</v>
      </c>
      <c r="DA185" s="58">
        <f>'2024'!CQ20</f>
        <v>54.8</v>
      </c>
      <c r="DB185" s="58">
        <f>'2024'!CR20</f>
        <v>2.2400000000000002</v>
      </c>
      <c r="DC185" s="58">
        <f>'2024'!CS20</f>
        <v>30.2</v>
      </c>
      <c r="DD185" s="57">
        <f>'2024'!CT20</f>
        <v>219</v>
      </c>
      <c r="DE185" s="57">
        <f>'2024'!CU20</f>
        <v>3138.2000000000003</v>
      </c>
      <c r="DF185" s="57">
        <f>'2024'!CV20</f>
        <v>20</v>
      </c>
      <c r="DG185" s="57">
        <f>'2024'!CW20</f>
        <v>3</v>
      </c>
      <c r="DH185" s="59">
        <f>'2024'!CX20</f>
        <v>22.099999999999998</v>
      </c>
      <c r="DI185" s="56">
        <f>'2024'!CY20</f>
        <v>134</v>
      </c>
      <c r="DJ185" s="57">
        <f>'2024'!CZ20</f>
        <v>2260.8000000000002</v>
      </c>
      <c r="DK185" s="57">
        <f>'2024'!DA20</f>
        <v>3</v>
      </c>
      <c r="DL185" s="57">
        <f>'2024'!DB20</f>
        <v>25.200000000000003</v>
      </c>
      <c r="DM185" s="57">
        <f>'2024'!DC20</f>
        <v>12</v>
      </c>
      <c r="DN185" s="57">
        <f>'2024'!DD20</f>
        <v>6</v>
      </c>
      <c r="DO185" s="58">
        <f>'2024'!DE20</f>
        <v>11.166666666666666</v>
      </c>
      <c r="DP185" s="58">
        <f>'2024'!DF20</f>
        <v>197.1</v>
      </c>
      <c r="DQ185" s="58">
        <f>'2024'!DG20</f>
        <v>3.58</v>
      </c>
      <c r="DR185" s="58">
        <f>'2024'!DH20</f>
        <v>59.7</v>
      </c>
      <c r="DS185" s="57">
        <f>'2024'!DI20</f>
        <v>56</v>
      </c>
      <c r="DT185" s="57">
        <f>'2024'!DJ20</f>
        <v>3469.2000000000003</v>
      </c>
      <c r="DU185" s="57">
        <f>'2024'!DK20</f>
        <v>8</v>
      </c>
      <c r="DV185" s="57">
        <f>'2024'!DL20</f>
        <v>0</v>
      </c>
      <c r="DW185" s="59">
        <f>'2024'!DM20</f>
        <v>21.6</v>
      </c>
    </row>
    <row r="186" spans="1:127" ht="15.75" customHeight="1" x14ac:dyDescent="0.2">
      <c r="A186" s="33">
        <f t="shared" si="25"/>
        <v>184</v>
      </c>
      <c r="B186" s="11">
        <f>'2016'!A18</f>
        <v>16</v>
      </c>
      <c r="C186" s="11">
        <v>2016</v>
      </c>
      <c r="D186" s="34" t="str">
        <f>'2016'!B18</f>
        <v>Josh Ferguson</v>
      </c>
      <c r="E186" s="224" t="str" cm="1">
        <f t="array" ref="E186">_xlfn.IFS(F186&gt;=13,"Cornerstone",AND(F186&gt;=12,F186&lt;13),"Elite",AND(F186&gt;=11,F186&lt;12),"Elite Upside",AND(F186&gt;=9,F186&lt;11),"Upside",AND(F186&gt;=7,F186&lt;9),"Upside Lite",AND(F186&gt;=6,F186&lt;7),"Outlier",AND(F186&gt;=5,F186&lt;6),"Outlier Lite",F186&lt;5,"Purgatory")</f>
        <v>Outlier</v>
      </c>
      <c r="F186" s="14">
        <f>'2016'!C18</f>
        <v>6.0555555555555554</v>
      </c>
      <c r="G186" s="14">
        <f t="shared" si="31"/>
        <v>43.7</v>
      </c>
      <c r="H186" s="35">
        <f t="shared" si="26"/>
        <v>-0.82395779551980319</v>
      </c>
      <c r="I186" s="36" t="str">
        <f>'2016'!D18</f>
        <v>Illinois</v>
      </c>
      <c r="J186" s="37">
        <f>'2016'!E18</f>
        <v>2</v>
      </c>
      <c r="K186" s="38">
        <f>'2016'!F18</f>
        <v>34112</v>
      </c>
      <c r="L186" s="39">
        <f>'2016'!G18</f>
        <v>32.369863013698627</v>
      </c>
      <c r="M186" s="39" t="str">
        <f>'2016'!H18</f>
        <v>RS SR</v>
      </c>
      <c r="N186" s="39">
        <f>'2016'!I18</f>
        <v>22.945205479452056</v>
      </c>
      <c r="O186" s="39" t="str">
        <f t="shared" si="27"/>
        <v>JITTERBUG</v>
      </c>
      <c r="P186" s="39" t="str">
        <f t="shared" si="34"/>
        <v>+RECEIVER</v>
      </c>
      <c r="Q186" s="37">
        <f>'2016'!J18</f>
        <v>69</v>
      </c>
      <c r="R186" s="37">
        <f>'2016'!K18</f>
        <v>198</v>
      </c>
      <c r="S186" s="39">
        <f t="shared" si="29"/>
        <v>29.23916471651469</v>
      </c>
      <c r="T186" s="37">
        <f>'2016'!L18</f>
        <v>4.4800000000000004</v>
      </c>
      <c r="U186" s="55">
        <f>'2016'!M18</f>
        <v>0</v>
      </c>
      <c r="V186" s="41">
        <f>'2016'!N18</f>
        <v>6.1849873488895139E-2</v>
      </c>
      <c r="W186" s="42">
        <f>'2016'!O18</f>
        <v>0.18981793661496965</v>
      </c>
      <c r="X186" s="42">
        <f>'2016'!P18</f>
        <v>0.25664062500000001</v>
      </c>
      <c r="Y186" s="42">
        <f>'2016'!Q18</f>
        <v>0.24356531026827788</v>
      </c>
      <c r="Z186" s="42">
        <f>'2016'!R18</f>
        <v>0.29514354708881135</v>
      </c>
      <c r="AA186" s="42">
        <f>'2016'!S18</f>
        <v>0.29514354708881135</v>
      </c>
      <c r="AB186" s="42">
        <f>'2016'!T18</f>
        <v>0.29514354708881135</v>
      </c>
      <c r="AC186" s="42">
        <f>'2016'!U18</f>
        <v>0.13148980723039971</v>
      </c>
      <c r="AD186" s="42">
        <f>'2016'!V18</f>
        <v>0.12873185428649686</v>
      </c>
      <c r="AE186" s="42">
        <f>'2016'!W18</f>
        <v>0.13011083075844829</v>
      </c>
      <c r="AF186" s="43">
        <f>'2016'!X18</f>
        <v>0.13011083075844829</v>
      </c>
      <c r="AG186" s="44">
        <f>'2016'!Y18</f>
        <v>19.290410958904111</v>
      </c>
      <c r="AH186" s="45">
        <f>'2016'!Z18</f>
        <v>98.306702753247322</v>
      </c>
      <c r="AI186" s="45">
        <f>'2016'!AA18</f>
        <v>29.236294896030248</v>
      </c>
      <c r="AJ186" s="45">
        <f>'2016'!AB18</f>
        <v>0.20155038759689922</v>
      </c>
      <c r="AK186" s="45">
        <f>'2016'!AC18</f>
        <v>5.4883720930232558</v>
      </c>
      <c r="AL186" s="45">
        <f t="shared" si="28"/>
        <v>8.9821428571428577</v>
      </c>
      <c r="AM186" s="45">
        <f t="shared" si="35"/>
        <v>0.22289156626506024</v>
      </c>
      <c r="AN186" s="45">
        <f>'2016'!AD18</f>
        <v>69.2</v>
      </c>
      <c r="AO186" s="45">
        <f>'2016'!AE18</f>
        <v>3.02</v>
      </c>
      <c r="AP186" s="46">
        <f>'2016'!AF18</f>
        <v>48.2</v>
      </c>
      <c r="AQ186" s="47">
        <f>'2016'!AG18</f>
        <v>8</v>
      </c>
      <c r="AR186" s="48">
        <f>'2016'!AH18</f>
        <v>9</v>
      </c>
      <c r="AS186" s="48">
        <f>'2016'!AI18</f>
        <v>7</v>
      </c>
      <c r="AT186" s="48">
        <f>'2016'!AJ18</f>
        <v>4</v>
      </c>
      <c r="AU186" s="48">
        <f>'2016'!AK18</f>
        <v>6</v>
      </c>
      <c r="AV186" s="48">
        <f>'2016'!AL18</f>
        <v>2</v>
      </c>
      <c r="AW186" s="48">
        <f>'2016'!AM18</f>
        <v>4</v>
      </c>
      <c r="AX186" s="48">
        <f>'2016'!AN18</f>
        <v>3</v>
      </c>
      <c r="AY186" s="49">
        <f>'2016'!AO18</f>
        <v>0</v>
      </c>
      <c r="AZ186" s="50">
        <f>'2016'!AP18</f>
        <v>0.25</v>
      </c>
      <c r="BA186" s="56">
        <f>'2016'!AQ18</f>
        <v>52</v>
      </c>
      <c r="BB186" s="57">
        <f>'2016'!AR18</f>
        <v>515.09999999999991</v>
      </c>
      <c r="BC186" s="57">
        <f>'2016'!AS18</f>
        <v>0</v>
      </c>
      <c r="BD186" s="57">
        <f>'2016'!AT18</f>
        <v>4.8000000000000007</v>
      </c>
      <c r="BE186" s="57">
        <f>'2016'!AU18</f>
        <v>0</v>
      </c>
      <c r="BF186" s="57">
        <f>'2016'!AV18</f>
        <v>0</v>
      </c>
      <c r="BG186" s="58">
        <f>'2016'!AW18</f>
        <v>0</v>
      </c>
      <c r="BH186" s="58">
        <f>'2016'!AX18</f>
        <v>0</v>
      </c>
      <c r="BI186" s="58">
        <f>'2016'!AY18</f>
        <v>0</v>
      </c>
      <c r="BJ186" s="58">
        <f>'2016'!AZ18</f>
        <v>0</v>
      </c>
      <c r="BK186" s="57">
        <f>'2016'!BA18</f>
        <v>14</v>
      </c>
      <c r="BL186" s="57">
        <f>'2016'!BB18</f>
        <v>552</v>
      </c>
      <c r="BM186" s="57">
        <f>'2016'!BC18</f>
        <v>2</v>
      </c>
      <c r="BN186" s="57">
        <f>'2016'!BD18</f>
        <v>0</v>
      </c>
      <c r="BO186" s="59">
        <f>'2016'!BE18</f>
        <v>3.3000000000000003</v>
      </c>
      <c r="BP186" s="56">
        <f>'2016'!BF18</f>
        <v>312</v>
      </c>
      <c r="BQ186" s="57">
        <f>'2016'!BG18</f>
        <v>1278</v>
      </c>
      <c r="BR186" s="57">
        <f>'2016'!BH18</f>
        <v>0</v>
      </c>
      <c r="BS186" s="57">
        <f>'2016'!BI18</f>
        <v>10</v>
      </c>
      <c r="BT186" s="57">
        <f>'2016'!BJ18</f>
        <v>0</v>
      </c>
      <c r="BU186" s="57">
        <f>'2016'!BK18</f>
        <v>0</v>
      </c>
      <c r="BV186" s="58">
        <f>'2016'!BL18</f>
        <v>0</v>
      </c>
      <c r="BW186" s="58">
        <f>'2016'!BM18</f>
        <v>0</v>
      </c>
      <c r="BX186" s="58">
        <f>'2016'!BN18</f>
        <v>0</v>
      </c>
      <c r="BY186" s="58">
        <f>'2016'!BO18</f>
        <v>0</v>
      </c>
      <c r="BZ186" s="57">
        <f>'2016'!BP18</f>
        <v>251</v>
      </c>
      <c r="CA186" s="57">
        <f>'2016'!BQ18</f>
        <v>1688</v>
      </c>
      <c r="CB186" s="57">
        <f>'2016'!BR18</f>
        <v>29</v>
      </c>
      <c r="CC186" s="57">
        <f>'2016'!BS18</f>
        <v>0</v>
      </c>
      <c r="CD186" s="59">
        <f>'2016'!BT18</f>
        <v>9</v>
      </c>
      <c r="CE186" s="56">
        <f>'2016'!BU18</f>
        <v>779</v>
      </c>
      <c r="CF186" s="57">
        <f>'2016'!BV18</f>
        <v>1668</v>
      </c>
      <c r="CG186" s="57">
        <f>'2016'!BW18</f>
        <v>7</v>
      </c>
      <c r="CH186" s="57">
        <f>'2016'!BX18</f>
        <v>19</v>
      </c>
      <c r="CI186" s="57">
        <f>'2016'!BY18</f>
        <v>0</v>
      </c>
      <c r="CJ186" s="57">
        <f>'2016'!BZ18</f>
        <v>0</v>
      </c>
      <c r="CK186" s="58">
        <f>'2016'!CA18</f>
        <v>0</v>
      </c>
      <c r="CL186" s="58">
        <f>'2016'!CB18</f>
        <v>0</v>
      </c>
      <c r="CM186" s="58">
        <f>'2016'!CC18</f>
        <v>0</v>
      </c>
      <c r="CN186" s="58">
        <f>'2016'!CD18</f>
        <v>0</v>
      </c>
      <c r="CO186" s="57">
        <f>'2016'!CE18</f>
        <v>535</v>
      </c>
      <c r="CP186" s="57">
        <f>'2016'!CF18</f>
        <v>3452</v>
      </c>
      <c r="CQ186" s="57">
        <f>'2016'!CG18</f>
        <v>50</v>
      </c>
      <c r="CR186" s="57">
        <f>'2016'!CH18</f>
        <v>4</v>
      </c>
      <c r="CS186" s="59">
        <f>'2016'!CI18</f>
        <v>23</v>
      </c>
      <c r="CT186" s="56">
        <f>'2016'!CJ18</f>
        <v>736</v>
      </c>
      <c r="CU186" s="57">
        <f>'2016'!CK18</f>
        <v>1527.5</v>
      </c>
      <c r="CV186" s="57">
        <f>'2016'!CL18</f>
        <v>8</v>
      </c>
      <c r="CW186" s="57">
        <f>'2016'!CM18</f>
        <v>15.6</v>
      </c>
      <c r="CX186" s="57">
        <f>'2016'!CN18</f>
        <v>143</v>
      </c>
      <c r="CY186" s="57">
        <f>'2016'!CO18</f>
        <v>24</v>
      </c>
      <c r="CZ186" s="58">
        <f>'2016'!CP18</f>
        <v>5.1468531468531467</v>
      </c>
      <c r="DA186" s="58">
        <f>'2016'!CQ18</f>
        <v>42.9</v>
      </c>
      <c r="DB186" s="58">
        <f>'2016'!CR18</f>
        <v>2.59</v>
      </c>
      <c r="DC186" s="58">
        <f>'2016'!CS18</f>
        <v>48.2</v>
      </c>
      <c r="DD186" s="57">
        <f>'2016'!CT18</f>
        <v>427</v>
      </c>
      <c r="DE186" s="57">
        <f>'2016'!CU18</f>
        <v>3247.4</v>
      </c>
      <c r="DF186" s="57">
        <f>'2016'!CV18</f>
        <v>50</v>
      </c>
      <c r="DG186" s="57">
        <f>'2016'!CW18</f>
        <v>2</v>
      </c>
      <c r="DH186" s="59">
        <f>'2016'!CX18</f>
        <v>24.7</v>
      </c>
      <c r="DI186" s="56">
        <f>'2016'!CY18</f>
        <v>708</v>
      </c>
      <c r="DJ186" s="57">
        <f>'2016'!CZ18</f>
        <v>1163.7</v>
      </c>
      <c r="DK186" s="57">
        <f>'2016'!DA18</f>
        <v>3</v>
      </c>
      <c r="DL186" s="57">
        <f>'2016'!DB18</f>
        <v>9.9</v>
      </c>
      <c r="DM186" s="57">
        <f>'2016'!DC18</f>
        <v>129</v>
      </c>
      <c r="DN186" s="57">
        <f>'2016'!DD18</f>
        <v>26</v>
      </c>
      <c r="DO186" s="58">
        <f>'2016'!DE18</f>
        <v>5.4883720930232558</v>
      </c>
      <c r="DP186" s="58">
        <f>'2016'!DF18</f>
        <v>69.2</v>
      </c>
      <c r="DQ186" s="58">
        <f>'2016'!DG18</f>
        <v>3.02</v>
      </c>
      <c r="DR186" s="58">
        <f>'2016'!DH18</f>
        <v>45.5</v>
      </c>
      <c r="DS186" s="57">
        <f>'2016'!DI18</f>
        <v>282</v>
      </c>
      <c r="DT186" s="57">
        <f>'2016'!DJ18</f>
        <v>2190.6</v>
      </c>
      <c r="DU186" s="57">
        <f>'2016'!DK18</f>
        <v>37</v>
      </c>
      <c r="DV186" s="57">
        <f>'2016'!DL18</f>
        <v>2</v>
      </c>
      <c r="DW186" s="59">
        <f>'2016'!DM18</f>
        <v>11.700000000000001</v>
      </c>
    </row>
    <row r="187" spans="1:127" ht="15.75" customHeight="1" x14ac:dyDescent="0.2">
      <c r="A187" s="33">
        <f t="shared" si="25"/>
        <v>185</v>
      </c>
      <c r="B187" s="11">
        <f>'2024'!A21</f>
        <v>19</v>
      </c>
      <c r="C187" s="11">
        <v>2024</v>
      </c>
      <c r="D187" s="34" t="str">
        <f>'2024'!B21</f>
        <v>Blake Watson</v>
      </c>
      <c r="E187" s="224" t="str" cm="1">
        <f t="array" ref="E187">_xlfn.IFS(F187&gt;=13,"Cornerstone",AND(F187&gt;=12,F187&lt;13),"Elite",AND(F187&gt;=11,F187&lt;12),"Elite Upside",AND(F187&gt;=9,F187&lt;11),"Upside",AND(F187&gt;=7,F187&lt;9),"Upside Lite",AND(F187&gt;=6,F187&lt;7),"Outlier",AND(F187&gt;=5,F187&lt;6),"Outlier Lite",F187&lt;5,"Purgatory")</f>
        <v>Outlier</v>
      </c>
      <c r="F187" s="14">
        <f>'2024'!C21</f>
        <v>6.0500000000000007</v>
      </c>
      <c r="G187" s="14">
        <f t="shared" si="31"/>
        <v>43.4</v>
      </c>
      <c r="H187" s="35">
        <f t="shared" si="26"/>
        <v>-0.82630904587668974</v>
      </c>
      <c r="I187" s="36" t="str">
        <f>'2024'!D21</f>
        <v>Memphis</v>
      </c>
      <c r="J187" s="37">
        <f>'2024'!E21</f>
        <v>6</v>
      </c>
      <c r="K187" s="38">
        <f>'2024'!F21</f>
        <v>36447</v>
      </c>
      <c r="L187" s="39">
        <f>'2024'!G21</f>
        <v>25.972602739726028</v>
      </c>
      <c r="M187" s="39" t="str">
        <f>'2024'!H21</f>
        <v>SR</v>
      </c>
      <c r="N187" s="39">
        <f>'2024'!I21</f>
        <v>24.553424657534247</v>
      </c>
      <c r="O187" s="39" t="str">
        <f t="shared" si="27"/>
        <v>DYNAMIC</v>
      </c>
      <c r="P187" s="39" t="str">
        <f t="shared" si="34"/>
        <v>3DOWN</v>
      </c>
      <c r="Q187" s="37">
        <f>'2024'!J21</f>
        <v>69</v>
      </c>
      <c r="R187" s="37">
        <f>'2024'!K21</f>
        <v>195</v>
      </c>
      <c r="S187" s="39">
        <f t="shared" si="29"/>
        <v>28.796147069294769</v>
      </c>
      <c r="T187" s="37">
        <f>'2024'!L21</f>
        <v>4.55</v>
      </c>
      <c r="U187" s="40">
        <f>'2024'!M21</f>
        <v>0</v>
      </c>
      <c r="V187" s="41">
        <f>'2024'!N21</f>
        <v>6.4462809917355368E-2</v>
      </c>
      <c r="W187" s="42">
        <f>'2024'!O21</f>
        <v>0</v>
      </c>
      <c r="X187" s="42">
        <f>'2024'!P21</f>
        <v>0.28564465025591029</v>
      </c>
      <c r="Y187" s="42">
        <f>'2024'!Q21</f>
        <v>0.33070022760744411</v>
      </c>
      <c r="Z187" s="42">
        <f>'2024'!R21</f>
        <v>0.2741380756647932</v>
      </c>
      <c r="AA187" s="42">
        <f>'2024'!S21</f>
        <v>0.30241915163611865</v>
      </c>
      <c r="AB187" s="42">
        <f>'2024'!T21</f>
        <v>0.22681436372708899</v>
      </c>
      <c r="AC187" s="42">
        <f>'2024'!U21</f>
        <v>0.11547513974698441</v>
      </c>
      <c r="AD187" s="42">
        <f>'2024'!V21</f>
        <v>0.12121972643995482</v>
      </c>
      <c r="AE187" s="42">
        <f>'2024'!W21</f>
        <v>0.12121972643995482</v>
      </c>
      <c r="AF187" s="43">
        <f>'2024'!X21</f>
        <v>9.0914794829966117E-2</v>
      </c>
      <c r="AG187" s="44">
        <f>'2024'!Y21</f>
        <v>21.895890410958906</v>
      </c>
      <c r="AH187" s="45">
        <f>'2024'!Z21</f>
        <v>90.995312414395713</v>
      </c>
      <c r="AI187" s="45">
        <f>'2024'!AA21</f>
        <v>28.793320730938877</v>
      </c>
      <c r="AJ187" s="45">
        <f>'2024'!AB21</f>
        <v>0.37735849056603776</v>
      </c>
      <c r="AK187" s="45">
        <f>'2024'!AC21</f>
        <v>6</v>
      </c>
      <c r="AL187" s="45">
        <f t="shared" si="28"/>
        <v>8.2389380530973444</v>
      </c>
      <c r="AM187" s="45">
        <f t="shared" si="35"/>
        <v>0.21632653061224491</v>
      </c>
      <c r="AN187" s="45">
        <f>'2024'!AD21</f>
        <v>177.3</v>
      </c>
      <c r="AO187" s="45">
        <f>'2024'!AE21</f>
        <v>4.57</v>
      </c>
      <c r="AP187" s="46">
        <f>'2024'!AF21</f>
        <v>46.5</v>
      </c>
      <c r="AQ187" s="47">
        <f>'2024'!AG21</f>
        <v>4</v>
      </c>
      <c r="AR187" s="48">
        <f>'2024'!AH21</f>
        <v>9</v>
      </c>
      <c r="AS187" s="48">
        <f>'2024'!AI21</f>
        <v>2</v>
      </c>
      <c r="AT187" s="48">
        <f>'2024'!AJ21</f>
        <v>2</v>
      </c>
      <c r="AU187" s="48">
        <f>'2024'!AK21</f>
        <v>10</v>
      </c>
      <c r="AV187" s="48">
        <f>'2024'!AL21</f>
        <v>4</v>
      </c>
      <c r="AW187" s="48">
        <f>'2024'!AM21</f>
        <v>8</v>
      </c>
      <c r="AX187" s="48">
        <f>'2024'!AN21</f>
        <v>7</v>
      </c>
      <c r="AY187" s="49">
        <f>'2024'!AO21</f>
        <v>0</v>
      </c>
      <c r="AZ187" s="50">
        <f>'2024'!AP21</f>
        <v>0</v>
      </c>
      <c r="BA187" s="56">
        <f>'2024'!AQ21</f>
        <v>116</v>
      </c>
      <c r="BB187" s="57">
        <f>'2024'!AR21</f>
        <v>1084.5999999999999</v>
      </c>
      <c r="BC187" s="57">
        <f>'2024'!AS21</f>
        <v>1</v>
      </c>
      <c r="BD187" s="57">
        <f>'2024'!AT21</f>
        <v>14.3</v>
      </c>
      <c r="BE187" s="57">
        <f>'2024'!AU21</f>
        <v>25</v>
      </c>
      <c r="BF187" s="57">
        <f>'2024'!AV21</f>
        <v>13</v>
      </c>
      <c r="BG187" s="58">
        <f>'2024'!AW21</f>
        <v>4.6399999999999997</v>
      </c>
      <c r="BH187" s="58">
        <f>'2024'!AX21</f>
        <v>212.9</v>
      </c>
      <c r="BI187" s="58">
        <f>'2024'!AY21</f>
        <v>4.76</v>
      </c>
      <c r="BJ187" s="58">
        <f>'2024'!AZ21</f>
        <v>31</v>
      </c>
      <c r="BK187" s="57">
        <f>'2024'!BA21</f>
        <v>79</v>
      </c>
      <c r="BL187" s="57">
        <f>'2024'!BB21</f>
        <v>1940.4</v>
      </c>
      <c r="BM187" s="57">
        <f>'2024'!BC21</f>
        <v>13</v>
      </c>
      <c r="BN187" s="57">
        <f>'2024'!BD21</f>
        <v>0</v>
      </c>
      <c r="BO187" s="59">
        <f>'2024'!BE21</f>
        <v>4.4000000000000004</v>
      </c>
      <c r="BP187" s="56">
        <f>'2024'!BF21</f>
        <v>0</v>
      </c>
      <c r="BQ187" s="57">
        <f>'2024'!BG21</f>
        <v>1</v>
      </c>
      <c r="BR187" s="57">
        <f>'2024'!BH21</f>
        <v>0</v>
      </c>
      <c r="BS187" s="57">
        <f>'2024'!BI21</f>
        <v>0</v>
      </c>
      <c r="BT187" s="57">
        <f>'2024'!BJ21</f>
        <v>0</v>
      </c>
      <c r="BU187" s="57">
        <f>'2024'!BK21</f>
        <v>0</v>
      </c>
      <c r="BV187" s="58">
        <f>'2024'!BL21</f>
        <v>0</v>
      </c>
      <c r="BW187" s="58">
        <f>'2024'!BM21</f>
        <v>0</v>
      </c>
      <c r="BX187" s="58">
        <f>'2024'!BN21</f>
        <v>0</v>
      </c>
      <c r="BY187" s="58">
        <f>'2024'!BO21</f>
        <v>0</v>
      </c>
      <c r="BZ187" s="57">
        <f>'2024'!BP21</f>
        <v>0</v>
      </c>
      <c r="CA187" s="57">
        <f>'2024'!BQ21</f>
        <v>1</v>
      </c>
      <c r="CB187" s="57">
        <f>'2024'!BR21</f>
        <v>0</v>
      </c>
      <c r="CC187" s="57">
        <f>'2024'!BS21</f>
        <v>0</v>
      </c>
      <c r="CD187" s="59">
        <f>'2024'!BT21</f>
        <v>0</v>
      </c>
      <c r="CE187" s="56">
        <f>'2024'!BU21</f>
        <v>1117</v>
      </c>
      <c r="CF187" s="57">
        <f>'2024'!BV21</f>
        <v>1740.1999999999998</v>
      </c>
      <c r="CG187" s="57">
        <f>'2024'!BW21</f>
        <v>8</v>
      </c>
      <c r="CH187" s="57">
        <f>'2024'!BX21</f>
        <v>1.7</v>
      </c>
      <c r="CI187" s="57">
        <f>'2024'!BY21</f>
        <v>215</v>
      </c>
      <c r="CJ187" s="57">
        <f>'2024'!BZ21</f>
        <v>33</v>
      </c>
      <c r="CK187" s="58">
        <f>'2024'!CA21</f>
        <v>5.195348837209302</v>
      </c>
      <c r="CL187" s="58">
        <f>'2024'!CB21</f>
        <v>51.5</v>
      </c>
      <c r="CM187" s="58">
        <f>'2024'!CC21</f>
        <v>3.13</v>
      </c>
      <c r="CN187" s="58">
        <f>'2024'!CD21</f>
        <v>27.9</v>
      </c>
      <c r="CO187" s="57">
        <f>'2024'!CE21</f>
        <v>55</v>
      </c>
      <c r="CP187" s="57">
        <f>'2024'!CF21</f>
        <v>2362.8000000000002</v>
      </c>
      <c r="CQ187" s="57">
        <f>'2024'!CG21</f>
        <v>10</v>
      </c>
      <c r="CR187" s="57">
        <f>'2024'!CH21</f>
        <v>1</v>
      </c>
      <c r="CS187" s="59">
        <f>'2024'!CI21</f>
        <v>13.2</v>
      </c>
      <c r="CT187" s="56">
        <f>'2024'!CJ21</f>
        <v>921</v>
      </c>
      <c r="CU187" s="57">
        <f>'2024'!CK21</f>
        <v>1015.3</v>
      </c>
      <c r="CV187" s="57">
        <f>'2024'!CL21</f>
        <v>5</v>
      </c>
      <c r="CW187" s="57">
        <f>'2024'!CM21</f>
        <v>7.6999999999999993</v>
      </c>
      <c r="CX187" s="57">
        <f>'2024'!CN21</f>
        <v>159</v>
      </c>
      <c r="CY187" s="57">
        <f>'2024'!CO21</f>
        <v>60</v>
      </c>
      <c r="CZ187" s="58">
        <f>'2024'!CP21</f>
        <v>5.7924528301886795</v>
      </c>
      <c r="DA187" s="58">
        <f>'2024'!CQ21</f>
        <v>177.3</v>
      </c>
      <c r="DB187" s="58">
        <f>'2024'!CR21</f>
        <v>4.57</v>
      </c>
      <c r="DC187" s="58">
        <f>'2024'!CS21</f>
        <v>44.7</v>
      </c>
      <c r="DD187" s="57">
        <f>'2024'!CT21</f>
        <v>314</v>
      </c>
      <c r="DE187" s="57">
        <f>'2024'!CU21</f>
        <v>2719.2</v>
      </c>
      <c r="DF187" s="57">
        <f>'2024'!CV21</f>
        <v>37</v>
      </c>
      <c r="DG187" s="57">
        <f>'2024'!CW21</f>
        <v>2</v>
      </c>
      <c r="DH187" s="59">
        <f>'2024'!CX21</f>
        <v>17.600000000000001</v>
      </c>
      <c r="DI187" s="56">
        <f>'2024'!CY21</f>
        <v>1151</v>
      </c>
      <c r="DJ187" s="57">
        <f>'2024'!CZ21</f>
        <v>1976</v>
      </c>
      <c r="DK187" s="57">
        <f>'2024'!DA21</f>
        <v>14</v>
      </c>
      <c r="DL187" s="57">
        <f>'2024'!DB21</f>
        <v>31.2</v>
      </c>
      <c r="DM187" s="57">
        <f>'2024'!DC21</f>
        <v>192</v>
      </c>
      <c r="DN187" s="57">
        <f>'2024'!DD21</f>
        <v>50</v>
      </c>
      <c r="DO187" s="58">
        <f>'2024'!DE21</f>
        <v>6</v>
      </c>
      <c r="DP187" s="58">
        <f>'2024'!DF21</f>
        <v>111.6</v>
      </c>
      <c r="DQ187" s="58">
        <f>'2024'!DG21</f>
        <v>3.74</v>
      </c>
      <c r="DR187" s="58">
        <f>'2024'!DH21</f>
        <v>46.5</v>
      </c>
      <c r="DS187" s="57">
        <f>'2024'!DI21</f>
        <v>483</v>
      </c>
      <c r="DT187" s="57">
        <f>'2024'!DJ21</f>
        <v>3984.5</v>
      </c>
      <c r="DU187" s="57">
        <f>'2024'!DK21</f>
        <v>53</v>
      </c>
      <c r="DV187" s="57">
        <f>'2024'!DL21</f>
        <v>3</v>
      </c>
      <c r="DW187" s="59">
        <f>'2024'!DM21</f>
        <v>32.5</v>
      </c>
    </row>
    <row r="188" spans="1:127" ht="15.75" customHeight="1" x14ac:dyDescent="0.2">
      <c r="A188" s="33">
        <f t="shared" si="25"/>
        <v>186</v>
      </c>
      <c r="B188" s="11">
        <f>'2020'!A17</f>
        <v>15</v>
      </c>
      <c r="C188" s="11">
        <v>2020</v>
      </c>
      <c r="D188" s="34" t="str">
        <f>'2020'!B17</f>
        <v>La'mical Perine</v>
      </c>
      <c r="E188" s="224" t="str" cm="1">
        <f t="array" ref="E188">_xlfn.IFS(F188&gt;=13,"Cornerstone",AND(F188&gt;=12,F188&lt;13),"Elite",AND(F188&gt;=11,F188&lt;12),"Elite Upside",AND(F188&gt;=9,F188&lt;11),"Upside",AND(F188&gt;=7,F188&lt;9),"Upside Lite",AND(F188&gt;=6,F188&lt;7),"Outlier",AND(F188&gt;=5,F188&lt;6),"Outlier Lite",F188&lt;5,"Purgatory")</f>
        <v>Outlier Lite</v>
      </c>
      <c r="F188" s="14">
        <f>'2020'!C17</f>
        <v>5.927777777777778</v>
      </c>
      <c r="G188" s="14">
        <f t="shared" si="31"/>
        <v>43.1</v>
      </c>
      <c r="H188" s="35">
        <f t="shared" si="26"/>
        <v>-0.87803655372820144</v>
      </c>
      <c r="I188" s="36" t="str">
        <f>'2020'!D17</f>
        <v>Florida</v>
      </c>
      <c r="J188" s="37">
        <f>'2020'!E17</f>
        <v>1</v>
      </c>
      <c r="K188" s="38">
        <f>'2020'!F17</f>
        <v>35825</v>
      </c>
      <c r="L188" s="39">
        <f>'2020'!G17</f>
        <v>27.676712328767124</v>
      </c>
      <c r="M188" s="39" t="str">
        <f>'2020'!H17</f>
        <v>SR</v>
      </c>
      <c r="N188" s="39">
        <f>'2020'!I17</f>
        <v>22.243835616438357</v>
      </c>
      <c r="O188" s="39" t="str">
        <f t="shared" si="27"/>
        <v>BELL CALF</v>
      </c>
      <c r="P188" s="39" t="str">
        <f t="shared" si="34"/>
        <v>+RECEIVER</v>
      </c>
      <c r="Q188" s="37">
        <f>'2020'!J17</f>
        <v>70</v>
      </c>
      <c r="R188" s="37">
        <f>'2020'!K17</f>
        <v>216</v>
      </c>
      <c r="S188" s="39">
        <f t="shared" si="29"/>
        <v>30.9924296583287</v>
      </c>
      <c r="T188" s="37">
        <f>'2020'!L17</f>
        <v>4.62</v>
      </c>
      <c r="U188" s="40">
        <f>'2020'!M17</f>
        <v>4</v>
      </c>
      <c r="V188" s="41">
        <f>'2020'!N17</f>
        <v>0</v>
      </c>
      <c r="W188" s="42">
        <f>'2020'!O17</f>
        <v>0.13059033989266547</v>
      </c>
      <c r="X188" s="42">
        <f>'2020'!P17</f>
        <v>0.17104194857916102</v>
      </c>
      <c r="Y188" s="42">
        <f>'2020'!Q17</f>
        <v>0.17919596178114297</v>
      </c>
      <c r="Z188" s="42">
        <f>'2020'!R17</f>
        <v>0.16901911738431302</v>
      </c>
      <c r="AA188" s="42">
        <f>'2020'!S17</f>
        <v>0.17410753958272801</v>
      </c>
      <c r="AB188" s="42">
        <f>'2020'!T17</f>
        <v>0.17410753958272801</v>
      </c>
      <c r="AC188" s="42">
        <f>'2020'!U17</f>
        <v>6.1239193083573486E-2</v>
      </c>
      <c r="AD188" s="42">
        <f>'2020'!V17</f>
        <v>6.9053708439897693E-2</v>
      </c>
      <c r="AE188" s="42">
        <f>'2020'!W17</f>
        <v>6.9053708439897693E-2</v>
      </c>
      <c r="AF188" s="43">
        <f>'2020'!X17</f>
        <v>6.9053708439897693E-2</v>
      </c>
      <c r="AG188" s="44">
        <f>'2020'!Y17</f>
        <v>19.600000000000001</v>
      </c>
      <c r="AH188" s="45">
        <f>'2020'!Z17</f>
        <v>94.823470132593457</v>
      </c>
      <c r="AI188" s="45">
        <f>'2020'!AA17</f>
        <v>30.98938775510204</v>
      </c>
      <c r="AJ188" s="45">
        <f>'2020'!AB17</f>
        <v>0.20588235294117646</v>
      </c>
      <c r="AK188" s="45">
        <f>'2020'!AC17</f>
        <v>6.1</v>
      </c>
      <c r="AL188" s="45">
        <f t="shared" si="28"/>
        <v>10.348484848484848</v>
      </c>
      <c r="AM188" s="45">
        <f t="shared" si="35"/>
        <v>0.23699421965317918</v>
      </c>
      <c r="AN188" s="45">
        <f>'2020'!AD17</f>
        <v>69.099999999999994</v>
      </c>
      <c r="AO188" s="45">
        <f>'2020'!AE17</f>
        <v>3.73</v>
      </c>
      <c r="AP188" s="46">
        <f>'2020'!AF17</f>
        <v>39.4</v>
      </c>
      <c r="AQ188" s="47">
        <f>'2020'!AG17</f>
        <v>3</v>
      </c>
      <c r="AR188" s="48">
        <f>'2020'!AH17</f>
        <v>7</v>
      </c>
      <c r="AS188" s="48">
        <f>'2020'!AI17</f>
        <v>6</v>
      </c>
      <c r="AT188" s="48">
        <f>IF(AH188&gt;113.25,10,IF(AH188&gt;=107.84,9,IF(AH188&gt;=105.37,8,IF(AH188&gt;=103.25,7,IF(AH188&gt;=100.55,6,IF(AH188&gt;=98.75,5,IF(AH188&gt;=96.08,4,IF(AH188&gt;=94.39,3,IF(AH188&gt;=88.43,2,IF(AH188&gt;=85.16,1,IF(AH188&lt;85.16,0,FALSE)))))))))))</f>
        <v>3</v>
      </c>
      <c r="AU188" s="48">
        <f>'2020'!AK17</f>
        <v>4</v>
      </c>
      <c r="AV188" s="48">
        <f>'2020'!AL17</f>
        <v>5</v>
      </c>
      <c r="AW188" s="48">
        <f>'2020'!AM17</f>
        <v>1</v>
      </c>
      <c r="AX188" s="48">
        <f>'2020'!AN17</f>
        <v>3</v>
      </c>
      <c r="AY188" s="49">
        <f>IF(U188=1,10,IF(U188=2,7,IF(U188=3,6,IF(U188=4,4,IF(U188=5,3,IF(U188=6,2,IF(U188=7,1,IF(U188=0,0,"-"))))))))</f>
        <v>4</v>
      </c>
      <c r="AZ188" s="50">
        <f>'2020'!AP17</f>
        <v>0</v>
      </c>
      <c r="BA188" s="56">
        <f>'2020'!AQ17</f>
        <v>0</v>
      </c>
      <c r="BB188" s="57">
        <f>'2020'!AR17</f>
        <v>1777</v>
      </c>
      <c r="BC188" s="57">
        <f>'2020'!AS17</f>
        <v>0</v>
      </c>
      <c r="BD188" s="57">
        <f>'2020'!AT17</f>
        <v>19</v>
      </c>
      <c r="BE188" s="57">
        <f>'2020'!AU17</f>
        <v>0</v>
      </c>
      <c r="BF188" s="57">
        <f>'2020'!AV17</f>
        <v>0</v>
      </c>
      <c r="BG188" s="58">
        <f>'2020'!AW17</f>
        <v>0</v>
      </c>
      <c r="BH188" s="58">
        <f>'2020'!AX17</f>
        <v>0</v>
      </c>
      <c r="BI188" s="58">
        <f>'2020'!AY17</f>
        <v>0</v>
      </c>
      <c r="BJ188" s="58">
        <f>'2020'!AZ17</f>
        <v>0</v>
      </c>
      <c r="BK188" s="57">
        <f>'2020'!BA17</f>
        <v>0</v>
      </c>
      <c r="BL188" s="57">
        <f>'2020'!BB17</f>
        <v>2899</v>
      </c>
      <c r="BM188" s="57">
        <f>'2020'!BC17</f>
        <v>0</v>
      </c>
      <c r="BN188" s="57">
        <f>'2020'!BD17</f>
        <v>0</v>
      </c>
      <c r="BO188" s="59">
        <f>'2020'!BE17</f>
        <v>20</v>
      </c>
      <c r="BP188" s="56">
        <f>'2020'!BF17</f>
        <v>421</v>
      </c>
      <c r="BQ188" s="57">
        <f>'2020'!BG17</f>
        <v>1667</v>
      </c>
      <c r="BR188" s="57">
        <f>'2020'!BH17</f>
        <v>1</v>
      </c>
      <c r="BS188" s="57">
        <f>'2020'!BI17</f>
        <v>11</v>
      </c>
      <c r="BT188" s="57">
        <f>'2020'!BJ17</f>
        <v>91</v>
      </c>
      <c r="BU188" s="57">
        <f>'2020'!BK17</f>
        <v>15</v>
      </c>
      <c r="BV188" s="58">
        <f>'2020'!BL17</f>
        <v>4.5999999999999996</v>
      </c>
      <c r="BW188" s="58">
        <f>'2020'!BM17</f>
        <v>45.9</v>
      </c>
      <c r="BX188" s="58">
        <f>'2020'!BN17</f>
        <v>2.73</v>
      </c>
      <c r="BY188" s="58">
        <f>'2020'!BO17</f>
        <v>31.8</v>
      </c>
      <c r="BZ188" s="57">
        <f>'2020'!BP17</f>
        <v>163</v>
      </c>
      <c r="CA188" s="57">
        <f>'2020'!BQ17</f>
        <v>2805</v>
      </c>
      <c r="CB188" s="57">
        <f>'2020'!BR17</f>
        <v>10</v>
      </c>
      <c r="CC188" s="57">
        <f>'2020'!BS17</f>
        <v>0</v>
      </c>
      <c r="CD188" s="59">
        <f>'2020'!BT17</f>
        <v>18</v>
      </c>
      <c r="CE188" s="56">
        <f>'2020'!BU17</f>
        <v>552</v>
      </c>
      <c r="CF188" s="57">
        <f>'2020'!BV17</f>
        <v>1720</v>
      </c>
      <c r="CG188" s="57">
        <f>'2020'!BW17</f>
        <v>8</v>
      </c>
      <c r="CH188" s="57">
        <f>'2020'!BX17</f>
        <v>15</v>
      </c>
      <c r="CI188" s="57">
        <f>'2020'!BY17</f>
        <v>136</v>
      </c>
      <c r="CJ188" s="57">
        <f>'2020'!BZ17</f>
        <v>28</v>
      </c>
      <c r="CK188" s="58">
        <f>'2020'!CA17</f>
        <v>4.0999999999999996</v>
      </c>
      <c r="CL188" s="58">
        <f>'2020'!CB17</f>
        <v>56.8</v>
      </c>
      <c r="CM188" s="58">
        <f>'2020'!CC17</f>
        <v>2.68</v>
      </c>
      <c r="CN188" s="58">
        <f>'2020'!CD17</f>
        <v>30.3</v>
      </c>
      <c r="CO188" s="57">
        <f>'2020'!CE17</f>
        <v>80</v>
      </c>
      <c r="CP188" s="57">
        <f>'2020'!CF17</f>
        <v>1975</v>
      </c>
      <c r="CQ188" s="57">
        <f>'2020'!CG17</f>
        <v>10</v>
      </c>
      <c r="CR188" s="57">
        <f>'2020'!CH17</f>
        <v>0</v>
      </c>
      <c r="CS188" s="59">
        <f>'2020'!CI17</f>
        <v>10</v>
      </c>
      <c r="CT188" s="56">
        <f>'2020'!CJ17</f>
        <v>824</v>
      </c>
      <c r="CU188" s="57">
        <f>'2020'!CK17</f>
        <v>2771</v>
      </c>
      <c r="CV188" s="57">
        <f>'2020'!CL17</f>
        <v>7</v>
      </c>
      <c r="CW188" s="57">
        <f>'2020'!CM17</f>
        <v>23</v>
      </c>
      <c r="CX188" s="57">
        <f>'2020'!CN17</f>
        <v>134</v>
      </c>
      <c r="CY188" s="57">
        <f>'2020'!CO17</f>
        <v>17</v>
      </c>
      <c r="CZ188" s="58">
        <f>'2020'!CP17</f>
        <v>6.1</v>
      </c>
      <c r="DA188" s="58">
        <f>'2020'!CQ17</f>
        <v>49.5</v>
      </c>
      <c r="DB188" s="58">
        <f>'2020'!CR17</f>
        <v>3.31</v>
      </c>
      <c r="DC188" s="58">
        <f>'2020'!CS17</f>
        <v>39.4</v>
      </c>
      <c r="DD188" s="57">
        <f>'2020'!CT17</f>
        <v>170</v>
      </c>
      <c r="DE188" s="57">
        <f>'2020'!CU17</f>
        <v>2776</v>
      </c>
      <c r="DF188" s="57">
        <f>'2020'!CV17</f>
        <v>5</v>
      </c>
      <c r="DG188" s="57">
        <f>'2020'!CW17</f>
        <v>0</v>
      </c>
      <c r="DH188" s="59">
        <f>'2020'!CX17</f>
        <v>28</v>
      </c>
      <c r="DI188" s="56">
        <f>'2020'!CY17</f>
        <v>676</v>
      </c>
      <c r="DJ188" s="57">
        <f>'2020'!CZ17</f>
        <v>1687</v>
      </c>
      <c r="DK188" s="57">
        <f>'2020'!DA17</f>
        <v>6</v>
      </c>
      <c r="DL188" s="57">
        <f>'2020'!DB17</f>
        <v>21</v>
      </c>
      <c r="DM188" s="57">
        <f>'2020'!DC17</f>
        <v>132</v>
      </c>
      <c r="DN188" s="57">
        <f>'2020'!DD17</f>
        <v>24</v>
      </c>
      <c r="DO188" s="58">
        <f>'2020'!DE17</f>
        <v>5.0999999999999996</v>
      </c>
      <c r="DP188" s="58">
        <f>'2020'!DF17</f>
        <v>69.099999999999994</v>
      </c>
      <c r="DQ188" s="58">
        <f>'2020'!DG17</f>
        <v>3.73</v>
      </c>
      <c r="DR188" s="58">
        <f>'2020'!DH17</f>
        <v>36.4</v>
      </c>
      <c r="DS188" s="57">
        <f>'2020'!DI17</f>
        <v>270</v>
      </c>
      <c r="DT188" s="57">
        <f>'2020'!DJ17</f>
        <v>3910</v>
      </c>
      <c r="DU188" s="57">
        <f>'2020'!DK17</f>
        <v>41</v>
      </c>
      <c r="DV188" s="57">
        <f>'2020'!DL17</f>
        <v>0</v>
      </c>
      <c r="DW188" s="59">
        <f>'2020'!DM17</f>
        <v>33</v>
      </c>
    </row>
    <row r="189" spans="1:127" ht="15.75" customHeight="1" x14ac:dyDescent="0.2">
      <c r="A189" s="33">
        <f t="shared" si="25"/>
        <v>187</v>
      </c>
      <c r="B189" s="11">
        <f>'2015'!A15</f>
        <v>13</v>
      </c>
      <c r="C189" s="11">
        <v>2015</v>
      </c>
      <c r="D189" s="34" t="str">
        <f>'2015'!B15</f>
        <v>Matt Jones</v>
      </c>
      <c r="E189" s="224" t="str" cm="1">
        <f t="array" ref="E189">_xlfn.IFS(F189&gt;=13,"Cornerstone",AND(F189&gt;=12,F189&lt;13),"Elite",AND(F189&gt;=11,F189&lt;12),"Elite Upside",AND(F189&gt;=9,F189&lt;11),"Upside",AND(F189&gt;=7,F189&lt;9),"Upside Lite",AND(F189&gt;=6,F189&lt;7),"Outlier",AND(F189&gt;=5,F189&lt;6),"Outlier Lite",F189&lt;5,"Purgatory")</f>
        <v>Outlier Lite</v>
      </c>
      <c r="F189" s="14">
        <f>'2015'!C15</f>
        <v>5.9222222222222216</v>
      </c>
      <c r="G189" s="14">
        <f t="shared" si="31"/>
        <v>42.8</v>
      </c>
      <c r="H189" s="35">
        <f t="shared" si="26"/>
        <v>-0.88038780408508865</v>
      </c>
      <c r="I189" s="36" t="str">
        <f>'2015'!D15</f>
        <v>Florida</v>
      </c>
      <c r="J189" s="37">
        <f>'2015'!E15</f>
        <v>1</v>
      </c>
      <c r="K189" s="38">
        <f>'2015'!F15</f>
        <v>34035</v>
      </c>
      <c r="L189" s="39">
        <f>'2015'!G15</f>
        <v>32.580821917808223</v>
      </c>
      <c r="M189" s="39" t="str">
        <f>'2015'!H15</f>
        <v>JR</v>
      </c>
      <c r="N189" s="39">
        <f>'2015'!I15</f>
        <v>22.153424657534245</v>
      </c>
      <c r="O189" s="39" t="str">
        <f t="shared" si="27"/>
        <v>BRUISER</v>
      </c>
      <c r="P189" s="39" t="str">
        <f t="shared" si="34"/>
        <v>PLODDER</v>
      </c>
      <c r="Q189" s="37">
        <f>'2015'!J15</f>
        <v>74</v>
      </c>
      <c r="R189" s="37">
        <f>'2015'!K15</f>
        <v>231</v>
      </c>
      <c r="S189" s="39">
        <f t="shared" si="29"/>
        <v>29.658316365573565</v>
      </c>
      <c r="T189" s="39">
        <f>'2015'!L15</f>
        <v>4.6100000000000003</v>
      </c>
      <c r="U189" s="55">
        <f>'2015'!M15</f>
        <v>3</v>
      </c>
      <c r="V189" s="41">
        <f>'2015'!N15</f>
        <v>0</v>
      </c>
      <c r="W189" s="42">
        <f>'2015'!O15</f>
        <v>0</v>
      </c>
      <c r="X189" s="42">
        <f>'2015'!P15</f>
        <v>7.1022727272727265E-2</v>
      </c>
      <c r="Y189" s="42">
        <f>'2015'!Q15</f>
        <v>0.22987053994316387</v>
      </c>
      <c r="Z189" s="42">
        <f>'2015'!R15</f>
        <v>0.2181224651300821</v>
      </c>
      <c r="AA189" s="42">
        <f>'2015'!S15</f>
        <v>0.22399650253662298</v>
      </c>
      <c r="AB189" s="42">
        <f>'2015'!T15</f>
        <v>0.22399650253662298</v>
      </c>
      <c r="AC189" s="42">
        <f>'2015'!U15</f>
        <v>2.9256875365710942E-2</v>
      </c>
      <c r="AD189" s="42">
        <f>'2015'!V15</f>
        <v>3.2846530901005609E-2</v>
      </c>
      <c r="AE189" s="42">
        <f>'2015'!W15</f>
        <v>3.2846530901005609E-2</v>
      </c>
      <c r="AF189" s="43">
        <f>'2015'!X15</f>
        <v>3.2846530901005609E-2</v>
      </c>
      <c r="AG189" s="44">
        <f>'2015'!Y15</f>
        <v>20.5013698630137</v>
      </c>
      <c r="AH189" s="45">
        <f>'2015'!Z15</f>
        <v>102.29120013128654</v>
      </c>
      <c r="AI189" s="45">
        <f>'2015'!AA15</f>
        <v>29.655405405405407</v>
      </c>
      <c r="AJ189" s="45">
        <f>'2015'!AB15</f>
        <v>0.1746987951807229</v>
      </c>
      <c r="AK189" s="45">
        <f>'2015'!AC15</f>
        <v>5.2884615384615383</v>
      </c>
      <c r="AL189" s="45">
        <f t="shared" si="28"/>
        <v>5.2631578947368425</v>
      </c>
      <c r="AM189" s="45">
        <f t="shared" si="35"/>
        <v>6.2146892655367235E-2</v>
      </c>
      <c r="AN189" s="45">
        <f>'2015'!AD15</f>
        <v>44.8</v>
      </c>
      <c r="AO189" s="45">
        <f>'2015'!AE15</f>
        <v>2.73</v>
      </c>
      <c r="AP189" s="46">
        <f>'2015'!AF15</f>
        <v>34.1</v>
      </c>
      <c r="AQ189" s="47">
        <f>'2015'!AG15</f>
        <v>4</v>
      </c>
      <c r="AR189" s="48">
        <f>'2015'!AH15</f>
        <v>3</v>
      </c>
      <c r="AS189" s="48">
        <f>'2015'!AI15</f>
        <v>4</v>
      </c>
      <c r="AT189" s="48">
        <f>'2015'!AJ15</f>
        <v>6</v>
      </c>
      <c r="AU189" s="48">
        <f>'2015'!AK15</f>
        <v>2</v>
      </c>
      <c r="AV189" s="48">
        <f>'2015'!AL15</f>
        <v>2</v>
      </c>
      <c r="AW189" s="48">
        <f>'2015'!AM15</f>
        <v>0</v>
      </c>
      <c r="AX189" s="48">
        <f>'2015'!AN15</f>
        <v>0</v>
      </c>
      <c r="AY189" s="49">
        <f>'2015'!AO15</f>
        <v>6</v>
      </c>
      <c r="AZ189" s="50">
        <f>'2015'!AP15</f>
        <v>0</v>
      </c>
      <c r="BA189" s="56">
        <f>'2015'!AQ15</f>
        <v>0</v>
      </c>
      <c r="BB189" s="57">
        <f>'2015'!AR15</f>
        <v>1</v>
      </c>
      <c r="BC189" s="57">
        <f>'2015'!AS15</f>
        <v>0</v>
      </c>
      <c r="BD189" s="57">
        <f>'2015'!AT15</f>
        <v>0</v>
      </c>
      <c r="BE189" s="57">
        <f>'2015'!AU15</f>
        <v>0</v>
      </c>
      <c r="BF189" s="57">
        <f>'2015'!AV15</f>
        <v>0</v>
      </c>
      <c r="BG189" s="58">
        <f>'2015'!AW15</f>
        <v>0</v>
      </c>
      <c r="BH189" s="58">
        <f>'2015'!AX15</f>
        <v>0</v>
      </c>
      <c r="BI189" s="58">
        <f>'2015'!AY15</f>
        <v>0</v>
      </c>
      <c r="BJ189" s="58">
        <f>'2015'!AZ15</f>
        <v>0</v>
      </c>
      <c r="BK189" s="57">
        <f>'2015'!BA15</f>
        <v>0</v>
      </c>
      <c r="BL189" s="57">
        <f>'2015'!BB15</f>
        <v>1</v>
      </c>
      <c r="BM189" s="57">
        <f>'2015'!BC15</f>
        <v>0</v>
      </c>
      <c r="BN189" s="57">
        <f>'2015'!BD15</f>
        <v>0</v>
      </c>
      <c r="BO189" s="59">
        <f>'2015'!BE15</f>
        <v>0</v>
      </c>
      <c r="BP189" s="56">
        <f>'2015'!BF15</f>
        <v>0</v>
      </c>
      <c r="BQ189" s="57">
        <f>'2015'!BG15</f>
        <v>1</v>
      </c>
      <c r="BR189" s="57">
        <f>'2015'!BH15</f>
        <v>0</v>
      </c>
      <c r="BS189" s="57">
        <f>'2015'!BI15</f>
        <v>0</v>
      </c>
      <c r="BT189" s="57">
        <f>'2015'!BJ15</f>
        <v>0</v>
      </c>
      <c r="BU189" s="57">
        <f>'2015'!BK15</f>
        <v>0</v>
      </c>
      <c r="BV189" s="58">
        <f>'2015'!BL15</f>
        <v>0</v>
      </c>
      <c r="BW189" s="58">
        <f>'2015'!BM15</f>
        <v>0</v>
      </c>
      <c r="BX189" s="58">
        <f>'2015'!BN15</f>
        <v>0</v>
      </c>
      <c r="BY189" s="58">
        <f>'2015'!BO15</f>
        <v>0</v>
      </c>
      <c r="BZ189" s="57">
        <f>'2015'!BP15</f>
        <v>0</v>
      </c>
      <c r="CA189" s="57">
        <f>'2015'!BQ15</f>
        <v>1</v>
      </c>
      <c r="CB189" s="57">
        <f>'2015'!BR15</f>
        <v>0</v>
      </c>
      <c r="CC189" s="57">
        <f>'2015'!BS15</f>
        <v>0</v>
      </c>
      <c r="CD189" s="59">
        <f>'2015'!BT15</f>
        <v>0</v>
      </c>
      <c r="CE189" s="56">
        <f>'2015'!BU15</f>
        <v>275</v>
      </c>
      <c r="CF189" s="57">
        <f>'2015'!BV15</f>
        <v>2257.1999999999998</v>
      </c>
      <c r="CG189" s="57">
        <f>'2015'!BW15</f>
        <v>3</v>
      </c>
      <c r="CH189" s="57">
        <f>'2015'!BX15</f>
        <v>0</v>
      </c>
      <c r="CI189" s="57">
        <f>'2015'!BY15</f>
        <v>52</v>
      </c>
      <c r="CJ189" s="57">
        <f>'2015'!BZ15</f>
        <v>0</v>
      </c>
      <c r="CK189" s="58">
        <f>'2015'!CA15</f>
        <v>5.2884615384615383</v>
      </c>
      <c r="CL189" s="58">
        <f>'2015'!CB15</f>
        <v>0</v>
      </c>
      <c r="CM189" s="58">
        <f>'2015'!CC15</f>
        <v>0</v>
      </c>
      <c r="CN189" s="58">
        <f>'2015'!CD15</f>
        <v>0</v>
      </c>
      <c r="CO189" s="57">
        <f>'2015'!CE15</f>
        <v>10</v>
      </c>
      <c r="CP189" s="57">
        <f>'2015'!CF15</f>
        <v>1755.6000000000001</v>
      </c>
      <c r="CQ189" s="57">
        <f>'2015'!CG15</f>
        <v>3</v>
      </c>
      <c r="CR189" s="57">
        <f>'2015'!CH15</f>
        <v>0</v>
      </c>
      <c r="CS189" s="59">
        <f>'2015'!CI15</f>
        <v>0</v>
      </c>
      <c r="CT189" s="56">
        <f>'2015'!CJ15</f>
        <v>339</v>
      </c>
      <c r="CU189" s="57">
        <f>'2015'!CK15</f>
        <v>729</v>
      </c>
      <c r="CV189" s="57">
        <f>'2015'!CL15</f>
        <v>2</v>
      </c>
      <c r="CW189" s="57">
        <f>'2015'!CM15</f>
        <v>0</v>
      </c>
      <c r="CX189" s="57">
        <f>'2015'!CN15</f>
        <v>79</v>
      </c>
      <c r="CY189" s="57">
        <f>'2015'!CO15</f>
        <v>0</v>
      </c>
      <c r="CZ189" s="58">
        <f>'2015'!CP15</f>
        <v>4.2911392405063289</v>
      </c>
      <c r="DA189" s="58">
        <f>'2015'!CQ15</f>
        <v>0</v>
      </c>
      <c r="DB189" s="58">
        <f>'2015'!CR15</f>
        <v>0</v>
      </c>
      <c r="DC189" s="58">
        <f>'2015'!CS15</f>
        <v>0</v>
      </c>
      <c r="DD189" s="57">
        <f>'2015'!CT15</f>
        <v>25</v>
      </c>
      <c r="DE189" s="57">
        <f>'2015'!CU15</f>
        <v>854.5</v>
      </c>
      <c r="DF189" s="57">
        <f>'2015'!CV15</f>
        <v>5</v>
      </c>
      <c r="DG189" s="57">
        <f>'2015'!CW15</f>
        <v>0</v>
      </c>
      <c r="DH189" s="59">
        <f>'2015'!CX15</f>
        <v>0</v>
      </c>
      <c r="DI189" s="56">
        <f>'2015'!CY15</f>
        <v>817</v>
      </c>
      <c r="DJ189" s="57">
        <f>'2015'!CZ15</f>
        <v>2064.6999999999998</v>
      </c>
      <c r="DK189" s="57">
        <f>'2015'!DA15</f>
        <v>6</v>
      </c>
      <c r="DL189" s="57">
        <f>'2015'!DB15</f>
        <v>19.8</v>
      </c>
      <c r="DM189" s="57">
        <f>'2015'!DC15</f>
        <v>166</v>
      </c>
      <c r="DN189" s="57">
        <f>'2015'!DD15</f>
        <v>29</v>
      </c>
      <c r="DO189" s="58">
        <f>'2015'!DE15</f>
        <v>4.9216867469879517</v>
      </c>
      <c r="DP189" s="58">
        <f>'2015'!DF15</f>
        <v>44.8</v>
      </c>
      <c r="DQ189" s="58">
        <f>'2015'!DG15</f>
        <v>2.73</v>
      </c>
      <c r="DR189" s="58">
        <f>'2015'!DH15</f>
        <v>34.1</v>
      </c>
      <c r="DS189" s="57">
        <f>'2015'!DI15</f>
        <v>65</v>
      </c>
      <c r="DT189" s="57">
        <f>'2015'!DJ15</f>
        <v>1978.9</v>
      </c>
      <c r="DU189" s="57">
        <f>'2015'!DK15</f>
        <v>11</v>
      </c>
      <c r="DV189" s="57">
        <f>'2015'!DL15</f>
        <v>1</v>
      </c>
      <c r="DW189" s="59">
        <f>'2015'!DM15</f>
        <v>16.5</v>
      </c>
    </row>
    <row r="190" spans="1:127" ht="15.75" customHeight="1" x14ac:dyDescent="0.2">
      <c r="A190" s="33">
        <f t="shared" si="25"/>
        <v>188</v>
      </c>
      <c r="B190" s="11">
        <f>'2022'!A20</f>
        <v>18</v>
      </c>
      <c r="C190" s="11">
        <v>2022</v>
      </c>
      <c r="D190" s="34" t="str">
        <f>'2022'!B20</f>
        <v>Kevin Harris</v>
      </c>
      <c r="E190" s="224" t="str" cm="1">
        <f t="array" ref="E190">_xlfn.IFS(F190&gt;=13,"Cornerstone",AND(F190&gt;=12,F190&lt;13),"Elite",AND(F190&gt;=11,F190&lt;12),"Elite Upside",AND(F190&gt;=9,F190&lt;11),"Upside",AND(F190&gt;=7,F190&lt;9),"Upside Lite",AND(F190&gt;=6,F190&lt;7),"Outlier",AND(F190&gt;=5,F190&lt;6),"Outlier Lite",F190&lt;5,"Purgatory")</f>
        <v>Outlier Lite</v>
      </c>
      <c r="F190" s="14">
        <f>'2022'!C20</f>
        <v>5.9055555555555559</v>
      </c>
      <c r="G190" s="14">
        <f t="shared" si="31"/>
        <v>42.5</v>
      </c>
      <c r="H190" s="35">
        <f t="shared" si="26"/>
        <v>-0.88744155515574885</v>
      </c>
      <c r="I190" s="36" t="str">
        <f>'2022'!D20</f>
        <v>South Carolina</v>
      </c>
      <c r="J190" s="37">
        <f>'2022'!E20</f>
        <v>1</v>
      </c>
      <c r="K190" s="38">
        <f>'2022'!F20</f>
        <v>36847</v>
      </c>
      <c r="L190" s="39">
        <f>'2022'!G20</f>
        <v>24.876712328767123</v>
      </c>
      <c r="M190" s="39" t="str">
        <f>'2022'!H20</f>
        <v>JR</v>
      </c>
      <c r="N190" s="39">
        <f>'2022'!I20</f>
        <v>21.457534246575342</v>
      </c>
      <c r="O190" s="39" t="str">
        <f t="shared" si="27"/>
        <v>BELL CALF</v>
      </c>
      <c r="P190" s="39" t="str">
        <f t="shared" si="34"/>
        <v>SLASHER</v>
      </c>
      <c r="Q190" s="37">
        <f>'2022'!J20</f>
        <v>70</v>
      </c>
      <c r="R190" s="37">
        <f>'2022'!K20</f>
        <v>221</v>
      </c>
      <c r="S190" s="39">
        <f t="shared" si="29"/>
        <v>31.709847011530755</v>
      </c>
      <c r="T190" s="37">
        <f>'2022'!L20</f>
        <v>4.62</v>
      </c>
      <c r="U190" s="40">
        <f>'2022'!M20</f>
        <v>6</v>
      </c>
      <c r="V190" s="41">
        <f>'2022'!N20</f>
        <v>0</v>
      </c>
      <c r="W190" s="42">
        <f>'2022'!O20</f>
        <v>0</v>
      </c>
      <c r="X190" s="42">
        <f>'2022'!P20</f>
        <v>4.5933228769885724E-2</v>
      </c>
      <c r="Y190" s="42">
        <f>'2022'!Q20</f>
        <v>0.3652492255702619</v>
      </c>
      <c r="Z190" s="42">
        <f>'2022'!R20</f>
        <v>0.16955332725615316</v>
      </c>
      <c r="AA190" s="42">
        <f>'2022'!S20</f>
        <v>0.26740127641320754</v>
      </c>
      <c r="AB190" s="42">
        <f>'2022'!T20</f>
        <v>0.26740127641320754</v>
      </c>
      <c r="AC190" s="42">
        <f>'2022'!U20</f>
        <v>8.4935897435897439E-2</v>
      </c>
      <c r="AD190" s="42">
        <f>'2022'!V20</f>
        <v>3.4034416826003826E-2</v>
      </c>
      <c r="AE190" s="42">
        <f>'2022'!W20</f>
        <v>5.9485157130950636E-2</v>
      </c>
      <c r="AF190" s="43">
        <f>'2022'!X20</f>
        <v>5.9485157130950636E-2</v>
      </c>
      <c r="AG190" s="44">
        <f>'2022'!Y20</f>
        <v>19.813698630136987</v>
      </c>
      <c r="AH190" s="45">
        <f>'2022'!Z20</f>
        <v>97.018457867144235</v>
      </c>
      <c r="AI190" s="45">
        <f>'2022'!AA20</f>
        <v>31.70673469387755</v>
      </c>
      <c r="AJ190" s="45">
        <f>'2022'!AB20</f>
        <v>0.2</v>
      </c>
      <c r="AK190" s="45">
        <f>'2022'!AC20</f>
        <v>6.2</v>
      </c>
      <c r="AL190" s="45">
        <f t="shared" si="28"/>
        <v>7.8285714285714283</v>
      </c>
      <c r="AM190" s="45">
        <f t="shared" si="35"/>
        <v>6.7073170731707321E-2</v>
      </c>
      <c r="AN190" s="45">
        <f>'2022'!AD20</f>
        <v>70.7</v>
      </c>
      <c r="AO190" s="45">
        <f>'2022'!AE20</f>
        <v>3.31</v>
      </c>
      <c r="AP190" s="46">
        <f>'2022'!AF20</f>
        <v>47.2</v>
      </c>
      <c r="AQ190" s="47">
        <f>'2022'!AG20</f>
        <v>7</v>
      </c>
      <c r="AR190" s="48">
        <f>'2022'!AH20</f>
        <v>6</v>
      </c>
      <c r="AS190" s="48">
        <f>'2022'!AI20</f>
        <v>5</v>
      </c>
      <c r="AT190" s="48">
        <f>IF(AH190&gt;113.25,10,IF(AH190&gt;=107.84,9,IF(AH190&gt;=105.37,8,IF(AH190&gt;=103.25,7,IF(AH190&gt;=100.55,6,IF(AH190&gt;=98.75,5,IF(AH190&gt;=96.08,4,IF(AH190&gt;=94.39,3,IF(AH190&gt;=88.43,2,IF(AH190&gt;=85.16,1,IF(AH190&lt;85.16,0,FALSE)))))))))))</f>
        <v>4</v>
      </c>
      <c r="AU190" s="48">
        <f>'2022'!AK20</f>
        <v>4</v>
      </c>
      <c r="AV190" s="48">
        <f>'2022'!AL20</f>
        <v>5</v>
      </c>
      <c r="AW190" s="48">
        <f>'2022'!AM20</f>
        <v>1</v>
      </c>
      <c r="AX190" s="48">
        <f>'2022'!AN20</f>
        <v>1</v>
      </c>
      <c r="AY190" s="49">
        <f>IF(U190=1,10,IF(U190=2,7,IF(U190=3,6,IF(U190=4,4,IF(U190=5,3,IF(U190=6,2,IF(U190=7,1,IF(U190=0,0,"-"))))))))</f>
        <v>2</v>
      </c>
      <c r="AZ190" s="50">
        <f>'2022'!AP20</f>
        <v>0</v>
      </c>
      <c r="BA190" s="56">
        <f>'2022'!AQ20</f>
        <v>0</v>
      </c>
      <c r="BB190" s="57">
        <f>'2022'!AR20</f>
        <v>1588</v>
      </c>
      <c r="BC190" s="57">
        <f>'2022'!AS20</f>
        <v>0</v>
      </c>
      <c r="BD190" s="57">
        <f>'2022'!AT20</f>
        <v>16</v>
      </c>
      <c r="BE190" s="57">
        <f>'2022'!AU20</f>
        <v>0</v>
      </c>
      <c r="BF190" s="57">
        <f>'2022'!AV20</f>
        <v>0</v>
      </c>
      <c r="BG190" s="58">
        <f>'2022'!AW20</f>
        <v>0</v>
      </c>
      <c r="BH190" s="58">
        <f>'2022'!AX20</f>
        <v>0</v>
      </c>
      <c r="BI190" s="58">
        <f>'2022'!AY20</f>
        <v>0</v>
      </c>
      <c r="BJ190" s="58">
        <f>'2022'!AZ20</f>
        <v>0</v>
      </c>
      <c r="BK190" s="57">
        <f>'2022'!BA20</f>
        <v>0</v>
      </c>
      <c r="BL190" s="57">
        <f>'2022'!BB20</f>
        <v>2794</v>
      </c>
      <c r="BM190" s="57">
        <f>'2022'!BC20</f>
        <v>0</v>
      </c>
      <c r="BN190" s="57">
        <f>'2022'!BD20</f>
        <v>0</v>
      </c>
      <c r="BO190" s="59">
        <f>'2022'!BE20</f>
        <v>18</v>
      </c>
      <c r="BP190" s="56">
        <f>'2022'!BF20</f>
        <v>0</v>
      </c>
      <c r="BQ190" s="57">
        <f>'2022'!BG20</f>
        <v>1986</v>
      </c>
      <c r="BR190" s="57">
        <f>'2022'!BH20</f>
        <v>0</v>
      </c>
      <c r="BS190" s="57">
        <f>'2022'!BI20</f>
        <v>15</v>
      </c>
      <c r="BT190" s="57">
        <f>'2022'!BJ20</f>
        <v>0</v>
      </c>
      <c r="BU190" s="57">
        <f>'2022'!BK20</f>
        <v>0</v>
      </c>
      <c r="BV190" s="58">
        <f>'2022'!BL20</f>
        <v>0</v>
      </c>
      <c r="BW190" s="58">
        <f>'2022'!BM20</f>
        <v>0</v>
      </c>
      <c r="BX190" s="58">
        <f>'2022'!BN20</f>
        <v>0</v>
      </c>
      <c r="BY190" s="58">
        <f>'2022'!BO20</f>
        <v>0</v>
      </c>
      <c r="BZ190" s="57">
        <f>'2022'!BP20</f>
        <v>0</v>
      </c>
      <c r="CA190" s="57">
        <f>'2022'!BQ20</f>
        <v>3547</v>
      </c>
      <c r="CB190" s="57">
        <f>'2022'!BR20</f>
        <v>0</v>
      </c>
      <c r="CC190" s="57">
        <f>'2022'!BS20</f>
        <v>0</v>
      </c>
      <c r="CD190" s="59">
        <f>'2022'!BT20</f>
        <v>32</v>
      </c>
      <c r="CE190" s="56">
        <f>'2022'!BU20</f>
        <v>179</v>
      </c>
      <c r="CF190" s="57">
        <f>'2022'!BV20</f>
        <v>1796</v>
      </c>
      <c r="CG190" s="57">
        <f>'2022'!BW20</f>
        <v>4</v>
      </c>
      <c r="CH190" s="57">
        <f>'2022'!BX20</f>
        <v>18</v>
      </c>
      <c r="CI190" s="57">
        <f>'2022'!BY20</f>
        <v>21</v>
      </c>
      <c r="CJ190" s="57">
        <f>'2022'!BZ20</f>
        <v>8</v>
      </c>
      <c r="CK190" s="58">
        <f>'2022'!CA20</f>
        <v>8.5</v>
      </c>
      <c r="CL190" s="58">
        <f>'2022'!CB20</f>
        <v>280.39999999999998</v>
      </c>
      <c r="CM190" s="58">
        <f>'2022'!CC20</f>
        <v>7.48</v>
      </c>
      <c r="CN190" s="58">
        <f>'2022'!CD20</f>
        <v>67</v>
      </c>
      <c r="CO190" s="57">
        <f>'2022'!CE20</f>
        <v>26</v>
      </c>
      <c r="CP190" s="57">
        <f>'2022'!CF20</f>
        <v>2667</v>
      </c>
      <c r="CQ190" s="57">
        <f>'2022'!CG20</f>
        <v>3</v>
      </c>
      <c r="CR190" s="57">
        <f>'2022'!CH20</f>
        <v>0</v>
      </c>
      <c r="CS190" s="59">
        <f>'2022'!CI20</f>
        <v>12</v>
      </c>
      <c r="CT190" s="56">
        <f>'2022'!CJ20</f>
        <v>1138</v>
      </c>
      <c r="CU190" s="57">
        <f>'2022'!CK20</f>
        <v>1679</v>
      </c>
      <c r="CV190" s="57">
        <f>'2022'!CL20</f>
        <v>15</v>
      </c>
      <c r="CW190" s="57">
        <f>'2022'!CM20</f>
        <v>21</v>
      </c>
      <c r="CX190" s="57">
        <f>'2022'!CN20</f>
        <v>185</v>
      </c>
      <c r="CY190" s="57">
        <f>'2022'!CO20</f>
        <v>37</v>
      </c>
      <c r="CZ190" s="58">
        <f>'2022'!CP20</f>
        <v>6.2</v>
      </c>
      <c r="DA190" s="58">
        <f>'2022'!CQ20</f>
        <v>70.7</v>
      </c>
      <c r="DB190" s="58">
        <f>'2022'!CR20</f>
        <v>3.31</v>
      </c>
      <c r="DC190" s="58">
        <f>'2022'!CS20</f>
        <v>47.2</v>
      </c>
      <c r="DD190" s="57">
        <f>'2022'!CT20</f>
        <v>159</v>
      </c>
      <c r="DE190" s="57">
        <f>'2022'!CU20</f>
        <v>1872</v>
      </c>
      <c r="DF190" s="57">
        <f>'2022'!CV20</f>
        <v>21</v>
      </c>
      <c r="DG190" s="57">
        <f>'2022'!CW20</f>
        <v>0</v>
      </c>
      <c r="DH190" s="59">
        <f>'2022'!CX20</f>
        <v>8</v>
      </c>
      <c r="DI190" s="56">
        <f>'2022'!CY20</f>
        <v>655</v>
      </c>
      <c r="DJ190" s="57">
        <f>'2022'!CZ20</f>
        <v>1773</v>
      </c>
      <c r="DK190" s="57">
        <f>'2022'!DA20</f>
        <v>4</v>
      </c>
      <c r="DL190" s="57">
        <f>'2022'!DB20</f>
        <v>9</v>
      </c>
      <c r="DM190" s="57">
        <f>'2022'!DC20</f>
        <v>153</v>
      </c>
      <c r="DN190" s="57">
        <f>'2022'!DD20</f>
        <v>23</v>
      </c>
      <c r="DO190" s="58">
        <f>'2022'!DE20</f>
        <v>4.3</v>
      </c>
      <c r="DP190" s="58">
        <f>'2022'!DF20</f>
        <v>47.9</v>
      </c>
      <c r="DQ190" s="58">
        <f>'2022'!DG20</f>
        <v>3.14</v>
      </c>
      <c r="DR190" s="58">
        <f>'2022'!DH20</f>
        <v>23.7</v>
      </c>
      <c r="DS190" s="57">
        <f>'2022'!DI20</f>
        <v>89</v>
      </c>
      <c r="DT190" s="57">
        <f>'2022'!DJ20</f>
        <v>2615</v>
      </c>
      <c r="DU190" s="57">
        <f>'2022'!DK20</f>
        <v>11</v>
      </c>
      <c r="DV190" s="57">
        <f>'2022'!DL20</f>
        <v>0</v>
      </c>
      <c r="DW190" s="59">
        <f>'2022'!DM20</f>
        <v>22</v>
      </c>
    </row>
    <row r="191" spans="1:127" ht="15.75" customHeight="1" x14ac:dyDescent="0.2">
      <c r="A191" s="33">
        <f t="shared" si="25"/>
        <v>189</v>
      </c>
      <c r="B191" s="11">
        <f>'2025'!A25</f>
        <v>23</v>
      </c>
      <c r="C191" s="11">
        <v>2025</v>
      </c>
      <c r="D191" s="34" t="str">
        <f>'2025'!B25</f>
        <v>Tahj Brooks</v>
      </c>
      <c r="E191" s="224" t="str" cm="1">
        <f t="array" ref="E191">_xlfn.IFS(F191&gt;=13,"Cornerstone",AND(F191&gt;=12,F191&lt;13),"Elite",AND(F191&gt;=11,F191&lt;12),"Elite Upside",AND(F191&gt;=9,F191&lt;11),"Upside",AND(F191&gt;=7,F191&lt;9),"Upside Lite",AND(F191&gt;=6,F191&lt;7),"Outlier",AND(F191&gt;=5,F191&lt;6),"Outlier Lite",F191&lt;5,"Purgatory")</f>
        <v>Outlier Lite</v>
      </c>
      <c r="F191" s="14">
        <f>'2025'!C25</f>
        <v>5.8944444444444439</v>
      </c>
      <c r="G191" s="14">
        <f t="shared" si="31"/>
        <v>42.199999999999996</v>
      </c>
      <c r="H191" s="35">
        <f t="shared" si="26"/>
        <v>-0.89214405586952306</v>
      </c>
      <c r="I191" s="36" t="str">
        <f>'2025'!D25</f>
        <v>Texas Tech</v>
      </c>
      <c r="J191" s="37">
        <f>'2025'!E25</f>
        <v>3</v>
      </c>
      <c r="K191" s="38">
        <f>'2025'!F25</f>
        <v>36659</v>
      </c>
      <c r="L191" s="39">
        <f>'2025'!G25</f>
        <v>25.391780821917809</v>
      </c>
      <c r="M191" s="39" t="str">
        <f>'2025'!H25</f>
        <v>RS SR</v>
      </c>
      <c r="N191" s="39">
        <f>'2025'!I25</f>
        <v>24.972602739726028</v>
      </c>
      <c r="O191" s="39" t="str">
        <f t="shared" si="27"/>
        <v>BELL CALF</v>
      </c>
      <c r="P191" s="39" t="str">
        <f t="shared" si="34"/>
        <v>SLASHER</v>
      </c>
      <c r="Q191" s="37">
        <f>'2025'!J25</f>
        <v>69</v>
      </c>
      <c r="R191" s="37">
        <f>'2025'!K25</f>
        <v>214</v>
      </c>
      <c r="S191" s="39">
        <f t="shared" si="29"/>
        <v>31.601925501687592</v>
      </c>
      <c r="T191" s="37">
        <f>'2025'!L25</f>
        <v>4.5199999999999996</v>
      </c>
      <c r="U191" s="40">
        <f>'2025'!M25</f>
        <v>6</v>
      </c>
      <c r="V191" s="41">
        <f>'2025'!N25</f>
        <v>7.370378981632178E-2</v>
      </c>
      <c r="W191" s="42">
        <f>'2025'!O25</f>
        <v>0.16864126374212832</v>
      </c>
      <c r="X191" s="42">
        <f>'2025'!P25</f>
        <v>0.14320962955553332</v>
      </c>
      <c r="Y191" s="42">
        <f>'2025'!Q25</f>
        <v>0.32165662111356447</v>
      </c>
      <c r="Z191" s="42">
        <f>'2025'!R25</f>
        <v>0.33616912588168263</v>
      </c>
      <c r="AA191" s="42">
        <f>'2025'!S25</f>
        <v>0.33616912588168263</v>
      </c>
      <c r="AB191" s="42">
        <f>'2025'!T25</f>
        <v>0.30255221329351439</v>
      </c>
      <c r="AC191" s="42">
        <f>'2025'!U25</f>
        <v>2.403846153846154E-2</v>
      </c>
      <c r="AD191" s="42">
        <f>'2025'!V25</f>
        <v>6.0973741459080188E-2</v>
      </c>
      <c r="AE191" s="42">
        <f>'2025'!W25</f>
        <v>6.0973741459080188E-2</v>
      </c>
      <c r="AF191" s="43">
        <f>'2025'!X25</f>
        <v>5.4876367313172171E-2</v>
      </c>
      <c r="AG191" s="44">
        <f>'2025'!Y25</f>
        <v>21.315068493150687</v>
      </c>
      <c r="AH191" s="45">
        <f>'2025'!Z25</f>
        <v>102.53922478389582</v>
      </c>
      <c r="AI191" s="45">
        <f>'2025'!AA25</f>
        <v>31.598823776517538</v>
      </c>
      <c r="AJ191" s="45">
        <f>'2025'!AB25</f>
        <v>0.32876712328767121</v>
      </c>
      <c r="AK191" s="45">
        <f>'2025'!AC25</f>
        <v>5.2979452054794525</v>
      </c>
      <c r="AL191" s="45">
        <f t="shared" si="28"/>
        <v>5.4059405940594063</v>
      </c>
      <c r="AM191" s="45">
        <f t="shared" si="35"/>
        <v>8.8888888888888892E-2</v>
      </c>
      <c r="AN191" s="45">
        <f>'2025'!AD25</f>
        <v>107.9</v>
      </c>
      <c r="AO191" s="45">
        <f>'2025'!AE25</f>
        <v>3.42</v>
      </c>
      <c r="AP191" s="46">
        <f>'2025'!AF25</f>
        <v>38.9</v>
      </c>
      <c r="AQ191" s="47">
        <f>'2025'!AG25</f>
        <v>8</v>
      </c>
      <c r="AR191" s="48">
        <f>'2025'!AH25</f>
        <v>6</v>
      </c>
      <c r="AS191" s="48">
        <f>'2025'!AI25</f>
        <v>2</v>
      </c>
      <c r="AT191" s="48">
        <f>'2025'!AJ25</f>
        <v>6</v>
      </c>
      <c r="AU191" s="48">
        <f>'2025'!AK25</f>
        <v>9</v>
      </c>
      <c r="AV191" s="48">
        <f>'2025'!AL25</f>
        <v>2</v>
      </c>
      <c r="AW191" s="48">
        <f>'2025'!AM25</f>
        <v>5</v>
      </c>
      <c r="AX191" s="48">
        <f>'2025'!AN25</f>
        <v>1</v>
      </c>
      <c r="AY191" s="49">
        <f>'2025'!AO25</f>
        <v>2</v>
      </c>
      <c r="AZ191" s="50">
        <f>'2025'!AP25</f>
        <v>0</v>
      </c>
      <c r="BA191" s="56">
        <f>'2025'!AQ25</f>
        <v>256</v>
      </c>
      <c r="BB191" s="57">
        <f>'2025'!AR25</f>
        <v>1634</v>
      </c>
      <c r="BC191" s="57">
        <f>'2025'!AS25</f>
        <v>4</v>
      </c>
      <c r="BD191" s="57">
        <f>'2025'!AT25</f>
        <v>17</v>
      </c>
      <c r="BE191" s="57">
        <f>'2025'!AU25</f>
        <v>68</v>
      </c>
      <c r="BF191" s="57">
        <f>'2025'!AV25</f>
        <v>20</v>
      </c>
      <c r="BG191" s="58">
        <f>'2025'!AW25</f>
        <v>3.7647058823529411</v>
      </c>
      <c r="BH191" s="58">
        <f>'2025'!AX25</f>
        <v>80.599999999999994</v>
      </c>
      <c r="BI191" s="58">
        <f>'2025'!AY25</f>
        <v>2.84</v>
      </c>
      <c r="BJ191" s="58">
        <f>'2025'!AZ25</f>
        <v>17.2</v>
      </c>
      <c r="BK191" s="57">
        <f>'2025'!BA25</f>
        <v>61</v>
      </c>
      <c r="BL191" s="57">
        <f>'2025'!BB25</f>
        <v>2667</v>
      </c>
      <c r="BM191" s="57">
        <f>'2025'!BC25</f>
        <v>13</v>
      </c>
      <c r="BN191" s="57">
        <f>'2025'!BD25</f>
        <v>0</v>
      </c>
      <c r="BO191" s="59">
        <f>'2025'!BE25</f>
        <v>18</v>
      </c>
      <c r="BP191" s="56">
        <f>'2025'!BF25</f>
        <v>580</v>
      </c>
      <c r="BQ191" s="57">
        <f>'2025'!BG25</f>
        <v>1432.8</v>
      </c>
      <c r="BR191" s="57">
        <f>'2025'!BH25</f>
        <v>7</v>
      </c>
      <c r="BS191" s="57">
        <f>'2025'!BI25</f>
        <v>20.7</v>
      </c>
      <c r="BT191" s="57">
        <f>'2025'!BJ25</f>
        <v>88</v>
      </c>
      <c r="BU191" s="57">
        <f>'2025'!BK25</f>
        <v>18</v>
      </c>
      <c r="BV191" s="58">
        <f>'2025'!BL25</f>
        <v>6.5909090909090908</v>
      </c>
      <c r="BW191" s="58">
        <f>'2025'!BM25</f>
        <v>73.5</v>
      </c>
      <c r="BX191" s="58">
        <f>'2025'!BN25</f>
        <v>3.84</v>
      </c>
      <c r="BY191" s="58">
        <f>'2025'!BO25</f>
        <v>48.3</v>
      </c>
      <c r="BZ191" s="57">
        <f>'2025'!BP25</f>
        <v>52</v>
      </c>
      <c r="CA191" s="57">
        <f>'2025'!BQ25</f>
        <v>2314.7999999999997</v>
      </c>
      <c r="CB191" s="57">
        <f>'2025'!BR25</f>
        <v>6</v>
      </c>
      <c r="CC191" s="57">
        <f>'2025'!BS25</f>
        <v>0</v>
      </c>
      <c r="CD191" s="59">
        <f>'2025'!BT25</f>
        <v>12.6</v>
      </c>
      <c r="CE191" s="56">
        <f>'2025'!BU25</f>
        <v>695</v>
      </c>
      <c r="CF191" s="57">
        <f>'2025'!BV25</f>
        <v>2065.7000000000003</v>
      </c>
      <c r="CG191" s="57">
        <f>'2025'!BW25</f>
        <v>7</v>
      </c>
      <c r="CH191" s="57">
        <f>'2025'!BX25</f>
        <v>28.6</v>
      </c>
      <c r="CI191" s="57">
        <f>'2025'!BY25</f>
        <v>148</v>
      </c>
      <c r="CJ191" s="57">
        <f>'2025'!BZ25</f>
        <v>42</v>
      </c>
      <c r="CK191" s="58">
        <f>'2025'!CA25</f>
        <v>4.6959459459459456</v>
      </c>
      <c r="CL191" s="58">
        <f>'2025'!CB25</f>
        <v>69.7</v>
      </c>
      <c r="CM191" s="58">
        <f>'2025'!CC25</f>
        <v>2.76</v>
      </c>
      <c r="CN191" s="58">
        <f>'2025'!CD25</f>
        <v>26.6</v>
      </c>
      <c r="CO191" s="57">
        <f>'2025'!CE25</f>
        <v>164</v>
      </c>
      <c r="CP191" s="57">
        <f>'2025'!CF25</f>
        <v>3932.5</v>
      </c>
      <c r="CQ191" s="57">
        <f>'2025'!CG25</f>
        <v>26</v>
      </c>
      <c r="CR191" s="57">
        <f>'2025'!CH25</f>
        <v>1</v>
      </c>
      <c r="CS191" s="59">
        <f>'2025'!CI25</f>
        <v>26</v>
      </c>
      <c r="CT191" s="56">
        <f>'2025'!CJ25</f>
        <v>1547</v>
      </c>
      <c r="CU191" s="57">
        <f>'2025'!CK25</f>
        <v>2115.1</v>
      </c>
      <c r="CV191" s="57">
        <f>'2025'!CL25</f>
        <v>10</v>
      </c>
      <c r="CW191" s="57">
        <f>'2025'!CM25</f>
        <v>16.900000000000002</v>
      </c>
      <c r="CX191" s="57">
        <f>'2025'!CN25</f>
        <v>292</v>
      </c>
      <c r="CY191" s="57">
        <f>'2025'!CO25</f>
        <v>96</v>
      </c>
      <c r="CZ191" s="58">
        <f>'2025'!CP25</f>
        <v>5.2979452054794525</v>
      </c>
      <c r="DA191" s="58">
        <f>'2025'!CQ25</f>
        <v>107.9</v>
      </c>
      <c r="DB191" s="58">
        <f>'2025'!CR25</f>
        <v>3.42</v>
      </c>
      <c r="DC191" s="58">
        <f>'2025'!CS25</f>
        <v>29.2</v>
      </c>
      <c r="DD191" s="57">
        <f>'2025'!CT25</f>
        <v>70</v>
      </c>
      <c r="DE191" s="57">
        <f>'2025'!CU25</f>
        <v>2912</v>
      </c>
      <c r="DF191" s="57">
        <f>'2025'!CV25</f>
        <v>28</v>
      </c>
      <c r="DG191" s="57">
        <f>'2025'!CW25</f>
        <v>0</v>
      </c>
      <c r="DH191" s="59">
        <f>'2025'!CX25</f>
        <v>23.400000000000002</v>
      </c>
      <c r="DI191" s="56">
        <f>'2025'!CY25</f>
        <v>1512</v>
      </c>
      <c r="DJ191" s="57">
        <f>'2025'!CZ25</f>
        <v>1826</v>
      </c>
      <c r="DK191" s="57">
        <f>'2025'!DA25</f>
        <v>17</v>
      </c>
      <c r="DL191" s="57">
        <f>'2025'!DB25</f>
        <v>22</v>
      </c>
      <c r="DM191" s="57">
        <f>'2025'!DC25</f>
        <v>287</v>
      </c>
      <c r="DN191" s="57">
        <f>'2025'!DD25</f>
        <v>58</v>
      </c>
      <c r="DO191" s="58">
        <f>'2025'!DE25</f>
        <v>5.2682926829268295</v>
      </c>
      <c r="DP191" s="58">
        <f>'2025'!DF25</f>
        <v>67.5</v>
      </c>
      <c r="DQ191" s="58">
        <f>'2025'!DG25</f>
        <v>3.04</v>
      </c>
      <c r="DR191" s="58">
        <f>'2025'!DH25</f>
        <v>38.9</v>
      </c>
      <c r="DS191" s="57">
        <f>'2025'!DI25</f>
        <v>199</v>
      </c>
      <c r="DT191" s="57">
        <f>'2025'!DJ25</f>
        <v>3263.7</v>
      </c>
      <c r="DU191" s="57">
        <f>'2025'!DK25</f>
        <v>28</v>
      </c>
      <c r="DV191" s="57">
        <f>'2025'!DL25</f>
        <v>1</v>
      </c>
      <c r="DW191" s="59">
        <f>'2025'!DM25</f>
        <v>27.5</v>
      </c>
    </row>
    <row r="192" spans="1:127" ht="15.75" customHeight="1" x14ac:dyDescent="0.2">
      <c r="A192" s="33">
        <f t="shared" si="25"/>
        <v>190</v>
      </c>
      <c r="B192" s="11">
        <f>'2017'!A18</f>
        <v>16</v>
      </c>
      <c r="C192" s="11">
        <v>2017</v>
      </c>
      <c r="D192" s="34" t="str">
        <f>'2017'!B18</f>
        <v>Wayne Gallman</v>
      </c>
      <c r="E192" s="224" t="str" cm="1">
        <f t="array" ref="E192">_xlfn.IFS(F192&gt;=13,"Cornerstone",AND(F192&gt;=12,F192&lt;13),"Elite",AND(F192&gt;=11,F192&lt;12),"Elite Upside",AND(F192&gt;=9,F192&lt;11),"Upside",AND(F192&gt;=7,F192&lt;9),"Upside Lite",AND(F192&gt;=6,F192&lt;7),"Outlier",AND(F192&gt;=5,F192&lt;6),"Outlier Lite",F192&lt;5,"Purgatory")</f>
        <v>Outlier Lite</v>
      </c>
      <c r="F192" s="14">
        <f>'2017'!C18</f>
        <v>5.8833333333333329</v>
      </c>
      <c r="G192" s="14">
        <f t="shared" si="31"/>
        <v>41.8</v>
      </c>
      <c r="H192" s="35">
        <f t="shared" si="26"/>
        <v>-0.89684655658329682</v>
      </c>
      <c r="I192" s="36" t="str">
        <f>'2017'!D18</f>
        <v>Clemson</v>
      </c>
      <c r="J192" s="37">
        <f>'2017'!E18</f>
        <v>4</v>
      </c>
      <c r="K192" s="38">
        <f>'2017'!F18</f>
        <v>34608</v>
      </c>
      <c r="L192" s="39">
        <f>'2017'!G18</f>
        <v>31.010958904109589</v>
      </c>
      <c r="M192" s="39" t="str">
        <f>'2017'!H18</f>
        <v>JR</v>
      </c>
      <c r="N192" s="39">
        <f>'2017'!I18</f>
        <v>22.586301369863012</v>
      </c>
      <c r="O192" s="39" t="str">
        <f t="shared" si="27"/>
        <v>BELL COW</v>
      </c>
      <c r="P192" s="39" t="str">
        <f t="shared" si="34"/>
        <v>PLODDER</v>
      </c>
      <c r="Q192" s="37">
        <f>'2017'!J18</f>
        <v>72</v>
      </c>
      <c r="R192" s="37">
        <f>'2017'!K18</f>
        <v>215</v>
      </c>
      <c r="S192" s="39">
        <f t="shared" si="29"/>
        <v>29.158919043146728</v>
      </c>
      <c r="T192" s="37">
        <f>'2017'!L18</f>
        <v>4.5999999999999996</v>
      </c>
      <c r="U192" s="55">
        <f>'2017'!M18</f>
        <v>4</v>
      </c>
      <c r="V192" s="41">
        <f>'2017'!N18</f>
        <v>0</v>
      </c>
      <c r="W192" s="42">
        <f>'2017'!O18</f>
        <v>0</v>
      </c>
      <c r="X192" s="42">
        <f>'2017'!P18</f>
        <v>0.16522230595327808</v>
      </c>
      <c r="Y192" s="42">
        <f>'2017'!Q18</f>
        <v>0.22311479657942473</v>
      </c>
      <c r="Z192" s="42">
        <f>'2017'!R18</f>
        <v>0.16863004632693582</v>
      </c>
      <c r="AA192" s="42">
        <f>'2017'!S18</f>
        <v>0.19587242145318029</v>
      </c>
      <c r="AB192" s="42">
        <f>'2017'!T18</f>
        <v>0.17628517930786228</v>
      </c>
      <c r="AC192" s="42">
        <f>'2017'!U18</f>
        <v>4.5506517265035441E-2</v>
      </c>
      <c r="AD192" s="42">
        <f>'2017'!V18</f>
        <v>2.8548612497504493E-2</v>
      </c>
      <c r="AE192" s="42">
        <f>'2017'!W18</f>
        <v>3.7027564881269966E-2</v>
      </c>
      <c r="AF192" s="43">
        <f>'2017'!X18</f>
        <v>3.3324808393142967E-2</v>
      </c>
      <c r="AG192" s="44">
        <f>'2017'!Y18</f>
        <v>19.931506849315067</v>
      </c>
      <c r="AH192" s="45">
        <f>'2017'!Z18</f>
        <v>96.036677970704829</v>
      </c>
      <c r="AI192" s="45">
        <f>'2017'!AA18</f>
        <v>29.15605709876543</v>
      </c>
      <c r="AJ192" s="45">
        <f>'2017'!AB18</f>
        <v>0.2413793103448276</v>
      </c>
      <c r="AK192" s="45">
        <f>'2017'!AC18</f>
        <v>5.4</v>
      </c>
      <c r="AL192" s="45">
        <f t="shared" si="28"/>
        <v>6.8181818181818183</v>
      </c>
      <c r="AM192" s="45">
        <f t="shared" si="35"/>
        <v>7.9365079365079361E-2</v>
      </c>
      <c r="AN192" s="45">
        <f>'2017'!AD18</f>
        <v>82</v>
      </c>
      <c r="AO192" s="45">
        <f>'2017'!AE18</f>
        <v>3.32</v>
      </c>
      <c r="AP192" s="46">
        <f>'2017'!AF18</f>
        <v>35.200000000000003</v>
      </c>
      <c r="AQ192" s="47">
        <f>'2017'!AG18</f>
        <v>3</v>
      </c>
      <c r="AR192" s="48">
        <f>'2017'!AH18</f>
        <v>3</v>
      </c>
      <c r="AS192" s="48">
        <f>'2017'!AI18</f>
        <v>5</v>
      </c>
      <c r="AT192" s="48">
        <f>IF(AH192&gt;113.25,10,IF(AH192&gt;=107.84,9,IF(AH192&gt;=105.37,8,IF(AH192&gt;=103.25,7,IF(AH192&gt;=100.55,6,IF(AH192&gt;=98.75,5,IF(AH192&gt;=96.08,4,IF(AH192&gt;=94.39,3,IF(AH192&gt;=88.43,2,IF(AH192&gt;=85.16,1,IF(AH192&lt;85.16,0,FALSE)))))))))))</f>
        <v>3</v>
      </c>
      <c r="AU192" s="48">
        <f>'2017'!AK18</f>
        <v>6</v>
      </c>
      <c r="AV192" s="48">
        <f>'2017'!AL18</f>
        <v>2</v>
      </c>
      <c r="AW192" s="48">
        <f>'2017'!AM18</f>
        <v>4</v>
      </c>
      <c r="AX192" s="48">
        <f>'2017'!AN18</f>
        <v>3</v>
      </c>
      <c r="AY192" s="49">
        <f>IF(U192=1,10,IF(U192=2,7,IF(U192=3,6,IF(U192=4,4,IF(U192=5,3,IF(U192=6,2,IF(U192=7,1,IF(U192=0,0,"-"))))))))</f>
        <v>4</v>
      </c>
      <c r="AZ192" s="50">
        <f>'2017'!AP18</f>
        <v>0</v>
      </c>
      <c r="BA192" s="56">
        <f>'2017'!AQ18</f>
        <v>0</v>
      </c>
      <c r="BB192" s="57">
        <f>'2017'!AR18</f>
        <v>2484</v>
      </c>
      <c r="BC192" s="57">
        <f>'2017'!AS18</f>
        <v>0</v>
      </c>
      <c r="BD192" s="57">
        <f>'2017'!AT18</f>
        <v>0</v>
      </c>
      <c r="BE192" s="57">
        <f>'2017'!AU18</f>
        <v>0</v>
      </c>
      <c r="BF192" s="57">
        <f>'2017'!AV18</f>
        <v>0</v>
      </c>
      <c r="BG192" s="58">
        <f>'2017'!AW18</f>
        <v>0</v>
      </c>
      <c r="BH192" s="58">
        <f>'2017'!AX18</f>
        <v>0</v>
      </c>
      <c r="BI192" s="58">
        <f>'2017'!AY18</f>
        <v>0</v>
      </c>
      <c r="BJ192" s="58">
        <f>'2017'!AZ18</f>
        <v>0</v>
      </c>
      <c r="BK192" s="57">
        <f>'2017'!BA18</f>
        <v>0</v>
      </c>
      <c r="BL192" s="57">
        <f>'2017'!BB18</f>
        <v>4181</v>
      </c>
      <c r="BM192" s="57">
        <f>'2017'!BC18</f>
        <v>0</v>
      </c>
      <c r="BN192" s="57">
        <f>'2017'!BD18</f>
        <v>0</v>
      </c>
      <c r="BO192" s="59">
        <f>'2017'!BE18</f>
        <v>0</v>
      </c>
      <c r="BP192" s="56">
        <f>'2017'!BF18</f>
        <v>0</v>
      </c>
      <c r="BQ192" s="57">
        <f>'2017'!BG18</f>
        <v>2270</v>
      </c>
      <c r="BR192" s="57">
        <f>'2017'!BH18</f>
        <v>0</v>
      </c>
      <c r="BS192" s="57">
        <f>'2017'!BI18</f>
        <v>0</v>
      </c>
      <c r="BT192" s="57">
        <f>'2017'!BJ18</f>
        <v>0</v>
      </c>
      <c r="BU192" s="57">
        <f>'2017'!BK18</f>
        <v>0</v>
      </c>
      <c r="BV192" s="58">
        <f>'2017'!BL18</f>
        <v>0</v>
      </c>
      <c r="BW192" s="58">
        <f>'2017'!BM18</f>
        <v>0</v>
      </c>
      <c r="BX192" s="58">
        <f>'2017'!BN18</f>
        <v>0</v>
      </c>
      <c r="BY192" s="58">
        <f>'2017'!BO18</f>
        <v>0</v>
      </c>
      <c r="BZ192" s="57">
        <f>'2017'!BP18</f>
        <v>0</v>
      </c>
      <c r="CA192" s="57">
        <f>'2017'!BQ18</f>
        <v>4330</v>
      </c>
      <c r="CB192" s="57">
        <f>'2017'!BR18</f>
        <v>0</v>
      </c>
      <c r="CC192" s="57">
        <f>'2017'!BS18</f>
        <v>0</v>
      </c>
      <c r="CD192" s="59">
        <f>'2017'!BT18</f>
        <v>0</v>
      </c>
      <c r="CE192" s="56">
        <f>'2017'!BU18</f>
        <v>769</v>
      </c>
      <c r="CF192" s="57">
        <f>'2017'!BV18</f>
        <v>1904</v>
      </c>
      <c r="CG192" s="57">
        <f>'2017'!BW18</f>
        <v>4</v>
      </c>
      <c r="CH192" s="57">
        <f>'2017'!BX18</f>
        <v>0</v>
      </c>
      <c r="CI192" s="57">
        <f>'2017'!BY18</f>
        <v>161</v>
      </c>
      <c r="CJ192" s="57">
        <f>'2017'!BZ18</f>
        <v>30</v>
      </c>
      <c r="CK192" s="58">
        <f>'2017'!CA18</f>
        <v>4.8</v>
      </c>
      <c r="CL192" s="58">
        <f>'2017'!CB18</f>
        <v>47.7</v>
      </c>
      <c r="CM192" s="58">
        <f>'2017'!CC18</f>
        <v>2.52</v>
      </c>
      <c r="CN192" s="58">
        <f>'2017'!CD18</f>
        <v>35.200000000000003</v>
      </c>
      <c r="CO192" s="57">
        <f>'2017'!CE18</f>
        <v>108</v>
      </c>
      <c r="CP192" s="57">
        <f>'2017'!CF18</f>
        <v>3404</v>
      </c>
      <c r="CQ192" s="57">
        <f>'2017'!CG18</f>
        <v>24</v>
      </c>
      <c r="CR192" s="57">
        <f>'2017'!CH18</f>
        <v>0</v>
      </c>
      <c r="CS192" s="59">
        <f>'2017'!CI18</f>
        <v>0</v>
      </c>
      <c r="CT192" s="56">
        <f>'2017'!CJ18</f>
        <v>1523</v>
      </c>
      <c r="CU192" s="57">
        <f>'2017'!CK18</f>
        <v>3345</v>
      </c>
      <c r="CV192" s="57">
        <f>'2017'!CL18</f>
        <v>13</v>
      </c>
      <c r="CW192" s="57">
        <f>'2017'!CM18</f>
        <v>0</v>
      </c>
      <c r="CX192" s="57">
        <f>'2017'!CN18</f>
        <v>282</v>
      </c>
      <c r="CY192" s="57">
        <f>'2017'!CO18</f>
        <v>67</v>
      </c>
      <c r="CZ192" s="58">
        <f>'2017'!CP18</f>
        <v>5.4</v>
      </c>
      <c r="DA192" s="58">
        <f>'2017'!CQ18</f>
        <v>82</v>
      </c>
      <c r="DB192" s="58">
        <f>'2017'!CR18</f>
        <v>3.32</v>
      </c>
      <c r="DC192" s="58">
        <f>'2017'!CS18</f>
        <v>32.9</v>
      </c>
      <c r="DD192" s="57">
        <f>'2017'!CT18</f>
        <v>199</v>
      </c>
      <c r="DE192" s="57">
        <f>'2017'!CU18</f>
        <v>4373</v>
      </c>
      <c r="DF192" s="57">
        <f>'2017'!CV18</f>
        <v>22</v>
      </c>
      <c r="DG192" s="57">
        <f>'2017'!CW18</f>
        <v>0</v>
      </c>
      <c r="DH192" s="59">
        <f>'2017'!CX18</f>
        <v>0</v>
      </c>
      <c r="DI192" s="56">
        <f>'2017'!CY18</f>
        <v>1131</v>
      </c>
      <c r="DJ192" s="57">
        <f>'2017'!CZ18</f>
        <v>2546</v>
      </c>
      <c r="DK192" s="57">
        <f>'2017'!DA18</f>
        <v>17</v>
      </c>
      <c r="DL192" s="57">
        <f>'2017'!DB18</f>
        <v>0</v>
      </c>
      <c r="DM192" s="57">
        <f>'2017'!DC18</f>
        <v>232</v>
      </c>
      <c r="DN192" s="57">
        <f>'2017'!DD18</f>
        <v>56</v>
      </c>
      <c r="DO192" s="58">
        <f>'2017'!DE18</f>
        <v>4.9000000000000004</v>
      </c>
      <c r="DP192" s="58">
        <f>'2017'!DF18</f>
        <v>72.099999999999994</v>
      </c>
      <c r="DQ192" s="58">
        <f>'2017'!DG18</f>
        <v>2.98</v>
      </c>
      <c r="DR192" s="58">
        <f>'2017'!DH18</f>
        <v>28</v>
      </c>
      <c r="DS192" s="57">
        <f>'2017'!DI18</f>
        <v>143</v>
      </c>
      <c r="DT192" s="57">
        <f>'2017'!DJ18</f>
        <v>5009</v>
      </c>
      <c r="DU192" s="57">
        <f>'2017'!DK18</f>
        <v>20</v>
      </c>
      <c r="DV192" s="57">
        <f>'2017'!DL18</f>
        <v>0</v>
      </c>
      <c r="DW192" s="59">
        <f>'2017'!DM18</f>
        <v>0</v>
      </c>
    </row>
    <row r="193" spans="1:127" ht="15.75" customHeight="1" x14ac:dyDescent="0.2">
      <c r="A193" s="33">
        <f t="shared" si="25"/>
        <v>191</v>
      </c>
      <c r="B193" s="11">
        <f>'2015'!A16</f>
        <v>14</v>
      </c>
      <c r="C193" s="11">
        <v>2015</v>
      </c>
      <c r="D193" s="34" t="str">
        <f>'2015'!B16</f>
        <v>David Cobb</v>
      </c>
      <c r="E193" s="224" t="str" cm="1">
        <f t="array" ref="E193">_xlfn.IFS(F193&gt;=13,"Cornerstone",AND(F193&gt;=12,F193&lt;13),"Elite",AND(F193&gt;=11,F193&lt;12),"Elite Upside",AND(F193&gt;=9,F193&lt;11),"Upside",AND(F193&gt;=7,F193&lt;9),"Upside Lite",AND(F193&gt;=6,F193&lt;7),"Outlier",AND(F193&gt;=5,F193&lt;6),"Outlier Lite",F193&lt;5,"Purgatory")</f>
        <v>Outlier Lite</v>
      </c>
      <c r="F193" s="14">
        <f>'2015'!C16</f>
        <v>5.8555555555555552</v>
      </c>
      <c r="G193" s="14">
        <f t="shared" si="31"/>
        <v>41.5</v>
      </c>
      <c r="H193" s="35">
        <f t="shared" si="26"/>
        <v>-0.90860280836773122</v>
      </c>
      <c r="I193" s="36" t="str">
        <f>'2015'!D16</f>
        <v>Minnesota</v>
      </c>
      <c r="J193" s="37">
        <f>'2015'!E16</f>
        <v>2</v>
      </c>
      <c r="K193" s="38">
        <f>'2015'!F16</f>
        <v>34123</v>
      </c>
      <c r="L193" s="39">
        <f>'2015'!G16</f>
        <v>32.339726027397262</v>
      </c>
      <c r="M193" s="39" t="str">
        <f>'2015'!H16</f>
        <v>SR</v>
      </c>
      <c r="N193" s="39">
        <f>'2015'!I16</f>
        <v>21.912328767123288</v>
      </c>
      <c r="O193" s="39" t="str">
        <f t="shared" si="27"/>
        <v>BRUISER</v>
      </c>
      <c r="P193" s="39" t="str">
        <f t="shared" si="34"/>
        <v>PLODDER</v>
      </c>
      <c r="Q193" s="37">
        <f>'2015'!J16</f>
        <v>71</v>
      </c>
      <c r="R193" s="37">
        <f>'2015'!K16</f>
        <v>229</v>
      </c>
      <c r="S193" s="39">
        <f t="shared" si="29"/>
        <v>31.938663440905543</v>
      </c>
      <c r="T193" s="39">
        <f>'2015'!L16</f>
        <v>4.8099999999999996</v>
      </c>
      <c r="U193" s="55">
        <f>'2015'!M16</f>
        <v>5</v>
      </c>
      <c r="V193" s="41">
        <f>'2015'!N16</f>
        <v>0</v>
      </c>
      <c r="W193" s="42">
        <f>'2015'!O16</f>
        <v>0</v>
      </c>
      <c r="X193" s="42">
        <f>'2015'!P16</f>
        <v>0</v>
      </c>
      <c r="Y193" s="42">
        <f>'2015'!Q16</f>
        <v>0.31955411054342775</v>
      </c>
      <c r="Z193" s="42">
        <f>'2015'!R16</f>
        <v>0.38472302955930165</v>
      </c>
      <c r="AA193" s="42">
        <f>'2015'!S16</f>
        <v>0.38472302955930165</v>
      </c>
      <c r="AB193" s="42">
        <f>'2015'!T16</f>
        <v>0.38472302955930165</v>
      </c>
      <c r="AC193" s="42">
        <f>'2015'!U16</f>
        <v>6.8557919621749411E-2</v>
      </c>
      <c r="AD193" s="42">
        <f>'2015'!V16</f>
        <v>8.7881089291526521E-2</v>
      </c>
      <c r="AE193" s="42">
        <f>'2015'!W16</f>
        <v>8.7881089291526521E-2</v>
      </c>
      <c r="AF193" s="43">
        <f>'2015'!X16</f>
        <v>8.7881089291526521E-2</v>
      </c>
      <c r="AG193" s="44">
        <f>'2015'!Y16</f>
        <v>20.260273972602739</v>
      </c>
      <c r="AH193" s="45">
        <f>'2015'!Z16</f>
        <v>85.562836311162883</v>
      </c>
      <c r="AI193" s="45">
        <f>'2015'!AA16</f>
        <v>31.93552866494743</v>
      </c>
      <c r="AJ193" s="45">
        <f>'2015'!AB16</f>
        <v>0.19551282051282051</v>
      </c>
      <c r="AK193" s="45">
        <f>'2015'!AC16</f>
        <v>5.208333333333333</v>
      </c>
      <c r="AL193" s="45">
        <f t="shared" si="28"/>
        <v>10.181818181818182</v>
      </c>
      <c r="AM193" s="45">
        <f t="shared" si="35"/>
        <v>4.878048780487805E-2</v>
      </c>
      <c r="AN193" s="45">
        <f>'2015'!AD16</f>
        <v>59.5</v>
      </c>
      <c r="AO193" s="45">
        <f>'2015'!AE16</f>
        <v>3.1</v>
      </c>
      <c r="AP193" s="46">
        <f>'2015'!AF16</f>
        <v>30.7</v>
      </c>
      <c r="AQ193" s="47">
        <f>'2015'!AG16</f>
        <v>10</v>
      </c>
      <c r="AR193" s="48">
        <f>'2015'!AH16</f>
        <v>8</v>
      </c>
      <c r="AS193" s="48">
        <f>'2015'!AI16</f>
        <v>4</v>
      </c>
      <c r="AT193" s="48">
        <f>'2015'!AJ16</f>
        <v>1</v>
      </c>
      <c r="AU193" s="48">
        <f>'2015'!AK16</f>
        <v>3</v>
      </c>
      <c r="AV193" s="48">
        <f>'2015'!AL16</f>
        <v>1</v>
      </c>
      <c r="AW193" s="48">
        <f>'2015'!AM16</f>
        <v>2</v>
      </c>
      <c r="AX193" s="48">
        <f>'2015'!AN16</f>
        <v>2</v>
      </c>
      <c r="AY193" s="49">
        <f>'2015'!AO16</f>
        <v>3</v>
      </c>
      <c r="AZ193" s="50">
        <f>'2015'!AP16</f>
        <v>0</v>
      </c>
      <c r="BA193" s="56">
        <f>'2015'!AQ16</f>
        <v>0</v>
      </c>
      <c r="BB193" s="57">
        <f>'2015'!AR16</f>
        <v>1</v>
      </c>
      <c r="BC193" s="57">
        <f>'2015'!AS16</f>
        <v>0</v>
      </c>
      <c r="BD193" s="57">
        <f>'2015'!AT16</f>
        <v>0</v>
      </c>
      <c r="BE193" s="57">
        <f>'2015'!AU16</f>
        <v>0</v>
      </c>
      <c r="BF193" s="57">
        <f>'2015'!AV16</f>
        <v>0</v>
      </c>
      <c r="BG193" s="58">
        <f>'2015'!AW16</f>
        <v>0</v>
      </c>
      <c r="BH193" s="58">
        <f>'2015'!AX16</f>
        <v>0</v>
      </c>
      <c r="BI193" s="58">
        <f>'2015'!AY16</f>
        <v>0</v>
      </c>
      <c r="BJ193" s="58">
        <f>'2015'!AZ16</f>
        <v>0</v>
      </c>
      <c r="BK193" s="57">
        <f>'2015'!BA16</f>
        <v>0</v>
      </c>
      <c r="BL193" s="57">
        <f>'2015'!BB16</f>
        <v>1</v>
      </c>
      <c r="BM193" s="57">
        <f>'2015'!BC16</f>
        <v>0</v>
      </c>
      <c r="BN193" s="57">
        <f>'2015'!BD16</f>
        <v>0</v>
      </c>
      <c r="BO193" s="59">
        <f>'2015'!BE16</f>
        <v>0</v>
      </c>
      <c r="BP193" s="56">
        <f>'2015'!BF16</f>
        <v>0</v>
      </c>
      <c r="BQ193" s="57">
        <f>'2015'!BG16</f>
        <v>1</v>
      </c>
      <c r="BR193" s="57">
        <f>'2015'!BH16</f>
        <v>0</v>
      </c>
      <c r="BS193" s="57">
        <f>'2015'!BI16</f>
        <v>0</v>
      </c>
      <c r="BT193" s="57">
        <f>'2015'!BJ16</f>
        <v>0</v>
      </c>
      <c r="BU193" s="57">
        <f>'2015'!BK16</f>
        <v>0</v>
      </c>
      <c r="BV193" s="58">
        <f>'2015'!BL16</f>
        <v>0</v>
      </c>
      <c r="BW193" s="58">
        <f>'2015'!BM16</f>
        <v>0</v>
      </c>
      <c r="BX193" s="58">
        <f>'2015'!BN16</f>
        <v>0</v>
      </c>
      <c r="BY193" s="58">
        <f>'2015'!BO16</f>
        <v>0</v>
      </c>
      <c r="BZ193" s="57">
        <f>'2015'!BP16</f>
        <v>0</v>
      </c>
      <c r="CA193" s="57">
        <f>'2015'!BQ16</f>
        <v>1</v>
      </c>
      <c r="CB193" s="57">
        <f>'2015'!BR16</f>
        <v>0</v>
      </c>
      <c r="CC193" s="57">
        <f>'2015'!BS16</f>
        <v>0</v>
      </c>
      <c r="CD193" s="59">
        <f>'2015'!BT16</f>
        <v>0</v>
      </c>
      <c r="CE193" s="56">
        <f>'2015'!BU16</f>
        <v>0</v>
      </c>
      <c r="CF193" s="57">
        <f>'2015'!BV16</f>
        <v>1</v>
      </c>
      <c r="CG193" s="57">
        <f>'2015'!BW16</f>
        <v>0</v>
      </c>
      <c r="CH193" s="57">
        <f>'2015'!BX16</f>
        <v>0</v>
      </c>
      <c r="CI193" s="57">
        <f>'2015'!BY16</f>
        <v>0</v>
      </c>
      <c r="CJ193" s="57">
        <f>'2015'!BZ16</f>
        <v>0</v>
      </c>
      <c r="CK193" s="58">
        <f>'2015'!CA16</f>
        <v>0</v>
      </c>
      <c r="CL193" s="58">
        <f>'2015'!CB16</f>
        <v>0</v>
      </c>
      <c r="CM193" s="58">
        <f>'2015'!CC16</f>
        <v>0</v>
      </c>
      <c r="CN193" s="58">
        <f>'2015'!CD16</f>
        <v>0</v>
      </c>
      <c r="CO193" s="57">
        <f>'2015'!CE16</f>
        <v>0</v>
      </c>
      <c r="CP193" s="57">
        <f>'2015'!CF16</f>
        <v>1</v>
      </c>
      <c r="CQ193" s="57">
        <f>'2015'!CG16</f>
        <v>0</v>
      </c>
      <c r="CR193" s="57">
        <f>'2015'!CH16</f>
        <v>0</v>
      </c>
      <c r="CS193" s="59">
        <f>'2015'!CI16</f>
        <v>0</v>
      </c>
      <c r="CT193" s="56">
        <f>'2015'!CJ16</f>
        <v>1202</v>
      </c>
      <c r="CU193" s="57">
        <f>'2015'!CK16</f>
        <v>1768</v>
      </c>
      <c r="CV193" s="57">
        <f>'2015'!CL16</f>
        <v>7</v>
      </c>
      <c r="CW193" s="57">
        <f>'2015'!CM16</f>
        <v>0</v>
      </c>
      <c r="CX193" s="57">
        <f>'2015'!CN16</f>
        <v>237</v>
      </c>
      <c r="CY193" s="57">
        <f>'2015'!CO16</f>
        <v>0</v>
      </c>
      <c r="CZ193" s="58">
        <f>'2015'!CP16</f>
        <v>5.071729957805907</v>
      </c>
      <c r="DA193" s="58">
        <f>'2015'!CQ16</f>
        <v>0</v>
      </c>
      <c r="DB193" s="58">
        <f>'2015'!CR16</f>
        <v>0</v>
      </c>
      <c r="DC193" s="58">
        <f>'2015'!CS16</f>
        <v>0</v>
      </c>
      <c r="DD193" s="57">
        <f>'2015'!CT16</f>
        <v>174</v>
      </c>
      <c r="DE193" s="57">
        <f>'2015'!CU16</f>
        <v>2538</v>
      </c>
      <c r="DF193" s="57">
        <f>'2015'!CV16</f>
        <v>17</v>
      </c>
      <c r="DG193" s="57">
        <f>'2015'!CW16</f>
        <v>0</v>
      </c>
      <c r="DH193" s="59">
        <f>'2015'!CX16</f>
        <v>0</v>
      </c>
      <c r="DI193" s="56">
        <f>'2015'!CY16</f>
        <v>1625</v>
      </c>
      <c r="DJ193" s="57">
        <f>'2015'!CZ16</f>
        <v>2801.5</v>
      </c>
      <c r="DK193" s="57">
        <f>'2015'!DA16</f>
        <v>13</v>
      </c>
      <c r="DL193" s="57">
        <f>'2015'!DB16</f>
        <v>32.5</v>
      </c>
      <c r="DM193" s="57">
        <f>'2015'!DC16</f>
        <v>312</v>
      </c>
      <c r="DN193" s="57">
        <f>'2015'!DD16</f>
        <v>61</v>
      </c>
      <c r="DO193" s="58">
        <f>'2015'!DE16</f>
        <v>5.208333333333333</v>
      </c>
      <c r="DP193" s="58">
        <f>'2015'!DF16</f>
        <v>59.5</v>
      </c>
      <c r="DQ193" s="58">
        <f>'2015'!DG16</f>
        <v>3.1</v>
      </c>
      <c r="DR193" s="58">
        <f>'2015'!DH16</f>
        <v>30.7</v>
      </c>
      <c r="DS193" s="57">
        <f>'2015'!DI16</f>
        <v>162</v>
      </c>
      <c r="DT193" s="57">
        <f>'2015'!DJ16</f>
        <v>1843.4</v>
      </c>
      <c r="DU193" s="57">
        <f>'2015'!DK16</f>
        <v>16</v>
      </c>
      <c r="DV193" s="57">
        <f>'2015'!DL16</f>
        <v>0</v>
      </c>
      <c r="DW193" s="59">
        <f>'2015'!DM16</f>
        <v>11.700000000000001</v>
      </c>
    </row>
    <row r="194" spans="1:127" ht="15.75" customHeight="1" x14ac:dyDescent="0.2">
      <c r="A194" s="33">
        <f t="shared" si="25"/>
        <v>192</v>
      </c>
      <c r="B194" s="11">
        <f>'2024'!A22</f>
        <v>20</v>
      </c>
      <c r="C194" s="11">
        <v>2024</v>
      </c>
      <c r="D194" s="34" t="str">
        <f>'2024'!B22</f>
        <v>Carson Steele</v>
      </c>
      <c r="E194" s="224" t="str" cm="1">
        <f t="array" ref="E194">_xlfn.IFS(F194&gt;=13,"Cornerstone",AND(F194&gt;=12,F194&lt;13),"Elite",AND(F194&gt;=11,F194&lt;12),"Elite Upside",AND(F194&gt;=9,F194&lt;11),"Upside",AND(F194&gt;=7,F194&lt;9),"Upside Lite",AND(F194&gt;=6,F194&lt;7),"Outlier",AND(F194&gt;=5,F194&lt;6),"Outlier Lite",F194&lt;5,"Purgatory")</f>
        <v>Outlier Lite</v>
      </c>
      <c r="F194" s="14">
        <f>'2024'!C22</f>
        <v>5.85</v>
      </c>
      <c r="G194" s="14">
        <f t="shared" si="31"/>
        <v>41.199999999999996</v>
      </c>
      <c r="H194" s="35">
        <f t="shared" si="26"/>
        <v>-0.9109540587246181</v>
      </c>
      <c r="I194" s="36" t="str">
        <f>'2024'!D22</f>
        <v>UCLA</v>
      </c>
      <c r="J194" s="37">
        <f>'2024'!E22</f>
        <v>5</v>
      </c>
      <c r="K194" s="38">
        <f>'2024'!F22</f>
        <v>37550</v>
      </c>
      <c r="L194" s="39">
        <f>'2024'!G22</f>
        <v>22.950684931506849</v>
      </c>
      <c r="M194" s="39" t="str">
        <f>'2024'!H22</f>
        <v>JR</v>
      </c>
      <c r="N194" s="39">
        <f>'2024'!I22</f>
        <v>21.531506849315068</v>
      </c>
      <c r="O194" s="39" t="str">
        <f t="shared" si="27"/>
        <v>BELL COW</v>
      </c>
      <c r="P194" s="39" t="str">
        <f t="shared" si="34"/>
        <v>3DOWN</v>
      </c>
      <c r="Q194" s="37">
        <f>'2024'!J22</f>
        <v>73</v>
      </c>
      <c r="R194" s="37">
        <f>'2024'!K22</f>
        <v>215</v>
      </c>
      <c r="S194" s="39">
        <f t="shared" si="29"/>
        <v>28.365516291925815</v>
      </c>
      <c r="T194" s="37">
        <f>'2024'!L22</f>
        <v>4.55</v>
      </c>
      <c r="U194" s="40">
        <f>'2024'!M22</f>
        <v>0</v>
      </c>
      <c r="V194" s="41">
        <f>'2024'!N22</f>
        <v>0</v>
      </c>
      <c r="W194" s="42">
        <f>'2024'!O22</f>
        <v>0</v>
      </c>
      <c r="X194" s="42">
        <f>'2024'!P22</f>
        <v>0.1544727488151659</v>
      </c>
      <c r="Y194" s="42">
        <f>'2024'!Q22</f>
        <v>0.23882960263751518</v>
      </c>
      <c r="Z194" s="42">
        <f>'2024'!R22</f>
        <v>0.19667525169749475</v>
      </c>
      <c r="AA194" s="42">
        <f>'2024'!S22</f>
        <v>0.21775242716750498</v>
      </c>
      <c r="AB194" s="42">
        <f>'2024'!T22</f>
        <v>0.18508956309237923</v>
      </c>
      <c r="AC194" s="42">
        <f>'2024'!U22</f>
        <v>6.0539752005835154E-2</v>
      </c>
      <c r="AD194" s="42">
        <f>'2024'!V22</f>
        <v>5.9264107038976159E-2</v>
      </c>
      <c r="AE194" s="42">
        <f>'2024'!W22</f>
        <v>5.9901929522405653E-2</v>
      </c>
      <c r="AF194" s="43">
        <f>'2024'!X22</f>
        <v>5.0916640094044806E-2</v>
      </c>
      <c r="AG194" s="44">
        <f>'2024'!Y22</f>
        <v>18.873972602739727</v>
      </c>
      <c r="AH194" s="45">
        <f>'2024'!Z22</f>
        <v>100.32816496971834</v>
      </c>
      <c r="AI194" s="45">
        <f>'2024'!AA22</f>
        <v>28.362732219928692</v>
      </c>
      <c r="AJ194" s="45">
        <f>'2024'!AB22</f>
        <v>0.25</v>
      </c>
      <c r="AK194" s="45">
        <f>'2024'!AC22</f>
        <v>5.2871972318339102</v>
      </c>
      <c r="AL194" s="45">
        <f t="shared" si="28"/>
        <v>8.3793103448275854</v>
      </c>
      <c r="AM194" s="45">
        <f t="shared" si="35"/>
        <v>9.2391304347826081E-2</v>
      </c>
      <c r="AN194" s="45">
        <f>'2024'!AD22</f>
        <v>132.6</v>
      </c>
      <c r="AO194" s="45">
        <f>'2024'!AE22</f>
        <v>4.0199999999999996</v>
      </c>
      <c r="AP194" s="46">
        <f>'2024'!AF22</f>
        <v>38.200000000000003</v>
      </c>
      <c r="AQ194" s="47">
        <f>'2024'!AG22</f>
        <v>3</v>
      </c>
      <c r="AR194" s="48">
        <f>'2024'!AH22</f>
        <v>5</v>
      </c>
      <c r="AS194" s="48">
        <f>'2024'!AI22</f>
        <v>8</v>
      </c>
      <c r="AT194" s="48">
        <f>'2024'!AJ22</f>
        <v>5</v>
      </c>
      <c r="AU194" s="48">
        <f>'2024'!AK22</f>
        <v>6</v>
      </c>
      <c r="AV194" s="48">
        <f>'2024'!AL22</f>
        <v>2</v>
      </c>
      <c r="AW194" s="48">
        <f>'2024'!AM22</f>
        <v>7</v>
      </c>
      <c r="AX194" s="48">
        <f>'2024'!AN22</f>
        <v>5</v>
      </c>
      <c r="AY194" s="49">
        <f>'2024'!AO22</f>
        <v>0</v>
      </c>
      <c r="AZ194" s="50">
        <f>'2024'!AP22</f>
        <v>0</v>
      </c>
      <c r="BA194" s="56">
        <f>'2024'!AQ22</f>
        <v>0</v>
      </c>
      <c r="BB194" s="57">
        <f>'2024'!AR22</f>
        <v>1</v>
      </c>
      <c r="BC194" s="57">
        <f>'2024'!AS22</f>
        <v>0</v>
      </c>
      <c r="BD194" s="57">
        <f>'2024'!AT22</f>
        <v>0</v>
      </c>
      <c r="BE194" s="57">
        <f>'2024'!AU22</f>
        <v>0</v>
      </c>
      <c r="BF194" s="57">
        <f>'2024'!AV22</f>
        <v>0</v>
      </c>
      <c r="BG194" s="58">
        <f>'2024'!AW22</f>
        <v>0</v>
      </c>
      <c r="BH194" s="58">
        <f>'2024'!AX22</f>
        <v>0</v>
      </c>
      <c r="BI194" s="58">
        <f>'2024'!AY22</f>
        <v>0</v>
      </c>
      <c r="BJ194" s="58">
        <f>'2024'!AZ22</f>
        <v>0</v>
      </c>
      <c r="BK194" s="57">
        <f>'2024'!BA22</f>
        <v>0</v>
      </c>
      <c r="BL194" s="57">
        <f>'2024'!BB22</f>
        <v>1</v>
      </c>
      <c r="BM194" s="57">
        <f>'2024'!BC22</f>
        <v>0</v>
      </c>
      <c r="BN194" s="57">
        <f>'2024'!BD22</f>
        <v>0</v>
      </c>
      <c r="BO194" s="59">
        <f>'2024'!BE22</f>
        <v>0</v>
      </c>
      <c r="BP194" s="56">
        <f>'2024'!BF22</f>
        <v>0</v>
      </c>
      <c r="BQ194" s="57">
        <f>'2024'!BG22</f>
        <v>1</v>
      </c>
      <c r="BR194" s="57">
        <f>'2024'!BH22</f>
        <v>0</v>
      </c>
      <c r="BS194" s="57">
        <f>'2024'!BI22</f>
        <v>0</v>
      </c>
      <c r="BT194" s="57">
        <f>'2024'!BJ22</f>
        <v>0</v>
      </c>
      <c r="BU194" s="57">
        <f>'2024'!BK22</f>
        <v>0</v>
      </c>
      <c r="BV194" s="58">
        <f>'2024'!BL22</f>
        <v>0</v>
      </c>
      <c r="BW194" s="58">
        <f>'2024'!BM22</f>
        <v>0</v>
      </c>
      <c r="BX194" s="58">
        <f>'2024'!BN22</f>
        <v>0</v>
      </c>
      <c r="BY194" s="58">
        <f>'2024'!BO22</f>
        <v>0</v>
      </c>
      <c r="BZ194" s="57">
        <f>'2024'!BP22</f>
        <v>0</v>
      </c>
      <c r="CA194" s="57">
        <f>'2024'!BQ22</f>
        <v>1</v>
      </c>
      <c r="CB194" s="57">
        <f>'2024'!BR22</f>
        <v>0</v>
      </c>
      <c r="CC194" s="57">
        <f>'2024'!BS22</f>
        <v>0</v>
      </c>
      <c r="CD194" s="59">
        <f>'2024'!BT22</f>
        <v>0</v>
      </c>
      <c r="CE194" s="56">
        <f>'2024'!BU22</f>
        <v>886</v>
      </c>
      <c r="CF194" s="57">
        <f>'2024'!BV22</f>
        <v>1690</v>
      </c>
      <c r="CG194" s="57">
        <f>'2024'!BW22</f>
        <v>6</v>
      </c>
      <c r="CH194" s="57">
        <f>'2024'!BX22</f>
        <v>16.900000000000002</v>
      </c>
      <c r="CI194" s="57">
        <f>'2024'!BY22</f>
        <v>192</v>
      </c>
      <c r="CJ194" s="57">
        <f>'2024'!BZ22</f>
        <v>48</v>
      </c>
      <c r="CK194" s="58">
        <f>'2024'!CA22</f>
        <v>4.614583333333333</v>
      </c>
      <c r="CL194" s="58">
        <f>'2024'!CB22</f>
        <v>92</v>
      </c>
      <c r="CM194" s="58">
        <f>'2024'!CC22</f>
        <v>3.61</v>
      </c>
      <c r="CN194" s="58">
        <f>'2024'!CD22</f>
        <v>31.4</v>
      </c>
      <c r="CO194" s="57">
        <f>'2024'!CE22</f>
        <v>157</v>
      </c>
      <c r="CP194" s="57">
        <f>'2024'!CF22</f>
        <v>2698.7999999999997</v>
      </c>
      <c r="CQ194" s="57">
        <f>'2024'!CG22</f>
        <v>12</v>
      </c>
      <c r="CR194" s="57">
        <f>'2024'!CH22</f>
        <v>1</v>
      </c>
      <c r="CS194" s="59">
        <f>'2024'!CI22</f>
        <v>18.2</v>
      </c>
      <c r="CT194" s="56">
        <f>'2024'!CJ22</f>
        <v>1528</v>
      </c>
      <c r="CU194" s="57">
        <f>'2024'!CK22</f>
        <v>1868.3999999999999</v>
      </c>
      <c r="CV194" s="57">
        <f>'2024'!CL22</f>
        <v>14</v>
      </c>
      <c r="CW194" s="57">
        <f>'2024'!CM22</f>
        <v>14.399999999999999</v>
      </c>
      <c r="CX194" s="57">
        <f>'2024'!CN22</f>
        <v>289</v>
      </c>
      <c r="CY194" s="57">
        <f>'2024'!CO22</f>
        <v>0</v>
      </c>
      <c r="CZ194" s="58">
        <f>'2024'!CP22</f>
        <v>5.2871972318339102</v>
      </c>
      <c r="DA194" s="58">
        <f>'2024'!CQ22</f>
        <v>132.6</v>
      </c>
      <c r="DB194" s="58">
        <f>'2024'!CR22</f>
        <v>4.0199999999999996</v>
      </c>
      <c r="DC194" s="58">
        <f>'2024'!CS22</f>
        <v>38.200000000000003</v>
      </c>
      <c r="DD194" s="57">
        <f>'2024'!CT22</f>
        <v>166</v>
      </c>
      <c r="DE194" s="57">
        <f>'2024'!CU22</f>
        <v>2742</v>
      </c>
      <c r="DF194" s="57">
        <f>'2024'!CV22</f>
        <v>29</v>
      </c>
      <c r="DG194" s="57">
        <f>'2024'!CW22</f>
        <v>1</v>
      </c>
      <c r="DH194" s="59">
        <f>'2024'!CX22</f>
        <v>18</v>
      </c>
      <c r="DI194" s="56">
        <f>'2024'!CY22</f>
        <v>845</v>
      </c>
      <c r="DJ194" s="57">
        <f>'2024'!CZ22</f>
        <v>2374.8000000000002</v>
      </c>
      <c r="DK194" s="57">
        <f>'2024'!DA22</f>
        <v>6</v>
      </c>
      <c r="DL194" s="57">
        <f>'2024'!DB22</f>
        <v>19.200000000000003</v>
      </c>
      <c r="DM194" s="57">
        <f>'2024'!DC22</f>
        <v>167</v>
      </c>
      <c r="DN194" s="57">
        <f>'2024'!DD22</f>
        <v>39</v>
      </c>
      <c r="DO194" s="58">
        <f>'2024'!DE22</f>
        <v>5.0999999999999996</v>
      </c>
      <c r="DP194" s="58">
        <f>'2024'!DF22</f>
        <v>98.4</v>
      </c>
      <c r="DQ194" s="58">
        <f>'2024'!DG22</f>
        <v>3.85</v>
      </c>
      <c r="DR194" s="58">
        <f>'2024'!DH22</f>
        <v>22.4</v>
      </c>
      <c r="DS194" s="57">
        <f>'2024'!DI22</f>
        <v>163</v>
      </c>
      <c r="DT194" s="57">
        <f>'2024'!DJ22</f>
        <v>2750.3999999999996</v>
      </c>
      <c r="DU194" s="57">
        <f>'2024'!DK22</f>
        <v>17</v>
      </c>
      <c r="DV194" s="57">
        <f>'2024'!DL22</f>
        <v>2</v>
      </c>
      <c r="DW194" s="59">
        <f>'2024'!DM22</f>
        <v>21.6</v>
      </c>
    </row>
    <row r="195" spans="1:127" ht="15.75" customHeight="1" x14ac:dyDescent="0.2">
      <c r="A195" s="33">
        <f t="shared" ref="A195:A258" si="36">_xlfn.RANK.EQ(F195,F$3:F$328)</f>
        <v>193</v>
      </c>
      <c r="B195" s="11">
        <f>'2022'!A21</f>
        <v>19</v>
      </c>
      <c r="C195" s="11">
        <v>2022</v>
      </c>
      <c r="D195" s="34" t="str">
        <f>'2022'!B21</f>
        <v>Tyrion Davis-Price</v>
      </c>
      <c r="E195" s="224" t="str" cm="1">
        <f t="array" ref="E195">_xlfn.IFS(F195&gt;=13,"Cornerstone",AND(F195&gt;=12,F195&lt;13),"Elite",AND(F195&gt;=11,F195&lt;12),"Elite Upside",AND(F195&gt;=9,F195&lt;11),"Upside",AND(F195&gt;=7,F195&lt;9),"Upside Lite",AND(F195&gt;=6,F195&lt;7),"Outlier",AND(F195&gt;=5,F195&lt;6),"Outlier Lite",F195&lt;5,"Purgatory")</f>
        <v>Outlier Lite</v>
      </c>
      <c r="F195" s="14">
        <f>'2022'!C21</f>
        <v>5.844444444444445</v>
      </c>
      <c r="G195" s="14">
        <f t="shared" si="31"/>
        <v>40.9</v>
      </c>
      <c r="H195" s="35">
        <f t="shared" ref="H195:H258" si="37">STANDARDIZE(F195,(AVERAGE($F$3:$F$244)),(_xlfn.STDEV.P($F$3:$F$244)))</f>
        <v>-0.91330530908150453</v>
      </c>
      <c r="I195" s="36" t="str">
        <f>'2022'!D21</f>
        <v>LSU</v>
      </c>
      <c r="J195" s="37">
        <f>'2022'!E21</f>
        <v>1</v>
      </c>
      <c r="K195" s="38">
        <f>'2022'!F21</f>
        <v>36822</v>
      </c>
      <c r="L195" s="39">
        <f>'2022'!G21</f>
        <v>24.945205479452056</v>
      </c>
      <c r="M195" s="39" t="str">
        <f>'2022'!H21</f>
        <v>JR</v>
      </c>
      <c r="N195" s="39">
        <f>'2022'!I21</f>
        <v>21.526027397260275</v>
      </c>
      <c r="O195" s="39" t="str">
        <f t="shared" ref="O195:O258" si="38">IF(AND(R195&gt;=225,T195&gt;=4.51),"BRUISER",IF(AND(R195&gt;=215,T195&lt;=4.51),"FREAK",IF(AND(R195&gt;=200,T195&gt;=4.51,Q195&gt;70),"BELL COW",IF(AND(R195&gt;=200,T195&gt;=4.51,Q195&lt;=70),"BELL CALF",IF(OR(AND(R195&lt;200,T195&lt;4.5),AND(R195&gt;=200,T195&lt;=4.35)),"JITTERBUG","DYNAMIC")))))</f>
        <v>DYNAMIC</v>
      </c>
      <c r="P195" s="39" t="str">
        <f t="shared" si="34"/>
        <v>PLODDER</v>
      </c>
      <c r="Q195" s="37">
        <f>'2022'!J21</f>
        <v>72</v>
      </c>
      <c r="R195" s="37">
        <f>'2022'!K21</f>
        <v>211</v>
      </c>
      <c r="S195" s="39">
        <f t="shared" si="29"/>
        <v>28.616427526064928</v>
      </c>
      <c r="T195" s="37">
        <f>'2022'!L21</f>
        <v>4.4800000000000004</v>
      </c>
      <c r="U195" s="40">
        <f>'2022'!M21</f>
        <v>3</v>
      </c>
      <c r="V195" s="41">
        <f>'2022'!N21</f>
        <v>0</v>
      </c>
      <c r="W195" s="42">
        <f>'2022'!O21</f>
        <v>0</v>
      </c>
      <c r="X195" s="42">
        <f>'2022'!P21</f>
        <v>4.3162092423176167E-2</v>
      </c>
      <c r="Y195" s="42">
        <f>'2022'!Q21</f>
        <v>0.11362064991933625</v>
      </c>
      <c r="Z195" s="42">
        <f>'2022'!R21</f>
        <v>0.22526096033402923</v>
      </c>
      <c r="AA195" s="42">
        <f>'2022'!S21</f>
        <v>0.22526096033402923</v>
      </c>
      <c r="AB195" s="42">
        <f>'2022'!T21</f>
        <v>0.22526096033402923</v>
      </c>
      <c r="AC195" s="42">
        <f>'2022'!U21</f>
        <v>1.5054452274183215E-2</v>
      </c>
      <c r="AD195" s="42">
        <f>'2022'!V21</f>
        <v>1.9347037484885126E-2</v>
      </c>
      <c r="AE195" s="42">
        <f>'2022'!W21</f>
        <v>1.9347037484885126E-2</v>
      </c>
      <c r="AF195" s="43">
        <f>'2022'!X21</f>
        <v>1.9347037484885126E-2</v>
      </c>
      <c r="AG195" s="44">
        <f>'2022'!Y21</f>
        <v>20.87945205479452</v>
      </c>
      <c r="AH195" s="45">
        <f>'2022'!Z21</f>
        <v>104.76118323704638</v>
      </c>
      <c r="AI195" s="45">
        <f>'2022'!AA21</f>
        <v>28.613618827160494</v>
      </c>
      <c r="AJ195" s="45">
        <f>'2022'!AB21</f>
        <v>0.17535545023696683</v>
      </c>
      <c r="AK195" s="45">
        <f>'2022'!AC21</f>
        <v>4.8</v>
      </c>
      <c r="AL195" s="45">
        <f t="shared" ref="AL195:AL258" si="39">SUM(BK195,BZ195,CO195,DD195,DS195)/SUM(BM195,CB195,CQ195,DF195,DU195)</f>
        <v>6.5714285714285712</v>
      </c>
      <c r="AM195" s="45">
        <f t="shared" si="35"/>
        <v>4.5248868778280542E-2</v>
      </c>
      <c r="AN195" s="45">
        <f>'2022'!AD21</f>
        <v>54.5</v>
      </c>
      <c r="AO195" s="45">
        <f>'2022'!AE21</f>
        <v>3.03</v>
      </c>
      <c r="AP195" s="46">
        <f>'2022'!AF21</f>
        <v>27.3</v>
      </c>
      <c r="AQ195" s="47">
        <f>'2022'!AG21</f>
        <v>4</v>
      </c>
      <c r="AR195" s="48">
        <f>'2022'!AH21</f>
        <v>1</v>
      </c>
      <c r="AS195" s="48">
        <f>'2022'!AI21</f>
        <v>3</v>
      </c>
      <c r="AT195" s="48">
        <f>IF(AH195&gt;113.25,10,IF(AH195&gt;=107.84,9,IF(AH195&gt;=105.37,8,IF(AH195&gt;=103.25,7,IF(AH195&gt;=100.55,6,IF(AH195&gt;=98.75,5,IF(AH195&gt;=96.08,4,IF(AH195&gt;=94.39,3,IF(AH195&gt;=88.43,2,IF(AH195&gt;=85.16,1,IF(AH195&lt;85.16,0,FALSE)))))))))))</f>
        <v>7</v>
      </c>
      <c r="AU195" s="48">
        <f>'2022'!AK21</f>
        <v>2</v>
      </c>
      <c r="AV195" s="48">
        <f>'2022'!AL21</f>
        <v>0</v>
      </c>
      <c r="AW195" s="48">
        <f>'2022'!AM21</f>
        <v>0</v>
      </c>
      <c r="AX195" s="48">
        <f>'2022'!AN21</f>
        <v>0</v>
      </c>
      <c r="AY195" s="49">
        <f>IF(U195=1,10,IF(U195=2,7,IF(U195=3,6,IF(U195=4,4,IF(U195=5,3,IF(U195=6,2,IF(U195=7,1,IF(U195=0,0,"-"))))))))</f>
        <v>6</v>
      </c>
      <c r="AZ195" s="50">
        <f>'2022'!AP21</f>
        <v>0.5</v>
      </c>
      <c r="BA195" s="56">
        <f>'2022'!AQ21</f>
        <v>0</v>
      </c>
      <c r="BB195" s="57">
        <f>'2022'!AR21</f>
        <v>2699</v>
      </c>
      <c r="BC195" s="57">
        <f>'2022'!AS21</f>
        <v>0</v>
      </c>
      <c r="BD195" s="57">
        <f>'2022'!AT21</f>
        <v>25</v>
      </c>
      <c r="BE195" s="57">
        <f>'2022'!AU21</f>
        <v>0</v>
      </c>
      <c r="BF195" s="57">
        <f>'2022'!AV21</f>
        <v>0</v>
      </c>
      <c r="BG195" s="58">
        <f>'2022'!AW21</f>
        <v>0</v>
      </c>
      <c r="BH195" s="58">
        <f>'2022'!AX21</f>
        <v>0</v>
      </c>
      <c r="BI195" s="58">
        <f>'2022'!AY21</f>
        <v>0</v>
      </c>
      <c r="BJ195" s="58">
        <f>'2022'!AZ21</f>
        <v>0</v>
      </c>
      <c r="BK195" s="57">
        <f>'2022'!BA21</f>
        <v>0</v>
      </c>
      <c r="BL195" s="57">
        <f>'2022'!BB21</f>
        <v>2645</v>
      </c>
      <c r="BM195" s="57">
        <f>'2022'!BC21</f>
        <v>0</v>
      </c>
      <c r="BN195" s="57">
        <f>'2022'!BD21</f>
        <v>0</v>
      </c>
      <c r="BO195" s="59">
        <f>'2022'!BE21</f>
        <v>17</v>
      </c>
      <c r="BP195" s="56">
        <f>'2022'!BF21</f>
        <v>0</v>
      </c>
      <c r="BQ195" s="57">
        <f>'2022'!BG21</f>
        <v>2257</v>
      </c>
      <c r="BR195" s="57">
        <f>'2022'!BH21</f>
        <v>0</v>
      </c>
      <c r="BS195" s="57">
        <f>'2022'!BI21</f>
        <v>29</v>
      </c>
      <c r="BT195" s="57">
        <f>'2022'!BJ21</f>
        <v>0</v>
      </c>
      <c r="BU195" s="57">
        <f>'2022'!BK21</f>
        <v>0</v>
      </c>
      <c r="BV195" s="58">
        <f>'2022'!BL21</f>
        <v>0</v>
      </c>
      <c r="BW195" s="58">
        <f>'2022'!BM21</f>
        <v>0</v>
      </c>
      <c r="BX195" s="58">
        <f>'2022'!BN21</f>
        <v>0</v>
      </c>
      <c r="BY195" s="58">
        <f>'2022'!BO21</f>
        <v>0</v>
      </c>
      <c r="BZ195" s="57">
        <f>'2022'!BP21</f>
        <v>0</v>
      </c>
      <c r="CA195" s="57">
        <f>'2022'!BQ21</f>
        <v>2970</v>
      </c>
      <c r="CB195" s="57">
        <f>'2022'!BR21</f>
        <v>0</v>
      </c>
      <c r="CC195" s="57">
        <f>'2022'!BS21</f>
        <v>0</v>
      </c>
      <c r="CD195" s="59">
        <f>'2022'!BT21</f>
        <v>17</v>
      </c>
      <c r="CE195" s="56">
        <f>'2022'!BU21</f>
        <v>295</v>
      </c>
      <c r="CF195" s="57">
        <f>'2022'!BV21</f>
        <v>2502</v>
      </c>
      <c r="CG195" s="57">
        <f>'2022'!BW21</f>
        <v>6</v>
      </c>
      <c r="CH195" s="57">
        <f>'2022'!BX21</f>
        <v>32</v>
      </c>
      <c r="CI195" s="57">
        <f>'2022'!BY21</f>
        <v>64</v>
      </c>
      <c r="CJ195" s="57">
        <f>'2022'!BZ21</f>
        <v>12</v>
      </c>
      <c r="CK195" s="58">
        <f>'2022'!CA21</f>
        <v>4.5999999999999996</v>
      </c>
      <c r="CL195" s="58">
        <f>'2022'!CB21</f>
        <v>48.5</v>
      </c>
      <c r="CM195" s="58">
        <f>'2022'!CC21</f>
        <v>2.56</v>
      </c>
      <c r="CN195" s="58">
        <f>'2022'!CD21</f>
        <v>22.7</v>
      </c>
      <c r="CO195" s="57">
        <f>'2022'!CE21</f>
        <v>73</v>
      </c>
      <c r="CP195" s="57">
        <f>'2022'!CF21</f>
        <v>6024</v>
      </c>
      <c r="CQ195" s="57">
        <f>'2022'!CG21</f>
        <v>10</v>
      </c>
      <c r="CR195" s="57">
        <f>'2022'!CH21</f>
        <v>0</v>
      </c>
      <c r="CS195" s="59">
        <f>'2022'!CI21</f>
        <v>61</v>
      </c>
      <c r="CT195" s="56">
        <f>'2022'!CJ21</f>
        <v>446</v>
      </c>
      <c r="CU195" s="57">
        <f>'2022'!CK21</f>
        <v>1217</v>
      </c>
      <c r="CV195" s="57">
        <f>'2022'!CL21</f>
        <v>3</v>
      </c>
      <c r="CW195" s="57">
        <f>'2022'!CM21</f>
        <v>9</v>
      </c>
      <c r="CX195" s="57">
        <f>'2022'!CN21</f>
        <v>104</v>
      </c>
      <c r="CY195" s="57">
        <f>'2022'!CO21</f>
        <v>18</v>
      </c>
      <c r="CZ195" s="58">
        <f>'2022'!CP21</f>
        <v>4.3</v>
      </c>
      <c r="DA195" s="58">
        <f>'2022'!CQ21</f>
        <v>54.1</v>
      </c>
      <c r="DB195" s="58">
        <f>'2022'!CR21</f>
        <v>3.03</v>
      </c>
      <c r="DC195" s="58">
        <f>'2022'!CS21</f>
        <v>23.5</v>
      </c>
      <c r="DD195" s="57">
        <f>'2022'!CT21</f>
        <v>47</v>
      </c>
      <c r="DE195" s="57">
        <f>'2022'!CU21</f>
        <v>3122</v>
      </c>
      <c r="DF195" s="57">
        <f>'2022'!CV21</f>
        <v>8</v>
      </c>
      <c r="DG195" s="57">
        <f>'2022'!CW21</f>
        <v>0</v>
      </c>
      <c r="DH195" s="59">
        <f>'2022'!CX21</f>
        <v>24</v>
      </c>
      <c r="DI195" s="56">
        <f>'2022'!CY21</f>
        <v>1015</v>
      </c>
      <c r="DJ195" s="57">
        <f>'2022'!CZ21</f>
        <v>1482</v>
      </c>
      <c r="DK195" s="57">
        <f>'2022'!DA21</f>
        <v>6</v>
      </c>
      <c r="DL195" s="57">
        <f>'2022'!DB21</f>
        <v>9</v>
      </c>
      <c r="DM195" s="57">
        <f>'2022'!DC21</f>
        <v>211</v>
      </c>
      <c r="DN195" s="57">
        <f>'2022'!DD21</f>
        <v>37</v>
      </c>
      <c r="DO195" s="58">
        <f>'2022'!DE21</f>
        <v>4.8</v>
      </c>
      <c r="DP195" s="58">
        <f>'2022'!DF21</f>
        <v>54.5</v>
      </c>
      <c r="DQ195" s="58">
        <f>'2022'!DG21</f>
        <v>2.8</v>
      </c>
      <c r="DR195" s="58">
        <f>'2022'!DH21</f>
        <v>27.3</v>
      </c>
      <c r="DS195" s="57">
        <f>'2022'!DI21</f>
        <v>64</v>
      </c>
      <c r="DT195" s="57">
        <f>'2022'!DJ21</f>
        <v>3308</v>
      </c>
      <c r="DU195" s="57">
        <f>'2022'!DK21</f>
        <v>10</v>
      </c>
      <c r="DV195" s="57">
        <f>'2022'!DL21</f>
        <v>0</v>
      </c>
      <c r="DW195" s="59">
        <f>'2022'!DM21</f>
        <v>32</v>
      </c>
    </row>
    <row r="196" spans="1:127" ht="15.75" customHeight="1" x14ac:dyDescent="0.2">
      <c r="A196" s="33">
        <f t="shared" si="36"/>
        <v>194</v>
      </c>
      <c r="B196" s="11">
        <f>'2025'!A26</f>
        <v>24</v>
      </c>
      <c r="C196" s="11">
        <v>2025</v>
      </c>
      <c r="D196" s="34" t="str">
        <f>'2025'!B26</f>
        <v>Brashard Smith</v>
      </c>
      <c r="E196" s="224" t="str" cm="1">
        <f t="array" ref="E196">_xlfn.IFS(F196&gt;=13,"Cornerstone",AND(F196&gt;=12,F196&lt;13),"Elite",AND(F196&gt;=11,F196&lt;12),"Elite Upside",AND(F196&gt;=9,F196&lt;11),"Upside",AND(F196&gt;=7,F196&lt;9),"Upside Lite",AND(F196&gt;=6,F196&lt;7),"Outlier",AND(F196&gt;=5,F196&lt;6),"Outlier Lite",F196&lt;5,"Purgatory")</f>
        <v>Outlier Lite</v>
      </c>
      <c r="F196" s="14">
        <f>'2025'!C26</f>
        <v>5.8055555555555554</v>
      </c>
      <c r="G196" s="14">
        <f t="shared" si="31"/>
        <v>40.6</v>
      </c>
      <c r="H196" s="35">
        <f t="shared" si="37"/>
        <v>-0.92976406157971314</v>
      </c>
      <c r="I196" s="36" t="str">
        <f>'2025'!D26</f>
        <v>SMU</v>
      </c>
      <c r="J196" s="37">
        <f>'2025'!E26</f>
        <v>3</v>
      </c>
      <c r="K196" s="38">
        <f>'2025'!F26</f>
        <v>37722</v>
      </c>
      <c r="L196" s="39">
        <f>'2025'!G26</f>
        <v>22.479452054794521</v>
      </c>
      <c r="M196" s="39" t="str">
        <f>'2025'!H26</f>
        <v>RS JR</v>
      </c>
      <c r="N196" s="39">
        <f>'2025'!I26</f>
        <v>22.06027397260274</v>
      </c>
      <c r="O196" s="39" t="str">
        <f t="shared" si="38"/>
        <v>JITTERBUG</v>
      </c>
      <c r="P196" s="39" t="str">
        <f t="shared" si="34"/>
        <v>+RECEIVER</v>
      </c>
      <c r="Q196" s="37">
        <f>'2025'!J26</f>
        <v>68</v>
      </c>
      <c r="R196" s="37">
        <f>'2025'!K26</f>
        <v>194</v>
      </c>
      <c r="S196" s="39">
        <f t="shared" ref="S196:S259" si="40">R196*0.453592/(Q196*0.0254)^2</f>
        <v>29.497272316343945</v>
      </c>
      <c r="T196" s="37">
        <f>'2025'!L26</f>
        <v>4.3899999999999997</v>
      </c>
      <c r="U196" s="40">
        <f>'2025'!M26</f>
        <v>7</v>
      </c>
      <c r="V196" s="41">
        <f>'2025'!N26</f>
        <v>0</v>
      </c>
      <c r="W196" s="42">
        <f>'2025'!O26</f>
        <v>4.1114156604192903E-2</v>
      </c>
      <c r="X196" s="42">
        <f>'2025'!P26</f>
        <v>7.8598329785492069E-2</v>
      </c>
      <c r="Y196" s="42">
        <f>'2025'!Q26</f>
        <v>7.6337353123067414E-2</v>
      </c>
      <c r="Z196" s="42">
        <f>'2025'!R26</f>
        <v>0.27653984302248241</v>
      </c>
      <c r="AA196" s="42">
        <f>'2025'!S26</f>
        <v>0.27653984302248241</v>
      </c>
      <c r="AB196" s="42">
        <f>'2025'!T26</f>
        <v>0.24888585872023417</v>
      </c>
      <c r="AC196" s="42">
        <f>'2025'!U26</f>
        <v>8.4948320413436695E-2</v>
      </c>
      <c r="AD196" s="42">
        <f>'2025'!V26</f>
        <v>9.1910762013854813E-2</v>
      </c>
      <c r="AE196" s="42">
        <f>'2025'!W26</f>
        <v>9.1910762013854813E-2</v>
      </c>
      <c r="AF196" s="43">
        <f>'2025'!X26</f>
        <v>8.2719685812469329E-2</v>
      </c>
      <c r="AG196" s="44">
        <f>'2025'!Y26</f>
        <v>21.416438356164385</v>
      </c>
      <c r="AH196" s="45">
        <f>'2025'!Z26</f>
        <v>104.4656821784036</v>
      </c>
      <c r="AI196" s="45">
        <f>'2025'!AA26</f>
        <v>29.494377162629757</v>
      </c>
      <c r="AJ196" s="45">
        <f>'2025'!AB26</f>
        <v>0.22413793103448276</v>
      </c>
      <c r="AK196" s="45">
        <f>'2025'!AC26</f>
        <v>5.7155172413793105</v>
      </c>
      <c r="AL196" s="45">
        <f t="shared" si="39"/>
        <v>10.091743119266056</v>
      </c>
      <c r="AM196" s="45">
        <f t="shared" si="35"/>
        <v>0.15018315018315018</v>
      </c>
      <c r="AN196" s="45">
        <f>'2025'!AD26</f>
        <v>77.099999999999994</v>
      </c>
      <c r="AO196" s="45">
        <f>'2025'!AE26</f>
        <v>3.34</v>
      </c>
      <c r="AP196" s="46">
        <f>'2025'!AF26</f>
        <v>86.4</v>
      </c>
      <c r="AQ196" s="47">
        <f>'2025'!AG26</f>
        <v>6</v>
      </c>
      <c r="AR196" s="48">
        <f>'2025'!AH26</f>
        <v>8</v>
      </c>
      <c r="AS196" s="48">
        <f>'2025'!AI26</f>
        <v>2</v>
      </c>
      <c r="AT196" s="48">
        <f>'2025'!AJ26</f>
        <v>7</v>
      </c>
      <c r="AU196" s="48">
        <f>'2025'!AK26</f>
        <v>5</v>
      </c>
      <c r="AV196" s="48">
        <f>'2025'!AL26</f>
        <v>3</v>
      </c>
      <c r="AW196" s="48">
        <f>'2025'!AM26</f>
        <v>2</v>
      </c>
      <c r="AX196" s="48">
        <f>'2025'!AN26</f>
        <v>1</v>
      </c>
      <c r="AY196" s="49">
        <f>'2025'!AO26</f>
        <v>1</v>
      </c>
      <c r="AZ196" s="50">
        <f>'2025'!AP26</f>
        <v>0.25</v>
      </c>
      <c r="BA196" s="56">
        <f>'2025'!AQ26</f>
        <v>0</v>
      </c>
      <c r="BB196" s="57">
        <f>'2025'!AR26</f>
        <v>1</v>
      </c>
      <c r="BC196" s="57">
        <f>'2025'!AS26</f>
        <v>0</v>
      </c>
      <c r="BD196" s="57">
        <f>'2025'!AT26</f>
        <v>0</v>
      </c>
      <c r="BE196" s="57">
        <f>'2025'!AU26</f>
        <v>0</v>
      </c>
      <c r="BF196" s="57">
        <f>'2025'!AV26</f>
        <v>0</v>
      </c>
      <c r="BG196" s="58">
        <f>'2025'!AW26</f>
        <v>0</v>
      </c>
      <c r="BH196" s="58">
        <f>'2025'!AX26</f>
        <v>0</v>
      </c>
      <c r="BI196" s="58">
        <f>'2025'!AY26</f>
        <v>0</v>
      </c>
      <c r="BJ196" s="58">
        <f>'2025'!AZ26</f>
        <v>0</v>
      </c>
      <c r="BK196" s="57">
        <f>'2025'!BA26</f>
        <v>0</v>
      </c>
      <c r="BL196" s="57">
        <f>'2025'!BB26</f>
        <v>1</v>
      </c>
      <c r="BM196" s="57">
        <f>'2025'!BC26</f>
        <v>0</v>
      </c>
      <c r="BN196" s="57">
        <f>'2025'!BD26</f>
        <v>0</v>
      </c>
      <c r="BO196" s="59">
        <f>'2025'!BE26</f>
        <v>0</v>
      </c>
      <c r="BP196" s="56">
        <f>'2025'!BF26</f>
        <v>23</v>
      </c>
      <c r="BQ196" s="57">
        <f>'2025'!BG26</f>
        <v>1545.6000000000001</v>
      </c>
      <c r="BR196" s="57">
        <f>'2025'!BH26</f>
        <v>0</v>
      </c>
      <c r="BS196" s="57">
        <f>'2025'!BI26</f>
        <v>20.399999999999999</v>
      </c>
      <c r="BT196" s="57">
        <f>'2025'!BJ26</f>
        <v>6</v>
      </c>
      <c r="BU196" s="57">
        <f>'2025'!BK26</f>
        <v>1</v>
      </c>
      <c r="BV196" s="58">
        <f>'2025'!BL26</f>
        <v>3.8333333333333335</v>
      </c>
      <c r="BW196" s="58">
        <f>'2025'!BM26</f>
        <v>75</v>
      </c>
      <c r="BX196" s="58">
        <f>'2025'!BN26</f>
        <v>3</v>
      </c>
      <c r="BY196" s="58">
        <f>'2025'!BO26</f>
        <v>0</v>
      </c>
      <c r="BZ196" s="57">
        <f>'2025'!BP26</f>
        <v>199</v>
      </c>
      <c r="CA196" s="57">
        <f>'2025'!BQ26</f>
        <v>3854</v>
      </c>
      <c r="CB196" s="57">
        <f>'2025'!BR26</f>
        <v>14</v>
      </c>
      <c r="CC196" s="57">
        <f>'2025'!BS26</f>
        <v>2</v>
      </c>
      <c r="CD196" s="59">
        <f>'2025'!BT26</f>
        <v>30</v>
      </c>
      <c r="CE196" s="56">
        <f>'2025'!BU26</f>
        <v>35</v>
      </c>
      <c r="CF196" s="57">
        <f>'2025'!BV26</f>
        <v>1406.9</v>
      </c>
      <c r="CG196" s="57">
        <f>'2025'!BW26</f>
        <v>0</v>
      </c>
      <c r="CH196" s="57">
        <f>'2025'!BX26</f>
        <v>11</v>
      </c>
      <c r="CI196" s="57">
        <f>'2025'!BY26</f>
        <v>5</v>
      </c>
      <c r="CJ196" s="57">
        <f>'2025'!BZ26</f>
        <v>2</v>
      </c>
      <c r="CK196" s="58">
        <f>'2025'!CA26</f>
        <v>7</v>
      </c>
      <c r="CL196" s="58">
        <f>'2025'!CB26</f>
        <v>161.6</v>
      </c>
      <c r="CM196" s="58">
        <f>'2025'!CC26</f>
        <v>4.5999999999999996</v>
      </c>
      <c r="CN196" s="58">
        <f>'2025'!CD26</f>
        <v>0</v>
      </c>
      <c r="CO196" s="57">
        <f>'2025'!CE26</f>
        <v>301</v>
      </c>
      <c r="CP196" s="57">
        <f>'2025'!CF26</f>
        <v>2868</v>
      </c>
      <c r="CQ196" s="57">
        <f>'2025'!CG26</f>
        <v>32</v>
      </c>
      <c r="CR196" s="57">
        <f>'2025'!CH26</f>
        <v>0</v>
      </c>
      <c r="CS196" s="59">
        <f>'2025'!CI26</f>
        <v>16.5</v>
      </c>
      <c r="CT196" s="56">
        <f>'2025'!CJ26</f>
        <v>132</v>
      </c>
      <c r="CU196" s="57">
        <f>'2025'!CK26</f>
        <v>2078.3999999999996</v>
      </c>
      <c r="CV196" s="57">
        <f>'2025'!CL26</f>
        <v>1</v>
      </c>
      <c r="CW196" s="57">
        <f>'2025'!CM26</f>
        <v>21.6</v>
      </c>
      <c r="CX196" s="57">
        <f>'2025'!CN26</f>
        <v>9</v>
      </c>
      <c r="CY196" s="57">
        <f>'2025'!CO26</f>
        <v>2</v>
      </c>
      <c r="CZ196" s="58">
        <f>'2025'!CP26</f>
        <v>14.666666666666666</v>
      </c>
      <c r="DA196" s="58">
        <f>'2025'!CQ26</f>
        <v>45.9</v>
      </c>
      <c r="DB196" s="58">
        <f>'2025'!CR26</f>
        <v>1.78</v>
      </c>
      <c r="DC196" s="58">
        <f>'2025'!CS26</f>
        <v>86.4</v>
      </c>
      <c r="DD196" s="57">
        <f>'2025'!CT26</f>
        <v>263</v>
      </c>
      <c r="DE196" s="57">
        <f>'2025'!CU26</f>
        <v>3096</v>
      </c>
      <c r="DF196" s="57">
        <f>'2025'!CV26</f>
        <v>22</v>
      </c>
      <c r="DG196" s="57">
        <f>'2025'!CW26</f>
        <v>2</v>
      </c>
      <c r="DH196" s="59">
        <f>'2025'!CX26</f>
        <v>21.6</v>
      </c>
      <c r="DI196" s="56">
        <f>'2025'!CY26</f>
        <v>1326</v>
      </c>
      <c r="DJ196" s="57">
        <f>'2025'!CZ26</f>
        <v>2347</v>
      </c>
      <c r="DK196" s="57">
        <f>'2025'!DA26</f>
        <v>14</v>
      </c>
      <c r="DL196" s="57">
        <f>'2025'!DB26</f>
        <v>27.599999999999998</v>
      </c>
      <c r="DM196" s="57">
        <f>'2025'!DC26</f>
        <v>232</v>
      </c>
      <c r="DN196" s="57">
        <f>'2025'!DD26</f>
        <v>52</v>
      </c>
      <c r="DO196" s="58">
        <f>'2025'!DE26</f>
        <v>5.7155172413793105</v>
      </c>
      <c r="DP196" s="58">
        <f>'2025'!DF26</f>
        <v>77.099999999999994</v>
      </c>
      <c r="DQ196" s="58">
        <f>'2025'!DG26</f>
        <v>3.34</v>
      </c>
      <c r="DR196" s="58">
        <f>'2025'!DH26</f>
        <v>43.1</v>
      </c>
      <c r="DS196" s="57">
        <f>'2025'!DI26</f>
        <v>337</v>
      </c>
      <c r="DT196" s="57">
        <f>'2025'!DJ26</f>
        <v>3666.5999999999995</v>
      </c>
      <c r="DU196" s="57">
        <f>'2025'!DK26</f>
        <v>41</v>
      </c>
      <c r="DV196" s="57">
        <f>'2025'!DL26</f>
        <v>4</v>
      </c>
      <c r="DW196" s="59">
        <f>'2025'!DM26</f>
        <v>24</v>
      </c>
    </row>
    <row r="197" spans="1:127" ht="15.75" customHeight="1" x14ac:dyDescent="0.2">
      <c r="A197" s="33">
        <f t="shared" si="36"/>
        <v>195</v>
      </c>
      <c r="B197" s="11">
        <f>'2017'!A19</f>
        <v>17</v>
      </c>
      <c r="C197" s="11">
        <v>2017</v>
      </c>
      <c r="D197" s="34" t="str">
        <f>'2017'!B19</f>
        <v>Chris Carson</v>
      </c>
      <c r="E197" s="224" t="str" cm="1">
        <f t="array" ref="E197">_xlfn.IFS(F197&gt;=13,"Cornerstone",AND(F197&gt;=12,F197&lt;13),"Elite",AND(F197&gt;=11,F197&lt;12),"Elite Upside",AND(F197&gt;=9,F197&lt;11),"Upside",AND(F197&gt;=7,F197&lt;9),"Upside Lite",AND(F197&gt;=6,F197&lt;7),"Outlier",AND(F197&gt;=5,F197&lt;6),"Outlier Lite",F197&lt;5,"Purgatory")</f>
        <v>Outlier Lite</v>
      </c>
      <c r="F197" s="14">
        <f>'2017'!C19</f>
        <v>5.7277777777777779</v>
      </c>
      <c r="G197" s="14">
        <f t="shared" si="31"/>
        <v>40.300000000000004</v>
      </c>
      <c r="H197" s="35">
        <f t="shared" si="37"/>
        <v>-0.96268156657612936</v>
      </c>
      <c r="I197" s="36" t="str">
        <f>'2017'!D19</f>
        <v>Okahoma State</v>
      </c>
      <c r="J197" s="37">
        <f>'2017'!E19</f>
        <v>3</v>
      </c>
      <c r="K197" s="38">
        <f>'2017'!F19</f>
        <v>34593</v>
      </c>
      <c r="L197" s="39">
        <f>'2017'!G19</f>
        <v>31.052054794520547</v>
      </c>
      <c r="M197" s="39" t="str">
        <f>'2017'!H19</f>
        <v>SR</v>
      </c>
      <c r="N197" s="39">
        <f>'2017'!I19</f>
        <v>22.627397260273973</v>
      </c>
      <c r="O197" s="39" t="str">
        <f t="shared" si="38"/>
        <v>BELL CALF</v>
      </c>
      <c r="P197" s="39" t="str">
        <f t="shared" si="34"/>
        <v>+RECEIVER</v>
      </c>
      <c r="Q197" s="37">
        <f>'2017'!J19</f>
        <v>70</v>
      </c>
      <c r="R197" s="37">
        <f>'2017'!K19</f>
        <v>218</v>
      </c>
      <c r="S197" s="39">
        <f t="shared" si="40"/>
        <v>31.279396599609523</v>
      </c>
      <c r="T197" s="37">
        <f>'2017'!L19</f>
        <v>4.58</v>
      </c>
      <c r="U197" s="55">
        <f>'2017'!M19</f>
        <v>7</v>
      </c>
      <c r="V197" s="41">
        <f>'2017'!N19</f>
        <v>0</v>
      </c>
      <c r="W197" s="42">
        <f>'2017'!O19</f>
        <v>0</v>
      </c>
      <c r="X197" s="42">
        <f>'2017'!P19</f>
        <v>0</v>
      </c>
      <c r="Y197" s="42">
        <f>'2017'!Q19</f>
        <v>0.1110576923076923</v>
      </c>
      <c r="Z197" s="42">
        <f>'2017'!R19</f>
        <v>0.15311735255158168</v>
      </c>
      <c r="AA197" s="42">
        <f>'2017'!S19</f>
        <v>0.15311735255158168</v>
      </c>
      <c r="AB197" s="42">
        <f>'2017'!T19</f>
        <v>0.13780561729642352</v>
      </c>
      <c r="AC197" s="42">
        <f>'2017'!U19</f>
        <v>3.7028969723371816E-2</v>
      </c>
      <c r="AD197" s="42">
        <f>'2017'!V19</f>
        <v>4.3909299852492194E-2</v>
      </c>
      <c r="AE197" s="42">
        <f>'2017'!W19</f>
        <v>4.3909299852492194E-2</v>
      </c>
      <c r="AF197" s="43">
        <f>'2017'!X19</f>
        <v>3.9518369867242976E-2</v>
      </c>
      <c r="AG197" s="44">
        <f>'2017'!Y19</f>
        <v>21.986301369863014</v>
      </c>
      <c r="AH197" s="45">
        <f>'2017'!Z19</f>
        <v>99.08880188646431</v>
      </c>
      <c r="AI197" s="45">
        <f>'2017'!AA19</f>
        <v>31.276326530612245</v>
      </c>
      <c r="AJ197" s="45">
        <f>'2017'!AB19</f>
        <v>0.37349397590361444</v>
      </c>
      <c r="AK197" s="45">
        <f>'2017'!AC19</f>
        <v>6.7</v>
      </c>
      <c r="AL197" s="45">
        <f t="shared" si="39"/>
        <v>9.9333333333333336</v>
      </c>
      <c r="AM197" s="45">
        <f t="shared" si="35"/>
        <v>0.13541666666666666</v>
      </c>
      <c r="AN197" s="45">
        <f>'2017'!AD19</f>
        <v>145.80000000000001</v>
      </c>
      <c r="AO197" s="45">
        <f>'2017'!AE19</f>
        <v>4</v>
      </c>
      <c r="AP197" s="46">
        <f>'2017'!AF19</f>
        <v>46.2</v>
      </c>
      <c r="AQ197" s="47">
        <f>'2017'!AG19</f>
        <v>1</v>
      </c>
      <c r="AR197" s="48">
        <f>'2017'!AH19</f>
        <v>4</v>
      </c>
      <c r="AS197" s="48">
        <f>'2017'!AI19</f>
        <v>2</v>
      </c>
      <c r="AT197" s="48">
        <f>IF(AH197&gt;113.25,10,IF(AH197&gt;=107.84,9,IF(AH197&gt;=105.37,8,IF(AH197&gt;=103.25,7,IF(AH197&gt;=100.55,6,IF(AH197&gt;=98.75,5,IF(AH197&gt;=96.08,4,IF(AH197&gt;=94.39,3,IF(AH197&gt;=88.43,2,IF(AH197&gt;=85.16,1,IF(AH197&lt;85.16,0,FALSE)))))))))))</f>
        <v>5</v>
      </c>
      <c r="AU197" s="48">
        <f>'2017'!AK19</f>
        <v>10</v>
      </c>
      <c r="AV197" s="48">
        <f>'2017'!AL19</f>
        <v>7</v>
      </c>
      <c r="AW197" s="48">
        <f>'2017'!AM19</f>
        <v>9</v>
      </c>
      <c r="AX197" s="48">
        <f>'2017'!AN19</f>
        <v>7</v>
      </c>
      <c r="AY197" s="49">
        <f>IF(U197=1,10,IF(U197=2,7,IF(U197=3,6,IF(U197=4,4,IF(U197=5,3,IF(U197=6,2,IF(U197=7,1,IF(U197=0,0,"-"))))))))</f>
        <v>1</v>
      </c>
      <c r="AZ197" s="50">
        <f>'2017'!AP19</f>
        <v>0</v>
      </c>
      <c r="BA197" s="56">
        <f>'2017'!AQ19</f>
        <v>0</v>
      </c>
      <c r="BB197" s="57">
        <f>'2017'!AR19</f>
        <v>2799</v>
      </c>
      <c r="BC197" s="57">
        <f>'2017'!AS19</f>
        <v>0</v>
      </c>
      <c r="BD197" s="57">
        <f>'2017'!AT19</f>
        <v>0</v>
      </c>
      <c r="BE197" s="57">
        <f>'2017'!AU19</f>
        <v>0</v>
      </c>
      <c r="BF197" s="57">
        <f>'2017'!AV19</f>
        <v>0</v>
      </c>
      <c r="BG197" s="58">
        <f>'2017'!AW19</f>
        <v>0</v>
      </c>
      <c r="BH197" s="58">
        <f>'2017'!AX19</f>
        <v>0</v>
      </c>
      <c r="BI197" s="58">
        <f>'2017'!AY19</f>
        <v>0</v>
      </c>
      <c r="BJ197" s="58">
        <f>'2017'!AZ19</f>
        <v>0</v>
      </c>
      <c r="BK197" s="57">
        <f>'2017'!BA19</f>
        <v>0</v>
      </c>
      <c r="BL197" s="57">
        <f>'2017'!BB19</f>
        <v>4312</v>
      </c>
      <c r="BM197" s="57">
        <f>'2017'!BC19</f>
        <v>0</v>
      </c>
      <c r="BN197" s="57">
        <f>'2017'!BD19</f>
        <v>0</v>
      </c>
      <c r="BO197" s="59">
        <f>'2017'!BE19</f>
        <v>0</v>
      </c>
      <c r="BP197" s="56">
        <f>'2017'!BF19</f>
        <v>0</v>
      </c>
      <c r="BQ197" s="57">
        <f>'2017'!BG19</f>
        <v>2235</v>
      </c>
      <c r="BR197" s="57">
        <f>'2017'!BH19</f>
        <v>0</v>
      </c>
      <c r="BS197" s="57">
        <f>'2017'!BI19</f>
        <v>0</v>
      </c>
      <c r="BT197" s="57">
        <f>'2017'!BJ19</f>
        <v>0</v>
      </c>
      <c r="BU197" s="57">
        <f>'2017'!BK19</f>
        <v>0</v>
      </c>
      <c r="BV197" s="58">
        <f>'2017'!BL19</f>
        <v>0</v>
      </c>
      <c r="BW197" s="58">
        <f>'2017'!BM19</f>
        <v>0</v>
      </c>
      <c r="BX197" s="58">
        <f>'2017'!BN19</f>
        <v>0</v>
      </c>
      <c r="BY197" s="58">
        <f>'2017'!BO19</f>
        <v>0</v>
      </c>
      <c r="BZ197" s="57">
        <f>'2017'!BP19</f>
        <v>0</v>
      </c>
      <c r="CA197" s="57">
        <f>'2017'!BQ19</f>
        <v>3599</v>
      </c>
      <c r="CB197" s="57">
        <f>'2017'!BR19</f>
        <v>0</v>
      </c>
      <c r="CC197" s="57">
        <f>'2017'!BS19</f>
        <v>0</v>
      </c>
      <c r="CD197" s="59">
        <f>'2017'!BT19</f>
        <v>0</v>
      </c>
      <c r="CE197" s="56">
        <f>'2017'!BU19</f>
        <v>0</v>
      </c>
      <c r="CF197" s="57">
        <f>'2017'!BV19</f>
        <v>3395</v>
      </c>
      <c r="CG197" s="57">
        <f>'2017'!BW19</f>
        <v>0</v>
      </c>
      <c r="CH197" s="57">
        <f>'2017'!BX19</f>
        <v>0</v>
      </c>
      <c r="CI197" s="57">
        <f>'2017'!BY19</f>
        <v>0</v>
      </c>
      <c r="CJ197" s="57">
        <f>'2017'!BZ19</f>
        <v>0</v>
      </c>
      <c r="CK197" s="58">
        <f>'2017'!CA19</f>
        <v>0</v>
      </c>
      <c r="CL197" s="58">
        <f>'2017'!CB19</f>
        <v>0</v>
      </c>
      <c r="CM197" s="58">
        <f>'2017'!CC19</f>
        <v>0</v>
      </c>
      <c r="CN197" s="58">
        <f>'2017'!CD19</f>
        <v>0</v>
      </c>
      <c r="CO197" s="57">
        <f>'2017'!CE19</f>
        <v>0</v>
      </c>
      <c r="CP197" s="57">
        <f>'2017'!CF19</f>
        <v>3149</v>
      </c>
      <c r="CQ197" s="57">
        <f>'2017'!CG19</f>
        <v>0</v>
      </c>
      <c r="CR197" s="57">
        <f>'2017'!CH19</f>
        <v>0</v>
      </c>
      <c r="CS197" s="59">
        <f>'2017'!CI19</f>
        <v>0</v>
      </c>
      <c r="CT197" s="56">
        <f>'2017'!CJ19</f>
        <v>523</v>
      </c>
      <c r="CU197" s="57">
        <f>'2017'!CK19</f>
        <v>1649</v>
      </c>
      <c r="CV197" s="57">
        <f>'2017'!CL19</f>
        <v>4</v>
      </c>
      <c r="CW197" s="57">
        <f>'2017'!CM19</f>
        <v>0</v>
      </c>
      <c r="CX197" s="57">
        <f>'2017'!CN19</f>
        <v>130</v>
      </c>
      <c r="CY197" s="57">
        <f>'2017'!CO19</f>
        <v>25</v>
      </c>
      <c r="CZ197" s="58">
        <f>'2017'!CP19</f>
        <v>4</v>
      </c>
      <c r="DA197" s="58">
        <f>'2017'!CQ19</f>
        <v>46.1</v>
      </c>
      <c r="DB197" s="58">
        <f>'2017'!CR19</f>
        <v>2.34</v>
      </c>
      <c r="DC197" s="58">
        <f>'2017'!CS19</f>
        <v>16.3</v>
      </c>
      <c r="DD197" s="57">
        <f>'2017'!CT19</f>
        <v>170</v>
      </c>
      <c r="DE197" s="57">
        <f>'2017'!CU19</f>
        <v>4591</v>
      </c>
      <c r="DF197" s="57">
        <f>'2017'!CV19</f>
        <v>17</v>
      </c>
      <c r="DG197" s="57">
        <f>'2017'!CW19</f>
        <v>0</v>
      </c>
      <c r="DH197" s="59">
        <f>'2017'!CX19</f>
        <v>0</v>
      </c>
      <c r="DI197" s="56">
        <f>'2017'!CY19</f>
        <v>554</v>
      </c>
      <c r="DJ197" s="57">
        <f>'2017'!CZ19</f>
        <v>1539</v>
      </c>
      <c r="DK197" s="57">
        <f>'2017'!DA19</f>
        <v>9</v>
      </c>
      <c r="DL197" s="57">
        <f>'2017'!DB19</f>
        <v>0</v>
      </c>
      <c r="DM197" s="57">
        <f>'2017'!DC19</f>
        <v>83</v>
      </c>
      <c r="DN197" s="57">
        <f>'2017'!DD19</f>
        <v>31</v>
      </c>
      <c r="DO197" s="58">
        <f>'2017'!DE19</f>
        <v>6.7</v>
      </c>
      <c r="DP197" s="58">
        <f>'2017'!DF19</f>
        <v>145.80000000000001</v>
      </c>
      <c r="DQ197" s="58">
        <f>'2017'!DG19</f>
        <v>4</v>
      </c>
      <c r="DR197" s="58">
        <f>'2017'!DH19</f>
        <v>46.2</v>
      </c>
      <c r="DS197" s="57">
        <f>'2017'!DI19</f>
        <v>128</v>
      </c>
      <c r="DT197" s="57">
        <f>'2017'!DJ19</f>
        <v>2915.1</v>
      </c>
      <c r="DU197" s="57">
        <f>'2017'!DK19</f>
        <v>13</v>
      </c>
      <c r="DV197" s="57">
        <f>'2017'!DL19</f>
        <v>0</v>
      </c>
      <c r="DW197" s="59">
        <f>'2017'!DM19</f>
        <v>0</v>
      </c>
    </row>
    <row r="198" spans="1:127" ht="15.75" customHeight="1" x14ac:dyDescent="0.2">
      <c r="A198" s="33">
        <f t="shared" si="36"/>
        <v>196</v>
      </c>
      <c r="B198" s="11">
        <f>'2026 - WIP'!A15</f>
        <v>13</v>
      </c>
      <c r="C198" s="11">
        <v>2026</v>
      </c>
      <c r="D198" s="34" t="str">
        <f>'2026 - WIP'!B15</f>
        <v>Kanye Udoh</v>
      </c>
      <c r="E198" s="224" t="str" cm="1">
        <f t="array" ref="E198">_xlfn.IFS(F198&gt;=13,"Cornerstone",AND(F198&gt;=12,F198&lt;13),"Elite",AND(F198&gt;=11,F198&lt;12),"Elite Upside",AND(F198&gt;=9,F198&lt;11),"Upside",AND(F198&gt;=7,F198&lt;9),"Upside Lite",AND(F198&gt;=6,F198&lt;7),"Outlier",AND(F198&gt;=5,F198&lt;6),"Outlier Lite",F198&lt;5,"Purgatory")</f>
        <v>Outlier Lite</v>
      </c>
      <c r="F198" s="14">
        <f>'2026 - WIP'!C15</f>
        <v>5.6999999999999993</v>
      </c>
      <c r="G198" s="14">
        <f t="shared" si="31"/>
        <v>40</v>
      </c>
      <c r="H198" s="35">
        <f t="shared" si="37"/>
        <v>-0.9744378183605642</v>
      </c>
      <c r="I198" s="36" t="str">
        <f>'2026 - WIP'!D15</f>
        <v>Arizona State</v>
      </c>
      <c r="J198" s="37">
        <f>'2026 - WIP'!E15</f>
        <v>3</v>
      </c>
      <c r="K198" s="38">
        <f>'2026 - WIP'!F15</f>
        <v>38504</v>
      </c>
      <c r="L198" s="39">
        <f>'2026 - WIP'!G15</f>
        <v>20.336986301369862</v>
      </c>
      <c r="M198" s="39" t="str">
        <f>'2026 - WIP'!H15</f>
        <v>JR</v>
      </c>
      <c r="N198" s="39">
        <f>'2026 - WIP'!I15</f>
        <v>20.917808219178081</v>
      </c>
      <c r="O198" s="39" t="str">
        <f t="shared" si="38"/>
        <v>FREAK</v>
      </c>
      <c r="P198" s="39" t="str">
        <f>IF(OR(AND($AA198&lt;0.25,$AO198&gt;=0.133,AE198&gt;4%),(AND($O198="JITTERBUG",$AO198&gt;0.11)),(AND($O198="JITTERBUG",$AE198&gt;9.5%))),"+RECEIVER",IF(AND($AJ198&gt;=0.25,$AQ198&gt;=3.81),"3DOWN",IF($AQ198&gt;=3.81,"HORSE",IF(OR(AJ198&gt;0.28,AK198&gt;7,AR198&gt;47),"SLASHER",IF(AO198&gt;0.19,"+RECEIVER","PLODDER")))))</f>
        <v>SLASHER</v>
      </c>
      <c r="Q198" s="37">
        <f>'2026 - WIP'!J15</f>
        <v>73</v>
      </c>
      <c r="R198" s="37">
        <f>'2026 - WIP'!K15</f>
        <v>220</v>
      </c>
      <c r="S198" s="39">
        <f t="shared" si="40"/>
        <v>29.025179461505484</v>
      </c>
      <c r="T198" s="39">
        <f>'2026 - WIP'!L15</f>
        <v>4.5</v>
      </c>
      <c r="U198" s="55">
        <f>'2026 - WIP'!M15</f>
        <v>0</v>
      </c>
      <c r="V198" s="41">
        <f>'2026 - WIP'!N15</f>
        <v>0</v>
      </c>
      <c r="W198" s="42">
        <f>'2026 - WIP'!O15</f>
        <v>0</v>
      </c>
      <c r="X198" s="42">
        <f>'2026 - WIP'!P15</f>
        <v>0.16859716859716858</v>
      </c>
      <c r="Y198" s="42">
        <f>'2026 - WIP'!Q15</f>
        <v>0.22485517631148699</v>
      </c>
      <c r="Z198" s="42">
        <f>'2026 - WIP'!R15</f>
        <v>0.11232449297971919</v>
      </c>
      <c r="AA198" s="42">
        <f>'2026 - WIP'!S15</f>
        <v>0.16858983464560309</v>
      </c>
      <c r="AB198" s="42">
        <f>'2026 - WIP'!T15</f>
        <v>0.15173085118104279</v>
      </c>
      <c r="AC198" s="42">
        <f>'2026 - WIP'!U15</f>
        <v>2.8631418209581982E-3</v>
      </c>
      <c r="AD198" s="42">
        <f>'2026 - WIP'!V15</f>
        <v>1.1385199240986717E-2</v>
      </c>
      <c r="AE198" s="42">
        <f>'2026 - WIP'!W15</f>
        <v>1.1385199240986717E-2</v>
      </c>
      <c r="AF198" s="43">
        <f>'2026 - WIP'!X15</f>
        <v>1.0246679316888045E-2</v>
      </c>
      <c r="AG198" s="44">
        <f>'2026 - WIP'!Y15</f>
        <v>18.271232876712329</v>
      </c>
      <c r="AH198" s="45">
        <f>'2026 - WIP'!Z15</f>
        <v>107.3007163542143</v>
      </c>
      <c r="AI198" s="45">
        <f>'2026 - WIP'!AA15</f>
        <v>29.022330643647965</v>
      </c>
      <c r="AJ198" s="45">
        <f>'2026 - WIP'!AB15</f>
        <v>0.28125</v>
      </c>
      <c r="AK198" s="45">
        <f>'2026 - WIP'!AC15</f>
        <v>6.2067039106145252</v>
      </c>
      <c r="AL198" s="45">
        <f t="shared" si="39"/>
        <v>3</v>
      </c>
      <c r="AM198" s="45">
        <f t="shared" si="35"/>
        <v>3.0303030303030304E-2</v>
      </c>
      <c r="AN198" s="45">
        <f>'2026 - WIP'!AD15</f>
        <v>76.099999999999994</v>
      </c>
      <c r="AO198" s="45">
        <f>'2026 - WIP'!AE15</f>
        <v>3.46</v>
      </c>
      <c r="AP198" s="46">
        <f>'2026 - WIP'!AF15</f>
        <v>37.9</v>
      </c>
      <c r="AQ198" s="47">
        <f>'2026 - WIP'!AG15</f>
        <v>2</v>
      </c>
      <c r="AR198" s="48">
        <f>'2026 - WIP'!AH15</f>
        <v>1</v>
      </c>
      <c r="AS198" s="48">
        <f>'2026 - WIP'!AI15</f>
        <v>10</v>
      </c>
      <c r="AT198" s="48">
        <f>'2026 - WIP'!AJ15</f>
        <v>8</v>
      </c>
      <c r="AU198" s="48">
        <f>'2026 - WIP'!AK15</f>
        <v>8</v>
      </c>
      <c r="AV198" s="48">
        <f>'2026 - WIP'!AL15</f>
        <v>5</v>
      </c>
      <c r="AW198" s="48">
        <f>'2026 - WIP'!AM15</f>
        <v>2</v>
      </c>
      <c r="AX198" s="48">
        <f>'2026 - WIP'!AN15</f>
        <v>1</v>
      </c>
      <c r="AY198" s="49">
        <f>'2026 - WIP'!AO15</f>
        <v>0</v>
      </c>
      <c r="AZ198" s="50">
        <f>'2026 - WIP'!AP15</f>
        <v>0.5</v>
      </c>
      <c r="BA198" s="56">
        <f>'2026 - WIP'!AQ15</f>
        <v>0</v>
      </c>
      <c r="BB198" s="57">
        <f>'2026 - WIP'!AR15</f>
        <v>1</v>
      </c>
      <c r="BC198" s="57">
        <f>'2026 - WIP'!AS15</f>
        <v>0</v>
      </c>
      <c r="BD198" s="57">
        <f>'2026 - WIP'!AT15</f>
        <v>0</v>
      </c>
      <c r="BE198" s="57">
        <f>'2026 - WIP'!AU15</f>
        <v>0</v>
      </c>
      <c r="BF198" s="57">
        <f>'2026 - WIP'!AV15</f>
        <v>0</v>
      </c>
      <c r="BG198" s="58">
        <f>'2026 - WIP'!AW15</f>
        <v>0</v>
      </c>
      <c r="BH198" s="58">
        <f>'2026 - WIP'!AX15</f>
        <v>0</v>
      </c>
      <c r="BI198" s="58">
        <f>'2026 - WIP'!AY15</f>
        <v>0</v>
      </c>
      <c r="BJ198" s="58">
        <f>'2026 - WIP'!AZ15</f>
        <v>0</v>
      </c>
      <c r="BK198" s="57">
        <f>'2026 - WIP'!BA15</f>
        <v>0</v>
      </c>
      <c r="BL198" s="57">
        <f>'2026 - WIP'!BB15</f>
        <v>1</v>
      </c>
      <c r="BM198" s="57">
        <f>'2026 - WIP'!BC15</f>
        <v>0</v>
      </c>
      <c r="BN198" s="57">
        <f>'2026 - WIP'!BD15</f>
        <v>0</v>
      </c>
      <c r="BO198" s="59">
        <f>'2026 - WIP'!BE15</f>
        <v>0</v>
      </c>
      <c r="BP198" s="56">
        <f>'2026 - WIP'!BF15</f>
        <v>0</v>
      </c>
      <c r="BQ198" s="57">
        <f>'2026 - WIP'!BG15</f>
        <v>1</v>
      </c>
      <c r="BR198" s="57">
        <f>'2026 - WIP'!BH15</f>
        <v>0</v>
      </c>
      <c r="BS198" s="57">
        <f>'2026 - WIP'!BI15</f>
        <v>0</v>
      </c>
      <c r="BT198" s="57">
        <f>'2026 - WIP'!BJ15</f>
        <v>0</v>
      </c>
      <c r="BU198" s="57">
        <f>'2026 - WIP'!BK15</f>
        <v>0</v>
      </c>
      <c r="BV198" s="58">
        <f>'2026 - WIP'!BL15</f>
        <v>0</v>
      </c>
      <c r="BW198" s="58">
        <f>'2026 - WIP'!BM15</f>
        <v>0</v>
      </c>
      <c r="BX198" s="58">
        <f>'2026 - WIP'!BN15</f>
        <v>0</v>
      </c>
      <c r="BY198" s="58">
        <f>'2026 - WIP'!BO15</f>
        <v>0</v>
      </c>
      <c r="BZ198" s="57">
        <f>'2026 - WIP'!BP15</f>
        <v>0</v>
      </c>
      <c r="CA198" s="57">
        <f>'2026 - WIP'!BQ15</f>
        <v>1</v>
      </c>
      <c r="CB198" s="57">
        <f>'2026 - WIP'!BR15</f>
        <v>0</v>
      </c>
      <c r="CC198" s="57">
        <f>'2026 - WIP'!BS15</f>
        <v>0</v>
      </c>
      <c r="CD198" s="59">
        <f>'2026 - WIP'!BT15</f>
        <v>0</v>
      </c>
      <c r="CE198" s="56">
        <f>'2026 - WIP'!BU15</f>
        <v>524</v>
      </c>
      <c r="CF198" s="57">
        <f>'2026 - WIP'!BV15</f>
        <v>2080</v>
      </c>
      <c r="CG198" s="57">
        <f>'2026 - WIP'!BW15</f>
        <v>1</v>
      </c>
      <c r="CH198" s="57">
        <f>'2026 - WIP'!BX15</f>
        <v>16</v>
      </c>
      <c r="CI198" s="57">
        <f>'2026 - WIP'!BY15</f>
        <v>99</v>
      </c>
      <c r="CJ198" s="57">
        <f>'2026 - WIP'!BZ15</f>
        <v>24</v>
      </c>
      <c r="CK198" s="58">
        <f>'2026 - WIP'!CA15</f>
        <v>5.2929292929292933</v>
      </c>
      <c r="CL198" s="58">
        <f>'2026 - WIP'!CB15</f>
        <v>76.099999999999994</v>
      </c>
      <c r="CM198" s="58">
        <f>'2026 - WIP'!CC15</f>
        <v>3.17</v>
      </c>
      <c r="CN198" s="58">
        <f>'2026 - WIP'!CD15</f>
        <v>13.7</v>
      </c>
      <c r="CO198" s="57">
        <f>'2026 - WIP'!CE15</f>
        <v>0</v>
      </c>
      <c r="CP198" s="57">
        <f>'2026 - WIP'!CF15</f>
        <v>1028</v>
      </c>
      <c r="CQ198" s="57">
        <f>'2026 - WIP'!CG15</f>
        <v>1</v>
      </c>
      <c r="CR198" s="57">
        <f>'2026 - WIP'!CH15</f>
        <v>0</v>
      </c>
      <c r="CS198" s="59">
        <f>'2026 - WIP'!CI15</f>
        <v>6</v>
      </c>
      <c r="CT198" s="56">
        <f>'2026 - WIP'!CJ15</f>
        <v>1111</v>
      </c>
      <c r="CU198" s="57">
        <f>'2026 - WIP'!CK15</f>
        <v>3906.5</v>
      </c>
      <c r="CV198" s="57">
        <f>'2026 - WIP'!CL15</f>
        <v>10</v>
      </c>
      <c r="CW198" s="57">
        <f>'2026 - WIP'!CM15</f>
        <v>44.199999999999996</v>
      </c>
      <c r="CX198" s="57">
        <f>'2026 - WIP'!CN15</f>
        <v>179</v>
      </c>
      <c r="CY198" s="57">
        <f>'2026 - WIP'!CO15</f>
        <v>32</v>
      </c>
      <c r="CZ198" s="58">
        <f>'2026 - WIP'!CP15</f>
        <v>6.2067039106145252</v>
      </c>
      <c r="DA198" s="58">
        <f>'2026 - WIP'!CQ15</f>
        <v>61.6</v>
      </c>
      <c r="DB198" s="58">
        <f>'2026 - WIP'!CR15</f>
        <v>3.46</v>
      </c>
      <c r="DC198" s="58">
        <f>'2026 - WIP'!CS15</f>
        <v>37.9</v>
      </c>
      <c r="DD198" s="57">
        <f>'2026 - WIP'!CT15</f>
        <v>3</v>
      </c>
      <c r="DE198" s="57">
        <f>'2026 - WIP'!CU15</f>
        <v>1047.8</v>
      </c>
      <c r="DF198" s="57">
        <f>'2026 - WIP'!CV15</f>
        <v>1</v>
      </c>
      <c r="DG198" s="57">
        <f>'2026 - WIP'!CW15</f>
        <v>0</v>
      </c>
      <c r="DH198" s="59">
        <f>'2026 - WIP'!CX15</f>
        <v>9.1</v>
      </c>
      <c r="DI198" s="56">
        <f>'2026 - WIP'!CY15</f>
        <v>138</v>
      </c>
      <c r="DJ198" s="57">
        <f>'2026 - WIP'!CZ15</f>
        <v>755</v>
      </c>
      <c r="DK198" s="57">
        <f>'2026 - WIP'!DA15</f>
        <v>0</v>
      </c>
      <c r="DL198" s="57">
        <f>'2026 - WIP'!DB15</f>
        <v>0</v>
      </c>
      <c r="DM198" s="57">
        <f>'2026 - WIP'!DC15</f>
        <v>32</v>
      </c>
      <c r="DN198" s="57">
        <f>'2026 - WIP'!DD15</f>
        <v>9</v>
      </c>
      <c r="DO198" s="58">
        <f>'2026 - WIP'!DE15</f>
        <v>4.3125</v>
      </c>
      <c r="DP198" s="58">
        <f>'2026 - WIP'!DF15</f>
        <v>64.8</v>
      </c>
      <c r="DQ198" s="58">
        <f>'2026 - WIP'!DG15</f>
        <v>2.38</v>
      </c>
      <c r="DR198" s="58">
        <f>'2026 - WIP'!DH15</f>
        <v>29</v>
      </c>
      <c r="DS198" s="57">
        <f>'2026 - WIP'!DI15</f>
        <v>6</v>
      </c>
      <c r="DT198" s="57">
        <f>'2026 - WIP'!DJ15</f>
        <v>527</v>
      </c>
      <c r="DU198" s="57">
        <f>'2026 - WIP'!DK15</f>
        <v>1</v>
      </c>
      <c r="DV198" s="57">
        <f>'2026 - WIP'!DL15</f>
        <v>0</v>
      </c>
      <c r="DW198" s="59">
        <f>'2026 - WIP'!DM15</f>
        <v>0</v>
      </c>
    </row>
    <row r="199" spans="1:127" ht="15.75" customHeight="1" x14ac:dyDescent="0.2">
      <c r="A199" s="33">
        <f t="shared" si="36"/>
        <v>197</v>
      </c>
      <c r="B199" s="11">
        <f>'2025'!A27</f>
        <v>25</v>
      </c>
      <c r="C199" s="11">
        <v>2025</v>
      </c>
      <c r="D199" s="34" t="str">
        <f>'2025'!B27</f>
        <v>LeQuint Allen</v>
      </c>
      <c r="E199" s="224" t="str" cm="1">
        <f t="array" ref="E199">_xlfn.IFS(F199&gt;=13,"Cornerstone",AND(F199&gt;=12,F199&lt;13),"Elite",AND(F199&gt;=11,F199&lt;12),"Elite Upside",AND(F199&gt;=9,F199&lt;11),"Upside",AND(F199&gt;=7,F199&lt;9),"Upside Lite",AND(F199&gt;=6,F199&lt;7),"Outlier",AND(F199&gt;=5,F199&lt;6),"Outlier Lite",F199&lt;5,"Purgatory")</f>
        <v>Outlier Lite</v>
      </c>
      <c r="F199" s="14">
        <f>'2025'!C27</f>
        <v>5.6888888888888891</v>
      </c>
      <c r="G199" s="14">
        <f t="shared" ref="G199:G262" si="41">(_xlfn.PERCENTRANK.EXC($F$3:$F$328,F199)*100)</f>
        <v>39.4</v>
      </c>
      <c r="H199" s="35">
        <f t="shared" si="37"/>
        <v>-0.97914031907433752</v>
      </c>
      <c r="I199" s="36" t="str">
        <f>'2025'!D27</f>
        <v>Syracuse</v>
      </c>
      <c r="J199" s="37">
        <f>'2025'!E27</f>
        <v>4</v>
      </c>
      <c r="K199" s="38">
        <f>'2025'!F27</f>
        <v>38204</v>
      </c>
      <c r="L199" s="39">
        <f>'2025'!G27</f>
        <v>21.158904109589042</v>
      </c>
      <c r="M199" s="39" t="str">
        <f>'2025'!H27</f>
        <v>JR</v>
      </c>
      <c r="N199" s="39">
        <f>'2025'!I27</f>
        <v>20.739726027397261</v>
      </c>
      <c r="O199" s="39" t="str">
        <f t="shared" si="38"/>
        <v>DYNAMIC</v>
      </c>
      <c r="P199" s="39" t="str">
        <f>IF(OR(AND($AA199&lt;0.25,$AM199&gt;=0.133,AE199&gt;4%),(AND($O199="JITTERBUG",$AM199&gt;0.11)),(AND($O199="JITTERBUG",$AE199&gt;9.5%))),"+RECEIVER",IF(AND($AJ199&gt;=0.25,$AO199&gt;=3.81),"3DOWN",IF($AO199&gt;=3.81,"HORSE",IF(OR(AJ199&gt;0.28,AK199&gt;7,AP199&gt;47),"SLASHER",IF(AM199&gt;0.19,"+RECEIVER","PLODDER")))))</f>
        <v>+RECEIVER</v>
      </c>
      <c r="Q199" s="37">
        <f>'2025'!J27</f>
        <v>72</v>
      </c>
      <c r="R199" s="37">
        <f>'2025'!K27</f>
        <v>204</v>
      </c>
      <c r="S199" s="39">
        <f t="shared" si="40"/>
        <v>27.667067371171782</v>
      </c>
      <c r="T199" s="37">
        <f>'2025'!L27</f>
        <v>4.5</v>
      </c>
      <c r="U199" s="40">
        <f>'2025'!M27</f>
        <v>7</v>
      </c>
      <c r="V199" s="41">
        <f>'2025'!N27</f>
        <v>0</v>
      </c>
      <c r="W199" s="42">
        <f>'2025'!O27</f>
        <v>0</v>
      </c>
      <c r="X199" s="42">
        <f>'2025'!P27</f>
        <v>8.1360946745562115E-2</v>
      </c>
      <c r="Y199" s="42">
        <f>'2025'!Q27</f>
        <v>0.28770530372627667</v>
      </c>
      <c r="Z199" s="42">
        <f>'2025'!R27</f>
        <v>0.25531354872672235</v>
      </c>
      <c r="AA199" s="42">
        <f>'2025'!S27</f>
        <v>0.27150942622649954</v>
      </c>
      <c r="AB199" s="42">
        <f>'2025'!T27</f>
        <v>0.2443584836038496</v>
      </c>
      <c r="AC199" s="42">
        <f>'2025'!U27</f>
        <v>9.6716149347728292E-2</v>
      </c>
      <c r="AD199" s="42">
        <f>'2025'!V27</f>
        <v>0.10997920997920999</v>
      </c>
      <c r="AE199" s="42">
        <f>'2025'!W27</f>
        <v>0.10997920997920999</v>
      </c>
      <c r="AF199" s="43">
        <f>'2025'!X27</f>
        <v>9.8981288981288995E-2</v>
      </c>
      <c r="AG199" s="44">
        <f>'2025'!Y27</f>
        <v>19.093150684931508</v>
      </c>
      <c r="AH199" s="45">
        <f>'2025'!Z27</f>
        <v>99.497027892089619</v>
      </c>
      <c r="AI199" s="45">
        <f>'2025'!AA27</f>
        <v>27.664351851851851</v>
      </c>
      <c r="AJ199" s="45">
        <f>'2025'!AB27</f>
        <v>0.22857142857142856</v>
      </c>
      <c r="AK199" s="45">
        <f>'2025'!AC27</f>
        <v>4.4868421052631575</v>
      </c>
      <c r="AL199" s="45">
        <f t="shared" si="39"/>
        <v>7.1570247933884295</v>
      </c>
      <c r="AM199" s="45">
        <f t="shared" si="35"/>
        <v>0.21917808219178081</v>
      </c>
      <c r="AN199" s="45">
        <f>'2025'!AD27</f>
        <v>63.7</v>
      </c>
      <c r="AO199" s="45">
        <f>'2025'!AE27</f>
        <v>3</v>
      </c>
      <c r="AP199" s="46">
        <f>'2025'!AF27</f>
        <v>28</v>
      </c>
      <c r="AQ199" s="47">
        <f>'2025'!AG27</f>
        <v>6</v>
      </c>
      <c r="AR199" s="48">
        <f>'2025'!AH27</f>
        <v>9</v>
      </c>
      <c r="AS199" s="48">
        <f>'2025'!AI27</f>
        <v>7</v>
      </c>
      <c r="AT199" s="48">
        <f>'2025'!AJ27</f>
        <v>5</v>
      </c>
      <c r="AU199" s="48">
        <f>'2025'!AK27</f>
        <v>5</v>
      </c>
      <c r="AV199" s="48">
        <f>'2025'!AL27</f>
        <v>0</v>
      </c>
      <c r="AW199" s="48">
        <f>'2025'!AM27</f>
        <v>1</v>
      </c>
      <c r="AX199" s="48">
        <f>'2025'!AN27</f>
        <v>0</v>
      </c>
      <c r="AY199" s="49">
        <f>'2025'!AO27</f>
        <v>1</v>
      </c>
      <c r="AZ199" s="50">
        <f>'2025'!AP27</f>
        <v>0</v>
      </c>
      <c r="BA199" s="56">
        <f>'2025'!AQ27</f>
        <v>0</v>
      </c>
      <c r="BB199" s="57">
        <f>'2025'!AR27</f>
        <v>1</v>
      </c>
      <c r="BC199" s="57">
        <f>'2025'!AS27</f>
        <v>0</v>
      </c>
      <c r="BD199" s="57">
        <f>'2025'!AT27</f>
        <v>0</v>
      </c>
      <c r="BE199" s="57">
        <f>'2025'!AU27</f>
        <v>0</v>
      </c>
      <c r="BF199" s="57">
        <f>'2025'!AV27</f>
        <v>0</v>
      </c>
      <c r="BG199" s="58">
        <f>'2025'!AW27</f>
        <v>0</v>
      </c>
      <c r="BH199" s="58">
        <f>'2025'!AX27</f>
        <v>0</v>
      </c>
      <c r="BI199" s="58">
        <f>'2025'!AY27</f>
        <v>0</v>
      </c>
      <c r="BJ199" s="58">
        <f>'2025'!AZ27</f>
        <v>0</v>
      </c>
      <c r="BK199" s="57">
        <f>'2025'!BA27</f>
        <v>0</v>
      </c>
      <c r="BL199" s="57">
        <f>'2025'!BB27</f>
        <v>1</v>
      </c>
      <c r="BM199" s="57">
        <f>'2025'!BC27</f>
        <v>0</v>
      </c>
      <c r="BN199" s="57">
        <f>'2025'!BD27</f>
        <v>0</v>
      </c>
      <c r="BO199" s="59">
        <f>'2025'!BE27</f>
        <v>0</v>
      </c>
      <c r="BP199" s="56">
        <f>'2025'!BF27</f>
        <v>0</v>
      </c>
      <c r="BQ199" s="57">
        <f>'2025'!BG27</f>
        <v>1</v>
      </c>
      <c r="BR199" s="57">
        <f>'2025'!BH27</f>
        <v>0</v>
      </c>
      <c r="BS199" s="57">
        <f>'2025'!BI27</f>
        <v>0</v>
      </c>
      <c r="BT199" s="57">
        <f>'2025'!BJ27</f>
        <v>0</v>
      </c>
      <c r="BU199" s="57">
        <f>'2025'!BK27</f>
        <v>0</v>
      </c>
      <c r="BV199" s="58">
        <f>'2025'!BL27</f>
        <v>0</v>
      </c>
      <c r="BW199" s="58">
        <f>'2025'!BM27</f>
        <v>0</v>
      </c>
      <c r="BX199" s="58">
        <f>'2025'!BN27</f>
        <v>0</v>
      </c>
      <c r="BY199" s="58">
        <f>'2025'!BO27</f>
        <v>0</v>
      </c>
      <c r="BZ199" s="57">
        <f>'2025'!BP27</f>
        <v>0</v>
      </c>
      <c r="CA199" s="57">
        <f>'2025'!BQ27</f>
        <v>1</v>
      </c>
      <c r="CB199" s="57">
        <f>'2025'!BR27</f>
        <v>0</v>
      </c>
      <c r="CC199" s="57">
        <f>'2025'!BS27</f>
        <v>0</v>
      </c>
      <c r="CD199" s="59">
        <f>'2025'!BT27</f>
        <v>0</v>
      </c>
      <c r="CE199" s="56">
        <f>'2025'!BU27</f>
        <v>274</v>
      </c>
      <c r="CF199" s="57">
        <f>'2025'!BV27</f>
        <v>1852.5</v>
      </c>
      <c r="CG199" s="57">
        <f>'2025'!BW27</f>
        <v>1</v>
      </c>
      <c r="CH199" s="57">
        <f>'2025'!BX27</f>
        <v>20.8</v>
      </c>
      <c r="CI199" s="57">
        <f>'2025'!BY27</f>
        <v>41</v>
      </c>
      <c r="CJ199" s="57">
        <f>'2025'!BZ27</f>
        <v>19</v>
      </c>
      <c r="CK199" s="58">
        <f>'2025'!CA27</f>
        <v>6.6829268292682924</v>
      </c>
      <c r="CL199" s="58">
        <f>'2025'!CB27</f>
        <v>210.3</v>
      </c>
      <c r="CM199" s="58">
        <f>'2025'!CC27</f>
        <v>6.1</v>
      </c>
      <c r="CN199" s="58">
        <f>'2025'!CD27</f>
        <v>50.7</v>
      </c>
      <c r="CO199" s="57">
        <f>'2025'!CE27</f>
        <v>122</v>
      </c>
      <c r="CP199" s="57">
        <f>'2025'!CF27</f>
        <v>3014.7000000000003</v>
      </c>
      <c r="CQ199" s="57">
        <f>'2025'!CG27</f>
        <v>17</v>
      </c>
      <c r="CR199" s="57">
        <f>'2025'!CH27</f>
        <v>1</v>
      </c>
      <c r="CS199" s="59">
        <f>'2025'!CI27</f>
        <v>19.5</v>
      </c>
      <c r="CT199" s="56">
        <f>'2025'!CJ27</f>
        <v>1069</v>
      </c>
      <c r="CU199" s="57">
        <f>'2025'!CK27</f>
        <v>2239.9</v>
      </c>
      <c r="CV199" s="57">
        <f>'2025'!CL27</f>
        <v>9</v>
      </c>
      <c r="CW199" s="57">
        <f>'2025'!CM27</f>
        <v>19.5</v>
      </c>
      <c r="CX199" s="57">
        <f>'2025'!CN27</f>
        <v>245</v>
      </c>
      <c r="CY199" s="57">
        <f>'2025'!CO27</f>
        <v>56</v>
      </c>
      <c r="CZ199" s="58">
        <f>'2025'!CP27</f>
        <v>4.3632653061224493</v>
      </c>
      <c r="DA199" s="58">
        <f>'2025'!CQ27</f>
        <v>63.7</v>
      </c>
      <c r="DB199" s="58">
        <f>'2025'!CR27</f>
        <v>2.87</v>
      </c>
      <c r="DC199" s="58">
        <f>'2025'!CS27</f>
        <v>28</v>
      </c>
      <c r="DD199" s="57">
        <f>'2025'!CT27</f>
        <v>215</v>
      </c>
      <c r="DE199" s="57">
        <f>'2025'!CU27</f>
        <v>2223</v>
      </c>
      <c r="DF199" s="57">
        <f>'2025'!CV27</f>
        <v>40</v>
      </c>
      <c r="DG199" s="57">
        <f>'2025'!CW27</f>
        <v>1</v>
      </c>
      <c r="DH199" s="59">
        <f>'2025'!CX27</f>
        <v>16.900000000000002</v>
      </c>
      <c r="DI199" s="56">
        <f>'2025'!CY27</f>
        <v>1023</v>
      </c>
      <c r="DJ199" s="57">
        <f>'2025'!CZ27</f>
        <v>1268.8</v>
      </c>
      <c r="DK199" s="57">
        <f>'2025'!DA27</f>
        <v>16</v>
      </c>
      <c r="DL199" s="57">
        <f>'2025'!DB27</f>
        <v>22.099999999999998</v>
      </c>
      <c r="DM199" s="57">
        <f>'2025'!DC27</f>
        <v>228</v>
      </c>
      <c r="DN199" s="57">
        <f>'2025'!DD27</f>
        <v>44</v>
      </c>
      <c r="DO199" s="58">
        <f>'2025'!DE27</f>
        <v>4.4868421052631575</v>
      </c>
      <c r="DP199" s="58">
        <f>'2025'!DF27</f>
        <v>56.4</v>
      </c>
      <c r="DQ199" s="58">
        <f>'2025'!DG27</f>
        <v>3</v>
      </c>
      <c r="DR199" s="58">
        <f>'2025'!DH27</f>
        <v>23.2</v>
      </c>
      <c r="DS199" s="57">
        <f>'2025'!DI27</f>
        <v>529</v>
      </c>
      <c r="DT199" s="57">
        <f>'2025'!DJ27</f>
        <v>4810</v>
      </c>
      <c r="DU199" s="57">
        <f>'2025'!DK27</f>
        <v>64</v>
      </c>
      <c r="DV199" s="57">
        <f>'2025'!DL27</f>
        <v>4</v>
      </c>
      <c r="DW199" s="59">
        <f>'2025'!DM27</f>
        <v>33.800000000000004</v>
      </c>
    </row>
    <row r="200" spans="1:127" ht="15.75" customHeight="1" x14ac:dyDescent="0.2">
      <c r="A200" s="33">
        <f t="shared" si="36"/>
        <v>197</v>
      </c>
      <c r="B200" s="11">
        <f>'2019'!A19</f>
        <v>17</v>
      </c>
      <c r="C200" s="11">
        <v>2019</v>
      </c>
      <c r="D200" s="34" t="str">
        <f>'2019'!B19</f>
        <v>Darwin Thompson</v>
      </c>
      <c r="E200" s="224" t="str" cm="1">
        <f t="array" ref="E200">_xlfn.IFS(F200&gt;=13,"Cornerstone",AND(F200&gt;=12,F200&lt;13),"Elite",AND(F200&gt;=11,F200&lt;12),"Elite Upside",AND(F200&gt;=9,F200&lt;11),"Upside",AND(F200&gt;=7,F200&lt;9),"Upside Lite",AND(F200&gt;=6,F200&lt;7),"Outlier",AND(F200&gt;=5,F200&lt;6),"Outlier Lite",F200&lt;5,"Purgatory")</f>
        <v>Outlier Lite</v>
      </c>
      <c r="F200" s="14">
        <f>'2019'!C19</f>
        <v>5.6888888888888891</v>
      </c>
      <c r="G200" s="14">
        <f t="shared" si="41"/>
        <v>39.4</v>
      </c>
      <c r="H200" s="35">
        <f t="shared" si="37"/>
        <v>-0.97914031907433752</v>
      </c>
      <c r="I200" s="36" t="str">
        <f>'2019'!D19</f>
        <v>Utah State</v>
      </c>
      <c r="J200" s="37">
        <f>'2019'!E19</f>
        <v>7</v>
      </c>
      <c r="K200" s="38">
        <f>'2019'!F19</f>
        <v>35473</v>
      </c>
      <c r="L200" s="39">
        <f>'2019'!G19</f>
        <v>28.641095890410959</v>
      </c>
      <c r="M200" s="39" t="str">
        <f>'2019'!H19</f>
        <v>JR</v>
      </c>
      <c r="N200" s="39">
        <f>'2019'!I19</f>
        <v>22.210958904109589</v>
      </c>
      <c r="O200" s="39" t="str">
        <f t="shared" si="38"/>
        <v>BELL CALF</v>
      </c>
      <c r="P200" s="39" t="str">
        <f>IF(OR(AND($AA200&lt;0.25,$AM200&gt;=0.133,AE200&gt;4%),(AND($O200="JITTERBUG",$AM200&gt;0.11)),(AND($O200="JITTERBUG",$AE200&gt;9.5%))),"+RECEIVER",IF(AND($AJ200&gt;=0.25,$AO200&gt;=3.81),"3DOWN",IF($AO200&gt;=3.81,"HORSE",IF(OR(AJ200&gt;0.28,AK200&gt;7,AP200&gt;47),"SLASHER",IF(AM200&gt;0.19,"+RECEIVER","PLODDER")))))</f>
        <v>+RECEIVER</v>
      </c>
      <c r="Q200" s="37">
        <f>'2019'!J19</f>
        <v>68</v>
      </c>
      <c r="R200" s="37">
        <f>'2019'!K19</f>
        <v>201</v>
      </c>
      <c r="S200" s="39">
        <f t="shared" si="40"/>
        <v>30.561606884459451</v>
      </c>
      <c r="T200" s="37">
        <f>'2019'!L19</f>
        <v>4.55</v>
      </c>
      <c r="U200" s="40">
        <f>'2019'!M19</f>
        <v>6</v>
      </c>
      <c r="V200" s="41">
        <f>'2019'!N19</f>
        <v>0</v>
      </c>
      <c r="W200" s="42">
        <f>'2019'!O19</f>
        <v>0</v>
      </c>
      <c r="X200" s="42">
        <f>'2019'!P19</f>
        <v>0</v>
      </c>
      <c r="Y200" s="42">
        <f>'2019'!Q19</f>
        <v>0</v>
      </c>
      <c r="Z200" s="42">
        <f>'2019'!R19</f>
        <v>0.21821837302814723</v>
      </c>
      <c r="AA200" s="42">
        <f>'2019'!S19</f>
        <v>0.21821837302814723</v>
      </c>
      <c r="AB200" s="42">
        <f>'2019'!T19</f>
        <v>0.16366377977111041</v>
      </c>
      <c r="AC200" s="42">
        <f>'2019'!U19</f>
        <v>0</v>
      </c>
      <c r="AD200" s="42">
        <f>'2019'!V19</f>
        <v>9.5947712418300649E-2</v>
      </c>
      <c r="AE200" s="42">
        <f>'2019'!W19</f>
        <v>9.5947712418300649E-2</v>
      </c>
      <c r="AF200" s="43">
        <f>'2019'!X19</f>
        <v>7.196078431372549E-2</v>
      </c>
      <c r="AG200" s="44">
        <f>'2019'!Y19</f>
        <v>21.561643835616437</v>
      </c>
      <c r="AH200" s="45">
        <f>'2019'!Z19</f>
        <v>93.795168180992491</v>
      </c>
      <c r="AI200" s="45">
        <f>'2019'!AA19</f>
        <v>30.558607266435985</v>
      </c>
      <c r="AJ200" s="45">
        <f>'2019'!AB19</f>
        <v>0.31125827814569534</v>
      </c>
      <c r="AK200" s="45">
        <f>'2019'!AC19</f>
        <v>6.9</v>
      </c>
      <c r="AL200" s="45">
        <f t="shared" si="39"/>
        <v>15.291666666666666</v>
      </c>
      <c r="AM200" s="45">
        <f t="shared" si="35"/>
        <v>0.13714285714285715</v>
      </c>
      <c r="AN200" s="45">
        <f>'2019'!AD19</f>
        <v>173.7</v>
      </c>
      <c r="AO200" s="45">
        <f>'2019'!AE19</f>
        <v>5.07</v>
      </c>
      <c r="AP200" s="46">
        <f>'2019'!AF19</f>
        <v>50.5</v>
      </c>
      <c r="AQ200" s="47">
        <f>'2019'!AG19</f>
        <v>2</v>
      </c>
      <c r="AR200" s="48">
        <f>'2019'!AH19</f>
        <v>7</v>
      </c>
      <c r="AS200" s="48">
        <f>'2019'!AI19</f>
        <v>2</v>
      </c>
      <c r="AT200" s="48">
        <f>IF(AH200&gt;113.25,10,IF(AH200&gt;=107.84,9,IF(AH200&gt;=105.37,8,IF(AH200&gt;=103.25,7,IF(AH200&gt;=100.55,6,IF(AH200&gt;=98.75,5,IF(AH200&gt;=96.08,4,IF(AH200&gt;=94.39,3,IF(AH200&gt;=88.43,2,IF(AH200&gt;=85.16,1,IF(AH200&lt;85.16,0,FALSE)))))))))))</f>
        <v>2</v>
      </c>
      <c r="AU200" s="48">
        <f>'2019'!AK19</f>
        <v>8</v>
      </c>
      <c r="AV200" s="48">
        <f>'2019'!AL19</f>
        <v>7</v>
      </c>
      <c r="AW200" s="48">
        <f>'2019'!AM19</f>
        <v>8</v>
      </c>
      <c r="AX200" s="48">
        <f>'2019'!AN19</f>
        <v>8</v>
      </c>
      <c r="AY200" s="49">
        <f>IF(U200=1,10,IF(U200=2,7,IF(U200=3,6,IF(U200=4,4,IF(U200=5,3,IF(U200=6,2,IF(U200=7,1,IF(U200=0,0,"-"))))))))</f>
        <v>2</v>
      </c>
      <c r="AZ200" s="50">
        <f>'2019'!AP19</f>
        <v>0</v>
      </c>
      <c r="BA200" s="56">
        <f>'2019'!AQ19</f>
        <v>0</v>
      </c>
      <c r="BB200" s="57">
        <f>'2019'!AR19</f>
        <v>2521</v>
      </c>
      <c r="BC200" s="57">
        <f>'2019'!AS19</f>
        <v>0</v>
      </c>
      <c r="BD200" s="57">
        <f>'2019'!AT19</f>
        <v>22</v>
      </c>
      <c r="BE200" s="57">
        <f>'2019'!AU19</f>
        <v>0</v>
      </c>
      <c r="BF200" s="57">
        <f>'2019'!AV19</f>
        <v>0</v>
      </c>
      <c r="BG200" s="58">
        <f>'2019'!AW19</f>
        <v>0</v>
      </c>
      <c r="BH200" s="58">
        <f>'2019'!AX19</f>
        <v>0</v>
      </c>
      <c r="BI200" s="58">
        <f>'2019'!AY19</f>
        <v>0</v>
      </c>
      <c r="BJ200" s="58">
        <f>'2019'!AZ19</f>
        <v>0</v>
      </c>
      <c r="BK200" s="57">
        <f>'2019'!BA19</f>
        <v>0</v>
      </c>
      <c r="BL200" s="57">
        <f>'2019'!BB19</f>
        <v>2782</v>
      </c>
      <c r="BM200" s="57">
        <f>'2019'!BC19</f>
        <v>0</v>
      </c>
      <c r="BN200" s="57">
        <f>'2019'!BD19</f>
        <v>0</v>
      </c>
      <c r="BO200" s="59">
        <f>'2019'!BE19</f>
        <v>20</v>
      </c>
      <c r="BP200" s="56">
        <f>'2019'!BF19</f>
        <v>0</v>
      </c>
      <c r="BQ200" s="57">
        <f>'2019'!BG19</f>
        <v>2146</v>
      </c>
      <c r="BR200" s="57">
        <f>'2019'!BH19</f>
        <v>0</v>
      </c>
      <c r="BS200" s="57">
        <f>'2019'!BI19</f>
        <v>22</v>
      </c>
      <c r="BT200" s="57">
        <f>'2019'!BJ19</f>
        <v>0</v>
      </c>
      <c r="BU200" s="57">
        <f>'2019'!BK19</f>
        <v>0</v>
      </c>
      <c r="BV200" s="58">
        <f>'2019'!BL19</f>
        <v>0</v>
      </c>
      <c r="BW200" s="58">
        <f>'2019'!BM19</f>
        <v>0</v>
      </c>
      <c r="BX200" s="58">
        <f>'2019'!BN19</f>
        <v>0</v>
      </c>
      <c r="BY200" s="58">
        <f>'2019'!BO19</f>
        <v>0</v>
      </c>
      <c r="BZ200" s="57">
        <f>'2019'!BP19</f>
        <v>0</v>
      </c>
      <c r="CA200" s="57">
        <f>'2019'!BQ19</f>
        <v>2672</v>
      </c>
      <c r="CB200" s="57">
        <f>'2019'!BR19</f>
        <v>0</v>
      </c>
      <c r="CC200" s="57">
        <f>'2019'!BS19</f>
        <v>0</v>
      </c>
      <c r="CD200" s="59">
        <f>'2019'!BT19</f>
        <v>21</v>
      </c>
      <c r="CE200" s="56">
        <f>'2019'!BU19</f>
        <v>0</v>
      </c>
      <c r="CF200" s="57">
        <f>'2019'!BV19</f>
        <v>2046</v>
      </c>
      <c r="CG200" s="57">
        <f>'2019'!BW19</f>
        <v>0</v>
      </c>
      <c r="CH200" s="57">
        <f>'2019'!BX19</f>
        <v>25</v>
      </c>
      <c r="CI200" s="57">
        <f>'2019'!BY19</f>
        <v>0</v>
      </c>
      <c r="CJ200" s="57">
        <f>'2019'!BZ19</f>
        <v>0</v>
      </c>
      <c r="CK200" s="58">
        <f>'2019'!CA19</f>
        <v>0</v>
      </c>
      <c r="CL200" s="58">
        <f>'2019'!CB19</f>
        <v>0</v>
      </c>
      <c r="CM200" s="58">
        <f>'2019'!CC19</f>
        <v>0</v>
      </c>
      <c r="CN200" s="58">
        <f>'2019'!CD19</f>
        <v>0</v>
      </c>
      <c r="CO200" s="57">
        <f>'2019'!CE19</f>
        <v>0</v>
      </c>
      <c r="CP200" s="57">
        <f>'2019'!CF19</f>
        <v>2469</v>
      </c>
      <c r="CQ200" s="57">
        <f>'2019'!CG19</f>
        <v>0</v>
      </c>
      <c r="CR200" s="57">
        <f>'2019'!CH19</f>
        <v>0</v>
      </c>
      <c r="CS200" s="59">
        <f>'2019'!CI19</f>
        <v>10</v>
      </c>
      <c r="CT200" s="56">
        <f>'2019'!CJ19</f>
        <v>0</v>
      </c>
      <c r="CU200" s="57">
        <f>'2019'!CK19</f>
        <v>2228</v>
      </c>
      <c r="CV200" s="57">
        <f>'2019'!CL19</f>
        <v>0</v>
      </c>
      <c r="CW200" s="57">
        <f>'2019'!CM19</f>
        <v>24</v>
      </c>
      <c r="CX200" s="57">
        <f>'2019'!CN19</f>
        <v>0</v>
      </c>
      <c r="CY200" s="57">
        <f>'2019'!CO19</f>
        <v>0</v>
      </c>
      <c r="CZ200" s="58">
        <f>'2019'!CP19</f>
        <v>0</v>
      </c>
      <c r="DA200" s="58">
        <f>'2019'!CQ19</f>
        <v>0</v>
      </c>
      <c r="DB200" s="58">
        <f>'2019'!CR19</f>
        <v>0</v>
      </c>
      <c r="DC200" s="58">
        <f>'2019'!CS19</f>
        <v>0</v>
      </c>
      <c r="DD200" s="57">
        <f>'2019'!CT19</f>
        <v>0</v>
      </c>
      <c r="DE200" s="57">
        <f>'2019'!CU19</f>
        <v>2938</v>
      </c>
      <c r="DF200" s="57">
        <f>'2019'!CV19</f>
        <v>0</v>
      </c>
      <c r="DG200" s="57">
        <f>'2019'!CW19</f>
        <v>0</v>
      </c>
      <c r="DH200" s="59">
        <f>'2019'!CX19</f>
        <v>17</v>
      </c>
      <c r="DI200" s="56">
        <f>'2019'!CY19</f>
        <v>1044</v>
      </c>
      <c r="DJ200" s="57">
        <f>'2019'!CZ19</f>
        <v>2641</v>
      </c>
      <c r="DK200" s="57">
        <f>'2019'!DA19</f>
        <v>14</v>
      </c>
      <c r="DL200" s="57">
        <f>'2019'!DB19</f>
        <v>37</v>
      </c>
      <c r="DM200" s="57">
        <f>'2019'!DC19</f>
        <v>151</v>
      </c>
      <c r="DN200" s="57">
        <f>'2019'!DD19</f>
        <v>47</v>
      </c>
      <c r="DO200" s="58">
        <f>'2019'!DE19</f>
        <v>6.9</v>
      </c>
      <c r="DP200" s="58">
        <f>'2019'!DF19</f>
        <v>173.7</v>
      </c>
      <c r="DQ200" s="58">
        <f>'2019'!DG19</f>
        <v>5.07</v>
      </c>
      <c r="DR200" s="58">
        <f>'2019'!DH19</f>
        <v>50.5</v>
      </c>
      <c r="DS200" s="57">
        <f>'2019'!DI19</f>
        <v>367</v>
      </c>
      <c r="DT200" s="57">
        <f>'2019'!DJ19</f>
        <v>3825</v>
      </c>
      <c r="DU200" s="57">
        <f>'2019'!DK19</f>
        <v>24</v>
      </c>
      <c r="DV200" s="57">
        <f>'2019'!DL19</f>
        <v>0</v>
      </c>
      <c r="DW200" s="59">
        <f>'2019'!DM19</f>
        <v>32</v>
      </c>
    </row>
    <row r="201" spans="1:127" ht="15.75" customHeight="1" x14ac:dyDescent="0.2">
      <c r="A201" s="33">
        <f t="shared" si="36"/>
        <v>199</v>
      </c>
      <c r="B201" s="11">
        <f>'2025'!A28</f>
        <v>26</v>
      </c>
      <c r="C201" s="11">
        <v>2025</v>
      </c>
      <c r="D201" s="34" t="str">
        <f>'2025'!B28</f>
        <v>Antario Brown</v>
      </c>
      <c r="E201" s="224" t="str" cm="1">
        <f t="array" ref="E201">_xlfn.IFS(F201&gt;=13,"Cornerstone",AND(F201&gt;=12,F201&lt;13),"Elite",AND(F201&gt;=11,F201&lt;12),"Elite Upside",AND(F201&gt;=9,F201&lt;11),"Upside",AND(F201&gt;=7,F201&lt;9),"Upside Lite",AND(F201&gt;=6,F201&lt;7),"Outlier",AND(F201&gt;=5,F201&lt;6),"Outlier Lite",F201&lt;5,"Purgatory")</f>
        <v>Outlier Lite</v>
      </c>
      <c r="F201" s="14">
        <f>'2025'!C28</f>
        <v>5.6888888888888882</v>
      </c>
      <c r="G201" s="14">
        <f t="shared" si="41"/>
        <v>39.1</v>
      </c>
      <c r="H201" s="35">
        <f t="shared" si="37"/>
        <v>-0.97914031907433796</v>
      </c>
      <c r="I201" s="36" t="str">
        <f>'2025'!D28</f>
        <v>Northern Illinois</v>
      </c>
      <c r="J201" s="37">
        <f>'2025'!E28</f>
        <v>9</v>
      </c>
      <c r="K201" s="38">
        <f>'2025'!F28</f>
        <v>37619</v>
      </c>
      <c r="L201" s="39">
        <f>'2025'!G28</f>
        <v>22.761643835616439</v>
      </c>
      <c r="M201" s="39" t="str">
        <f>'2025'!H28</f>
        <v>SR</v>
      </c>
      <c r="N201" s="39">
        <f>'2025'!I28</f>
        <v>22.342465753424658</v>
      </c>
      <c r="O201" s="39" t="str">
        <f t="shared" si="38"/>
        <v>BELL CALF</v>
      </c>
      <c r="P201" s="39" t="str">
        <f>IF(OR(AND($AA201&lt;0.25,$AM201&gt;=0.133,AE201&gt;4%),(AND($O201="JITTERBUG",$AM201&gt;0.11)),(AND($O201="JITTERBUG",$AE201&gt;9.5%))),"+RECEIVER",IF(AND($AJ201&gt;=0.25,$AO201&gt;=3.81),"3DOWN",IF($AO201&gt;=3.81,"HORSE",IF(OR(AJ201&gt;0.28,AK201&gt;7,AP201&gt;47),"SLASHER",IF(AM201&gt;0.19,"+RECEIVER","PLODDER")))))</f>
        <v>SLASHER</v>
      </c>
      <c r="Q201" s="37">
        <f>'2025'!J28</f>
        <v>70</v>
      </c>
      <c r="R201" s="37">
        <f>'2025'!K28</f>
        <v>219</v>
      </c>
      <c r="S201" s="39">
        <f t="shared" si="40"/>
        <v>31.422880070249935</v>
      </c>
      <c r="T201" s="37">
        <f>'2025'!L28</f>
        <v>4.55</v>
      </c>
      <c r="U201" s="40">
        <f>'2025'!M28</f>
        <v>0</v>
      </c>
      <c r="V201" s="41">
        <f>'2025'!N28</f>
        <v>0</v>
      </c>
      <c r="W201" s="42">
        <f>'2025'!O28</f>
        <v>0.22024793388429753</v>
      </c>
      <c r="X201" s="42">
        <f>'2025'!P28</f>
        <v>0.18654516215491826</v>
      </c>
      <c r="Y201" s="42">
        <f>'2025'!Q28</f>
        <v>0.28070907194994787</v>
      </c>
      <c r="Z201" s="42">
        <f>'2025'!R28</f>
        <v>0.24980381899032172</v>
      </c>
      <c r="AA201" s="42">
        <f>'2025'!S28</f>
        <v>0.26525644547013483</v>
      </c>
      <c r="AB201" s="42">
        <f>'2025'!T28</f>
        <v>0.17241668955558764</v>
      </c>
      <c r="AC201" s="42">
        <f>'2025'!U28</f>
        <v>2.113821138211382E-2</v>
      </c>
      <c r="AD201" s="42">
        <f>'2025'!V28</f>
        <v>0.14285714285714285</v>
      </c>
      <c r="AE201" s="42">
        <f>'2025'!W28</f>
        <v>0.14285714285714285</v>
      </c>
      <c r="AF201" s="43">
        <f>'2025'!X28</f>
        <v>9.285714285714286E-2</v>
      </c>
      <c r="AG201" s="44">
        <f>'2025'!Y28</f>
        <v>18.684931506849313</v>
      </c>
      <c r="AH201" s="45">
        <f>'2025'!Z28</f>
        <v>102.19473548078287</v>
      </c>
      <c r="AI201" s="45">
        <f>'2025'!AA28</f>
        <v>31.419795918367349</v>
      </c>
      <c r="AJ201" s="45">
        <f>'2025'!AB28</f>
        <v>0.22608695652173913</v>
      </c>
      <c r="AK201" s="45">
        <f>'2025'!AC28</f>
        <v>6.1327014218009479</v>
      </c>
      <c r="AL201" s="45">
        <f t="shared" si="39"/>
        <v>12.523809523809524</v>
      </c>
      <c r="AM201" s="45">
        <f t="shared" si="35"/>
        <v>6.5040650406504072E-2</v>
      </c>
      <c r="AN201" s="45">
        <f>'2025'!AD28</f>
        <v>82.2</v>
      </c>
      <c r="AO201" s="45">
        <f>'2025'!AE28</f>
        <v>3.26</v>
      </c>
      <c r="AP201" s="46">
        <f>'2025'!AF28</f>
        <v>50.7</v>
      </c>
      <c r="AQ201" s="47">
        <f>'2025'!AG28</f>
        <v>3</v>
      </c>
      <c r="AR201" s="48">
        <f>'2025'!AH28</f>
        <v>9</v>
      </c>
      <c r="AS201" s="48">
        <f>'2025'!AI28</f>
        <v>9</v>
      </c>
      <c r="AT201" s="48">
        <f>'2025'!AJ28</f>
        <v>6</v>
      </c>
      <c r="AU201" s="48">
        <f>'2025'!AK28</f>
        <v>5</v>
      </c>
      <c r="AV201" s="48">
        <f>'2025'!AL28</f>
        <v>5</v>
      </c>
      <c r="AW201" s="48">
        <f>'2025'!AM28</f>
        <v>2</v>
      </c>
      <c r="AX201" s="48">
        <f>'2025'!AN28</f>
        <v>1</v>
      </c>
      <c r="AY201" s="49">
        <f>'2025'!AO28</f>
        <v>0</v>
      </c>
      <c r="AZ201" s="50">
        <f>'2025'!AP28</f>
        <v>0</v>
      </c>
      <c r="BA201" s="56">
        <f>'2025'!AQ28</f>
        <v>0</v>
      </c>
      <c r="BB201" s="57">
        <f>'2025'!AR28</f>
        <v>1</v>
      </c>
      <c r="BC201" s="57">
        <f>'2025'!AS28</f>
        <v>0</v>
      </c>
      <c r="BD201" s="57">
        <f>'2025'!AT28</f>
        <v>0</v>
      </c>
      <c r="BE201" s="57">
        <f>'2025'!AU28</f>
        <v>0</v>
      </c>
      <c r="BF201" s="57">
        <f>'2025'!AV28</f>
        <v>0</v>
      </c>
      <c r="BG201" s="58">
        <f>'2025'!AW28</f>
        <v>0</v>
      </c>
      <c r="BH201" s="58">
        <f>'2025'!AX28</f>
        <v>0</v>
      </c>
      <c r="BI201" s="58">
        <f>'2025'!AY28</f>
        <v>0</v>
      </c>
      <c r="BJ201" s="58">
        <f>'2025'!AZ28</f>
        <v>0</v>
      </c>
      <c r="BK201" s="57">
        <f>'2025'!BA28</f>
        <v>0</v>
      </c>
      <c r="BL201" s="57">
        <f>'2025'!BB28</f>
        <v>1</v>
      </c>
      <c r="BM201" s="57">
        <f>'2025'!BC28</f>
        <v>0</v>
      </c>
      <c r="BN201" s="57">
        <f>'2025'!BD28</f>
        <v>0</v>
      </c>
      <c r="BO201" s="59">
        <f>'2025'!BE28</f>
        <v>0</v>
      </c>
      <c r="BP201" s="56">
        <f>'2025'!BF28</f>
        <v>533</v>
      </c>
      <c r="BQ201" s="57">
        <f>'2025'!BG28</f>
        <v>2419</v>
      </c>
      <c r="BR201" s="57">
        <f>'2025'!BH28</f>
        <v>5</v>
      </c>
      <c r="BS201" s="57">
        <f>'2025'!BI28</f>
        <v>26</v>
      </c>
      <c r="BT201" s="57">
        <f>'2025'!BJ28</f>
        <v>81</v>
      </c>
      <c r="BU201" s="57">
        <f>'2025'!BK28</f>
        <v>19</v>
      </c>
      <c r="BV201" s="58">
        <f>'2025'!BL28</f>
        <v>6.5802469135802468</v>
      </c>
      <c r="BW201" s="58">
        <f>'2025'!BM28</f>
        <v>86.9</v>
      </c>
      <c r="BX201" s="58">
        <f>'2025'!BN28</f>
        <v>3.7</v>
      </c>
      <c r="BY201" s="58">
        <f>'2025'!BO28</f>
        <v>43.7</v>
      </c>
      <c r="BZ201" s="57">
        <f>'2025'!BP28</f>
        <v>0</v>
      </c>
      <c r="CA201" s="57">
        <f>'2025'!BQ28</f>
        <v>1</v>
      </c>
      <c r="CB201" s="57">
        <f>'2025'!BR28</f>
        <v>0</v>
      </c>
      <c r="CC201" s="57">
        <f>'2025'!BS28</f>
        <v>0</v>
      </c>
      <c r="CD201" s="59">
        <f>'2025'!BT28</f>
        <v>0</v>
      </c>
      <c r="CE201" s="56">
        <f>'2025'!BU28</f>
        <v>689</v>
      </c>
      <c r="CF201" s="57">
        <f>'2025'!BV28</f>
        <v>1904</v>
      </c>
      <c r="CG201" s="57">
        <f>'2025'!BW28</f>
        <v>7</v>
      </c>
      <c r="CH201" s="57">
        <f>'2025'!BX28</f>
        <v>16</v>
      </c>
      <c r="CI201" s="57">
        <f>'2025'!BY28</f>
        <v>111</v>
      </c>
      <c r="CJ201" s="57">
        <f>'2025'!BZ28</f>
        <v>23</v>
      </c>
      <c r="CK201" s="58">
        <f>'2025'!CA28</f>
        <v>6.2072072072072073</v>
      </c>
      <c r="CL201" s="58">
        <f>'2025'!CB28</f>
        <v>63.3</v>
      </c>
      <c r="CM201" s="58">
        <f>'2025'!CC28</f>
        <v>3.08</v>
      </c>
      <c r="CN201" s="58">
        <f>'2025'!CD28</f>
        <v>50.7</v>
      </c>
      <c r="CO201" s="57">
        <f>'2025'!CE28</f>
        <v>7</v>
      </c>
      <c r="CP201" s="57">
        <f>'2025'!CF28</f>
        <v>1827</v>
      </c>
      <c r="CQ201" s="57">
        <f>'2025'!CG28</f>
        <v>1</v>
      </c>
      <c r="CR201" s="57">
        <f>'2025'!CH28</f>
        <v>0</v>
      </c>
      <c r="CS201" s="59">
        <f>'2025'!CI28</f>
        <v>15</v>
      </c>
      <c r="CT201" s="56">
        <f>'2025'!CJ28</f>
        <v>1294</v>
      </c>
      <c r="CU201" s="57">
        <f>'2025'!CK28</f>
        <v>2335</v>
      </c>
      <c r="CV201" s="57">
        <f>'2025'!CL28</f>
        <v>10</v>
      </c>
      <c r="CW201" s="57">
        <f>'2025'!CM28</f>
        <v>23</v>
      </c>
      <c r="CX201" s="57">
        <f>'2025'!CN28</f>
        <v>211</v>
      </c>
      <c r="CY201" s="57">
        <f>'2025'!CO28</f>
        <v>35</v>
      </c>
      <c r="CZ201" s="58">
        <f>'2025'!CP28</f>
        <v>6.1327014218009479</v>
      </c>
      <c r="DA201" s="58">
        <f>'2025'!CQ28</f>
        <v>54</v>
      </c>
      <c r="DB201" s="58">
        <f>'2025'!CR28</f>
        <v>3.09</v>
      </c>
      <c r="DC201" s="58">
        <f>'2025'!CS28</f>
        <v>46.2</v>
      </c>
      <c r="DD201" s="57">
        <f>'2025'!CT28</f>
        <v>52</v>
      </c>
      <c r="DE201" s="57">
        <f>'2025'!CU28</f>
        <v>2460</v>
      </c>
      <c r="DF201" s="57">
        <f>'2025'!CV28</f>
        <v>12</v>
      </c>
      <c r="DG201" s="57">
        <f>'2025'!CW28</f>
        <v>1</v>
      </c>
      <c r="DH201" s="59">
        <f>'2025'!CX28</f>
        <v>15</v>
      </c>
      <c r="DI201" s="56">
        <f>'2025'!CY28</f>
        <v>560</v>
      </c>
      <c r="DJ201" s="57">
        <f>'2025'!CZ28</f>
        <v>1630.4</v>
      </c>
      <c r="DK201" s="57">
        <f>'2025'!DA28</f>
        <v>4</v>
      </c>
      <c r="DL201" s="57">
        <f>'2025'!DB28</f>
        <v>13.6</v>
      </c>
      <c r="DM201" s="57">
        <f>'2025'!DC28</f>
        <v>115</v>
      </c>
      <c r="DN201" s="57">
        <f>'2025'!DD28</f>
        <v>26</v>
      </c>
      <c r="DO201" s="58">
        <f>'2025'!DE28</f>
        <v>4.8695652173913047</v>
      </c>
      <c r="DP201" s="58">
        <f>'2025'!DF28</f>
        <v>82.2</v>
      </c>
      <c r="DQ201" s="58">
        <f>'2025'!DG28</f>
        <v>3.26</v>
      </c>
      <c r="DR201" s="58">
        <f>'2025'!DH28</f>
        <v>37.9</v>
      </c>
      <c r="DS201" s="57">
        <f>'2025'!DI28</f>
        <v>204</v>
      </c>
      <c r="DT201" s="57">
        <f>'2025'!DJ28</f>
        <v>1428</v>
      </c>
      <c r="DU201" s="57">
        <f>'2025'!DK28</f>
        <v>8</v>
      </c>
      <c r="DV201" s="57">
        <f>'2025'!DL28</f>
        <v>1</v>
      </c>
      <c r="DW201" s="59">
        <f>'2025'!DM28</f>
        <v>9.6</v>
      </c>
    </row>
    <row r="202" spans="1:127" ht="15.75" customHeight="1" x14ac:dyDescent="0.2">
      <c r="A202" s="33">
        <f t="shared" si="36"/>
        <v>200</v>
      </c>
      <c r="B202" s="11">
        <f>'2022'!A22</f>
        <v>20</v>
      </c>
      <c r="C202" s="11">
        <v>2022</v>
      </c>
      <c r="D202" s="34" t="str">
        <f>'2022'!B22</f>
        <v>Pierre Strong Jr.</v>
      </c>
      <c r="E202" s="224" t="str" cm="1">
        <f t="array" ref="E202">_xlfn.IFS(F202&gt;=13,"Cornerstone",AND(F202&gt;=12,F202&lt;13),"Elite",AND(F202&gt;=11,F202&lt;12),"Elite Upside",AND(F202&gt;=9,F202&lt;11),"Upside",AND(F202&gt;=7,F202&lt;9),"Upside Lite",AND(F202&gt;=6,F202&lt;7),"Outlier",AND(F202&gt;=5,F202&lt;6),"Outlier Lite",F202&lt;5,"Purgatory")</f>
        <v>Outlier Lite</v>
      </c>
      <c r="F202" s="14">
        <f>'2022'!C22</f>
        <v>5.6555555555555559</v>
      </c>
      <c r="G202" s="14">
        <f t="shared" si="41"/>
        <v>38.800000000000004</v>
      </c>
      <c r="H202" s="35">
        <f t="shared" si="37"/>
        <v>-0.9932478212156588</v>
      </c>
      <c r="I202" s="36" t="str">
        <f>'2022'!D22</f>
        <v>South Dakota State</v>
      </c>
      <c r="J202" s="37">
        <f>'2022'!E22</f>
        <v>11</v>
      </c>
      <c r="K202" s="38">
        <f>'2022'!F22</f>
        <v>36139</v>
      </c>
      <c r="L202" s="39">
        <f>'2022'!G22</f>
        <v>26.816438356164383</v>
      </c>
      <c r="M202" s="39" t="str">
        <f>'2022'!H22</f>
        <v>SR</v>
      </c>
      <c r="N202" s="39">
        <f>'2022'!I22</f>
        <v>23.397260273972602</v>
      </c>
      <c r="O202" s="39" t="str">
        <f t="shared" si="38"/>
        <v>DYNAMIC</v>
      </c>
      <c r="P202" s="39" t="str">
        <f>IF(OR(AND($AA202&lt;0.25,$AM202&gt;=0.133,AE202&gt;4%),(AND($O202="JITTERBUG",$AM202&gt;0.11)),(AND($O202="JITTERBUG",$AE202&gt;9.5%))),"+RECEIVER",IF(AND($AJ202&gt;=0.25,$AO202&gt;=3.81),"3DOWN",IF($AO202&gt;=3.81,"HORSE",IF(OR(AJ202&gt;0.28,AK202&gt;7,AP202&gt;47),"SLASHER",IF(AM202&gt;0.19,"+RECEIVER","PLODDER")))))</f>
        <v>SLASHER</v>
      </c>
      <c r="Q202" s="37">
        <f>'2022'!J22</f>
        <v>71</v>
      </c>
      <c r="R202" s="37">
        <f>'2022'!K22</f>
        <v>207</v>
      </c>
      <c r="S202" s="39">
        <f t="shared" si="40"/>
        <v>28.870320228242129</v>
      </c>
      <c r="T202" s="37">
        <f>'2022'!L22</f>
        <v>4.37</v>
      </c>
      <c r="U202" s="40">
        <f>'2022'!M22</f>
        <v>4</v>
      </c>
      <c r="V202" s="41">
        <f>'2022'!N22</f>
        <v>0</v>
      </c>
      <c r="W202" s="42">
        <f>'2022'!O22</f>
        <v>0.19172391755871546</v>
      </c>
      <c r="X202" s="42">
        <f>'2022'!P22</f>
        <v>0.23129384255650817</v>
      </c>
      <c r="Y202" s="42">
        <f>'2022'!Q22</f>
        <v>0.17244738893219017</v>
      </c>
      <c r="Z202" s="42">
        <f>'2022'!R22</f>
        <v>0.2750867662592425</v>
      </c>
      <c r="AA202" s="42">
        <f>'2022'!S22</f>
        <v>0.2750867662592425</v>
      </c>
      <c r="AB202" s="42">
        <f>'2022'!T22</f>
        <v>0.15129772144258338</v>
      </c>
      <c r="AC202" s="42">
        <f>'2022'!U22</f>
        <v>7.743710691823899E-2</v>
      </c>
      <c r="AD202" s="42">
        <f>'2022'!V22</f>
        <v>4.3680838672102505E-2</v>
      </c>
      <c r="AE202" s="42">
        <f>'2022'!W22</f>
        <v>6.0558972795170751E-2</v>
      </c>
      <c r="AF202" s="43">
        <f>'2022'!X22</f>
        <v>3.3307435037343916E-2</v>
      </c>
      <c r="AG202" s="44">
        <f>'2022'!Y22</f>
        <v>19.739726027397261</v>
      </c>
      <c r="AH202" s="45">
        <f>'2022'!Z22</f>
        <v>113.52057787862073</v>
      </c>
      <c r="AI202" s="45">
        <f>'2022'!AA22</f>
        <v>28.867486609799645</v>
      </c>
      <c r="AJ202" s="45">
        <f>'2022'!AB22</f>
        <v>0.26923076923076922</v>
      </c>
      <c r="AK202" s="45">
        <f>'2022'!AC22</f>
        <v>7.1</v>
      </c>
      <c r="AL202" s="45">
        <f t="shared" si="39"/>
        <v>9.67741935483871</v>
      </c>
      <c r="AM202" s="45">
        <f t="shared" si="35"/>
        <v>8.4291187739463605E-2</v>
      </c>
      <c r="AN202" s="45">
        <f>'2022'!AD22</f>
        <v>81</v>
      </c>
      <c r="AO202" s="45">
        <f>'2022'!AE22</f>
        <v>3.39</v>
      </c>
      <c r="AP202" s="46">
        <f>'2022'!AF22</f>
        <v>54.3</v>
      </c>
      <c r="AQ202" s="47">
        <f>'2022'!AG22</f>
        <v>2</v>
      </c>
      <c r="AR202" s="48">
        <f>'2022'!AH22</f>
        <v>3</v>
      </c>
      <c r="AS202" s="48">
        <f>'2022'!AI22</f>
        <v>6</v>
      </c>
      <c r="AT202" s="48">
        <f>IF(AH202&gt;113.25,10,IF(AH202&gt;=107.84,9,IF(AH202&gt;=105.37,8,IF(AH202&gt;=103.25,7,IF(AH202&gt;=100.55,6,IF(AH202&gt;=98.75,5,IF(AH202&gt;=96.08,4,IF(AH202&gt;=94.39,3,IF(AH202&gt;=88.43,2,IF(AH202&gt;=85.16,1,IF(AH202&lt;85.16,0,FALSE)))))))))))</f>
        <v>10</v>
      </c>
      <c r="AU202" s="48">
        <f>'2022'!AK22</f>
        <v>7</v>
      </c>
      <c r="AV202" s="48">
        <f>'2022'!AL22</f>
        <v>8</v>
      </c>
      <c r="AW202" s="48">
        <f>'2022'!AM22</f>
        <v>2</v>
      </c>
      <c r="AX202" s="48">
        <f>'2022'!AN22</f>
        <v>1</v>
      </c>
      <c r="AY202" s="49">
        <f>IF(U202=1,10,IF(U202=2,7,IF(U202=3,6,IF(U202=4,4,IF(U202=5,3,IF(U202=6,2,IF(U202=7,1,IF(U202=0,0,"-"))))))))</f>
        <v>4</v>
      </c>
      <c r="AZ202" s="50">
        <f>'2022'!AP22</f>
        <v>0</v>
      </c>
      <c r="BA202" s="56">
        <f>'2022'!AQ22</f>
        <v>0</v>
      </c>
      <c r="BB202" s="57">
        <f>'2022'!AR22</f>
        <v>1</v>
      </c>
      <c r="BC202" s="57">
        <f>'2022'!AS22</f>
        <v>0</v>
      </c>
      <c r="BD202" s="57">
        <f>'2022'!AT22</f>
        <v>1</v>
      </c>
      <c r="BE202" s="57">
        <f>'2022'!AU22</f>
        <v>0</v>
      </c>
      <c r="BF202" s="57">
        <f>'2022'!AV22</f>
        <v>0</v>
      </c>
      <c r="BG202" s="58">
        <f>'2022'!AW22</f>
        <v>0</v>
      </c>
      <c r="BH202" s="58">
        <f>'2022'!AX22</f>
        <v>0</v>
      </c>
      <c r="BI202" s="58">
        <f>'2022'!AY22</f>
        <v>0</v>
      </c>
      <c r="BJ202" s="58">
        <f>'2022'!AZ22</f>
        <v>0</v>
      </c>
      <c r="BK202" s="57">
        <f>'2022'!BA22</f>
        <v>0</v>
      </c>
      <c r="BL202" s="57">
        <f>'2022'!BB22</f>
        <v>1</v>
      </c>
      <c r="BM202" s="57">
        <f>'2022'!BC22</f>
        <v>0</v>
      </c>
      <c r="BN202" s="57">
        <f>'2022'!BD22</f>
        <v>0</v>
      </c>
      <c r="BO202" s="59">
        <f>'2022'!BE22</f>
        <v>1</v>
      </c>
      <c r="BP202" s="56">
        <f>'2022'!BF22</f>
        <v>1116</v>
      </c>
      <c r="BQ202" s="57">
        <f>'2022'!BG22</f>
        <v>3003</v>
      </c>
      <c r="BR202" s="57">
        <f>'2022'!BH22</f>
        <v>0</v>
      </c>
      <c r="BS202" s="57">
        <f>'2022'!BI22</f>
        <v>1</v>
      </c>
      <c r="BT202" s="57">
        <f>'2022'!BJ22</f>
        <v>117</v>
      </c>
      <c r="BU202" s="57">
        <f>'2022'!BK22</f>
        <v>29</v>
      </c>
      <c r="BV202" s="58">
        <f>'2022'!BL22</f>
        <v>9.5</v>
      </c>
      <c r="BW202" s="58">
        <f>'2022'!BM22</f>
        <v>125.9</v>
      </c>
      <c r="BX202" s="58">
        <f>'2022'!BN22</f>
        <v>5.16</v>
      </c>
      <c r="BY202" s="58">
        <f>'2022'!BO22</f>
        <v>67.5</v>
      </c>
      <c r="BZ202" s="57">
        <f>'2022'!BP22</f>
        <v>84</v>
      </c>
      <c r="CA202" s="57">
        <f>'2022'!BQ22</f>
        <v>3256</v>
      </c>
      <c r="CB202" s="57">
        <f>'2022'!BR22</f>
        <v>6</v>
      </c>
      <c r="CC202" s="57">
        <f>'2022'!BS22</f>
        <v>0</v>
      </c>
      <c r="CD202" s="59">
        <f>'2022'!BT22</f>
        <v>1</v>
      </c>
      <c r="CE202" s="56">
        <f>'2022'!BU22</f>
        <v>1018</v>
      </c>
      <c r="CF202" s="57">
        <f>'2022'!BV22</f>
        <v>2588</v>
      </c>
      <c r="CG202" s="57">
        <f>'2022'!BW22</f>
        <v>0</v>
      </c>
      <c r="CH202" s="57">
        <f>'2022'!BX22</f>
        <v>1</v>
      </c>
      <c r="CI202" s="57">
        <f>'2022'!BY22</f>
        <v>141</v>
      </c>
      <c r="CJ202" s="57">
        <f>'2022'!BZ22</f>
        <v>49</v>
      </c>
      <c r="CK202" s="58">
        <f>'2022'!CA22</f>
        <v>7.1</v>
      </c>
      <c r="CL202" s="58">
        <f>'2022'!CB22</f>
        <v>169.7</v>
      </c>
      <c r="CM202" s="58">
        <f>'2022'!CC22</f>
        <v>4.87</v>
      </c>
      <c r="CN202" s="58">
        <f>'2022'!CD22</f>
        <v>47.6</v>
      </c>
      <c r="CO202" s="57">
        <f>'2022'!CE22</f>
        <v>169</v>
      </c>
      <c r="CP202" s="57">
        <f>'2022'!CF22</f>
        <v>2544</v>
      </c>
      <c r="CQ202" s="57">
        <f>'2022'!CG22</f>
        <v>14</v>
      </c>
      <c r="CR202" s="57">
        <f>'2022'!CH22</f>
        <v>0</v>
      </c>
      <c r="CS202" s="59">
        <f>'2022'!CI22</f>
        <v>1</v>
      </c>
      <c r="CT202" s="56">
        <f>'2022'!CJ22</f>
        <v>688</v>
      </c>
      <c r="CU202" s="57">
        <f>'2022'!CK22</f>
        <v>2588</v>
      </c>
      <c r="CV202" s="57">
        <f>'2022'!CL22</f>
        <v>0</v>
      </c>
      <c r="CW202" s="57">
        <f>'2022'!CM22</f>
        <v>1</v>
      </c>
      <c r="CX202" s="57">
        <f>'2022'!CN22</f>
        <v>130</v>
      </c>
      <c r="CY202" s="57">
        <f>'2022'!CO22</f>
        <v>35</v>
      </c>
      <c r="CZ202" s="58">
        <f>'2022'!CP22</f>
        <v>5.4</v>
      </c>
      <c r="DA202" s="58">
        <f>'2022'!CQ22</f>
        <v>81</v>
      </c>
      <c r="DB202" s="58">
        <f>'2022'!CR22</f>
        <v>3.28</v>
      </c>
      <c r="DC202" s="58">
        <f>'2022'!CS22</f>
        <v>38.6</v>
      </c>
      <c r="DD202" s="57">
        <f>'2022'!CT22</f>
        <v>197</v>
      </c>
      <c r="DE202" s="57">
        <f>'2022'!CU22</f>
        <v>2544</v>
      </c>
      <c r="DF202" s="57">
        <f>'2022'!CV22</f>
        <v>20</v>
      </c>
      <c r="DG202" s="57">
        <f>'2022'!CW22</f>
        <v>0</v>
      </c>
      <c r="DH202" s="59">
        <f>'2022'!CX22</f>
        <v>1</v>
      </c>
      <c r="DI202" s="56">
        <f>'2022'!CY22</f>
        <v>1673</v>
      </c>
      <c r="DJ202" s="57">
        <f>'2022'!CZ22</f>
        <v>3193</v>
      </c>
      <c r="DK202" s="57">
        <f>'2022'!DA22</f>
        <v>0</v>
      </c>
      <c r="DL202" s="57">
        <f>'2022'!DB22</f>
        <v>1</v>
      </c>
      <c r="DM202" s="57">
        <f>'2022'!DC22</f>
        <v>239</v>
      </c>
      <c r="DN202" s="57">
        <f>'2022'!DD22</f>
        <v>49</v>
      </c>
      <c r="DO202" s="58">
        <f>'2022'!DE22</f>
        <v>7.1</v>
      </c>
      <c r="DP202" s="58">
        <f>'2022'!DF22</f>
        <v>65</v>
      </c>
      <c r="DQ202" s="58">
        <f>'2022'!DG22</f>
        <v>3.39</v>
      </c>
      <c r="DR202" s="58">
        <f>'2022'!DH22</f>
        <v>54.3</v>
      </c>
      <c r="DS202" s="57">
        <f>'2022'!DI22</f>
        <v>150</v>
      </c>
      <c r="DT202" s="57">
        <f>'2022'!DJ22</f>
        <v>3434</v>
      </c>
      <c r="DU202" s="57">
        <f>'2022'!DK22</f>
        <v>22</v>
      </c>
      <c r="DV202" s="57">
        <f>'2022'!DL22</f>
        <v>0</v>
      </c>
      <c r="DW202" s="59">
        <f>'2022'!DM22</f>
        <v>1</v>
      </c>
    </row>
    <row r="203" spans="1:127" ht="15.75" customHeight="1" x14ac:dyDescent="0.2">
      <c r="A203" s="33">
        <f t="shared" si="36"/>
        <v>201</v>
      </c>
      <c r="B203" s="11">
        <f>'2025'!A29</f>
        <v>27</v>
      </c>
      <c r="C203" s="11">
        <v>2025</v>
      </c>
      <c r="D203" s="34" t="str">
        <f>'2025'!B29</f>
        <v>Montrell Johnson Jr.</v>
      </c>
      <c r="E203" s="224" t="str" cm="1">
        <f t="array" ref="E203">_xlfn.IFS(F203&gt;=13,"Cornerstone",AND(F203&gt;=12,F203&lt;13),"Elite",AND(F203&gt;=11,F203&lt;12),"Elite Upside",AND(F203&gt;=9,F203&lt;11),"Upside",AND(F203&gt;=7,F203&lt;9),"Upside Lite",AND(F203&gt;=6,F203&lt;7),"Outlier",AND(F203&gt;=5,F203&lt;6),"Outlier Lite",F203&lt;5,"Purgatory")</f>
        <v>Outlier Lite</v>
      </c>
      <c r="F203" s="14">
        <f>'2025'!C29</f>
        <v>5.655555555555555</v>
      </c>
      <c r="G203" s="14">
        <f t="shared" si="41"/>
        <v>38.5</v>
      </c>
      <c r="H203" s="35">
        <f t="shared" si="37"/>
        <v>-0.99324782121565913</v>
      </c>
      <c r="I203" s="36" t="str">
        <f>'2025'!D29</f>
        <v>Florida</v>
      </c>
      <c r="J203" s="37">
        <f>'2025'!E29</f>
        <v>1</v>
      </c>
      <c r="K203" s="38">
        <f>'2025'!F29</f>
        <v>37542</v>
      </c>
      <c r="L203" s="39">
        <f>'2025'!G29</f>
        <v>22.972602739726028</v>
      </c>
      <c r="M203" s="39" t="str">
        <f>'2025'!H29</f>
        <v>SR</v>
      </c>
      <c r="N203" s="39">
        <f>'2025'!I29</f>
        <v>22.553424657534247</v>
      </c>
      <c r="O203" s="39" t="str">
        <f t="shared" si="38"/>
        <v>FREAK</v>
      </c>
      <c r="P203" s="39" t="str">
        <f>IF(OR(AND($AA203&lt;0.25,$AM203&gt;=0.133,AE203&gt;4%),(AND($O203="JITTERBUG",$AM203&gt;0.11)),(AND($O203="JITTERBUG",$AE203&gt;9.5%))),"+RECEIVER",IF(AND($AJ203&gt;=0.25,$AO203&gt;=3.81),"3DOWN",IF($AO203&gt;=3.81,"HORSE",IF(OR(AJ203&gt;0.28,AK203&gt;7,AP203&gt;47),"SLASHER",IF(AM203&gt;0.19,"+RECEIVER","PLODDER")))))</f>
        <v>SLASHER</v>
      </c>
      <c r="Q203" s="37">
        <f>'2025'!J29</f>
        <v>71</v>
      </c>
      <c r="R203" s="37">
        <f>'2025'!K29</f>
        <v>216</v>
      </c>
      <c r="S203" s="39">
        <f t="shared" si="40"/>
        <v>30.125551542513524</v>
      </c>
      <c r="T203" s="37">
        <f>'2025'!L29</f>
        <v>4.41</v>
      </c>
      <c r="U203" s="40">
        <f>'2025'!M29</f>
        <v>0</v>
      </c>
      <c r="V203" s="41">
        <f>'2025'!N29</f>
        <v>0</v>
      </c>
      <c r="W203" s="42">
        <f>'2025'!O29</f>
        <v>0.15467128027681662</v>
      </c>
      <c r="X203" s="42">
        <f>'2025'!P29</f>
        <v>0.1630691093778342</v>
      </c>
      <c r="Y203" s="42">
        <f>'2025'!Q29</f>
        <v>0.21450397229578325</v>
      </c>
      <c r="Z203" s="42">
        <f>'2025'!R29</f>
        <v>0.16929439131558544</v>
      </c>
      <c r="AA203" s="42">
        <f>'2025'!S29</f>
        <v>0.19189918180568433</v>
      </c>
      <c r="AB203" s="42">
        <f>'2025'!T29</f>
        <v>0.19189918180568433</v>
      </c>
      <c r="AC203" s="42">
        <f>'2025'!U29</f>
        <v>7.5859852137576345E-2</v>
      </c>
      <c r="AD203" s="42">
        <f>'2025'!V29</f>
        <v>2.8356225077536552E-2</v>
      </c>
      <c r="AE203" s="42">
        <f>'2025'!W29</f>
        <v>5.2108038607556445E-2</v>
      </c>
      <c r="AF203" s="43">
        <f>'2025'!X29</f>
        <v>5.2108038607556445E-2</v>
      </c>
      <c r="AG203" s="44">
        <f>'2025'!Y29</f>
        <v>18.895890410958906</v>
      </c>
      <c r="AH203" s="45">
        <f>'2025'!Z29</f>
        <v>114.21664234234096</v>
      </c>
      <c r="AI203" s="45">
        <f>'2025'!AA29</f>
        <v>30.122594723269192</v>
      </c>
      <c r="AJ203" s="45">
        <f>'2025'!AB29</f>
        <v>0.27</v>
      </c>
      <c r="AK203" s="45">
        <f>'2025'!AC29</f>
        <v>5.91</v>
      </c>
      <c r="AL203" s="45">
        <f t="shared" si="39"/>
        <v>6.7377049180327866</v>
      </c>
      <c r="AM203" s="45">
        <f t="shared" si="35"/>
        <v>0.11504424778761062</v>
      </c>
      <c r="AN203" s="45">
        <f>'2025'!AD29</f>
        <v>86</v>
      </c>
      <c r="AO203" s="45">
        <f>'2025'!AE29</f>
        <v>3.53</v>
      </c>
      <c r="AP203" s="46">
        <f>'2025'!AF29</f>
        <v>52.4</v>
      </c>
      <c r="AQ203" s="47">
        <f>'2025'!AG29</f>
        <v>3</v>
      </c>
      <c r="AR203" s="48">
        <f>'2025'!AH29</f>
        <v>5</v>
      </c>
      <c r="AS203" s="48">
        <f>'2025'!AI29</f>
        <v>8</v>
      </c>
      <c r="AT203" s="48">
        <f>'2025'!AJ29</f>
        <v>10</v>
      </c>
      <c r="AU203" s="48">
        <f>'2025'!AK29</f>
        <v>7</v>
      </c>
      <c r="AV203" s="48">
        <f>'2025'!AL29</f>
        <v>4</v>
      </c>
      <c r="AW203" s="48">
        <f>'2025'!AM29</f>
        <v>2</v>
      </c>
      <c r="AX203" s="48">
        <f>'2025'!AN29</f>
        <v>2</v>
      </c>
      <c r="AY203" s="49">
        <f>'2025'!AO29</f>
        <v>0</v>
      </c>
      <c r="AZ203" s="50">
        <f>'2025'!AP29</f>
        <v>0</v>
      </c>
      <c r="BA203" s="56">
        <f>'2025'!AQ29</f>
        <v>0</v>
      </c>
      <c r="BB203" s="57">
        <f>'2025'!AR29</f>
        <v>1</v>
      </c>
      <c r="BC203" s="57">
        <f>'2025'!AS29</f>
        <v>0</v>
      </c>
      <c r="BD203" s="57">
        <f>'2025'!AT29</f>
        <v>0</v>
      </c>
      <c r="BE203" s="57">
        <f>'2025'!AU29</f>
        <v>0</v>
      </c>
      <c r="BF203" s="57">
        <f>'2025'!AV29</f>
        <v>0</v>
      </c>
      <c r="BG203" s="58">
        <f>'2025'!AW29</f>
        <v>0</v>
      </c>
      <c r="BH203" s="58">
        <f>'2025'!AX29</f>
        <v>0</v>
      </c>
      <c r="BI203" s="58">
        <f>'2025'!AY29</f>
        <v>0</v>
      </c>
      <c r="BJ203" s="58">
        <f>'2025'!AZ29</f>
        <v>0</v>
      </c>
      <c r="BK203" s="57">
        <f>'2025'!BA29</f>
        <v>0</v>
      </c>
      <c r="BL203" s="57">
        <f>'2025'!BB29</f>
        <v>1</v>
      </c>
      <c r="BM203" s="57">
        <f>'2025'!BC29</f>
        <v>0</v>
      </c>
      <c r="BN203" s="57">
        <f>'2025'!BD29</f>
        <v>0</v>
      </c>
      <c r="BO203" s="59">
        <f>'2025'!BE29</f>
        <v>0</v>
      </c>
      <c r="BP203" s="56">
        <f>'2025'!BF29</f>
        <v>841</v>
      </c>
      <c r="BQ203" s="57">
        <f>'2025'!BG29</f>
        <v>2719</v>
      </c>
      <c r="BR203" s="57">
        <f>'2025'!BH29</f>
        <v>12</v>
      </c>
      <c r="BS203" s="57">
        <f>'2025'!BI29</f>
        <v>34</v>
      </c>
      <c r="BT203" s="57">
        <f>'2025'!BJ29</f>
        <v>163</v>
      </c>
      <c r="BU203" s="57">
        <f>'2025'!BK29</f>
        <v>24</v>
      </c>
      <c r="BV203" s="58">
        <f>'2025'!BL29</f>
        <v>5.2</v>
      </c>
      <c r="BW203" s="58">
        <f>'2025'!BM29</f>
        <v>47.1</v>
      </c>
      <c r="BX203" s="58">
        <f>'2025'!BN29</f>
        <v>3.18</v>
      </c>
      <c r="BY203" s="58">
        <f>'2025'!BO29</f>
        <v>35.299999999999997</v>
      </c>
      <c r="BZ203" s="57">
        <f>'2025'!BP29</f>
        <v>53</v>
      </c>
      <c r="CA203" s="57">
        <f>'2025'!BQ29</f>
        <v>3061</v>
      </c>
      <c r="CB203" s="57">
        <f>'2025'!BR29</f>
        <v>6</v>
      </c>
      <c r="CC203" s="57">
        <f>'2025'!BS29</f>
        <v>0</v>
      </c>
      <c r="CD203" s="59">
        <f>'2025'!BT29</f>
        <v>23</v>
      </c>
      <c r="CE203" s="56">
        <f>'2025'!BU29</f>
        <v>841</v>
      </c>
      <c r="CF203" s="57">
        <f>'2025'!BV29</f>
        <v>2603</v>
      </c>
      <c r="CG203" s="57">
        <f>'2025'!BW29</f>
        <v>10</v>
      </c>
      <c r="CH203" s="57">
        <f>'2025'!BX29</f>
        <v>29</v>
      </c>
      <c r="CI203" s="57">
        <f>'2025'!BY29</f>
        <v>156</v>
      </c>
      <c r="CJ203" s="57">
        <f>'2025'!BZ29</f>
        <v>36</v>
      </c>
      <c r="CK203" s="58">
        <f>'2025'!CA29</f>
        <v>5.4</v>
      </c>
      <c r="CL203" s="58">
        <f>'2025'!CB29</f>
        <v>69</v>
      </c>
      <c r="CM203" s="58">
        <f>'2025'!CC29</f>
        <v>3.13</v>
      </c>
      <c r="CN203" s="58">
        <f>'2025'!CD29</f>
        <v>52.4</v>
      </c>
      <c r="CO203" s="57">
        <f>'2025'!CE29</f>
        <v>58</v>
      </c>
      <c r="CP203" s="57">
        <f>'2025'!CF29</f>
        <v>2910</v>
      </c>
      <c r="CQ203" s="57">
        <f>'2025'!CG29</f>
        <v>12</v>
      </c>
      <c r="CR203" s="57">
        <f>'2025'!CH29</f>
        <v>1</v>
      </c>
      <c r="CS203" s="59">
        <f>'2025'!CI29</f>
        <v>18</v>
      </c>
      <c r="CT203" s="56">
        <f>'2025'!CJ29</f>
        <v>817</v>
      </c>
      <c r="CU203" s="57">
        <f>'2025'!CK29</f>
        <v>1798</v>
      </c>
      <c r="CV203" s="57">
        <f>'2025'!CL29</f>
        <v>5</v>
      </c>
      <c r="CW203" s="57">
        <f>'2025'!CM29</f>
        <v>21</v>
      </c>
      <c r="CX203" s="57">
        <f>'2025'!CN29</f>
        <v>152</v>
      </c>
      <c r="CY203" s="57">
        <f>'2025'!CO29</f>
        <v>32</v>
      </c>
      <c r="CZ203" s="58">
        <f>'2025'!CP29</f>
        <v>5.375</v>
      </c>
      <c r="DA203" s="58">
        <f>'2025'!CQ29</f>
        <v>79.599999999999994</v>
      </c>
      <c r="DB203" s="58">
        <f>'2025'!CR29</f>
        <v>3.53</v>
      </c>
      <c r="DC203" s="58">
        <f>'2025'!CS29</f>
        <v>39.9</v>
      </c>
      <c r="DD203" s="57">
        <f>'2025'!CT29</f>
        <v>236</v>
      </c>
      <c r="DE203" s="57">
        <f>'2025'!CU29</f>
        <v>3111</v>
      </c>
      <c r="DF203" s="57">
        <f>'2025'!CV29</f>
        <v>30</v>
      </c>
      <c r="DG203" s="57">
        <f>'2025'!CW29</f>
        <v>1</v>
      </c>
      <c r="DH203" s="59">
        <f>'2025'!CX29</f>
        <v>20</v>
      </c>
      <c r="DI203" s="56">
        <f>'2025'!CY29</f>
        <v>591</v>
      </c>
      <c r="DJ203" s="57">
        <f>'2025'!CZ29</f>
        <v>1612</v>
      </c>
      <c r="DK203" s="57">
        <f>'2025'!DA29</f>
        <v>6</v>
      </c>
      <c r="DL203" s="57">
        <f>'2025'!DB29</f>
        <v>20</v>
      </c>
      <c r="DM203" s="57">
        <f>'2025'!DC29</f>
        <v>100</v>
      </c>
      <c r="DN203" s="57">
        <f>'2025'!DD29</f>
        <v>27</v>
      </c>
      <c r="DO203" s="58">
        <f>'2025'!DE29</f>
        <v>5.91</v>
      </c>
      <c r="DP203" s="58">
        <f>'2025'!DF29</f>
        <v>86</v>
      </c>
      <c r="DQ203" s="58">
        <f>'2025'!DG29</f>
        <v>3.24</v>
      </c>
      <c r="DR203" s="58">
        <f>'2025'!DH29</f>
        <v>44.2</v>
      </c>
      <c r="DS203" s="57">
        <f>'2025'!DI29</f>
        <v>64</v>
      </c>
      <c r="DT203" s="57">
        <f>'2025'!DJ29</f>
        <v>2257</v>
      </c>
      <c r="DU203" s="57">
        <f>'2025'!DK29</f>
        <v>13</v>
      </c>
      <c r="DV203" s="57">
        <f>'2025'!DL29</f>
        <v>0</v>
      </c>
      <c r="DW203" s="59">
        <f>'2025'!DM29</f>
        <v>14</v>
      </c>
    </row>
    <row r="204" spans="1:127" ht="15.75" customHeight="1" x14ac:dyDescent="0.2">
      <c r="A204" s="33">
        <f t="shared" si="36"/>
        <v>202</v>
      </c>
      <c r="B204" s="11">
        <f>'2026 - WIP'!A16</f>
        <v>14</v>
      </c>
      <c r="C204" s="11">
        <v>2026</v>
      </c>
      <c r="D204" s="34" t="str">
        <f>'2026 - WIP'!B16</f>
        <v>CJ Baxter</v>
      </c>
      <c r="E204" s="224" t="str" cm="1">
        <f t="array" ref="E204">_xlfn.IFS(F204&gt;=13,"Cornerstone",AND(F204&gt;=12,F204&lt;13),"Elite",AND(F204&gt;=11,F204&lt;12),"Elite Upside",AND(F204&gt;=9,F204&lt;11),"Upside",AND(F204&gt;=7,F204&lt;9),"Upside Lite",AND(F204&gt;=6,F204&lt;7),"Outlier",AND(F204&gt;=5,F204&lt;6),"Outlier Lite",F204&lt;5,"Purgatory")</f>
        <v>Outlier Lite</v>
      </c>
      <c r="F204" s="14">
        <f>'2026 - WIP'!C16</f>
        <v>5.6277777777777782</v>
      </c>
      <c r="G204" s="14">
        <f t="shared" si="41"/>
        <v>38.200000000000003</v>
      </c>
      <c r="H204" s="35">
        <f t="shared" si="37"/>
        <v>-1.0050040730000931</v>
      </c>
      <c r="I204" s="36" t="str">
        <f>'2026 - WIP'!D16</f>
        <v>Texas</v>
      </c>
      <c r="J204" s="37">
        <f>'2026 - WIP'!E16</f>
        <v>1</v>
      </c>
      <c r="K204" s="38">
        <f>'2026 - WIP'!F16</f>
        <v>38531</v>
      </c>
      <c r="L204" s="39">
        <f>'2026 - WIP'!G16</f>
        <v>20.263013698630136</v>
      </c>
      <c r="M204" s="39" t="str">
        <f>'2026 - WIP'!H16</f>
        <v>RS SO</v>
      </c>
      <c r="N204" s="39">
        <f>'2026 - WIP'!I16</f>
        <v>20.843835616438355</v>
      </c>
      <c r="O204" s="39" t="str">
        <f t="shared" si="38"/>
        <v>FREAK</v>
      </c>
      <c r="P204" s="39" t="str">
        <f>IF(OR(AND($AA204&lt;0.25,$AO204&gt;=0.133,AE204&gt;4%),(AND($O204="JITTERBUG",$AO204&gt;0.11)),(AND($O204="JITTERBUG",$AE204&gt;9.5%))),"+RECEIVER",IF(AND($AJ204&gt;=0.25,$AQ204&gt;=3.81),"3DOWN",IF($AQ204&gt;=3.81,"HORSE",IF(OR(AJ204&gt;0.28,AK204&gt;7,AR204&gt;47),"SLASHER",IF(AO204&gt;0.19,"+RECEIVER","PLODDER")))))</f>
        <v>+RECEIVER</v>
      </c>
      <c r="Q204" s="37">
        <f>'2026 - WIP'!J16</f>
        <v>73</v>
      </c>
      <c r="R204" s="37">
        <f>'2026 - WIP'!K16</f>
        <v>230</v>
      </c>
      <c r="S204" s="39">
        <f t="shared" si="40"/>
        <v>30.344505800664827</v>
      </c>
      <c r="T204" s="39">
        <f>'2026 - WIP'!L16</f>
        <v>4.5</v>
      </c>
      <c r="U204" s="55">
        <f>'2026 - WIP'!M16</f>
        <v>4</v>
      </c>
      <c r="V204" s="41">
        <f>'2026 - WIP'!N16</f>
        <v>0</v>
      </c>
      <c r="W204" s="42">
        <f>'2026 - WIP'!O16</f>
        <v>0</v>
      </c>
      <c r="X204" s="42">
        <f>'2026 - WIP'!P16</f>
        <v>0.13097060008054773</v>
      </c>
      <c r="Y204" s="42">
        <f>'2026 - WIP'!Q16</f>
        <v>0</v>
      </c>
      <c r="Z204" s="42">
        <f>'2026 - WIP'!R16</f>
        <v>0.13670256835128416</v>
      </c>
      <c r="AA204" s="42">
        <f>'2026 - WIP'!S16</f>
        <v>0.13670256835128416</v>
      </c>
      <c r="AB204" s="42">
        <f>'2026 - WIP'!T16</f>
        <v>0.13670256835128416</v>
      </c>
      <c r="AC204" s="42">
        <f>'2026 - WIP'!U16</f>
        <v>3.9379506691855359E-2</v>
      </c>
      <c r="AD204" s="42">
        <f>'2026 - WIP'!V16</f>
        <v>3.6605657237936774E-2</v>
      </c>
      <c r="AE204" s="42">
        <f>'2026 - WIP'!W16</f>
        <v>3.7992581964896063E-2</v>
      </c>
      <c r="AF204" s="43">
        <f>'2026 - WIP'!X16</f>
        <v>3.7992581964896063E-2</v>
      </c>
      <c r="AG204" s="44" t="str">
        <f>'2026 - WIP'!Y16</f>
        <v>N/A</v>
      </c>
      <c r="AH204" s="45">
        <f>'2026 - WIP'!Z16</f>
        <v>112.17802164304221</v>
      </c>
      <c r="AI204" s="45">
        <f>'2026 - WIP'!AA16</f>
        <v>30.341527491086509</v>
      </c>
      <c r="AJ204" s="45">
        <f>'2026 - WIP'!AB16</f>
        <v>0.20863309352517986</v>
      </c>
      <c r="AK204" s="45">
        <f>'2026 - WIP'!AC16</f>
        <v>4.7841726618705032</v>
      </c>
      <c r="AL204" s="45">
        <f t="shared" si="39"/>
        <v>5.666666666666667</v>
      </c>
      <c r="AM204" s="45">
        <f t="shared" si="35"/>
        <v>0.22580645161290322</v>
      </c>
      <c r="AN204" s="45">
        <f>'2026 - WIP'!AD16</f>
        <v>63.4</v>
      </c>
      <c r="AO204" s="45">
        <f>'2026 - WIP'!AE16</f>
        <v>3.25</v>
      </c>
      <c r="AP204" s="46">
        <f>'2026 - WIP'!AF16</f>
        <v>16.399999999999999</v>
      </c>
      <c r="AQ204" s="47">
        <f>'2026 - WIP'!AG16</f>
        <v>1</v>
      </c>
      <c r="AR204" s="48">
        <f>'2026 - WIP'!AH16</f>
        <v>4</v>
      </c>
      <c r="AS204" s="48">
        <f>'2026 - WIP'!AI16</f>
        <v>0</v>
      </c>
      <c r="AT204" s="48">
        <f>'2026 - WIP'!AJ16</f>
        <v>9</v>
      </c>
      <c r="AU204" s="48">
        <f>'2026 - WIP'!AK16</f>
        <v>4</v>
      </c>
      <c r="AV204" s="48">
        <f>'2026 - WIP'!AL16</f>
        <v>0</v>
      </c>
      <c r="AW204" s="48">
        <f>'2026 - WIP'!AM16</f>
        <v>1</v>
      </c>
      <c r="AX204" s="48">
        <f>'2026 - WIP'!AN16</f>
        <v>1</v>
      </c>
      <c r="AY204" s="49">
        <f>'2026 - WIP'!AO16</f>
        <v>4</v>
      </c>
      <c r="AZ204" s="50">
        <f>'2026 - WIP'!AP16</f>
        <v>1</v>
      </c>
      <c r="BA204" s="56">
        <f>'2026 - WIP'!AQ16</f>
        <v>0</v>
      </c>
      <c r="BB204" s="57">
        <f>'2026 - WIP'!AR16</f>
        <v>1</v>
      </c>
      <c r="BC204" s="57">
        <f>'2026 - WIP'!AS16</f>
        <v>0</v>
      </c>
      <c r="BD204" s="57">
        <f>'2026 - WIP'!AT16</f>
        <v>0</v>
      </c>
      <c r="BE204" s="57">
        <f>'2026 - WIP'!AU16</f>
        <v>0</v>
      </c>
      <c r="BF204" s="57">
        <f>'2026 - WIP'!AV16</f>
        <v>0</v>
      </c>
      <c r="BG204" s="58">
        <f>'2026 - WIP'!AW16</f>
        <v>0</v>
      </c>
      <c r="BH204" s="58">
        <f>'2026 - WIP'!AX16</f>
        <v>0</v>
      </c>
      <c r="BI204" s="58">
        <f>'2026 - WIP'!AY16</f>
        <v>0</v>
      </c>
      <c r="BJ204" s="58">
        <f>'2026 - WIP'!AZ16</f>
        <v>0</v>
      </c>
      <c r="BK204" s="57">
        <f>'2026 - WIP'!BA16</f>
        <v>0</v>
      </c>
      <c r="BL204" s="57">
        <f>'2026 - WIP'!BB16</f>
        <v>1</v>
      </c>
      <c r="BM204" s="57">
        <f>'2026 - WIP'!BC16</f>
        <v>0</v>
      </c>
      <c r="BN204" s="57">
        <f>'2026 - WIP'!BD16</f>
        <v>0</v>
      </c>
      <c r="BO204" s="59">
        <f>'2026 - WIP'!BE16</f>
        <v>0</v>
      </c>
      <c r="BP204" s="56">
        <f>'2026 - WIP'!BF16</f>
        <v>0</v>
      </c>
      <c r="BQ204" s="57">
        <f>'2026 - WIP'!BG16</f>
        <v>1</v>
      </c>
      <c r="BR204" s="57">
        <f>'2026 - WIP'!BH16</f>
        <v>0</v>
      </c>
      <c r="BS204" s="57">
        <f>'2026 - WIP'!BI16</f>
        <v>0</v>
      </c>
      <c r="BT204" s="57">
        <f>'2026 - WIP'!BJ16</f>
        <v>0</v>
      </c>
      <c r="BU204" s="57">
        <f>'2026 - WIP'!BK16</f>
        <v>0</v>
      </c>
      <c r="BV204" s="58">
        <f>'2026 - WIP'!BL16</f>
        <v>0</v>
      </c>
      <c r="BW204" s="58">
        <f>'2026 - WIP'!BM16</f>
        <v>0</v>
      </c>
      <c r="BX204" s="58">
        <f>'2026 - WIP'!BN16</f>
        <v>0</v>
      </c>
      <c r="BY204" s="58">
        <f>'2026 - WIP'!BO16</f>
        <v>0</v>
      </c>
      <c r="BZ204" s="57">
        <f>'2026 - WIP'!BP16</f>
        <v>0</v>
      </c>
      <c r="CA204" s="57">
        <f>'2026 - WIP'!BQ16</f>
        <v>1</v>
      </c>
      <c r="CB204" s="57">
        <f>'2026 - WIP'!BR16</f>
        <v>0</v>
      </c>
      <c r="CC204" s="57">
        <f>'2026 - WIP'!BS16</f>
        <v>0</v>
      </c>
      <c r="CD204" s="59">
        <f>'2026 - WIP'!BT16</f>
        <v>0</v>
      </c>
      <c r="CE204" s="56">
        <f>'2026 - WIP'!BU16</f>
        <v>665</v>
      </c>
      <c r="CF204" s="57">
        <f>'2026 - WIP'!BV16</f>
        <v>2449.2000000000003</v>
      </c>
      <c r="CG204" s="57">
        <f>'2026 - WIP'!BW16</f>
        <v>5</v>
      </c>
      <c r="CH204" s="57">
        <f>'2026 - WIP'!BX16</f>
        <v>27.3</v>
      </c>
      <c r="CI204" s="57">
        <f>'2026 - WIP'!BY16</f>
        <v>139</v>
      </c>
      <c r="CJ204" s="57">
        <f>'2026 - WIP'!BZ16</f>
        <v>29</v>
      </c>
      <c r="CK204" s="58">
        <f>'2026 - WIP'!CA16</f>
        <v>4.7841726618705032</v>
      </c>
      <c r="CL204" s="58">
        <f>'2026 - WIP'!CB16</f>
        <v>63.4</v>
      </c>
      <c r="CM204" s="58">
        <f>'2026 - WIP'!CC16</f>
        <v>2.94</v>
      </c>
      <c r="CN204" s="58">
        <f>'2026 - WIP'!CD16</f>
        <v>23.2</v>
      </c>
      <c r="CO204" s="57">
        <f>'2026 - WIP'!CE16</f>
        <v>148</v>
      </c>
      <c r="CP204" s="57">
        <f>'2026 - WIP'!CF16</f>
        <v>3758.3</v>
      </c>
      <c r="CQ204" s="57">
        <f>'2026 - WIP'!CG16</f>
        <v>23</v>
      </c>
      <c r="CR204" s="57">
        <f>'2026 - WIP'!CH16</f>
        <v>0</v>
      </c>
      <c r="CS204" s="59">
        <f>'2026 - WIP'!CI16</f>
        <v>23.400000000000002</v>
      </c>
      <c r="CT204" s="56">
        <f>'2026 - WIP'!CJ16</f>
        <v>0</v>
      </c>
      <c r="CU204" s="57">
        <f>'2026 - WIP'!CK16</f>
        <v>1</v>
      </c>
      <c r="CV204" s="57">
        <f>'2026 - WIP'!CL16</f>
        <v>0</v>
      </c>
      <c r="CW204" s="57">
        <f>'2026 - WIP'!CM16</f>
        <v>0</v>
      </c>
      <c r="CX204" s="57">
        <f>'2026 - WIP'!CN16</f>
        <v>0</v>
      </c>
      <c r="CY204" s="57">
        <f>'2026 - WIP'!CO16</f>
        <v>0</v>
      </c>
      <c r="CZ204" s="58">
        <f>'2026 - WIP'!CP16</f>
        <v>0</v>
      </c>
      <c r="DA204" s="58">
        <f>'2026 - WIP'!CQ16</f>
        <v>0</v>
      </c>
      <c r="DB204" s="58">
        <f>'2026 - WIP'!CR16</f>
        <v>0</v>
      </c>
      <c r="DC204" s="58">
        <f>'2026 - WIP'!CS16</f>
        <v>0</v>
      </c>
      <c r="DD204" s="57">
        <f>'2026 - WIP'!CT16</f>
        <v>0</v>
      </c>
      <c r="DE204" s="57">
        <f>'2026 - WIP'!CU16</f>
        <v>1</v>
      </c>
      <c r="DF204" s="57">
        <f>'2026 - WIP'!CV16</f>
        <v>0</v>
      </c>
      <c r="DG204" s="57">
        <f>'2026 - WIP'!CW16</f>
        <v>0</v>
      </c>
      <c r="DH204" s="59">
        <f>'2026 - WIP'!CX16</f>
        <v>0</v>
      </c>
      <c r="DI204" s="56">
        <f>'2026 - WIP'!CY16</f>
        <v>110</v>
      </c>
      <c r="DJ204" s="57">
        <f>'2026 - WIP'!CZ16</f>
        <v>364.6</v>
      </c>
      <c r="DK204" s="57">
        <f>'2026 - WIP'!DA16</f>
        <v>0</v>
      </c>
      <c r="DL204" s="57">
        <f>'2026 - WIP'!DB16</f>
        <v>0</v>
      </c>
      <c r="DM204" s="57">
        <f>'2026 - WIP'!DC16</f>
        <v>24</v>
      </c>
      <c r="DN204" s="57">
        <f>'2026 - WIP'!DD16</f>
        <v>3</v>
      </c>
      <c r="DO204" s="58">
        <f>'2026 - WIP'!DE16</f>
        <v>4.583333333333333</v>
      </c>
      <c r="DP204" s="58">
        <f>'2026 - WIP'!DF16</f>
        <v>31.5</v>
      </c>
      <c r="DQ204" s="58">
        <f>'2026 - WIP'!DG16</f>
        <v>3.25</v>
      </c>
      <c r="DR204" s="58">
        <f>'2026 - WIP'!DH16</f>
        <v>16.399999999999999</v>
      </c>
      <c r="DS204" s="57">
        <f>'2026 - WIP'!DI16</f>
        <v>22</v>
      </c>
      <c r="DT204" s="57">
        <f>'2026 - WIP'!DJ16</f>
        <v>601</v>
      </c>
      <c r="DU204" s="57">
        <f>'2026 - WIP'!DK16</f>
        <v>7</v>
      </c>
      <c r="DV204" s="57">
        <f>'2026 - WIP'!DL16</f>
        <v>0</v>
      </c>
      <c r="DW204" s="59">
        <f>'2026 - WIP'!DM16</f>
        <v>0</v>
      </c>
    </row>
    <row r="205" spans="1:127" ht="15.75" customHeight="1" x14ac:dyDescent="0.2">
      <c r="A205" s="33">
        <f t="shared" si="36"/>
        <v>203</v>
      </c>
      <c r="B205" s="11">
        <f>'2022'!A23</f>
        <v>21</v>
      </c>
      <c r="C205" s="11">
        <v>2022</v>
      </c>
      <c r="D205" s="34" t="str">
        <f>'2022'!B23</f>
        <v>Jaylen Warren</v>
      </c>
      <c r="E205" s="224" t="str" cm="1">
        <f t="array" ref="E205">_xlfn.IFS(F205&gt;=13,"Cornerstone",AND(F205&gt;=12,F205&lt;13),"Elite",AND(F205&gt;=11,F205&lt;12),"Elite Upside",AND(F205&gt;=9,F205&lt;11),"Upside",AND(F205&gt;=7,F205&lt;9),"Upside Lite",AND(F205&gt;=6,F205&lt;7),"Outlier",AND(F205&gt;=5,F205&lt;6),"Outlier Lite",F205&lt;5,"Purgatory")</f>
        <v>Outlier Lite</v>
      </c>
      <c r="F205" s="14">
        <f>'2022'!C23</f>
        <v>5.6277777777777773</v>
      </c>
      <c r="G205" s="14">
        <f t="shared" si="41"/>
        <v>37.9</v>
      </c>
      <c r="H205" s="35">
        <f t="shared" si="37"/>
        <v>-1.0050040730000935</v>
      </c>
      <c r="I205" s="36" t="str">
        <f>'2022'!D23</f>
        <v>Oklahoma State</v>
      </c>
      <c r="J205" s="37">
        <f>'2022'!E23</f>
        <v>3</v>
      </c>
      <c r="K205" s="38">
        <f>'2022'!F23</f>
        <v>36100</v>
      </c>
      <c r="L205" s="39">
        <f>'2022'!G23</f>
        <v>26.923287671232877</v>
      </c>
      <c r="M205" s="39" t="str">
        <f>'2022'!H23</f>
        <v>RS SR</v>
      </c>
      <c r="N205" s="39">
        <f>'2022'!I23</f>
        <v>23.504109589041096</v>
      </c>
      <c r="O205" s="39" t="str">
        <f t="shared" si="38"/>
        <v>BELL CALF</v>
      </c>
      <c r="P205" s="39" t="str">
        <f t="shared" ref="P205:P215" si="42">IF(OR(AND($AA205&lt;0.25,$AM205&gt;=0.133,AE205&gt;4%),(AND($O205="JITTERBUG",$AM205&gt;0.11)),(AND($O205="JITTERBUG",$AE205&gt;9.5%))),"+RECEIVER",IF(AND($AJ205&gt;=0.25,$AO205&gt;=3.81),"3DOWN",IF($AO205&gt;=3.81,"HORSE",IF(OR(AJ205&gt;0.28,AK205&gt;7,AP205&gt;47),"SLASHER",IF(AM205&gt;0.19,"+RECEIVER","PLODDER")))))</f>
        <v>3DOWN</v>
      </c>
      <c r="Q205" s="37">
        <f>'2022'!J23</f>
        <v>68</v>
      </c>
      <c r="R205" s="37">
        <f>'2022'!K23</f>
        <v>204</v>
      </c>
      <c r="S205" s="39">
        <f t="shared" si="40"/>
        <v>31.017750270794668</v>
      </c>
      <c r="T205" s="37">
        <f>'2022'!L23</f>
        <v>4.55</v>
      </c>
      <c r="U205" s="40">
        <f>'2022'!M23</f>
        <v>0</v>
      </c>
      <c r="V205" s="41">
        <f>'2022'!N23</f>
        <v>0</v>
      </c>
      <c r="W205" s="42">
        <f>'2022'!O23</f>
        <v>0</v>
      </c>
      <c r="X205" s="42">
        <f>'2022'!P23</f>
        <v>0.13376136971642591</v>
      </c>
      <c r="Y205" s="42">
        <f>'2022'!Q23</f>
        <v>0.16253776435045317</v>
      </c>
      <c r="Z205" s="42">
        <f>'2022'!R23</f>
        <v>0.24696217696388842</v>
      </c>
      <c r="AA205" s="42">
        <f>'2022'!S23</f>
        <v>0.24696217696388842</v>
      </c>
      <c r="AB205" s="42">
        <f>'2022'!T23</f>
        <v>0.22226595926749959</v>
      </c>
      <c r="AC205" s="42">
        <f>'2022'!U23</f>
        <v>3.4355828220858899E-2</v>
      </c>
      <c r="AD205" s="42">
        <f>'2022'!V23</f>
        <v>6.9932224276032046E-2</v>
      </c>
      <c r="AE205" s="42">
        <f>'2022'!W23</f>
        <v>6.9932224276032046E-2</v>
      </c>
      <c r="AF205" s="43">
        <f>'2022'!X23</f>
        <v>6.2939001848428849E-2</v>
      </c>
      <c r="AG205" s="44">
        <f>'2022'!Y23</f>
        <v>21.860273972602741</v>
      </c>
      <c r="AH205" s="45">
        <f>'2022'!Z23</f>
        <v>95.195096064290894</v>
      </c>
      <c r="AI205" s="45">
        <f>'2022'!AA23</f>
        <v>31.014705882352942</v>
      </c>
      <c r="AJ205" s="45">
        <f>'2022'!AB23</f>
        <v>0.33203125</v>
      </c>
      <c r="AK205" s="45">
        <f>'2022'!AC23</f>
        <v>5.9</v>
      </c>
      <c r="AL205" s="45">
        <f t="shared" si="39"/>
        <v>9.7111111111111104</v>
      </c>
      <c r="AM205" s="45">
        <f t="shared" si="35"/>
        <v>9.2198581560283682E-2</v>
      </c>
      <c r="AN205" s="45">
        <f>'2022'!AD23</f>
        <v>106.9</v>
      </c>
      <c r="AO205" s="45">
        <f>'2022'!AE23</f>
        <v>4</v>
      </c>
      <c r="AP205" s="46">
        <f>'2022'!AF23</f>
        <v>57.7</v>
      </c>
      <c r="AQ205" s="47">
        <f>'2022'!AG23</f>
        <v>4</v>
      </c>
      <c r="AR205" s="48">
        <f>'2022'!AH23</f>
        <v>7</v>
      </c>
      <c r="AS205" s="48">
        <f>'2022'!AI23</f>
        <v>2</v>
      </c>
      <c r="AT205" s="48">
        <f>IF(AH205&gt;113.25,10,IF(AH205&gt;=107.84,9,IF(AH205&gt;=105.37,8,IF(AH205&gt;=103.25,7,IF(AH205&gt;=100.55,6,IF(AH205&gt;=98.75,5,IF(AH205&gt;=96.08,4,IF(AH205&gt;=94.39,3,IF(AH205&gt;=88.43,2,IF(AH205&gt;=85.16,1,IF(AH205&lt;85.16,0,FALSE)))))))))))</f>
        <v>3</v>
      </c>
      <c r="AU205" s="48">
        <f>'2022'!AK23</f>
        <v>9</v>
      </c>
      <c r="AV205" s="48">
        <f>'2022'!AL23</f>
        <v>4</v>
      </c>
      <c r="AW205" s="48">
        <f>'2022'!AM23</f>
        <v>5</v>
      </c>
      <c r="AX205" s="48">
        <f>'2022'!AN23</f>
        <v>5</v>
      </c>
      <c r="AY205" s="49">
        <f>IF(U205=1,10,IF(U205=2,7,IF(U205=3,6,IF(U205=4,4,IF(U205=5,3,IF(U205=6,2,IF(U205=7,1,IF(U205=0,0,"-"))))))))</f>
        <v>0</v>
      </c>
      <c r="AZ205" s="50">
        <f>'2022'!AP23</f>
        <v>1</v>
      </c>
      <c r="BA205" s="56">
        <f>'2022'!AQ23</f>
        <v>0</v>
      </c>
      <c r="BB205" s="57">
        <f>'2022'!AR23</f>
        <v>2337</v>
      </c>
      <c r="BC205" s="57">
        <f>'2022'!AS23</f>
        <v>0</v>
      </c>
      <c r="BD205" s="57">
        <f>'2022'!AT23</f>
        <v>34</v>
      </c>
      <c r="BE205" s="57">
        <f>'2022'!AU23</f>
        <v>0</v>
      </c>
      <c r="BF205" s="57">
        <f>'2022'!AV23</f>
        <v>0</v>
      </c>
      <c r="BG205" s="58">
        <f>'2022'!AW23</f>
        <v>0</v>
      </c>
      <c r="BH205" s="58">
        <f>'2022'!AX23</f>
        <v>0</v>
      </c>
      <c r="BI205" s="58">
        <f>'2022'!AY23</f>
        <v>0</v>
      </c>
      <c r="BJ205" s="58">
        <f>'2022'!AZ23</f>
        <v>0</v>
      </c>
      <c r="BK205" s="57">
        <f>'2022'!BA23</f>
        <v>0</v>
      </c>
      <c r="BL205" s="57">
        <f>'2022'!BB23</f>
        <v>2938</v>
      </c>
      <c r="BM205" s="57">
        <f>'2022'!BC23</f>
        <v>0</v>
      </c>
      <c r="BN205" s="57">
        <f>'2022'!BD23</f>
        <v>0</v>
      </c>
      <c r="BO205" s="59">
        <f>'2022'!BE23</f>
        <v>17</v>
      </c>
      <c r="BP205" s="56">
        <f>'2022'!BF23</f>
        <v>0</v>
      </c>
      <c r="BQ205" s="57">
        <f>'2022'!BG23</f>
        <v>2474</v>
      </c>
      <c r="BR205" s="57">
        <f>'2022'!BH23</f>
        <v>0</v>
      </c>
      <c r="BS205" s="57">
        <f>'2022'!BI23</f>
        <v>30</v>
      </c>
      <c r="BT205" s="57">
        <f>'2022'!BJ23</f>
        <v>0</v>
      </c>
      <c r="BU205" s="57">
        <f>'2022'!BK23</f>
        <v>0</v>
      </c>
      <c r="BV205" s="58">
        <f>'2022'!BL23</f>
        <v>0</v>
      </c>
      <c r="BW205" s="58">
        <f>'2022'!BM23</f>
        <v>0</v>
      </c>
      <c r="BX205" s="58">
        <f>'2022'!BN23</f>
        <v>0</v>
      </c>
      <c r="BY205" s="58">
        <f>'2022'!BO23</f>
        <v>0</v>
      </c>
      <c r="BZ205" s="57">
        <f>'2022'!BP23</f>
        <v>0</v>
      </c>
      <c r="CA205" s="57">
        <f>'2022'!BQ23</f>
        <v>3825</v>
      </c>
      <c r="CB205" s="57">
        <f>'2022'!BR23</f>
        <v>0</v>
      </c>
      <c r="CC205" s="57">
        <f>'2022'!BS23</f>
        <v>0</v>
      </c>
      <c r="CD205" s="59">
        <f>'2022'!BT23</f>
        <v>32</v>
      </c>
      <c r="CE205" s="56">
        <f>'2022'!BU23</f>
        <v>568</v>
      </c>
      <c r="CF205" s="57">
        <f>'2022'!BV23</f>
        <v>1979</v>
      </c>
      <c r="CG205" s="57">
        <f>'2022'!BW23</f>
        <v>5</v>
      </c>
      <c r="CH205" s="57">
        <f>'2022'!BX23</f>
        <v>18</v>
      </c>
      <c r="CI205" s="57">
        <f>'2022'!BY23</f>
        <v>111</v>
      </c>
      <c r="CJ205" s="57">
        <f>'2022'!BZ23</f>
        <v>24</v>
      </c>
      <c r="CK205" s="58">
        <f>'2022'!CA23</f>
        <v>5.0999999999999996</v>
      </c>
      <c r="CL205" s="58">
        <f>'2022'!CB23</f>
        <v>64.900000000000006</v>
      </c>
      <c r="CM205" s="58">
        <f>'2022'!CC23</f>
        <v>2.82</v>
      </c>
      <c r="CN205" s="58">
        <f>'2022'!CD23</f>
        <v>39.6</v>
      </c>
      <c r="CO205" s="57">
        <f>'2022'!CE23</f>
        <v>182</v>
      </c>
      <c r="CP205" s="57">
        <f>'2022'!CF23</f>
        <v>3628</v>
      </c>
      <c r="CQ205" s="57">
        <f>'2022'!CG23</f>
        <v>15</v>
      </c>
      <c r="CR205" s="57">
        <f>'2022'!CH23</f>
        <v>0</v>
      </c>
      <c r="CS205" s="59">
        <f>'2022'!CI23</f>
        <v>22</v>
      </c>
      <c r="CT205" s="56">
        <f>'2022'!CJ23</f>
        <v>241</v>
      </c>
      <c r="CU205" s="57">
        <f>'2022'!CK23</f>
        <v>840</v>
      </c>
      <c r="CV205" s="57">
        <f>'2022'!CL23</f>
        <v>3</v>
      </c>
      <c r="CW205" s="57">
        <f>'2022'!CM23</f>
        <v>4</v>
      </c>
      <c r="CX205" s="57">
        <f>'2022'!CN23</f>
        <v>41</v>
      </c>
      <c r="CY205" s="57">
        <f>'2022'!CO23</f>
        <v>11</v>
      </c>
      <c r="CZ205" s="58">
        <f>'2022'!CP23</f>
        <v>5.9</v>
      </c>
      <c r="DA205" s="58">
        <f>'2022'!CQ23</f>
        <v>97.8</v>
      </c>
      <c r="DB205" s="58">
        <f>'2022'!CR23</f>
        <v>4</v>
      </c>
      <c r="DC205" s="58">
        <f>'2022'!CS23</f>
        <v>57.7</v>
      </c>
      <c r="DD205" s="57">
        <f>'2022'!CT23</f>
        <v>28</v>
      </c>
      <c r="DE205" s="57">
        <f>'2022'!CU23</f>
        <v>815</v>
      </c>
      <c r="DF205" s="57">
        <f>'2022'!CV23</f>
        <v>4</v>
      </c>
      <c r="DG205" s="57">
        <f>'2022'!CW23</f>
        <v>0</v>
      </c>
      <c r="DH205" s="59">
        <f>'2022'!CX23</f>
        <v>6</v>
      </c>
      <c r="DI205" s="56">
        <f>'2022'!CY23</f>
        <v>1216</v>
      </c>
      <c r="DJ205" s="57">
        <f>'2022'!CZ23</f>
        <v>2597</v>
      </c>
      <c r="DK205" s="57">
        <f>'2022'!DA23</f>
        <v>11</v>
      </c>
      <c r="DL205" s="57">
        <f>'2022'!DB23</f>
        <v>27</v>
      </c>
      <c r="DM205" s="57">
        <f>'2022'!DC23</f>
        <v>256</v>
      </c>
      <c r="DN205" s="57">
        <f>'2022'!DD23</f>
        <v>85</v>
      </c>
      <c r="DO205" s="58">
        <f>'2022'!DE23</f>
        <v>4.8</v>
      </c>
      <c r="DP205" s="58">
        <f>'2022'!DF23</f>
        <v>106.9</v>
      </c>
      <c r="DQ205" s="58">
        <f>'2022'!DG23</f>
        <v>3.21</v>
      </c>
      <c r="DR205" s="58">
        <f>'2022'!DH23</f>
        <v>34.200000000000003</v>
      </c>
      <c r="DS205" s="57">
        <f>'2022'!DI23</f>
        <v>227</v>
      </c>
      <c r="DT205" s="57">
        <f>'2022'!DJ23</f>
        <v>3246</v>
      </c>
      <c r="DU205" s="57">
        <f>'2022'!DK23</f>
        <v>26</v>
      </c>
      <c r="DV205" s="57">
        <f>'2022'!DL23</f>
        <v>0</v>
      </c>
      <c r="DW205" s="59">
        <f>'2022'!DM23</f>
        <v>23</v>
      </c>
    </row>
    <row r="206" spans="1:127" ht="15.75" customHeight="1" x14ac:dyDescent="0.2">
      <c r="A206" s="33">
        <f t="shared" si="36"/>
        <v>204</v>
      </c>
      <c r="B206" s="11">
        <f>'2018'!A17</f>
        <v>15</v>
      </c>
      <c r="C206" s="11">
        <v>2018</v>
      </c>
      <c r="D206" s="34" t="str">
        <f>'2018'!B17</f>
        <v>Mark Walton</v>
      </c>
      <c r="E206" s="224" t="str" cm="1">
        <f t="array" ref="E206">_xlfn.IFS(F206&gt;=13,"Cornerstone",AND(F206&gt;=12,F206&lt;13),"Elite",AND(F206&gt;=11,F206&lt;12),"Elite Upside",AND(F206&gt;=9,F206&lt;11),"Upside",AND(F206&gt;=7,F206&lt;9),"Upside Lite",AND(F206&gt;=6,F206&lt;7),"Outlier",AND(F206&gt;=5,F206&lt;6),"Outlier Lite",F206&lt;5,"Purgatory")</f>
        <v>Outlier Lite</v>
      </c>
      <c r="F206" s="14">
        <f>'2018'!C17</f>
        <v>5.6222222222222227</v>
      </c>
      <c r="G206" s="14">
        <f t="shared" si="41"/>
        <v>37.299999999999997</v>
      </c>
      <c r="H206" s="35">
        <f t="shared" si="37"/>
        <v>-1.0073553233569801</v>
      </c>
      <c r="I206" s="36" t="str">
        <f>'2018'!D17</f>
        <v>Miami</v>
      </c>
      <c r="J206" s="37">
        <f>'2018'!E17</f>
        <v>4</v>
      </c>
      <c r="K206" s="38">
        <f>'2018'!F17</f>
        <v>35518</v>
      </c>
      <c r="L206" s="39">
        <f>'2018'!G17</f>
        <v>28.517808219178082</v>
      </c>
      <c r="M206" s="39" t="str">
        <f>'2018'!H17</f>
        <v>JR</v>
      </c>
      <c r="N206" s="39">
        <f>'2018'!I17</f>
        <v>21.090410958904108</v>
      </c>
      <c r="O206" s="39" t="str">
        <f t="shared" si="38"/>
        <v>BELL CALF</v>
      </c>
      <c r="P206" s="39" t="str">
        <f t="shared" si="42"/>
        <v>SLASHER</v>
      </c>
      <c r="Q206" s="37">
        <f>'2018'!J17</f>
        <v>70</v>
      </c>
      <c r="R206" s="37">
        <f>'2018'!K17</f>
        <v>202</v>
      </c>
      <c r="S206" s="39">
        <f t="shared" si="40"/>
        <v>28.983661069362956</v>
      </c>
      <c r="T206" s="37">
        <f>'2018'!L17</f>
        <v>4.5999999999999996</v>
      </c>
      <c r="U206" s="40">
        <f>'2018'!M17</f>
        <v>4</v>
      </c>
      <c r="V206" s="41">
        <f>'2018'!N17</f>
        <v>0</v>
      </c>
      <c r="W206" s="42">
        <f>'2018'!O17</f>
        <v>0</v>
      </c>
      <c r="X206" s="42">
        <f>'2018'!P17</f>
        <v>0.14737864077669902</v>
      </c>
      <c r="Y206" s="42">
        <f>'2018'!Q17</f>
        <v>0.24507856239841069</v>
      </c>
      <c r="Z206" s="42">
        <f>'2018'!R17</f>
        <v>9.879839786381843E-2</v>
      </c>
      <c r="AA206" s="42">
        <f>'2018'!S17</f>
        <v>0.17193848013111457</v>
      </c>
      <c r="AB206" s="42">
        <f>'2018'!T17</f>
        <v>0.15474463211800313</v>
      </c>
      <c r="AC206" s="42">
        <f>'2018'!U17</f>
        <v>6.7340067340067339E-2</v>
      </c>
      <c r="AD206" s="42">
        <f>'2018'!V17</f>
        <v>2.8861401839517919E-2</v>
      </c>
      <c r="AE206" s="42">
        <f>'2018'!W17</f>
        <v>4.8100734589792631E-2</v>
      </c>
      <c r="AF206" s="43">
        <f>'2018'!X17</f>
        <v>4.3290661130813368E-2</v>
      </c>
      <c r="AG206" s="44">
        <f>'2018'!Y17</f>
        <v>19.438356164383563</v>
      </c>
      <c r="AH206" s="45">
        <f>'2018'!Z17</f>
        <v>90.22980907015058</v>
      </c>
      <c r="AI206" s="45">
        <f>'2018'!AA17</f>
        <v>28.980816326530615</v>
      </c>
      <c r="AJ206" s="45">
        <f>'2018'!AB17</f>
        <v>0.17224880382775121</v>
      </c>
      <c r="AK206" s="45">
        <f>'2018'!AC17</f>
        <v>7.6</v>
      </c>
      <c r="AL206" s="45">
        <f t="shared" si="39"/>
        <v>11.178571428571429</v>
      </c>
      <c r="AM206" s="45">
        <f t="shared" si="35"/>
        <v>0.1111111111111111</v>
      </c>
      <c r="AN206" s="45">
        <f>'2018'!AD17</f>
        <v>61.1</v>
      </c>
      <c r="AO206" s="45">
        <f>'2018'!AE17</f>
        <v>3.43</v>
      </c>
      <c r="AP206" s="46">
        <f>'2018'!AF17</f>
        <v>56.9</v>
      </c>
      <c r="AQ206" s="47">
        <f>'2018'!AG17</f>
        <v>2</v>
      </c>
      <c r="AR206" s="48">
        <f>'2018'!AH17</f>
        <v>5</v>
      </c>
      <c r="AS206" s="48">
        <f>'2018'!AI17</f>
        <v>6</v>
      </c>
      <c r="AT206" s="48">
        <f>IF(AH206&gt;113.25,10,IF(AH206&gt;=107.84,9,IF(AH206&gt;=105.37,8,IF(AH206&gt;=103.25,7,IF(AH206&gt;=100.55,6,IF(AH206&gt;=98.75,5,IF(AH206&gt;=96.08,4,IF(AH206&gt;=94.39,3,IF(AH206&gt;=88.43,2,IF(AH206&gt;=85.16,1,IF(AH206&lt;85.16,0,FALSE)))))))))))</f>
        <v>2</v>
      </c>
      <c r="AU206" s="48">
        <f>'2018'!AK17</f>
        <v>2</v>
      </c>
      <c r="AV206" s="48">
        <f>'2018'!AL17</f>
        <v>9</v>
      </c>
      <c r="AW206" s="48">
        <f>'2018'!AM17</f>
        <v>0</v>
      </c>
      <c r="AX206" s="48">
        <f>'2018'!AN17</f>
        <v>1</v>
      </c>
      <c r="AY206" s="49">
        <f>IF(U206=1,10,IF(U206=2,7,IF(U206=3,6,IF(U206=4,4,IF(U206=5,3,IF(U206=6,2,IF(U206=7,1,IF(U206=0,0,"-"))))))))</f>
        <v>4</v>
      </c>
      <c r="AZ206" s="50">
        <f>'2018'!AP17</f>
        <v>0</v>
      </c>
      <c r="BA206" s="56">
        <f>'2018'!AQ17</f>
        <v>0</v>
      </c>
      <c r="BB206" s="57">
        <f>'2018'!AR17</f>
        <v>2084</v>
      </c>
      <c r="BC206" s="57">
        <f>'2018'!AS17</f>
        <v>0</v>
      </c>
      <c r="BD206" s="57">
        <f>'2018'!AT17</f>
        <v>0</v>
      </c>
      <c r="BE206" s="57">
        <f>'2018'!AU17</f>
        <v>0</v>
      </c>
      <c r="BF206" s="57">
        <f>'2018'!AV17</f>
        <v>0</v>
      </c>
      <c r="BG206" s="58">
        <f>'2018'!AW17</f>
        <v>0</v>
      </c>
      <c r="BH206" s="58">
        <f>'2018'!AX17</f>
        <v>0</v>
      </c>
      <c r="BI206" s="58">
        <f>'2018'!AY17</f>
        <v>0</v>
      </c>
      <c r="BJ206" s="58">
        <f>'2018'!AZ17</f>
        <v>0</v>
      </c>
      <c r="BK206" s="57">
        <f>'2018'!BA17</f>
        <v>0</v>
      </c>
      <c r="BL206" s="57">
        <f>'2018'!BB17</f>
        <v>3452</v>
      </c>
      <c r="BM206" s="57">
        <f>'2018'!BC17</f>
        <v>0</v>
      </c>
      <c r="BN206" s="57">
        <f>'2018'!BD17</f>
        <v>0</v>
      </c>
      <c r="BO206" s="59">
        <f>'2018'!BE17</f>
        <v>0</v>
      </c>
      <c r="BP206" s="56">
        <f>'2018'!BF17</f>
        <v>0</v>
      </c>
      <c r="BQ206" s="57">
        <f>'2018'!BG17</f>
        <v>2345</v>
      </c>
      <c r="BR206" s="57">
        <f>'2018'!BH17</f>
        <v>0</v>
      </c>
      <c r="BS206" s="57">
        <f>'2018'!BI17</f>
        <v>0</v>
      </c>
      <c r="BT206" s="57">
        <f>'2018'!BJ17</f>
        <v>0</v>
      </c>
      <c r="BU206" s="57">
        <f>'2018'!BK17</f>
        <v>0</v>
      </c>
      <c r="BV206" s="58">
        <f>'2018'!BL17</f>
        <v>0</v>
      </c>
      <c r="BW206" s="58">
        <f>'2018'!BM17</f>
        <v>0</v>
      </c>
      <c r="BX206" s="58">
        <f>'2018'!BN17</f>
        <v>0</v>
      </c>
      <c r="BY206" s="58">
        <f>'2018'!BO17</f>
        <v>0</v>
      </c>
      <c r="BZ206" s="57">
        <f>'2018'!BP17</f>
        <v>0</v>
      </c>
      <c r="CA206" s="57">
        <f>'2018'!BQ17</f>
        <v>3249</v>
      </c>
      <c r="CB206" s="57">
        <f>'2018'!BR17</f>
        <v>0</v>
      </c>
      <c r="CC206" s="57">
        <f>'2018'!BS17</f>
        <v>0</v>
      </c>
      <c r="CD206" s="59">
        <f>'2018'!BT17</f>
        <v>0</v>
      </c>
      <c r="CE206" s="56">
        <f>'2018'!BU17</f>
        <v>464</v>
      </c>
      <c r="CF206" s="57">
        <f>'2018'!BV17</f>
        <v>1548</v>
      </c>
      <c r="CG206" s="57">
        <f>'2018'!BW17</f>
        <v>9</v>
      </c>
      <c r="CH206" s="57">
        <f>'2018'!BX17</f>
        <v>0</v>
      </c>
      <c r="CI206" s="57">
        <f>'2018'!BY17</f>
        <v>129</v>
      </c>
      <c r="CJ206" s="57">
        <f>'2018'!BZ17</f>
        <v>28</v>
      </c>
      <c r="CK206" s="58">
        <f>'2018'!CA17</f>
        <v>3.6</v>
      </c>
      <c r="CL206" s="58">
        <f>'2018'!CB17</f>
        <v>52.7</v>
      </c>
      <c r="CM206" s="58">
        <f>'2018'!CC17</f>
        <v>2.09</v>
      </c>
      <c r="CN206" s="58">
        <f>'2018'!CD17</f>
        <v>25.6</v>
      </c>
      <c r="CO206" s="57">
        <f>'2018'!CE17</f>
        <v>295</v>
      </c>
      <c r="CP206" s="57">
        <f>'2018'!CF17</f>
        <v>3602</v>
      </c>
      <c r="CQ206" s="57">
        <f>'2018'!CG17</f>
        <v>22</v>
      </c>
      <c r="CR206" s="57">
        <f>'2018'!CH17</f>
        <v>0</v>
      </c>
      <c r="CS206" s="59">
        <f>'2018'!CI17</f>
        <v>0</v>
      </c>
      <c r="CT206" s="56">
        <f>'2018'!CJ17</f>
        <v>1117</v>
      </c>
      <c r="CU206" s="57">
        <f>'2018'!CK17</f>
        <v>1973</v>
      </c>
      <c r="CV206" s="57">
        <f>'2018'!CL17</f>
        <v>14</v>
      </c>
      <c r="CW206" s="57">
        <f>'2018'!CM17</f>
        <v>0</v>
      </c>
      <c r="CX206" s="57">
        <f>'2018'!CN17</f>
        <v>209</v>
      </c>
      <c r="CY206" s="57">
        <f>'2018'!CO17</f>
        <v>36</v>
      </c>
      <c r="CZ206" s="58">
        <f>'2018'!CP17</f>
        <v>5.3</v>
      </c>
      <c r="DA206" s="58">
        <f>'2018'!CQ17</f>
        <v>61.1</v>
      </c>
      <c r="DB206" s="58">
        <f>'2018'!CR17</f>
        <v>3.43</v>
      </c>
      <c r="DC206" s="58">
        <f>'2018'!CS17</f>
        <v>49.2</v>
      </c>
      <c r="DD206" s="57">
        <f>'2018'!CT17</f>
        <v>240</v>
      </c>
      <c r="DE206" s="57">
        <f>'2018'!CU17</f>
        <v>3564</v>
      </c>
      <c r="DF206" s="57">
        <f>'2018'!CV17</f>
        <v>27</v>
      </c>
      <c r="DG206" s="57">
        <f>'2018'!CW17</f>
        <v>0</v>
      </c>
      <c r="DH206" s="59">
        <f>'2018'!CX17</f>
        <v>0</v>
      </c>
      <c r="DI206" s="56">
        <f>'2018'!CY17</f>
        <v>427</v>
      </c>
      <c r="DJ206" s="57">
        <f>'2018'!CZ17</f>
        <v>2090</v>
      </c>
      <c r="DK206" s="57">
        <f>'2018'!DA17</f>
        <v>3</v>
      </c>
      <c r="DL206" s="57">
        <f>'2018'!DB17</f>
        <v>0</v>
      </c>
      <c r="DM206" s="57">
        <f>'2018'!DC17</f>
        <v>56</v>
      </c>
      <c r="DN206" s="57">
        <f>'2018'!DD17</f>
        <v>7</v>
      </c>
      <c r="DO206" s="58">
        <f>'2018'!DE17</f>
        <v>7.6</v>
      </c>
      <c r="DP206" s="58">
        <f>'2018'!DF17</f>
        <v>51.4</v>
      </c>
      <c r="DQ206" s="58">
        <f>'2018'!DG17</f>
        <v>2.95</v>
      </c>
      <c r="DR206" s="58">
        <f>'2018'!DH17</f>
        <v>56.9</v>
      </c>
      <c r="DS206" s="57">
        <f>'2018'!DI17</f>
        <v>91</v>
      </c>
      <c r="DT206" s="57">
        <f>'2018'!DJ17</f>
        <v>3153</v>
      </c>
      <c r="DU206" s="57">
        <f>'2018'!DK17</f>
        <v>7</v>
      </c>
      <c r="DV206" s="57">
        <f>'2018'!DL17</f>
        <v>0</v>
      </c>
      <c r="DW206" s="59">
        <f>'2018'!DM17</f>
        <v>0</v>
      </c>
    </row>
    <row r="207" spans="1:127" ht="15.75" customHeight="1" x14ac:dyDescent="0.2">
      <c r="A207" s="33">
        <f t="shared" si="36"/>
        <v>204</v>
      </c>
      <c r="B207" s="11">
        <f>'2024'!A23</f>
        <v>21</v>
      </c>
      <c r="C207" s="11">
        <v>2024</v>
      </c>
      <c r="D207" s="34" t="str">
        <f>'2024'!B23</f>
        <v>Emani Bailey</v>
      </c>
      <c r="E207" s="224" t="str" cm="1">
        <f t="array" ref="E207">_xlfn.IFS(F207&gt;=13,"Cornerstone",AND(F207&gt;=12,F207&lt;13),"Elite",AND(F207&gt;=11,F207&lt;12),"Elite Upside",AND(F207&gt;=9,F207&lt;11),"Upside",AND(F207&gt;=7,F207&lt;9),"Upside Lite",AND(F207&gt;=6,F207&lt;7),"Outlier",AND(F207&gt;=5,F207&lt;6),"Outlier Lite",F207&lt;5,"Purgatory")</f>
        <v>Outlier Lite</v>
      </c>
      <c r="F207" s="14">
        <f>'2024'!C23</f>
        <v>5.6222222222222227</v>
      </c>
      <c r="G207" s="14">
        <f t="shared" si="41"/>
        <v>37.299999999999997</v>
      </c>
      <c r="H207" s="35">
        <f t="shared" si="37"/>
        <v>-1.0073553233569801</v>
      </c>
      <c r="I207" s="36" t="str">
        <f>'2024'!D23</f>
        <v>TCU</v>
      </c>
      <c r="J207" s="37">
        <f>'2024'!E23</f>
        <v>3</v>
      </c>
      <c r="K207" s="38">
        <f>'2024'!F23</f>
        <v>37223</v>
      </c>
      <c r="L207" s="39">
        <f>'2024'!G23</f>
        <v>23.846575342465755</v>
      </c>
      <c r="M207" s="39" t="str">
        <f>'2024'!H23</f>
        <v>RS JR</v>
      </c>
      <c r="N207" s="39">
        <f>'2024'!I23</f>
        <v>22.427397260273974</v>
      </c>
      <c r="O207" s="39" t="str">
        <f t="shared" si="38"/>
        <v>BELL CALF</v>
      </c>
      <c r="P207" s="39" t="str">
        <f t="shared" si="42"/>
        <v>SLASHER</v>
      </c>
      <c r="Q207" s="37">
        <f>'2024'!J23</f>
        <v>67</v>
      </c>
      <c r="R207" s="37">
        <f>'2024'!K23</f>
        <v>202</v>
      </c>
      <c r="S207" s="39">
        <f t="shared" si="40"/>
        <v>31.637322174176539</v>
      </c>
      <c r="T207" s="37">
        <f>'2024'!L23</f>
        <v>4.6100000000000003</v>
      </c>
      <c r="U207" s="40">
        <f>'2024'!M23</f>
        <v>0</v>
      </c>
      <c r="V207" s="41">
        <f>'2024'!N23</f>
        <v>0</v>
      </c>
      <c r="W207" s="42">
        <f>'2024'!O23</f>
        <v>4.7415836889521099E-2</v>
      </c>
      <c r="X207" s="42">
        <f>'2024'!P23</f>
        <v>0.17463883016208601</v>
      </c>
      <c r="Y207" s="42">
        <f>'2024'!Q23</f>
        <v>0.11546914623837701</v>
      </c>
      <c r="Z207" s="42">
        <f>'2024'!R23</f>
        <v>0.24908935076065997</v>
      </c>
      <c r="AA207" s="42">
        <f>'2024'!S23</f>
        <v>0.24908935076065997</v>
      </c>
      <c r="AB207" s="42">
        <f>'2024'!T23</f>
        <v>0.22418041568459399</v>
      </c>
      <c r="AC207" s="42">
        <f>'2024'!U23</f>
        <v>1.2639252226565945E-2</v>
      </c>
      <c r="AD207" s="42">
        <f>'2024'!V23</f>
        <v>4.9113815929959434E-2</v>
      </c>
      <c r="AE207" s="42">
        <f>'2024'!W23</f>
        <v>4.9113815929959434E-2</v>
      </c>
      <c r="AF207" s="43">
        <f>'2024'!X23</f>
        <v>4.4202434336963491E-2</v>
      </c>
      <c r="AG207" s="44">
        <f>'2024'!Y23</f>
        <v>19.769863013698629</v>
      </c>
      <c r="AH207" s="45">
        <f>'2024'!Z23</f>
        <v>89.44944773385231</v>
      </c>
      <c r="AI207" s="45">
        <f>'2024'!AA23</f>
        <v>31.634216974827357</v>
      </c>
      <c r="AJ207" s="45">
        <f>'2024'!AB23</f>
        <v>0.31390134529147984</v>
      </c>
      <c r="AK207" s="45">
        <f>'2024'!AC23</f>
        <v>8</v>
      </c>
      <c r="AL207" s="45">
        <f t="shared" si="39"/>
        <v>8.085106382978724</v>
      </c>
      <c r="AM207" s="45">
        <f t="shared" si="35"/>
        <v>0.10080645161290322</v>
      </c>
      <c r="AN207" s="45">
        <f>'2024'!AD23</f>
        <v>117.1</v>
      </c>
      <c r="AO207" s="45">
        <f>'2024'!AE23</f>
        <v>3.68</v>
      </c>
      <c r="AP207" s="46">
        <f>'2024'!AF23</f>
        <v>57.5</v>
      </c>
      <c r="AQ207" s="47">
        <f>'2024'!AG23</f>
        <v>4</v>
      </c>
      <c r="AR207" s="48">
        <f>'2024'!AH23</f>
        <v>5</v>
      </c>
      <c r="AS207" s="48">
        <f>'2024'!AI23</f>
        <v>5</v>
      </c>
      <c r="AT207" s="48">
        <f>'2024'!AJ23</f>
        <v>2</v>
      </c>
      <c r="AU207" s="48">
        <f>'2024'!AK23</f>
        <v>8</v>
      </c>
      <c r="AV207" s="48">
        <f>'2024'!AL23</f>
        <v>9</v>
      </c>
      <c r="AW207" s="48">
        <f>'2024'!AM23</f>
        <v>5</v>
      </c>
      <c r="AX207" s="48">
        <f>'2024'!AN23</f>
        <v>3</v>
      </c>
      <c r="AY207" s="49">
        <f>'2024'!AO23</f>
        <v>0</v>
      </c>
      <c r="AZ207" s="50">
        <f>'2024'!AP23</f>
        <v>0</v>
      </c>
      <c r="BA207" s="56">
        <f>'2024'!AQ23</f>
        <v>0</v>
      </c>
      <c r="BB207" s="57">
        <f>'2024'!AR23</f>
        <v>1</v>
      </c>
      <c r="BC207" s="57">
        <f>'2024'!AS23</f>
        <v>0</v>
      </c>
      <c r="BD207" s="57">
        <f>'2024'!AT23</f>
        <v>0</v>
      </c>
      <c r="BE207" s="57">
        <f>'2024'!AU23</f>
        <v>0</v>
      </c>
      <c r="BF207" s="57">
        <f>'2024'!AV23</f>
        <v>0</v>
      </c>
      <c r="BG207" s="58">
        <f>'2024'!AW23</f>
        <v>0</v>
      </c>
      <c r="BH207" s="58">
        <f>'2024'!AX23</f>
        <v>0</v>
      </c>
      <c r="BI207" s="58">
        <f>'2024'!AY23</f>
        <v>0</v>
      </c>
      <c r="BJ207" s="58">
        <f>'2024'!AZ23</f>
        <v>0</v>
      </c>
      <c r="BK207" s="57">
        <f>'2024'!BA23</f>
        <v>0</v>
      </c>
      <c r="BL207" s="57">
        <f>'2024'!BB23</f>
        <v>1</v>
      </c>
      <c r="BM207" s="57">
        <f>'2024'!BC23</f>
        <v>0</v>
      </c>
      <c r="BN207" s="57">
        <f>'2024'!BD23</f>
        <v>0</v>
      </c>
      <c r="BO207" s="59">
        <f>'2024'!BE23</f>
        <v>0</v>
      </c>
      <c r="BP207" s="56">
        <f>'2024'!BF23</f>
        <v>60</v>
      </c>
      <c r="BQ207" s="57">
        <f>'2024'!BG23</f>
        <v>639.90000000000009</v>
      </c>
      <c r="BR207" s="57">
        <f>'2024'!BH23</f>
        <v>0</v>
      </c>
      <c r="BS207" s="57">
        <f>'2024'!BI23</f>
        <v>6.8999999999999995</v>
      </c>
      <c r="BT207" s="57">
        <f>'2024'!BJ23</f>
        <v>10</v>
      </c>
      <c r="BU207" s="57">
        <f>'2024'!BK23</f>
        <v>3</v>
      </c>
      <c r="BV207" s="58">
        <f>'2024'!BL23</f>
        <v>6</v>
      </c>
      <c r="BW207" s="58">
        <f>'2024'!BM23</f>
        <v>123</v>
      </c>
      <c r="BX207" s="58">
        <f>'2024'!BN23</f>
        <v>4.0999999999999996</v>
      </c>
      <c r="BY207" s="58">
        <f>'2024'!BO23</f>
        <v>41.7</v>
      </c>
      <c r="BZ207" s="57">
        <f>'2024'!BP23</f>
        <v>0</v>
      </c>
      <c r="CA207" s="57">
        <f>'2024'!BQ23</f>
        <v>625.5</v>
      </c>
      <c r="CB207" s="57">
        <f>'2024'!BR23</f>
        <v>0</v>
      </c>
      <c r="CC207" s="57">
        <f>'2024'!BS23</f>
        <v>0</v>
      </c>
      <c r="CD207" s="59">
        <f>'2024'!BT23</f>
        <v>5.4</v>
      </c>
      <c r="CE207" s="56">
        <f>'2024'!BU23</f>
        <v>640</v>
      </c>
      <c r="CF207" s="57">
        <f>'2024'!BV23</f>
        <v>2136.1999999999998</v>
      </c>
      <c r="CG207" s="57">
        <f>'2024'!BW23</f>
        <v>8</v>
      </c>
      <c r="CH207" s="57">
        <f>'2024'!BX23</f>
        <v>26.4</v>
      </c>
      <c r="CI207" s="57">
        <f>'2024'!BY23</f>
        <v>103</v>
      </c>
      <c r="CJ207" s="57">
        <f>'2024'!BZ23</f>
        <v>24</v>
      </c>
      <c r="CK207" s="58">
        <f>'2024'!CA23</f>
        <v>6.2</v>
      </c>
      <c r="CL207" s="58">
        <f>'2024'!CB23</f>
        <v>80.7</v>
      </c>
      <c r="CM207" s="58">
        <f>'2024'!CC23</f>
        <v>3.17</v>
      </c>
      <c r="CN207" s="58">
        <f>'2024'!CD23</f>
        <v>31.1</v>
      </c>
      <c r="CO207" s="57">
        <f>'2024'!CE23</f>
        <v>153</v>
      </c>
      <c r="CP207" s="57">
        <f>'2024'!CF23</f>
        <v>2404.6</v>
      </c>
      <c r="CQ207" s="57">
        <f>'2024'!CG23</f>
        <v>15</v>
      </c>
      <c r="CR207" s="57">
        <f>'2024'!CH23</f>
        <v>0</v>
      </c>
      <c r="CS207" s="59">
        <f>'2024'!CI23</f>
        <v>17.600000000000001</v>
      </c>
      <c r="CT207" s="56">
        <f>'2024'!CJ23</f>
        <v>640</v>
      </c>
      <c r="CU207" s="57">
        <f>'2024'!CK23</f>
        <v>2512.9</v>
      </c>
      <c r="CV207" s="57">
        <f>'2024'!CL23</f>
        <v>2</v>
      </c>
      <c r="CW207" s="57">
        <f>'2024'!CM23</f>
        <v>32.5</v>
      </c>
      <c r="CX207" s="57">
        <f>'2024'!CN23</f>
        <v>31</v>
      </c>
      <c r="CY207" s="57">
        <f>'2024'!CO23</f>
        <v>5</v>
      </c>
      <c r="CZ207" s="58">
        <f>'2024'!CP23</f>
        <v>8</v>
      </c>
      <c r="DA207" s="58">
        <f>'2024'!CQ23</f>
        <v>88.7</v>
      </c>
      <c r="DB207" s="58">
        <f>'2024'!CR23</f>
        <v>3.06</v>
      </c>
      <c r="DC207" s="58">
        <f>'2024'!CS23</f>
        <v>57.5</v>
      </c>
      <c r="DD207" s="57">
        <f>'2024'!CT23</f>
        <v>43</v>
      </c>
      <c r="DE207" s="57">
        <f>'2024'!CU23</f>
        <v>3402.1</v>
      </c>
      <c r="DF207" s="57">
        <f>'2024'!CV23</f>
        <v>7</v>
      </c>
      <c r="DG207" s="57">
        <f>'2024'!CW23</f>
        <v>0</v>
      </c>
      <c r="DH207" s="59">
        <f>'2024'!CX23</f>
        <v>28.6</v>
      </c>
      <c r="DI207" s="56">
        <f>'2024'!CY23</f>
        <v>1211</v>
      </c>
      <c r="DJ207" s="57">
        <f>'2024'!CZ23</f>
        <v>1854</v>
      </c>
      <c r="DK207" s="57">
        <f>'2024'!DA23</f>
        <v>8</v>
      </c>
      <c r="DL207" s="57">
        <f>'2024'!DB23</f>
        <v>19.200000000000003</v>
      </c>
      <c r="DM207" s="57">
        <f>'2024'!DC23</f>
        <v>223</v>
      </c>
      <c r="DN207" s="57">
        <f>'2024'!DD23</f>
        <v>70</v>
      </c>
      <c r="DO207" s="58">
        <f>'2024'!DE23</f>
        <v>5.4</v>
      </c>
      <c r="DP207" s="58">
        <f>'2024'!DF23</f>
        <v>117.1</v>
      </c>
      <c r="DQ207" s="58">
        <f>'2024'!DG23</f>
        <v>3.68</v>
      </c>
      <c r="DR207" s="58">
        <f>'2024'!DH23</f>
        <v>43.9</v>
      </c>
      <c r="DS207" s="57">
        <f>'2024'!DI23</f>
        <v>184</v>
      </c>
      <c r="DT207" s="57">
        <f>'2024'!DJ23</f>
        <v>3746.3999999999996</v>
      </c>
      <c r="DU207" s="57">
        <f>'2024'!DK23</f>
        <v>25</v>
      </c>
      <c r="DV207" s="57">
        <f>'2024'!DL23</f>
        <v>1</v>
      </c>
      <c r="DW207" s="59">
        <f>'2024'!DM23</f>
        <v>27.599999999999998</v>
      </c>
    </row>
    <row r="208" spans="1:127" ht="15.75" customHeight="1" x14ac:dyDescent="0.2">
      <c r="A208" s="33">
        <f t="shared" si="36"/>
        <v>206</v>
      </c>
      <c r="B208" s="11">
        <f>'2019'!A20</f>
        <v>18</v>
      </c>
      <c r="C208" s="11">
        <v>2019</v>
      </c>
      <c r="D208" s="34" t="str">
        <f>'2019'!B20</f>
        <v>Mike Weber</v>
      </c>
      <c r="E208" s="224" t="str" cm="1">
        <f t="array" ref="E208">_xlfn.IFS(F208&gt;=13,"Cornerstone",AND(F208&gt;=12,F208&lt;13),"Elite",AND(F208&gt;=11,F208&lt;12),"Elite Upside",AND(F208&gt;=9,F208&lt;11),"Upside",AND(F208&gt;=7,F208&lt;9),"Upside Lite",AND(F208&gt;=6,F208&lt;7),"Outlier",AND(F208&gt;=5,F208&lt;6),"Outlier Lite",F208&lt;5,"Purgatory")</f>
        <v>Outlier Lite</v>
      </c>
      <c r="F208" s="14">
        <f>'2019'!C20</f>
        <v>5.5611111111111109</v>
      </c>
      <c r="G208" s="14">
        <f t="shared" si="41"/>
        <v>37</v>
      </c>
      <c r="H208" s="35">
        <f t="shared" si="37"/>
        <v>-1.0332190772827361</v>
      </c>
      <c r="I208" s="36" t="str">
        <f>'2019'!D20</f>
        <v>Ohio State</v>
      </c>
      <c r="J208" s="37">
        <f>'2019'!E20</f>
        <v>2</v>
      </c>
      <c r="K208" s="38">
        <f>'2019'!F20</f>
        <v>35667</v>
      </c>
      <c r="L208" s="39">
        <f>'2019'!G20</f>
        <v>28.109589041095891</v>
      </c>
      <c r="M208" s="39" t="str">
        <f>'2019'!H20</f>
        <v>RS JR</v>
      </c>
      <c r="N208" s="39">
        <f>'2019'!I20</f>
        <v>21.67945205479452</v>
      </c>
      <c r="O208" s="39" t="str">
        <f t="shared" si="38"/>
        <v>DYNAMIC</v>
      </c>
      <c r="P208" s="39" t="str">
        <f t="shared" si="42"/>
        <v>PLODDER</v>
      </c>
      <c r="Q208" s="37">
        <f>'2019'!J20</f>
        <v>70</v>
      </c>
      <c r="R208" s="37">
        <f>'2019'!K20</f>
        <v>211</v>
      </c>
      <c r="S208" s="39">
        <f t="shared" si="40"/>
        <v>30.275012305126648</v>
      </c>
      <c r="T208" s="37">
        <f>'2019'!L20</f>
        <v>4.47</v>
      </c>
      <c r="U208" s="40">
        <f>'2019'!M20</f>
        <v>7</v>
      </c>
      <c r="V208" s="41">
        <f>'2019'!N20</f>
        <v>0</v>
      </c>
      <c r="W208" s="42">
        <f>'2019'!O20</f>
        <v>0</v>
      </c>
      <c r="X208" s="42">
        <f>'2019'!P20</f>
        <v>0.19919584520020103</v>
      </c>
      <c r="Y208" s="42">
        <f>'2019'!Q20</f>
        <v>0.10065432270639009</v>
      </c>
      <c r="Z208" s="42">
        <f>'2019'!R20</f>
        <v>0.14190450786876502</v>
      </c>
      <c r="AA208" s="42">
        <f>'2019'!S20</f>
        <v>0.17055017653448301</v>
      </c>
      <c r="AB208" s="42">
        <f>'2019'!T20</f>
        <v>0.17055017653448301</v>
      </c>
      <c r="AC208" s="42">
        <f>'2019'!U20</f>
        <v>2.5550421310138623E-2</v>
      </c>
      <c r="AD208" s="42">
        <f>'2019'!V20</f>
        <v>2.1568627450980392E-2</v>
      </c>
      <c r="AE208" s="42">
        <f>'2019'!W20</f>
        <v>2.3559524380559506E-2</v>
      </c>
      <c r="AF208" s="43">
        <f>'2019'!X20</f>
        <v>2.3559524380559506E-2</v>
      </c>
      <c r="AG208" s="44">
        <f>'2019'!Y20</f>
        <v>19.032876712328768</v>
      </c>
      <c r="AH208" s="45">
        <f>'2019'!Z20</f>
        <v>105.70179402390698</v>
      </c>
      <c r="AI208" s="45">
        <f>'2019'!AA20</f>
        <v>30.272040816326534</v>
      </c>
      <c r="AJ208" s="45">
        <f>'2019'!AB20</f>
        <v>0.25966850828729282</v>
      </c>
      <c r="AK208" s="45">
        <f>'2019'!AC20</f>
        <v>6.2</v>
      </c>
      <c r="AL208" s="45">
        <f t="shared" si="39"/>
        <v>5.3636363636363633</v>
      </c>
      <c r="AM208" s="45">
        <f t="shared" si="35"/>
        <v>0.10880829015544041</v>
      </c>
      <c r="AN208" s="45">
        <f>'2019'!AD20</f>
        <v>75.8</v>
      </c>
      <c r="AO208" s="45">
        <f>'2019'!AE20</f>
        <v>3.65</v>
      </c>
      <c r="AP208" s="46">
        <f>'2019'!AF20</f>
        <v>40.9</v>
      </c>
      <c r="AQ208" s="47">
        <f>'2019'!AG20</f>
        <v>3</v>
      </c>
      <c r="AR208" s="48">
        <f>'2019'!AH20</f>
        <v>2</v>
      </c>
      <c r="AS208" s="48">
        <f>'2019'!AI20</f>
        <v>8</v>
      </c>
      <c r="AT208" s="48">
        <f>IF(AH208&gt;113.25,10,IF(AH208&gt;=107.84,9,IF(AH208&gt;=105.37,8,IF(AH208&gt;=103.25,7,IF(AH208&gt;=100.55,6,IF(AH208&gt;=98.75,5,IF(AH208&gt;=96.08,4,IF(AH208&gt;=94.39,3,IF(AH208&gt;=88.43,2,IF(AH208&gt;=85.16,1,IF(AH208&lt;85.16,0,FALSE)))))))))))</f>
        <v>8</v>
      </c>
      <c r="AU208" s="48">
        <f>'2019'!AK20</f>
        <v>6</v>
      </c>
      <c r="AV208" s="48">
        <f>'2019'!AL20</f>
        <v>5</v>
      </c>
      <c r="AW208" s="48">
        <f>'2019'!AM20</f>
        <v>2</v>
      </c>
      <c r="AX208" s="48">
        <f>'2019'!AN20</f>
        <v>2</v>
      </c>
      <c r="AY208" s="49">
        <f>IF(U208=1,10,IF(U208=2,7,IF(U208=3,6,IF(U208=4,4,IF(U208=5,3,IF(U208=6,2,IF(U208=7,1,IF(U208=0,0,"-"))))))))</f>
        <v>1</v>
      </c>
      <c r="AZ208" s="50">
        <f>'2019'!AP20</f>
        <v>0</v>
      </c>
      <c r="BA208" s="56">
        <f>'2019'!AQ20</f>
        <v>0</v>
      </c>
      <c r="BB208" s="57">
        <f>'2019'!AR20</f>
        <v>3967</v>
      </c>
      <c r="BC208" s="57">
        <f>'2019'!AS20</f>
        <v>0</v>
      </c>
      <c r="BD208" s="57">
        <f>'2019'!AT20</f>
        <v>41</v>
      </c>
      <c r="BE208" s="57">
        <f>'2019'!AU20</f>
        <v>0</v>
      </c>
      <c r="BF208" s="57">
        <f>'2019'!AV20</f>
        <v>0</v>
      </c>
      <c r="BG208" s="58">
        <f>'2019'!AW20</f>
        <v>0</v>
      </c>
      <c r="BH208" s="58">
        <f>'2019'!AX20</f>
        <v>0</v>
      </c>
      <c r="BI208" s="58">
        <f>'2019'!AY20</f>
        <v>0</v>
      </c>
      <c r="BJ208" s="58">
        <f>'2019'!AZ20</f>
        <v>0</v>
      </c>
      <c r="BK208" s="57">
        <f>'2019'!BA20</f>
        <v>0</v>
      </c>
      <c r="BL208" s="57">
        <f>'2019'!BB20</f>
        <v>3707</v>
      </c>
      <c r="BM208" s="57">
        <f>'2019'!BC20</f>
        <v>0</v>
      </c>
      <c r="BN208" s="57">
        <f>'2019'!BD20</f>
        <v>0</v>
      </c>
      <c r="BO208" s="59">
        <f>'2019'!BE20</f>
        <v>42</v>
      </c>
      <c r="BP208" s="56">
        <f>'2019'!BF20</f>
        <v>0</v>
      </c>
      <c r="BQ208" s="57">
        <f>'2019'!BG20</f>
        <v>3188</v>
      </c>
      <c r="BR208" s="57">
        <f>'2019'!BH20</f>
        <v>0</v>
      </c>
      <c r="BS208" s="57">
        <f>'2019'!BI20</f>
        <v>39</v>
      </c>
      <c r="BT208" s="57">
        <f>'2019'!BJ20</f>
        <v>0</v>
      </c>
      <c r="BU208" s="57">
        <f>'2019'!BK20</f>
        <v>0</v>
      </c>
      <c r="BV208" s="58">
        <f>'2019'!BL20</f>
        <v>0</v>
      </c>
      <c r="BW208" s="58">
        <f>'2019'!BM20</f>
        <v>0</v>
      </c>
      <c r="BX208" s="58">
        <f>'2019'!BN20</f>
        <v>0</v>
      </c>
      <c r="BY208" s="58">
        <f>'2019'!BO20</f>
        <v>0</v>
      </c>
      <c r="BZ208" s="57">
        <f>'2019'!BP20</f>
        <v>0</v>
      </c>
      <c r="CA208" s="57">
        <f>'2019'!BQ20</f>
        <v>2455</v>
      </c>
      <c r="CB208" s="57">
        <f>'2019'!BR20</f>
        <v>0</v>
      </c>
      <c r="CC208" s="57">
        <f>'2019'!BS20</f>
        <v>0</v>
      </c>
      <c r="CD208" s="59">
        <f>'2019'!BT20</f>
        <v>19</v>
      </c>
      <c r="CE208" s="56">
        <f>'2019'!BU20</f>
        <v>1098</v>
      </c>
      <c r="CF208" s="57">
        <f>'2019'!BV20</f>
        <v>3188</v>
      </c>
      <c r="CG208" s="57">
        <f>'2019'!BW20</f>
        <v>9</v>
      </c>
      <c r="CH208" s="57">
        <f>'2019'!BX20</f>
        <v>33</v>
      </c>
      <c r="CI208" s="57">
        <f>'2019'!BY20</f>
        <v>181</v>
      </c>
      <c r="CJ208" s="57">
        <f>'2019'!BZ20</f>
        <v>47</v>
      </c>
      <c r="CK208" s="58">
        <f>'2019'!CA20</f>
        <v>6.1</v>
      </c>
      <c r="CL208" s="58">
        <f>'2019'!CB20</f>
        <v>75.8</v>
      </c>
      <c r="CM208" s="58">
        <f>'2019'!CC20</f>
        <v>3.17</v>
      </c>
      <c r="CN208" s="58">
        <f>'2019'!CD20</f>
        <v>36.299999999999997</v>
      </c>
      <c r="CO208" s="57">
        <f>'2019'!CE20</f>
        <v>91</v>
      </c>
      <c r="CP208" s="57">
        <f>'2019'!CF20</f>
        <v>2781</v>
      </c>
      <c r="CQ208" s="57">
        <f>'2019'!CG20</f>
        <v>24</v>
      </c>
      <c r="CR208" s="57">
        <f>'2019'!CH20</f>
        <v>0</v>
      </c>
      <c r="CS208" s="59">
        <f>'2019'!CI20</f>
        <v>26</v>
      </c>
      <c r="CT208" s="56">
        <f>'2019'!CJ20</f>
        <v>629</v>
      </c>
      <c r="CU208" s="57">
        <f>'2019'!CK20</f>
        <v>3504</v>
      </c>
      <c r="CV208" s="57">
        <f>'2019'!CL20</f>
        <v>10</v>
      </c>
      <c r="CW208" s="57">
        <f>'2019'!CM20</f>
        <v>34</v>
      </c>
      <c r="CX208" s="57">
        <f>'2019'!CN20</f>
        <v>101</v>
      </c>
      <c r="CY208" s="57">
        <f>'2019'!CO20</f>
        <v>14</v>
      </c>
      <c r="CZ208" s="58">
        <f>'2019'!CP20</f>
        <v>6.2</v>
      </c>
      <c r="DA208" s="58">
        <f>'2019'!CQ20</f>
        <v>49.4</v>
      </c>
      <c r="DB208" s="58">
        <f>'2019'!CR20</f>
        <v>3.65</v>
      </c>
      <c r="DC208" s="58">
        <f>'2019'!CS20</f>
        <v>40.9</v>
      </c>
      <c r="DD208" s="57">
        <f>'2019'!CT20</f>
        <v>94</v>
      </c>
      <c r="DE208" s="57">
        <f>'2019'!CU20</f>
        <v>3679</v>
      </c>
      <c r="DF208" s="57">
        <f>'2019'!CV20</f>
        <v>10</v>
      </c>
      <c r="DG208" s="57">
        <f>'2019'!CW20</f>
        <v>0</v>
      </c>
      <c r="DH208" s="59">
        <f>'2019'!CX20</f>
        <v>39</v>
      </c>
      <c r="DI208" s="56">
        <f>'2019'!CY20</f>
        <v>954</v>
      </c>
      <c r="DJ208" s="57">
        <f>'2019'!CZ20</f>
        <v>2398</v>
      </c>
      <c r="DK208" s="57">
        <f>'2019'!DA20</f>
        <v>5</v>
      </c>
      <c r="DL208" s="57">
        <f>'2019'!DB20</f>
        <v>23</v>
      </c>
      <c r="DM208" s="57">
        <f>'2019'!DC20</f>
        <v>172</v>
      </c>
      <c r="DN208" s="57">
        <f>'2019'!DD20</f>
        <v>36</v>
      </c>
      <c r="DO208" s="58">
        <f>'2019'!DE20</f>
        <v>5.5</v>
      </c>
      <c r="DP208" s="58">
        <f>'2019'!DF20</f>
        <v>57.2</v>
      </c>
      <c r="DQ208" s="58">
        <f>'2019'!DG20</f>
        <v>2.98</v>
      </c>
      <c r="DR208" s="58">
        <f>'2019'!DH20</f>
        <v>32.799999999999997</v>
      </c>
      <c r="DS208" s="57">
        <f>'2019'!DI20</f>
        <v>110</v>
      </c>
      <c r="DT208" s="57">
        <f>'2019'!DJ20</f>
        <v>5100</v>
      </c>
      <c r="DU208" s="57">
        <f>'2019'!DK20</f>
        <v>21</v>
      </c>
      <c r="DV208" s="57">
        <f>'2019'!DL20</f>
        <v>0</v>
      </c>
      <c r="DW208" s="59">
        <f>'2019'!DM20</f>
        <v>51</v>
      </c>
    </row>
    <row r="209" spans="1:127" ht="15.75" customHeight="1" x14ac:dyDescent="0.2">
      <c r="A209" s="33">
        <f t="shared" si="36"/>
        <v>207</v>
      </c>
      <c r="B209" s="11">
        <f>'2024'!A24</f>
        <v>22</v>
      </c>
      <c r="C209" s="11">
        <v>2024</v>
      </c>
      <c r="D209" s="34" t="str">
        <f>'2024'!B24</f>
        <v>Frank Gore Jr.</v>
      </c>
      <c r="E209" s="224" t="str" cm="1">
        <f t="array" ref="E209">_xlfn.IFS(F209&gt;=13,"Cornerstone",AND(F209&gt;=12,F209&lt;13),"Elite",AND(F209&gt;=11,F209&lt;12),"Elite Upside",AND(F209&gt;=9,F209&lt;11),"Upside",AND(F209&gt;=7,F209&lt;9),"Upside Lite",AND(F209&gt;=6,F209&lt;7),"Outlier",AND(F209&gt;=5,F209&lt;6),"Outlier Lite",F209&lt;5,"Purgatory")</f>
        <v>Outlier Lite</v>
      </c>
      <c r="F209" s="14">
        <f>'2024'!C24</f>
        <v>5.5277777777777777</v>
      </c>
      <c r="G209" s="14">
        <f t="shared" si="41"/>
        <v>36.6</v>
      </c>
      <c r="H209" s="35">
        <f t="shared" si="37"/>
        <v>-1.0473265794240574</v>
      </c>
      <c r="I209" s="36" t="str">
        <f>'2024'!D24</f>
        <v>Southern Miss</v>
      </c>
      <c r="J209" s="37">
        <f>'2024'!E24</f>
        <v>8</v>
      </c>
      <c r="K209" s="38">
        <f>'2024'!F24</f>
        <v>37328</v>
      </c>
      <c r="L209" s="39">
        <f>'2024'!G24</f>
        <v>23.55890410958904</v>
      </c>
      <c r="M209" s="39" t="str">
        <f>'2024'!H24</f>
        <v>SR</v>
      </c>
      <c r="N209" s="39">
        <f>'2024'!I24</f>
        <v>22.139726027397259</v>
      </c>
      <c r="O209" s="39" t="str">
        <f t="shared" si="38"/>
        <v>BELL CALF</v>
      </c>
      <c r="P209" s="39" t="str">
        <f t="shared" si="42"/>
        <v>3DOWN</v>
      </c>
      <c r="Q209" s="37">
        <f>'2024'!J24</f>
        <v>68</v>
      </c>
      <c r="R209" s="37">
        <f>'2024'!K24</f>
        <v>201</v>
      </c>
      <c r="S209" s="39">
        <f t="shared" si="40"/>
        <v>30.561606884459451</v>
      </c>
      <c r="T209" s="37">
        <f>'2024'!L24</f>
        <v>4.55</v>
      </c>
      <c r="U209" s="40">
        <f>'2024'!M24</f>
        <v>0</v>
      </c>
      <c r="V209" s="41">
        <f>'2024'!N24</f>
        <v>0</v>
      </c>
      <c r="W209" s="42">
        <f>'2024'!O24</f>
        <v>0.21612903225806451</v>
      </c>
      <c r="X209" s="42">
        <f>'2024'!P24</f>
        <v>0.29257314328582146</v>
      </c>
      <c r="Y209" s="42">
        <f>'2024'!Q24</f>
        <v>0.35249972409226354</v>
      </c>
      <c r="Z209" s="42">
        <f>'2024'!R24</f>
        <v>0.31659594530881657</v>
      </c>
      <c r="AA209" s="42">
        <f>'2024'!S24</f>
        <v>0.33454783470054006</v>
      </c>
      <c r="AB209" s="42">
        <f>'2024'!T24</f>
        <v>0.21745609255535103</v>
      </c>
      <c r="AC209" s="42">
        <f>'2024'!U24</f>
        <v>8.1500502400357264E-2</v>
      </c>
      <c r="AD209" s="42">
        <f>'2024'!V24</f>
        <v>9.7884985142457623E-2</v>
      </c>
      <c r="AE209" s="42">
        <f>'2024'!W24</f>
        <v>9.7884985142457623E-2</v>
      </c>
      <c r="AF209" s="43">
        <f>'2024'!X24</f>
        <v>6.3625240342597464E-2</v>
      </c>
      <c r="AG209" s="44">
        <f>'2024'!Y24</f>
        <v>18.484931506849314</v>
      </c>
      <c r="AH209" s="45">
        <f>'2024'!Z24</f>
        <v>93.795168180992491</v>
      </c>
      <c r="AI209" s="45">
        <f>'2024'!AA24</f>
        <v>30.558607266435985</v>
      </c>
      <c r="AJ209" s="45">
        <f>'2024'!AB24</f>
        <v>0.3656387665198238</v>
      </c>
      <c r="AK209" s="45">
        <f>'2024'!AC24</f>
        <v>6.070484581497797</v>
      </c>
      <c r="AL209" s="45">
        <f t="shared" si="39"/>
        <v>9.2666666666666675</v>
      </c>
      <c r="AM209" s="45">
        <f t="shared" si="35"/>
        <v>0.10546875</v>
      </c>
      <c r="AN209" s="45">
        <f>'2024'!AD24</f>
        <v>149.4</v>
      </c>
      <c r="AO209" s="45">
        <f>'2024'!AE24</f>
        <v>4.17</v>
      </c>
      <c r="AP209" s="46">
        <f>'2024'!AF24</f>
        <v>46.7</v>
      </c>
      <c r="AQ209" s="47">
        <f>'2024'!AG24</f>
        <v>4</v>
      </c>
      <c r="AR209" s="48">
        <f>'2024'!AH24</f>
        <v>7</v>
      </c>
      <c r="AS209" s="48">
        <f>'2024'!AI24</f>
        <v>9</v>
      </c>
      <c r="AT209" s="48">
        <f>'2024'!AJ24</f>
        <v>2</v>
      </c>
      <c r="AU209" s="48">
        <f>'2024'!AK24</f>
        <v>9</v>
      </c>
      <c r="AV209" s="48">
        <f>'2024'!AL24</f>
        <v>4</v>
      </c>
      <c r="AW209" s="48">
        <f>'2024'!AM24</f>
        <v>7</v>
      </c>
      <c r="AX209" s="48">
        <f>'2024'!AN24</f>
        <v>6</v>
      </c>
      <c r="AY209" s="49">
        <f>'2024'!AO24</f>
        <v>0</v>
      </c>
      <c r="AZ209" s="50">
        <f>'2024'!AP24</f>
        <v>0</v>
      </c>
      <c r="BA209" s="56">
        <f>'2024'!AQ24</f>
        <v>0</v>
      </c>
      <c r="BB209" s="57">
        <f>'2024'!AR24</f>
        <v>1</v>
      </c>
      <c r="BC209" s="57">
        <f>'2024'!AS24</f>
        <v>0</v>
      </c>
      <c r="BD209" s="57">
        <f>'2024'!AT24</f>
        <v>0</v>
      </c>
      <c r="BE209" s="57">
        <f>'2024'!AU24</f>
        <v>0</v>
      </c>
      <c r="BF209" s="57">
        <f>'2024'!AV24</f>
        <v>0</v>
      </c>
      <c r="BG209" s="58">
        <f>'2024'!AW24</f>
        <v>0</v>
      </c>
      <c r="BH209" s="58">
        <f>'2024'!AX24</f>
        <v>0</v>
      </c>
      <c r="BI209" s="58">
        <f>'2024'!AY24</f>
        <v>0</v>
      </c>
      <c r="BJ209" s="58">
        <f>'2024'!AZ24</f>
        <v>0</v>
      </c>
      <c r="BK209" s="57">
        <f>'2024'!BA24</f>
        <v>0</v>
      </c>
      <c r="BL209" s="57">
        <f>'2024'!BB24</f>
        <v>1</v>
      </c>
      <c r="BM209" s="57">
        <f>'2024'!BC24</f>
        <v>0</v>
      </c>
      <c r="BN209" s="57">
        <f>'2024'!BD24</f>
        <v>0</v>
      </c>
      <c r="BO209" s="59">
        <f>'2024'!BE24</f>
        <v>0</v>
      </c>
      <c r="BP209" s="56">
        <f>'2024'!BF24</f>
        <v>707</v>
      </c>
      <c r="BQ209" s="57">
        <f>'2024'!BG24</f>
        <v>1590</v>
      </c>
      <c r="BR209" s="57">
        <f>'2024'!BH24</f>
        <v>2</v>
      </c>
      <c r="BS209" s="57">
        <f>'2024'!BI24</f>
        <v>18</v>
      </c>
      <c r="BT209" s="57">
        <f>'2024'!BJ24</f>
        <v>122</v>
      </c>
      <c r="BU209" s="57">
        <f>'2024'!BK24</f>
        <v>41</v>
      </c>
      <c r="BV209" s="58">
        <f>'2024'!BL24</f>
        <v>5.7950819672131146</v>
      </c>
      <c r="BW209" s="58">
        <f>'2024'!BM24</f>
        <v>122.5</v>
      </c>
      <c r="BX209" s="58">
        <f>'2024'!BN24</f>
        <v>3.65</v>
      </c>
      <c r="BY209" s="58">
        <f>'2024'!BO24</f>
        <v>42.4</v>
      </c>
      <c r="BZ209" s="57">
        <f>'2024'!BP24</f>
        <v>97</v>
      </c>
      <c r="CA209" s="57">
        <f>'2024'!BQ24</f>
        <v>2130</v>
      </c>
      <c r="CB209" s="57">
        <f>'2024'!BR24</f>
        <v>9</v>
      </c>
      <c r="CC209" s="57">
        <f>'2024'!BS24</f>
        <v>1</v>
      </c>
      <c r="CD209" s="59">
        <f>'2024'!BT24</f>
        <v>12</v>
      </c>
      <c r="CE209" s="56">
        <f>'2024'!BU24</f>
        <v>781</v>
      </c>
      <c r="CF209" s="57">
        <f>'2024'!BV24</f>
        <v>1453.1999999999998</v>
      </c>
      <c r="CG209" s="57">
        <f>'2024'!BW24</f>
        <v>5</v>
      </c>
      <c r="CH209" s="57">
        <f>'2024'!BX24</f>
        <v>8.3999999999999986</v>
      </c>
      <c r="CI209" s="57">
        <f>'2024'!BY24</f>
        <v>179</v>
      </c>
      <c r="CJ209" s="57">
        <f>'2024'!BZ24</f>
        <v>42</v>
      </c>
      <c r="CK209" s="58">
        <f>'2024'!CA24</f>
        <v>4.3631284916201114</v>
      </c>
      <c r="CL209" s="58">
        <f>'2024'!CB24</f>
        <v>70.599999999999994</v>
      </c>
      <c r="CM209" s="58">
        <f>'2024'!CC24</f>
        <v>3.07</v>
      </c>
      <c r="CN209" s="58">
        <f>'2024'!CD24</f>
        <v>34.4</v>
      </c>
      <c r="CO209" s="57">
        <f>'2024'!CE24</f>
        <v>155</v>
      </c>
      <c r="CP209" s="57">
        <f>'2024'!CF24</f>
        <v>1746</v>
      </c>
      <c r="CQ209" s="57">
        <f>'2024'!CG24</f>
        <v>20</v>
      </c>
      <c r="CR209" s="57">
        <f>'2024'!CH24</f>
        <v>0</v>
      </c>
      <c r="CS209" s="59">
        <f>'2024'!CI24</f>
        <v>14.399999999999999</v>
      </c>
      <c r="CT209" s="56">
        <f>'2024'!CJ24</f>
        <v>1378</v>
      </c>
      <c r="CU209" s="57">
        <f>'2024'!CK24</f>
        <v>1843.4</v>
      </c>
      <c r="CV209" s="57">
        <f>'2024'!CL24</f>
        <v>9</v>
      </c>
      <c r="CW209" s="57">
        <f>'2024'!CM24</f>
        <v>15.6</v>
      </c>
      <c r="CX209" s="57">
        <f>'2024'!CN24</f>
        <v>227</v>
      </c>
      <c r="CY209" s="57">
        <f>'2024'!CO24</f>
        <v>83</v>
      </c>
      <c r="CZ209" s="58">
        <f>'2024'!CP24</f>
        <v>6.070484581497797</v>
      </c>
      <c r="DA209" s="58">
        <f>'2024'!CQ24</f>
        <v>149.4</v>
      </c>
      <c r="DB209" s="58">
        <f>'2024'!CR24</f>
        <v>4.17</v>
      </c>
      <c r="DC209" s="58">
        <f>'2024'!CS24</f>
        <v>39.799999999999997</v>
      </c>
      <c r="DD209" s="57">
        <f>'2024'!CT24</f>
        <v>219</v>
      </c>
      <c r="DE209" s="57">
        <f>'2024'!CU24</f>
        <v>2687.1</v>
      </c>
      <c r="DF209" s="57">
        <f>'2024'!CV24</f>
        <v>19</v>
      </c>
      <c r="DG209" s="57">
        <f>'2024'!CW24</f>
        <v>0</v>
      </c>
      <c r="DH209" s="59">
        <f>'2024'!CX24</f>
        <v>19.5</v>
      </c>
      <c r="DI209" s="56">
        <f>'2024'!CY24</f>
        <v>1119</v>
      </c>
      <c r="DJ209" s="57">
        <f>'2024'!CZ24</f>
        <v>1953.6000000000001</v>
      </c>
      <c r="DK209" s="57">
        <f>'2024'!DA24</f>
        <v>10</v>
      </c>
      <c r="DL209" s="57">
        <f>'2024'!DB24</f>
        <v>15.600000000000001</v>
      </c>
      <c r="DM209" s="57">
        <f>'2024'!DC24</f>
        <v>229</v>
      </c>
      <c r="DN209" s="57">
        <f>'2024'!DD24</f>
        <v>63</v>
      </c>
      <c r="DO209" s="58">
        <f>'2024'!DE24</f>
        <v>4.9000000000000004</v>
      </c>
      <c r="DP209" s="58">
        <f>'2024'!DF24</f>
        <v>105.4</v>
      </c>
      <c r="DQ209" s="58">
        <f>'2024'!DG24</f>
        <v>3.6</v>
      </c>
      <c r="DR209" s="58">
        <f>'2024'!DH24</f>
        <v>46.7</v>
      </c>
      <c r="DS209" s="57">
        <f>'2024'!DI24</f>
        <v>224</v>
      </c>
      <c r="DT209" s="57">
        <f>'2024'!DJ24</f>
        <v>2288.3999999999996</v>
      </c>
      <c r="DU209" s="57">
        <f>'2024'!DK24</f>
        <v>27</v>
      </c>
      <c r="DV209" s="57">
        <f>'2024'!DL24</f>
        <v>3</v>
      </c>
      <c r="DW209" s="59">
        <f>'2024'!DM24</f>
        <v>15.600000000000001</v>
      </c>
    </row>
    <row r="210" spans="1:127" ht="15.75" customHeight="1" x14ac:dyDescent="0.2">
      <c r="A210" s="33">
        <f t="shared" si="36"/>
        <v>208</v>
      </c>
      <c r="B210" s="11">
        <f>'2022'!A24</f>
        <v>22</v>
      </c>
      <c r="C210" s="11">
        <v>2022</v>
      </c>
      <c r="D210" s="34" t="str">
        <f>'2022'!B24</f>
        <v>Zonovan Knight</v>
      </c>
      <c r="E210" s="224" t="str" cm="1">
        <f t="array" ref="E210">_xlfn.IFS(F210&gt;=13,"Cornerstone",AND(F210&gt;=12,F210&lt;13),"Elite",AND(F210&gt;=11,F210&lt;12),"Elite Upside",AND(F210&gt;=9,F210&lt;11),"Upside",AND(F210&gt;=7,F210&lt;9),"Upside Lite",AND(F210&gt;=6,F210&lt;7),"Outlier",AND(F210&gt;=5,F210&lt;6),"Outlier Lite",F210&lt;5,"Purgatory")</f>
        <v>Outlier Lite</v>
      </c>
      <c r="F210" s="14">
        <f>'2022'!C24</f>
        <v>5.5166666666666666</v>
      </c>
      <c r="G210" s="14">
        <f t="shared" si="41"/>
        <v>36</v>
      </c>
      <c r="H210" s="35">
        <f t="shared" si="37"/>
        <v>-1.0520290801378311</v>
      </c>
      <c r="I210" s="36" t="str">
        <f>'2022'!D24</f>
        <v>NC State</v>
      </c>
      <c r="J210" s="37">
        <f>'2022'!E24</f>
        <v>4</v>
      </c>
      <c r="K210" s="38">
        <f>'2022'!F24</f>
        <v>36992</v>
      </c>
      <c r="L210" s="39">
        <f>'2022'!G24</f>
        <v>24.479452054794521</v>
      </c>
      <c r="M210" s="39" t="str">
        <f>'2022'!H24</f>
        <v>JR</v>
      </c>
      <c r="N210" s="39">
        <f>'2022'!I24</f>
        <v>21.06027397260274</v>
      </c>
      <c r="O210" s="39" t="str">
        <f t="shared" si="38"/>
        <v>BELL COW</v>
      </c>
      <c r="P210" s="39" t="str">
        <f t="shared" si="42"/>
        <v>SLASHER</v>
      </c>
      <c r="Q210" s="37">
        <f>'2022'!J24</f>
        <v>71</v>
      </c>
      <c r="R210" s="37">
        <f>'2022'!K24</f>
        <v>209</v>
      </c>
      <c r="S210" s="39">
        <f t="shared" si="40"/>
        <v>29.149260520302434</v>
      </c>
      <c r="T210" s="37">
        <f>'2022'!L24</f>
        <v>4.58</v>
      </c>
      <c r="U210" s="40">
        <f>'2022'!M24</f>
        <v>0</v>
      </c>
      <c r="V210" s="41">
        <f>'2022'!N24</f>
        <v>0</v>
      </c>
      <c r="W210" s="42">
        <f>'2022'!O24</f>
        <v>0</v>
      </c>
      <c r="X210" s="42">
        <f>'2022'!P24</f>
        <v>0.17291255752794216</v>
      </c>
      <c r="Y210" s="42">
        <f>'2022'!Q24</f>
        <v>0.19982698961937717</v>
      </c>
      <c r="Z210" s="42">
        <f>'2022'!R24</f>
        <v>0.18231155778894473</v>
      </c>
      <c r="AA210" s="42">
        <f>'2022'!S24</f>
        <v>0.19106927370416094</v>
      </c>
      <c r="AB210" s="42">
        <f>'2022'!T24</f>
        <v>0.17196234633374485</v>
      </c>
      <c r="AC210" s="42">
        <f>'2022'!U24</f>
        <v>4.311984781230184E-2</v>
      </c>
      <c r="AD210" s="42">
        <f>'2022'!V24</f>
        <v>4.5073678127708752E-2</v>
      </c>
      <c r="AE210" s="42">
        <f>'2022'!W24</f>
        <v>4.5073678127708752E-2</v>
      </c>
      <c r="AF210" s="43">
        <f>'2022'!X24</f>
        <v>4.0566310314937876E-2</v>
      </c>
      <c r="AG210" s="44">
        <f>'2022'!Y24</f>
        <v>18.399999999999999</v>
      </c>
      <c r="AH210" s="45">
        <f>'2022'!Z24</f>
        <v>94.997979790234126</v>
      </c>
      <c r="AI210" s="45">
        <f>'2022'!AA24</f>
        <v>29.146399523903987</v>
      </c>
      <c r="AJ210" s="45">
        <f>'2022'!AB24</f>
        <v>0.34532374100719426</v>
      </c>
      <c r="AK210" s="45">
        <f>'2022'!AC24</f>
        <v>5.5</v>
      </c>
      <c r="AL210" s="45">
        <f t="shared" si="39"/>
        <v>7.2765957446808507</v>
      </c>
      <c r="AM210" s="45">
        <f t="shared" si="35"/>
        <v>0.13125000000000001</v>
      </c>
      <c r="AN210" s="45">
        <f>'2022'!AD24</f>
        <v>113</v>
      </c>
      <c r="AO210" s="45">
        <f>'2022'!AE24</f>
        <v>3.8</v>
      </c>
      <c r="AP210" s="46">
        <f>'2022'!AF24</f>
        <v>48.8</v>
      </c>
      <c r="AQ210" s="47">
        <f>'2022'!AG24</f>
        <v>3</v>
      </c>
      <c r="AR210" s="48">
        <f>'2022'!AH24</f>
        <v>4</v>
      </c>
      <c r="AS210" s="48">
        <f>'2022'!AI24</f>
        <v>9</v>
      </c>
      <c r="AT210" s="48">
        <f>IF(AH210&gt;113.25,10,IF(AH210&gt;=107.84,9,IF(AH210&gt;=105.37,8,IF(AH210&gt;=103.25,7,IF(AH210&gt;=100.55,6,IF(AH210&gt;=98.75,5,IF(AH210&gt;=96.08,4,IF(AH210&gt;=94.39,3,IF(AH210&gt;=88.43,2,IF(AH210&gt;=85.16,1,IF(AH210&lt;85.16,0,FALSE)))))))))))</f>
        <v>3</v>
      </c>
      <c r="AU210" s="48">
        <f>'2022'!AK24</f>
        <v>9</v>
      </c>
      <c r="AV210" s="48">
        <f>'2022'!AL24</f>
        <v>3</v>
      </c>
      <c r="AW210" s="48">
        <f>'2022'!AM24</f>
        <v>5</v>
      </c>
      <c r="AX210" s="48">
        <f>'2022'!AN24</f>
        <v>3</v>
      </c>
      <c r="AY210" s="49">
        <f>IF(U210=1,10,IF(U210=2,7,IF(U210=3,6,IF(U210=4,4,IF(U210=5,3,IF(U210=6,2,IF(U210=7,1,IF(U210=0,0,"-"))))))))</f>
        <v>0</v>
      </c>
      <c r="AZ210" s="50">
        <f>'2022'!AP24</f>
        <v>0</v>
      </c>
      <c r="BA210" s="56">
        <f>'2022'!AQ24</f>
        <v>0</v>
      </c>
      <c r="BB210" s="57">
        <f>'2022'!AR24</f>
        <v>2293</v>
      </c>
      <c r="BC210" s="57">
        <f>'2022'!AS24</f>
        <v>0</v>
      </c>
      <c r="BD210" s="57">
        <f>'2022'!AT24</f>
        <v>35</v>
      </c>
      <c r="BE210" s="57">
        <f>'2022'!AU24</f>
        <v>0</v>
      </c>
      <c r="BF210" s="57">
        <f>'2022'!AV24</f>
        <v>0</v>
      </c>
      <c r="BG210" s="58">
        <f>'2022'!AW24</f>
        <v>0</v>
      </c>
      <c r="BH210" s="58">
        <f>'2022'!AX24</f>
        <v>0</v>
      </c>
      <c r="BI210" s="58">
        <f>'2022'!AY24</f>
        <v>0</v>
      </c>
      <c r="BJ210" s="58">
        <f>'2022'!AZ24</f>
        <v>0</v>
      </c>
      <c r="BK210" s="57">
        <f>'2022'!BA24</f>
        <v>0</v>
      </c>
      <c r="BL210" s="57">
        <f>'2022'!BB24</f>
        <v>3580</v>
      </c>
      <c r="BM210" s="57">
        <f>'2022'!BC24</f>
        <v>0</v>
      </c>
      <c r="BN210" s="57">
        <f>'2022'!BD24</f>
        <v>0</v>
      </c>
      <c r="BO210" s="59">
        <f>'2022'!BE24</f>
        <v>17</v>
      </c>
      <c r="BP210" s="56">
        <f>'2022'!BF24</f>
        <v>0</v>
      </c>
      <c r="BQ210" s="57">
        <f>'2022'!BG24</f>
        <v>1858</v>
      </c>
      <c r="BR210" s="57">
        <f>'2022'!BH24</f>
        <v>0</v>
      </c>
      <c r="BS210" s="57">
        <f>'2022'!BI24</f>
        <v>27</v>
      </c>
      <c r="BT210" s="57">
        <f>'2022'!BJ24</f>
        <v>0</v>
      </c>
      <c r="BU210" s="57">
        <f>'2022'!BK24</f>
        <v>0</v>
      </c>
      <c r="BV210" s="58">
        <f>'2022'!BL24</f>
        <v>0</v>
      </c>
      <c r="BW210" s="58">
        <f>'2022'!BM24</f>
        <v>0</v>
      </c>
      <c r="BX210" s="58">
        <f>'2022'!BN24</f>
        <v>0</v>
      </c>
      <c r="BY210" s="58">
        <f>'2022'!BO24</f>
        <v>0</v>
      </c>
      <c r="BZ210" s="57">
        <f>'2022'!BP24</f>
        <v>0</v>
      </c>
      <c r="CA210" s="57">
        <f>'2022'!BQ24</f>
        <v>4071</v>
      </c>
      <c r="CB210" s="57">
        <f>'2022'!BR24</f>
        <v>0</v>
      </c>
      <c r="CC210" s="57">
        <f>'2022'!BS24</f>
        <v>0</v>
      </c>
      <c r="CD210" s="59">
        <f>'2022'!BT24</f>
        <v>25</v>
      </c>
      <c r="CE210" s="56">
        <f>'2022'!BU24</f>
        <v>739</v>
      </c>
      <c r="CF210" s="57">
        <f>'2022'!BV24</f>
        <v>1814</v>
      </c>
      <c r="CG210" s="57">
        <f>'2022'!BW24</f>
        <v>5</v>
      </c>
      <c r="CH210" s="57">
        <f>'2022'!BX24</f>
        <v>14</v>
      </c>
      <c r="CI210" s="57">
        <f>'2022'!BY24</f>
        <v>137</v>
      </c>
      <c r="CJ210" s="57">
        <f>'2022'!BZ24</f>
        <v>33</v>
      </c>
      <c r="CK210" s="58">
        <f>'2022'!CA24</f>
        <v>5.4</v>
      </c>
      <c r="CL210" s="58">
        <f>'2022'!CB24</f>
        <v>90.4</v>
      </c>
      <c r="CM210" s="58">
        <f>'2022'!CC24</f>
        <v>3.8</v>
      </c>
      <c r="CN210" s="58">
        <f>'2022'!CD24</f>
        <v>48.8</v>
      </c>
      <c r="CO210" s="57">
        <f>'2022'!CE24</f>
        <v>50</v>
      </c>
      <c r="CP210" s="57">
        <f>'2022'!CF24</f>
        <v>2749</v>
      </c>
      <c r="CQ210" s="57">
        <f>'2022'!CG24</f>
        <v>6</v>
      </c>
      <c r="CR210" s="57">
        <f>'2022'!CH24</f>
        <v>0</v>
      </c>
      <c r="CS210" s="59">
        <f>'2022'!CI24</f>
        <v>14</v>
      </c>
      <c r="CT210" s="56">
        <f>'2022'!CJ24</f>
        <v>788</v>
      </c>
      <c r="CU210" s="57">
        <f>'2022'!CK24</f>
        <v>1470</v>
      </c>
      <c r="CV210" s="57">
        <f>'2022'!CL24</f>
        <v>10</v>
      </c>
      <c r="CW210" s="57">
        <f>'2022'!CM24</f>
        <v>20</v>
      </c>
      <c r="CX210" s="57">
        <f>'2022'!CN24</f>
        <v>143</v>
      </c>
      <c r="CY210" s="57">
        <f>'2022'!CO24</f>
        <v>48</v>
      </c>
      <c r="CZ210" s="58">
        <f>'2022'!CP24</f>
        <v>5.5</v>
      </c>
      <c r="DA210" s="58">
        <f>'2022'!CQ24</f>
        <v>110.5</v>
      </c>
      <c r="DB210" s="58">
        <f>'2022'!CR24</f>
        <v>3.4</v>
      </c>
      <c r="DC210" s="58">
        <f>'2022'!CS24</f>
        <v>24.1</v>
      </c>
      <c r="DD210" s="57">
        <f>'2022'!CT24</f>
        <v>136</v>
      </c>
      <c r="DE210" s="57">
        <f>'2022'!CU24</f>
        <v>3154</v>
      </c>
      <c r="DF210" s="57">
        <f>'2022'!CV24</f>
        <v>20</v>
      </c>
      <c r="DG210" s="57">
        <f>'2022'!CW24</f>
        <v>0</v>
      </c>
      <c r="DH210" s="59">
        <f>'2022'!CX24</f>
        <v>24</v>
      </c>
      <c r="DI210" s="56">
        <f>'2022'!CY24</f>
        <v>751</v>
      </c>
      <c r="DJ210" s="57">
        <f>'2022'!CZ24</f>
        <v>1514</v>
      </c>
      <c r="DK210" s="57">
        <f>'2022'!DA24</f>
        <v>3</v>
      </c>
      <c r="DL210" s="57">
        <f>'2022'!DB24</f>
        <v>11</v>
      </c>
      <c r="DM210" s="57">
        <f>'2022'!DC24</f>
        <v>139</v>
      </c>
      <c r="DN210" s="57">
        <f>'2022'!DD24</f>
        <v>48</v>
      </c>
      <c r="DO210" s="58">
        <f>'2022'!DE24</f>
        <v>5.4</v>
      </c>
      <c r="DP210" s="58">
        <f>'2022'!DF24</f>
        <v>113</v>
      </c>
      <c r="DQ210" s="58">
        <f>'2022'!DG24</f>
        <v>3.41</v>
      </c>
      <c r="DR210" s="58">
        <f>'2022'!DH24</f>
        <v>38.200000000000003</v>
      </c>
      <c r="DS210" s="57">
        <f>'2022'!DI24</f>
        <v>156</v>
      </c>
      <c r="DT210" s="57">
        <f>'2022'!DJ24</f>
        <v>3461</v>
      </c>
      <c r="DU210" s="57">
        <f>'2022'!DK24</f>
        <v>21</v>
      </c>
      <c r="DV210" s="57">
        <f>'2022'!DL24</f>
        <v>0</v>
      </c>
      <c r="DW210" s="59">
        <f>'2022'!DM24</f>
        <v>35</v>
      </c>
    </row>
    <row r="211" spans="1:127" ht="15.75" customHeight="1" x14ac:dyDescent="0.2">
      <c r="A211" s="33">
        <f t="shared" si="36"/>
        <v>208</v>
      </c>
      <c r="B211" s="11">
        <f>'2024'!A25</f>
        <v>23</v>
      </c>
      <c r="C211" s="11">
        <v>2024</v>
      </c>
      <c r="D211" s="34" t="str">
        <f>'2024'!B25</f>
        <v>Kimani Vidal</v>
      </c>
      <c r="E211" s="224" t="str" cm="1">
        <f t="array" ref="E211">_xlfn.IFS(F211&gt;=13,"Cornerstone",AND(F211&gt;=12,F211&lt;13),"Elite",AND(F211&gt;=11,F211&lt;12),"Elite Upside",AND(F211&gt;=9,F211&lt;11),"Upside",AND(F211&gt;=7,F211&lt;9),"Upside Lite",AND(F211&gt;=6,F211&lt;7),"Outlier",AND(F211&gt;=5,F211&lt;6),"Outlier Lite",F211&lt;5,"Purgatory")</f>
        <v>Outlier Lite</v>
      </c>
      <c r="F211" s="14">
        <f>'2024'!C25</f>
        <v>5.5166666666666666</v>
      </c>
      <c r="G211" s="14">
        <f t="shared" si="41"/>
        <v>36</v>
      </c>
      <c r="H211" s="35">
        <f t="shared" si="37"/>
        <v>-1.0520290801378311</v>
      </c>
      <c r="I211" s="36" t="str">
        <f>'2024'!D25</f>
        <v>Troy</v>
      </c>
      <c r="J211" s="37">
        <f>'2024'!E25</f>
        <v>8</v>
      </c>
      <c r="K211" s="38">
        <f>'2024'!F25</f>
        <v>37131</v>
      </c>
      <c r="L211" s="39">
        <f>'2024'!G25</f>
        <v>24.098630136986301</v>
      </c>
      <c r="M211" s="39" t="str">
        <f>'2024'!H25</f>
        <v>SR</v>
      </c>
      <c r="N211" s="39">
        <f>'2024'!I25</f>
        <v>22.67945205479452</v>
      </c>
      <c r="O211" s="39" t="str">
        <f t="shared" si="38"/>
        <v>DYNAMIC</v>
      </c>
      <c r="P211" s="39" t="str">
        <f t="shared" si="42"/>
        <v>SLASHER</v>
      </c>
      <c r="Q211" s="37">
        <f>'2024'!J25</f>
        <v>68</v>
      </c>
      <c r="R211" s="37">
        <f>'2024'!K25</f>
        <v>213</v>
      </c>
      <c r="S211" s="39">
        <f t="shared" si="40"/>
        <v>32.386180429800312</v>
      </c>
      <c r="T211" s="37">
        <f>'2024'!L25</f>
        <v>4.46</v>
      </c>
      <c r="U211" s="40">
        <f>'2024'!M25</f>
        <v>6</v>
      </c>
      <c r="V211" s="41">
        <f>'2024'!N25</f>
        <v>0</v>
      </c>
      <c r="W211" s="42">
        <f>'2024'!O25</f>
        <v>0.20798010625070648</v>
      </c>
      <c r="X211" s="42">
        <f>'2024'!P25</f>
        <v>0.22272727272727272</v>
      </c>
      <c r="Y211" s="42">
        <f>'2024'!Q25</f>
        <v>0.16532370102806335</v>
      </c>
      <c r="Z211" s="42">
        <f>'2024'!R25</f>
        <v>0.31694938347298862</v>
      </c>
      <c r="AA211" s="42">
        <f>'2024'!S25</f>
        <v>0.31694938347298862</v>
      </c>
      <c r="AB211" s="42">
        <f>'2024'!T25</f>
        <v>0.2060170992574426</v>
      </c>
      <c r="AC211" s="42">
        <f>'2024'!U25</f>
        <v>3.9404810915720755E-2</v>
      </c>
      <c r="AD211" s="42">
        <f>'2024'!V25</f>
        <v>5.3705692803437163E-2</v>
      </c>
      <c r="AE211" s="42">
        <f>'2024'!W25</f>
        <v>5.3705692803437163E-2</v>
      </c>
      <c r="AF211" s="43">
        <f>'2024'!X25</f>
        <v>3.4908700322234157E-2</v>
      </c>
      <c r="AG211" s="44">
        <f>'2024'!Y25</f>
        <v>19.024657534246575</v>
      </c>
      <c r="AH211" s="45">
        <f>'2024'!Z25</f>
        <v>107.66391405009836</v>
      </c>
      <c r="AI211" s="45">
        <f>'2024'!AA25</f>
        <v>32.383001730103807</v>
      </c>
      <c r="AJ211" s="45">
        <f>'2024'!AB25</f>
        <v>0.31186440677966104</v>
      </c>
      <c r="AK211" s="45">
        <f>'2024'!AC25</f>
        <v>5.6</v>
      </c>
      <c r="AL211" s="45">
        <f t="shared" si="39"/>
        <v>7.615384615384615</v>
      </c>
      <c r="AM211" s="45">
        <f t="shared" ref="AM211:AM242" si="43">DU211/SUM(DM211,DU211)</f>
        <v>5.7507987220447282E-2</v>
      </c>
      <c r="AN211" s="45">
        <f>'2024'!AD25</f>
        <v>116.7</v>
      </c>
      <c r="AO211" s="45">
        <f>'2024'!AE25</f>
        <v>3.58</v>
      </c>
      <c r="AP211" s="46">
        <f>'2024'!AF25</f>
        <v>37.6</v>
      </c>
      <c r="AQ211" s="47">
        <f>'2024'!AG25</f>
        <v>4</v>
      </c>
      <c r="AR211" s="48">
        <f>'2024'!AH25</f>
        <v>3</v>
      </c>
      <c r="AS211" s="48">
        <f>'2024'!AI25</f>
        <v>8</v>
      </c>
      <c r="AT211" s="48">
        <f>'2024'!AJ25</f>
        <v>8</v>
      </c>
      <c r="AU211" s="48">
        <f>'2024'!AK25</f>
        <v>8</v>
      </c>
      <c r="AV211" s="48">
        <f>'2024'!AL25</f>
        <v>3</v>
      </c>
      <c r="AW211" s="48">
        <f>'2024'!AM25</f>
        <v>5</v>
      </c>
      <c r="AX211" s="48">
        <f>'2024'!AN25</f>
        <v>2</v>
      </c>
      <c r="AY211" s="49">
        <f>'2024'!AO25</f>
        <v>2</v>
      </c>
      <c r="AZ211" s="50">
        <f>'2024'!AP25</f>
        <v>0</v>
      </c>
      <c r="BA211" s="56">
        <f>'2024'!AQ25</f>
        <v>0</v>
      </c>
      <c r="BB211" s="57">
        <f>'2024'!AR25</f>
        <v>1</v>
      </c>
      <c r="BC211" s="57">
        <f>'2024'!AS25</f>
        <v>0</v>
      </c>
      <c r="BD211" s="57">
        <f>'2024'!AT25</f>
        <v>0</v>
      </c>
      <c r="BE211" s="57">
        <f>'2024'!AU25</f>
        <v>0</v>
      </c>
      <c r="BF211" s="57">
        <f>'2024'!AV25</f>
        <v>0</v>
      </c>
      <c r="BG211" s="58">
        <f>'2024'!AW25</f>
        <v>0</v>
      </c>
      <c r="BH211" s="58">
        <f>'2024'!AX25</f>
        <v>0</v>
      </c>
      <c r="BI211" s="58">
        <f>'2024'!AY25</f>
        <v>0</v>
      </c>
      <c r="BJ211" s="58">
        <f>'2024'!AZ25</f>
        <v>0</v>
      </c>
      <c r="BK211" s="57">
        <f>'2024'!BA25</f>
        <v>0</v>
      </c>
      <c r="BL211" s="57">
        <f>'2024'!BB25</f>
        <v>1</v>
      </c>
      <c r="BM211" s="57">
        <f>'2024'!BC25</f>
        <v>0</v>
      </c>
      <c r="BN211" s="57">
        <f>'2024'!BD25</f>
        <v>0</v>
      </c>
      <c r="BO211" s="59">
        <f>'2024'!BE25</f>
        <v>0</v>
      </c>
      <c r="BP211" s="56">
        <f>'2024'!BF25</f>
        <v>511</v>
      </c>
      <c r="BQ211" s="57">
        <f>'2024'!BG25</f>
        <v>927</v>
      </c>
      <c r="BR211" s="57">
        <f>'2024'!BH25</f>
        <v>4</v>
      </c>
      <c r="BS211" s="57">
        <f>'2024'!BI25</f>
        <v>9</v>
      </c>
      <c r="BT211" s="57">
        <f>'2024'!BJ25</f>
        <v>101</v>
      </c>
      <c r="BU211" s="57">
        <f>'2024'!BK25</f>
        <v>30</v>
      </c>
      <c r="BV211" s="58">
        <f>'2024'!BL25</f>
        <v>5.0999999999999996</v>
      </c>
      <c r="BW211" s="58">
        <f>'2024'!BM25</f>
        <v>117.7</v>
      </c>
      <c r="BX211" s="58">
        <f>'2024'!BN25</f>
        <v>3.83</v>
      </c>
      <c r="BY211" s="58">
        <f>'2024'!BO25</f>
        <v>34.4</v>
      </c>
      <c r="BZ211" s="57">
        <f>'2024'!BP25</f>
        <v>225</v>
      </c>
      <c r="CA211" s="57">
        <f>'2024'!BQ25</f>
        <v>2611.7999999999997</v>
      </c>
      <c r="CB211" s="57">
        <f>'2024'!BR25</f>
        <v>26</v>
      </c>
      <c r="CC211" s="57">
        <f>'2024'!BS25</f>
        <v>0</v>
      </c>
      <c r="CD211" s="59">
        <f>'2024'!BT25</f>
        <v>18</v>
      </c>
      <c r="CE211" s="56">
        <f>'2024'!BU25</f>
        <v>699</v>
      </c>
      <c r="CF211" s="57">
        <f>'2024'!BV25</f>
        <v>1114.3</v>
      </c>
      <c r="CG211" s="57">
        <f>'2024'!BW25</f>
        <v>5</v>
      </c>
      <c r="CH211" s="57">
        <f>'2024'!BX25</f>
        <v>16.5</v>
      </c>
      <c r="CI211" s="57">
        <f>'2024'!BY25</f>
        <v>153</v>
      </c>
      <c r="CJ211" s="57">
        <f>'2024'!BZ25</f>
        <v>41</v>
      </c>
      <c r="CK211" s="58">
        <f>'2024'!CA25</f>
        <v>4.5999999999999996</v>
      </c>
      <c r="CL211" s="58">
        <f>'2024'!CB25</f>
        <v>106.5</v>
      </c>
      <c r="CM211" s="58">
        <f>'2024'!CC25</f>
        <v>3.52</v>
      </c>
      <c r="CN211" s="58">
        <f>'2024'!CD25</f>
        <v>34.299999999999997</v>
      </c>
      <c r="CO211" s="57">
        <f>'2024'!CE25</f>
        <v>134</v>
      </c>
      <c r="CP211" s="57">
        <f>'2024'!CF25</f>
        <v>2625.7</v>
      </c>
      <c r="CQ211" s="57">
        <f>'2024'!CG25</f>
        <v>22</v>
      </c>
      <c r="CR211" s="57">
        <f>'2024'!CH25</f>
        <v>0</v>
      </c>
      <c r="CS211" s="59">
        <f>'2024'!CI25</f>
        <v>14.3</v>
      </c>
      <c r="CT211" s="56">
        <f>'2024'!CJ25</f>
        <v>699</v>
      </c>
      <c r="CU211" s="57">
        <f>'2024'!CK25</f>
        <v>1638</v>
      </c>
      <c r="CV211" s="57">
        <f>'2024'!CL25</f>
        <v>10</v>
      </c>
      <c r="CW211" s="57">
        <f>'2024'!CM25</f>
        <v>21</v>
      </c>
      <c r="CX211" s="57">
        <f>'2024'!CN25</f>
        <v>231</v>
      </c>
      <c r="CY211" s="57">
        <f>'2024'!CO25</f>
        <v>64</v>
      </c>
      <c r="CZ211" s="58">
        <f>'2024'!CP25</f>
        <v>4.9000000000000004</v>
      </c>
      <c r="DA211" s="58">
        <f>'2024'!CQ25</f>
        <v>89.6</v>
      </c>
      <c r="DB211" s="58">
        <f>'2024'!CR25</f>
        <v>3.32</v>
      </c>
      <c r="DC211" s="58">
        <f>'2024'!CS25</f>
        <v>32.4</v>
      </c>
      <c r="DD211" s="57">
        <f>'2024'!CT25</f>
        <v>134</v>
      </c>
      <c r="DE211" s="57">
        <f>'2024'!CU25</f>
        <v>3400.6</v>
      </c>
      <c r="DF211" s="57">
        <f>'2024'!CV25</f>
        <v>25</v>
      </c>
      <c r="DG211" s="57">
        <f>'2024'!CW25</f>
        <v>0</v>
      </c>
      <c r="DH211" s="59">
        <f>'2024'!CX25</f>
        <v>19.599999999999998</v>
      </c>
      <c r="DI211" s="56">
        <f>'2024'!CY25</f>
        <v>1661</v>
      </c>
      <c r="DJ211" s="57">
        <f>'2024'!CZ25</f>
        <v>2147.6</v>
      </c>
      <c r="DK211" s="57">
        <f>'2024'!DA25</f>
        <v>14</v>
      </c>
      <c r="DL211" s="57">
        <f>'2024'!DB25</f>
        <v>19.599999999999998</v>
      </c>
      <c r="DM211" s="57">
        <f>'2024'!DC25</f>
        <v>295</v>
      </c>
      <c r="DN211" s="57">
        <f>'2024'!DD25</f>
        <v>92</v>
      </c>
      <c r="DO211" s="58">
        <f>'2024'!DE25</f>
        <v>5.6</v>
      </c>
      <c r="DP211" s="58">
        <f>'2024'!DF25</f>
        <v>116.7</v>
      </c>
      <c r="DQ211" s="58">
        <f>'2024'!DG25</f>
        <v>3.58</v>
      </c>
      <c r="DR211" s="58">
        <f>'2024'!DH25</f>
        <v>37.6</v>
      </c>
      <c r="DS211" s="57">
        <f>'2024'!DI25</f>
        <v>200</v>
      </c>
      <c r="DT211" s="57">
        <f>'2024'!DJ25</f>
        <v>3724</v>
      </c>
      <c r="DU211" s="57">
        <f>'2024'!DK25</f>
        <v>18</v>
      </c>
      <c r="DV211" s="57">
        <f>'2024'!DL25</f>
        <v>1</v>
      </c>
      <c r="DW211" s="59">
        <f>'2024'!DM25</f>
        <v>29.400000000000002</v>
      </c>
    </row>
    <row r="212" spans="1:127" ht="15.75" customHeight="1" x14ac:dyDescent="0.2">
      <c r="A212" s="33">
        <f t="shared" si="36"/>
        <v>210</v>
      </c>
      <c r="B212" s="11">
        <f>'2024'!A26</f>
        <v>24</v>
      </c>
      <c r="C212" s="11">
        <v>2024</v>
      </c>
      <c r="D212" s="34" t="str">
        <f>'2024'!B26</f>
        <v>Miyan Williams</v>
      </c>
      <c r="E212" s="224" t="str" cm="1">
        <f t="array" ref="E212">_xlfn.IFS(F212&gt;=13,"Cornerstone",AND(F212&gt;=12,F212&lt;13),"Elite",AND(F212&gt;=11,F212&lt;12),"Elite Upside",AND(F212&gt;=9,F212&lt;11),"Upside",AND(F212&gt;=7,F212&lt;9),"Upside Lite",AND(F212&gt;=6,F212&lt;7),"Outlier",AND(F212&gt;=5,F212&lt;6),"Outlier Lite",F212&lt;5,"Purgatory")</f>
        <v>Outlier Lite</v>
      </c>
      <c r="F212" s="14">
        <f>'2024'!C26</f>
        <v>5.5</v>
      </c>
      <c r="G212" s="14">
        <f t="shared" si="41"/>
        <v>35.699999999999996</v>
      </c>
      <c r="H212" s="35">
        <f t="shared" si="37"/>
        <v>-1.0590828312084917</v>
      </c>
      <c r="I212" s="36" t="str">
        <f>'2024'!D26</f>
        <v>Ohio State</v>
      </c>
      <c r="J212" s="37">
        <f>'2024'!E26</f>
        <v>2</v>
      </c>
      <c r="K212" s="38">
        <f>'2024'!F26</f>
        <v>37193</v>
      </c>
      <c r="L212" s="39">
        <f>'2024'!G26</f>
        <v>23.92876712328767</v>
      </c>
      <c r="M212" s="39" t="str">
        <f>'2024'!H26</f>
        <v>RS JR</v>
      </c>
      <c r="N212" s="39">
        <f>'2024'!I26</f>
        <v>22.509589041095889</v>
      </c>
      <c r="O212" s="39" t="str">
        <f t="shared" si="38"/>
        <v>BRUISER</v>
      </c>
      <c r="P212" s="39" t="str">
        <f t="shared" si="42"/>
        <v>3DOWN</v>
      </c>
      <c r="Q212" s="37">
        <f>'2024'!J26</f>
        <v>68</v>
      </c>
      <c r="R212" s="37">
        <f>'2024'!K26</f>
        <v>229</v>
      </c>
      <c r="S212" s="39">
        <f t="shared" si="40"/>
        <v>34.818945156921465</v>
      </c>
      <c r="T212" s="37">
        <f>'2024'!L26</f>
        <v>4.55</v>
      </c>
      <c r="U212" s="40">
        <f>'2024'!M26</f>
        <v>0</v>
      </c>
      <c r="V212" s="41">
        <f>'2024'!N26</f>
        <v>0</v>
      </c>
      <c r="W212" s="42">
        <f>'2024'!O26</f>
        <v>3.0804774740084716E-2</v>
      </c>
      <c r="X212" s="42">
        <f>'2024'!P26</f>
        <v>0.10343599786362827</v>
      </c>
      <c r="Y212" s="42">
        <f>'2024'!Q26</f>
        <v>0.15784500805898807</v>
      </c>
      <c r="Z212" s="42">
        <f>'2024'!R26</f>
        <v>8.1719375663969918E-2</v>
      </c>
      <c r="AA212" s="42">
        <f>'2024'!S26</f>
        <v>0.119782191861479</v>
      </c>
      <c r="AB212" s="42">
        <f>'2024'!T26</f>
        <v>0.119782191861479</v>
      </c>
      <c r="AC212" s="42">
        <f>'2024'!U26</f>
        <v>8.2284460427269682E-3</v>
      </c>
      <c r="AD212" s="42">
        <f>'2024'!V26</f>
        <v>2.601263470828688E-2</v>
      </c>
      <c r="AE212" s="42">
        <f>'2024'!W26</f>
        <v>2.601263470828688E-2</v>
      </c>
      <c r="AF212" s="43">
        <f>'2024'!X26</f>
        <v>2.601263470828688E-2</v>
      </c>
      <c r="AG212" s="44">
        <f>'2024'!Y26</f>
        <v>20.865753424657534</v>
      </c>
      <c r="AH212" s="45">
        <f>'2024'!Z26</f>
        <v>106.86116175844418</v>
      </c>
      <c r="AI212" s="45">
        <f>'2024'!AA26</f>
        <v>34.815527681660903</v>
      </c>
      <c r="AJ212" s="45">
        <f>'2024'!AB26</f>
        <v>0.375</v>
      </c>
      <c r="AK212" s="45">
        <f>'2024'!AC26</f>
        <v>6.4453125</v>
      </c>
      <c r="AL212" s="45">
        <f t="shared" si="39"/>
        <v>7.9444444444444446</v>
      </c>
      <c r="AM212" s="45">
        <f t="shared" si="43"/>
        <v>7.5471698113207544E-2</v>
      </c>
      <c r="AN212" s="45">
        <f>'2024'!AD26</f>
        <v>157.6</v>
      </c>
      <c r="AO212" s="45">
        <f>'2024'!AE26</f>
        <v>4.37</v>
      </c>
      <c r="AP212" s="46">
        <f>'2024'!AF26</f>
        <v>38.1</v>
      </c>
      <c r="AQ212" s="47">
        <f>'2024'!AG26</f>
        <v>0</v>
      </c>
      <c r="AR212" s="48">
        <f>'2024'!AH26</f>
        <v>2</v>
      </c>
      <c r="AS212" s="48">
        <f>'2024'!AI26</f>
        <v>3</v>
      </c>
      <c r="AT212" s="48">
        <f>'2024'!AJ26</f>
        <v>8</v>
      </c>
      <c r="AU212" s="48">
        <f>'2024'!AK26</f>
        <v>10</v>
      </c>
      <c r="AV212" s="48">
        <f>'2024'!AL26</f>
        <v>6</v>
      </c>
      <c r="AW212" s="48">
        <f>'2024'!AM26</f>
        <v>8</v>
      </c>
      <c r="AX212" s="48">
        <f>'2024'!AN26</f>
        <v>6</v>
      </c>
      <c r="AY212" s="49">
        <f>'2024'!AO26</f>
        <v>0</v>
      </c>
      <c r="AZ212" s="50">
        <f>'2024'!AP26</f>
        <v>0</v>
      </c>
      <c r="BA212" s="56">
        <f>'2024'!AQ26</f>
        <v>0</v>
      </c>
      <c r="BB212" s="57">
        <f>'2024'!AR26</f>
        <v>1</v>
      </c>
      <c r="BC212" s="57">
        <f>'2024'!AS26</f>
        <v>0</v>
      </c>
      <c r="BD212" s="57">
        <f>'2024'!AT26</f>
        <v>0</v>
      </c>
      <c r="BE212" s="57">
        <f>'2024'!AU26</f>
        <v>0</v>
      </c>
      <c r="BF212" s="57">
        <f>'2024'!AV26</f>
        <v>0</v>
      </c>
      <c r="BG212" s="58">
        <f>'2024'!AW26</f>
        <v>0</v>
      </c>
      <c r="BH212" s="58">
        <f>'2024'!AX26</f>
        <v>0</v>
      </c>
      <c r="BI212" s="58">
        <f>'2024'!AY26</f>
        <v>0</v>
      </c>
      <c r="BJ212" s="58">
        <f>'2024'!AZ26</f>
        <v>0</v>
      </c>
      <c r="BK212" s="57">
        <f>'2024'!BA26</f>
        <v>0</v>
      </c>
      <c r="BL212" s="57">
        <f>'2024'!BB26</f>
        <v>1</v>
      </c>
      <c r="BM212" s="57">
        <f>'2024'!BC26</f>
        <v>0</v>
      </c>
      <c r="BN212" s="57">
        <f>'2024'!BD26</f>
        <v>0</v>
      </c>
      <c r="BO212" s="59">
        <f>'2024'!BE26</f>
        <v>0</v>
      </c>
      <c r="BP212" s="56">
        <f>'2024'!BF26</f>
        <v>64</v>
      </c>
      <c r="BQ212" s="57">
        <f>'2024'!BG26</f>
        <v>1027.5999999999999</v>
      </c>
      <c r="BR212" s="57">
        <f>'2024'!BH26</f>
        <v>0</v>
      </c>
      <c r="BS212" s="57">
        <f>'2024'!BI26</f>
        <v>9.6</v>
      </c>
      <c r="BT212" s="57">
        <f>'2024'!BJ26</f>
        <v>10</v>
      </c>
      <c r="BU212" s="57">
        <f>'2024'!BK26</f>
        <v>9</v>
      </c>
      <c r="BV212" s="58">
        <f>'2024'!BL26</f>
        <v>6.4</v>
      </c>
      <c r="BW212" s="58">
        <f>'2024'!BM26</f>
        <v>396</v>
      </c>
      <c r="BX212" s="58">
        <f>'2024'!BN26</f>
        <v>4.4000000000000004</v>
      </c>
      <c r="BY212" s="58">
        <f>'2024'!BO26</f>
        <v>23.4</v>
      </c>
      <c r="BZ212" s="57">
        <f>'2024'!BP26</f>
        <v>0</v>
      </c>
      <c r="CA212" s="57">
        <f>'2024'!BQ26</f>
        <v>1050</v>
      </c>
      <c r="CB212" s="57">
        <f>'2024'!BR26</f>
        <v>0</v>
      </c>
      <c r="CC212" s="57">
        <f>'2024'!BS26</f>
        <v>0</v>
      </c>
      <c r="CD212" s="59">
        <f>'2024'!BT26</f>
        <v>11.2</v>
      </c>
      <c r="CE212" s="56">
        <f>'2024'!BU26</f>
        <v>507</v>
      </c>
      <c r="CF212" s="57">
        <f>'2024'!BV26</f>
        <v>1808</v>
      </c>
      <c r="CG212" s="57">
        <f>'2024'!BW26</f>
        <v>3</v>
      </c>
      <c r="CH212" s="57">
        <f>'2024'!BX26</f>
        <v>18</v>
      </c>
      <c r="CI212" s="57">
        <f>'2024'!BY26</f>
        <v>71</v>
      </c>
      <c r="CJ212" s="57">
        <f>'2024'!BZ26</f>
        <v>31</v>
      </c>
      <c r="CK212" s="58">
        <f>'2024'!CA26</f>
        <v>7.140845070422535</v>
      </c>
      <c r="CL212" s="58">
        <f>'2024'!CB26</f>
        <v>210.4</v>
      </c>
      <c r="CM212" s="58">
        <f>'2024'!CC26</f>
        <v>4.68</v>
      </c>
      <c r="CN212" s="58">
        <f>'2024'!CD26</f>
        <v>40</v>
      </c>
      <c r="CO212" s="57">
        <f>'2024'!CE26</f>
        <v>74</v>
      </c>
      <c r="CP212" s="57">
        <f>'2024'!CF26</f>
        <v>3809</v>
      </c>
      <c r="CQ212" s="57">
        <f>'2024'!CG26</f>
        <v>9</v>
      </c>
      <c r="CR212" s="57">
        <f>'2024'!CH26</f>
        <v>0</v>
      </c>
      <c r="CS212" s="59">
        <f>'2024'!CI26</f>
        <v>35</v>
      </c>
      <c r="CT212" s="56">
        <f>'2024'!CJ26</f>
        <v>825</v>
      </c>
      <c r="CU212" s="57">
        <f>'2024'!CK26</f>
        <v>2116.4</v>
      </c>
      <c r="CV212" s="57">
        <f>'2024'!CL26</f>
        <v>14</v>
      </c>
      <c r="CW212" s="57">
        <f>'2024'!CM26</f>
        <v>25.299999999999997</v>
      </c>
      <c r="CX212" s="57">
        <f>'2024'!CN26</f>
        <v>128</v>
      </c>
      <c r="CY212" s="57">
        <f>'2024'!CO26</f>
        <v>48</v>
      </c>
      <c r="CZ212" s="58">
        <f>'2024'!CP26</f>
        <v>6.4453125</v>
      </c>
      <c r="DA212" s="58">
        <f>'2024'!CQ26</f>
        <v>157.6</v>
      </c>
      <c r="DB212" s="58">
        <f>'2024'!CR26</f>
        <v>4.37</v>
      </c>
      <c r="DC212" s="58">
        <f>'2024'!CS26</f>
        <v>38.1</v>
      </c>
      <c r="DD212" s="57">
        <f>'2024'!CT26</f>
        <v>27</v>
      </c>
      <c r="DE212" s="57">
        <f>'2024'!CU26</f>
        <v>3281.3</v>
      </c>
      <c r="DF212" s="57">
        <f>'2024'!CV26</f>
        <v>5</v>
      </c>
      <c r="DG212" s="57">
        <f>'2024'!CW26</f>
        <v>0</v>
      </c>
      <c r="DH212" s="59">
        <f>'2024'!CX26</f>
        <v>35.200000000000003</v>
      </c>
      <c r="DI212" s="56">
        <f>'2024'!CY26</f>
        <v>158</v>
      </c>
      <c r="DJ212" s="57">
        <f>'2024'!CZ26</f>
        <v>832.80000000000007</v>
      </c>
      <c r="DK212" s="57">
        <f>'2024'!DA26</f>
        <v>3</v>
      </c>
      <c r="DL212" s="57">
        <f>'2024'!DB26</f>
        <v>9</v>
      </c>
      <c r="DM212" s="57">
        <f>'2024'!DC26</f>
        <v>49</v>
      </c>
      <c r="DN212" s="57">
        <f>'2024'!DD26</f>
        <v>10</v>
      </c>
      <c r="DO212" s="58">
        <f>'2024'!DE26</f>
        <v>3.2</v>
      </c>
      <c r="DP212" s="58">
        <f>'2024'!DF26</f>
        <v>37.4</v>
      </c>
      <c r="DQ212" s="58">
        <f>'2024'!DG26</f>
        <v>1.98</v>
      </c>
      <c r="DR212" s="58">
        <f>'2024'!DH26</f>
        <v>0</v>
      </c>
      <c r="DS212" s="57">
        <f>'2024'!DI26</f>
        <v>42</v>
      </c>
      <c r="DT212" s="57">
        <f>'2024'!DJ26</f>
        <v>1614.6000000000001</v>
      </c>
      <c r="DU212" s="57">
        <f>'2024'!DK26</f>
        <v>4</v>
      </c>
      <c r="DV212" s="57">
        <f>'2024'!DL26</f>
        <v>0</v>
      </c>
      <c r="DW212" s="59">
        <f>'2024'!DM26</f>
        <v>12</v>
      </c>
    </row>
    <row r="213" spans="1:127" ht="15.75" customHeight="1" x14ac:dyDescent="0.2">
      <c r="A213" s="33">
        <f t="shared" si="36"/>
        <v>211</v>
      </c>
      <c r="B213" s="11">
        <f>'2015'!A17</f>
        <v>15</v>
      </c>
      <c r="C213" s="11">
        <v>2015</v>
      </c>
      <c r="D213" s="34" t="str">
        <f>'2015'!B17</f>
        <v>Cameron Artis-Payne</v>
      </c>
      <c r="E213" s="224" t="str" cm="1">
        <f t="array" ref="E213">_xlfn.IFS(F213&gt;=13,"Cornerstone",AND(F213&gt;=12,F213&lt;13),"Elite",AND(F213&gt;=11,F213&lt;12),"Elite Upside",AND(F213&gt;=9,F213&lt;11),"Upside",AND(F213&gt;=7,F213&lt;9),"Upside Lite",AND(F213&gt;=6,F213&lt;7),"Outlier",AND(F213&gt;=5,F213&lt;6),"Outlier Lite",F213&lt;5,"Purgatory")</f>
        <v>Outlier Lite</v>
      </c>
      <c r="F213" s="14">
        <f>'2015'!C17</f>
        <v>5.4944444444444436</v>
      </c>
      <c r="G213" s="14">
        <f t="shared" si="41"/>
        <v>35.4</v>
      </c>
      <c r="H213" s="35">
        <f t="shared" si="37"/>
        <v>-1.0614340815653791</v>
      </c>
      <c r="I213" s="36" t="str">
        <f>'2015'!D17</f>
        <v>Auburn</v>
      </c>
      <c r="J213" s="37">
        <f>'2015'!E17</f>
        <v>1</v>
      </c>
      <c r="K213" s="38">
        <f>'2015'!F17</f>
        <v>33047</v>
      </c>
      <c r="L213" s="39">
        <f>'2015'!G17</f>
        <v>35.287671232876711</v>
      </c>
      <c r="M213" s="39" t="str">
        <f>'2015'!H17</f>
        <v>SR</v>
      </c>
      <c r="N213" s="39">
        <f>'2015'!I17</f>
        <v>24.860273972602741</v>
      </c>
      <c r="O213" s="39" t="str">
        <f t="shared" si="38"/>
        <v>BELL CALF</v>
      </c>
      <c r="P213" s="39" t="str">
        <f t="shared" si="42"/>
        <v>PLODDER</v>
      </c>
      <c r="Q213" s="37">
        <f>'2015'!J17</f>
        <v>70</v>
      </c>
      <c r="R213" s="37">
        <f>'2015'!K17</f>
        <v>212</v>
      </c>
      <c r="S213" s="39">
        <f t="shared" si="40"/>
        <v>30.418495775767056</v>
      </c>
      <c r="T213" s="39">
        <f>'2015'!L17</f>
        <v>4.53</v>
      </c>
      <c r="U213" s="55">
        <f>'2015'!M17</f>
        <v>5</v>
      </c>
      <c r="V213" s="41">
        <f>'2015'!N17</f>
        <v>0</v>
      </c>
      <c r="W213" s="42">
        <f>'2015'!O17</f>
        <v>0</v>
      </c>
      <c r="X213" s="42">
        <f>'2015'!P17</f>
        <v>0</v>
      </c>
      <c r="Y213" s="42">
        <f>'2015'!Q17</f>
        <v>9.4197784664477924E-2</v>
      </c>
      <c r="Z213" s="42">
        <f>'2015'!R17</f>
        <v>0.27660586835844569</v>
      </c>
      <c r="AA213" s="42">
        <f>'2015'!S17</f>
        <v>0.27660586835844569</v>
      </c>
      <c r="AB213" s="42">
        <f>'2015'!T17</f>
        <v>0.27660586835844569</v>
      </c>
      <c r="AC213" s="42">
        <f>'2015'!U17</f>
        <v>1.7785682525566918E-3</v>
      </c>
      <c r="AD213" s="42">
        <f>'2015'!V17</f>
        <v>4.9270990447461034E-2</v>
      </c>
      <c r="AE213" s="42">
        <f>'2015'!W17</f>
        <v>4.9270990447461034E-2</v>
      </c>
      <c r="AF213" s="43">
        <f>'2015'!X17</f>
        <v>4.9270990447461034E-2</v>
      </c>
      <c r="AG213" s="44">
        <f>'2015'!Y17</f>
        <v>24.208219178082192</v>
      </c>
      <c r="AH213" s="45">
        <f>'2015'!Z17</f>
        <v>100.68691825982246</v>
      </c>
      <c r="AI213" s="45">
        <f>'2015'!AA17</f>
        <v>30.415510204081631</v>
      </c>
      <c r="AJ213" s="45">
        <f>'2015'!AB17</f>
        <v>0.20529801324503311</v>
      </c>
      <c r="AK213" s="45">
        <f>'2015'!AC17</f>
        <v>6.7032967032967035</v>
      </c>
      <c r="AL213" s="45">
        <f t="shared" si="39"/>
        <v>10.785714285714286</v>
      </c>
      <c r="AM213" s="45">
        <f t="shared" si="43"/>
        <v>4.1269841269841269E-2</v>
      </c>
      <c r="AN213" s="45">
        <f>'2015'!AD17</f>
        <v>60.5</v>
      </c>
      <c r="AO213" s="45">
        <f>'2015'!AE17</f>
        <v>2.93</v>
      </c>
      <c r="AP213" s="46">
        <f>'2015'!AF17</f>
        <v>32.4</v>
      </c>
      <c r="AQ213" s="47">
        <f>'2015'!AG17</f>
        <v>7</v>
      </c>
      <c r="AR213" s="48">
        <f>'2015'!AH17</f>
        <v>5</v>
      </c>
      <c r="AS213" s="48">
        <f>'2015'!AI17</f>
        <v>0</v>
      </c>
      <c r="AT213" s="48">
        <f>'2015'!AJ17</f>
        <v>6</v>
      </c>
      <c r="AU213" s="48">
        <f>'2015'!AK17</f>
        <v>4</v>
      </c>
      <c r="AV213" s="48">
        <f>'2015'!AL17</f>
        <v>7</v>
      </c>
      <c r="AW213" s="48">
        <f>'2015'!AM17</f>
        <v>2</v>
      </c>
      <c r="AX213" s="48">
        <f>'2015'!AN17</f>
        <v>1</v>
      </c>
      <c r="AY213" s="49">
        <f>'2015'!AO17</f>
        <v>3</v>
      </c>
      <c r="AZ213" s="50">
        <f>'2015'!AP17</f>
        <v>0</v>
      </c>
      <c r="BA213" s="56">
        <f>'2015'!AQ17</f>
        <v>0</v>
      </c>
      <c r="BB213" s="57">
        <f>'2015'!AR17</f>
        <v>1</v>
      </c>
      <c r="BC213" s="57">
        <f>'2015'!AS17</f>
        <v>0</v>
      </c>
      <c r="BD213" s="57">
        <f>'2015'!AT17</f>
        <v>0</v>
      </c>
      <c r="BE213" s="57">
        <f>'2015'!AU17</f>
        <v>0</v>
      </c>
      <c r="BF213" s="57">
        <f>'2015'!AV17</f>
        <v>0</v>
      </c>
      <c r="BG213" s="58">
        <f>'2015'!AW17</f>
        <v>0</v>
      </c>
      <c r="BH213" s="58">
        <f>'2015'!AX17</f>
        <v>0</v>
      </c>
      <c r="BI213" s="58">
        <f>'2015'!AY17</f>
        <v>0</v>
      </c>
      <c r="BJ213" s="58">
        <f>'2015'!AZ17</f>
        <v>0</v>
      </c>
      <c r="BK213" s="57">
        <f>'2015'!BA17</f>
        <v>0</v>
      </c>
      <c r="BL213" s="57">
        <f>'2015'!BB17</f>
        <v>1</v>
      </c>
      <c r="BM213" s="57">
        <f>'2015'!BC17</f>
        <v>0</v>
      </c>
      <c r="BN213" s="57">
        <f>'2015'!BD17</f>
        <v>0</v>
      </c>
      <c r="BO213" s="59">
        <f>'2015'!BE17</f>
        <v>0</v>
      </c>
      <c r="BP213" s="56">
        <f>'2015'!BF17</f>
        <v>0</v>
      </c>
      <c r="BQ213" s="57">
        <f>'2015'!BG17</f>
        <v>1</v>
      </c>
      <c r="BR213" s="57">
        <f>'2015'!BH17</f>
        <v>0</v>
      </c>
      <c r="BS213" s="57">
        <f>'2015'!BI17</f>
        <v>0</v>
      </c>
      <c r="BT213" s="57">
        <f>'2015'!BJ17</f>
        <v>0</v>
      </c>
      <c r="BU213" s="57">
        <f>'2015'!BK17</f>
        <v>0</v>
      </c>
      <c r="BV213" s="58">
        <f>'2015'!BL17</f>
        <v>0</v>
      </c>
      <c r="BW213" s="58">
        <f>'2015'!BM17</f>
        <v>0</v>
      </c>
      <c r="BX213" s="58">
        <f>'2015'!BN17</f>
        <v>0</v>
      </c>
      <c r="BY213" s="58">
        <f>'2015'!BO17</f>
        <v>0</v>
      </c>
      <c r="BZ213" s="57">
        <f>'2015'!BP17</f>
        <v>0</v>
      </c>
      <c r="CA213" s="57">
        <f>'2015'!BQ17</f>
        <v>1</v>
      </c>
      <c r="CB213" s="57">
        <f>'2015'!BR17</f>
        <v>0</v>
      </c>
      <c r="CC213" s="57">
        <f>'2015'!BS17</f>
        <v>0</v>
      </c>
      <c r="CD213" s="59">
        <f>'2015'!BT17</f>
        <v>0</v>
      </c>
      <c r="CE213" s="56">
        <f>'2015'!BU17</f>
        <v>0</v>
      </c>
      <c r="CF213" s="57">
        <f>'2015'!BV17</f>
        <v>1</v>
      </c>
      <c r="CG213" s="57">
        <f>'2015'!BW17</f>
        <v>0</v>
      </c>
      <c r="CH213" s="57">
        <f>'2015'!BX17</f>
        <v>0</v>
      </c>
      <c r="CI213" s="57">
        <f>'2015'!BY17</f>
        <v>0</v>
      </c>
      <c r="CJ213" s="57">
        <f>'2015'!BZ17</f>
        <v>0</v>
      </c>
      <c r="CK213" s="58">
        <f>'2015'!CA17</f>
        <v>0</v>
      </c>
      <c r="CL213" s="58">
        <f>'2015'!CB17</f>
        <v>0</v>
      </c>
      <c r="CM213" s="58">
        <f>'2015'!CC17</f>
        <v>0</v>
      </c>
      <c r="CN213" s="58">
        <f>'2015'!CD17</f>
        <v>0</v>
      </c>
      <c r="CO213" s="57">
        <f>'2015'!CE17</f>
        <v>0</v>
      </c>
      <c r="CP213" s="57">
        <f>'2015'!CF17</f>
        <v>1</v>
      </c>
      <c r="CQ213" s="57">
        <f>'2015'!CG17</f>
        <v>0</v>
      </c>
      <c r="CR213" s="57">
        <f>'2015'!CH17</f>
        <v>0</v>
      </c>
      <c r="CS213" s="59">
        <f>'2015'!CI17</f>
        <v>0</v>
      </c>
      <c r="CT213" s="56">
        <f>'2015'!CJ17</f>
        <v>610</v>
      </c>
      <c r="CU213" s="57">
        <f>'2015'!CK17</f>
        <v>4269.2</v>
      </c>
      <c r="CV213" s="57">
        <f>'2015'!CL17</f>
        <v>6</v>
      </c>
      <c r="CW213" s="57">
        <f>'2015'!CM17</f>
        <v>0</v>
      </c>
      <c r="CX213" s="57">
        <f>'2015'!CN17</f>
        <v>91</v>
      </c>
      <c r="CY213" s="57">
        <f>'2015'!CO17</f>
        <v>0</v>
      </c>
      <c r="CZ213" s="58">
        <f>'2015'!CP17</f>
        <v>6.7032967032967035</v>
      </c>
      <c r="DA213" s="58">
        <f>'2015'!CQ17</f>
        <v>0</v>
      </c>
      <c r="DB213" s="58">
        <f>'2015'!CR17</f>
        <v>0</v>
      </c>
      <c r="DC213" s="58">
        <f>'2015'!CS17</f>
        <v>0</v>
      </c>
      <c r="DD213" s="57">
        <f>'2015'!CT17</f>
        <v>4</v>
      </c>
      <c r="DE213" s="57">
        <f>'2015'!CU17</f>
        <v>2249</v>
      </c>
      <c r="DF213" s="57">
        <f>'2015'!CV17</f>
        <v>1</v>
      </c>
      <c r="DG213" s="57">
        <f>'2015'!CW17</f>
        <v>0</v>
      </c>
      <c r="DH213" s="59">
        <f>'2015'!CX17</f>
        <v>0</v>
      </c>
      <c r="DI213" s="56">
        <f>'2015'!CY17</f>
        <v>1597</v>
      </c>
      <c r="DJ213" s="57">
        <f>'2015'!CZ17</f>
        <v>3321.5</v>
      </c>
      <c r="DK213" s="57">
        <f>'2015'!DA17</f>
        <v>13</v>
      </c>
      <c r="DL213" s="57">
        <f>'2015'!DB17</f>
        <v>32.5</v>
      </c>
      <c r="DM213" s="57">
        <f>'2015'!DC17</f>
        <v>302</v>
      </c>
      <c r="DN213" s="57">
        <f>'2015'!DD17</f>
        <v>62</v>
      </c>
      <c r="DO213" s="58">
        <f>'2015'!DE17</f>
        <v>5.2880794701986753</v>
      </c>
      <c r="DP213" s="58">
        <f>'2015'!DF17</f>
        <v>60.5</v>
      </c>
      <c r="DQ213" s="58">
        <f>'2015'!DG17</f>
        <v>2.93</v>
      </c>
      <c r="DR213" s="58">
        <f>'2015'!DH17</f>
        <v>32.4</v>
      </c>
      <c r="DS213" s="57">
        <f>'2015'!DI17</f>
        <v>147</v>
      </c>
      <c r="DT213" s="57">
        <f>'2015'!DJ17</f>
        <v>2983.5</v>
      </c>
      <c r="DU213" s="57">
        <f>'2015'!DK17</f>
        <v>13</v>
      </c>
      <c r="DV213" s="57">
        <f>'2015'!DL17</f>
        <v>0</v>
      </c>
      <c r="DW213" s="59">
        <f>'2015'!DM17</f>
        <v>23.400000000000002</v>
      </c>
    </row>
    <row r="214" spans="1:127" ht="15.75" customHeight="1" x14ac:dyDescent="0.2">
      <c r="A214" s="33">
        <f t="shared" si="36"/>
        <v>212</v>
      </c>
      <c r="B214" s="11">
        <f>'2017'!A20</f>
        <v>18</v>
      </c>
      <c r="C214" s="11">
        <v>2017</v>
      </c>
      <c r="D214" s="34" t="str">
        <f>'2017'!B20</f>
        <v>Jamaal Williams</v>
      </c>
      <c r="E214" s="224" t="str" cm="1">
        <f t="array" ref="E214">_xlfn.IFS(F214&gt;=13,"Cornerstone",AND(F214&gt;=12,F214&lt;13),"Elite",AND(F214&gt;=11,F214&lt;12),"Elite Upside",AND(F214&gt;=9,F214&lt;11),"Upside",AND(F214&gt;=7,F214&lt;9),"Upside Lite",AND(F214&gt;=6,F214&lt;7),"Outlier",AND(F214&gt;=5,F214&lt;6),"Outlier Lite",F214&lt;5,"Purgatory")</f>
        <v>Outlier Lite</v>
      </c>
      <c r="F214" s="14">
        <f>'2017'!C20</f>
        <v>5.4499999999999993</v>
      </c>
      <c r="G214" s="14">
        <f t="shared" si="41"/>
        <v>35.099999999999994</v>
      </c>
      <c r="H214" s="35">
        <f t="shared" si="37"/>
        <v>-1.0802440844204741</v>
      </c>
      <c r="I214" s="36" t="str">
        <f>'2017'!D20</f>
        <v>BYU</v>
      </c>
      <c r="J214" s="37">
        <f>'2017'!E20</f>
        <v>6</v>
      </c>
      <c r="K214" s="38">
        <f>'2017'!F20</f>
        <v>34792</v>
      </c>
      <c r="L214" s="39">
        <f>'2017'!G20</f>
        <v>30.506849315068493</v>
      </c>
      <c r="M214" s="39" t="str">
        <f>'2017'!H20</f>
        <v>SR</v>
      </c>
      <c r="N214" s="39">
        <f>'2017'!I20</f>
        <v>22.082191780821919</v>
      </c>
      <c r="O214" s="39" t="str">
        <f t="shared" si="38"/>
        <v>BELL COW</v>
      </c>
      <c r="P214" s="39" t="str">
        <f t="shared" si="42"/>
        <v>PLODDER</v>
      </c>
      <c r="Q214" s="37">
        <f>'2017'!J20</f>
        <v>72</v>
      </c>
      <c r="R214" s="37">
        <f>'2017'!K20</f>
        <v>211</v>
      </c>
      <c r="S214" s="39">
        <f t="shared" si="40"/>
        <v>28.616427526064928</v>
      </c>
      <c r="T214" s="37">
        <f>'2017'!L20</f>
        <v>4.53</v>
      </c>
      <c r="U214" s="55">
        <f>'2017'!M20</f>
        <v>4</v>
      </c>
      <c r="V214" s="41">
        <f>'2017'!N20</f>
        <v>0.20949452239092831</v>
      </c>
      <c r="W214" s="42">
        <f>'2017'!O20</f>
        <v>0.21162537011064361</v>
      </c>
      <c r="X214" s="42">
        <f>'2017'!P20</f>
        <v>9.3885733377881725E-2</v>
      </c>
      <c r="Y214" s="42">
        <f>'2017'!Q20</f>
        <v>0</v>
      </c>
      <c r="Z214" s="42">
        <f>'2017'!R20</f>
        <v>0.27852737085582113</v>
      </c>
      <c r="AA214" s="42">
        <f>'2017'!S20</f>
        <v>0.27852737085582113</v>
      </c>
      <c r="AB214" s="42">
        <f>'2017'!T20</f>
        <v>0.19496915959907479</v>
      </c>
      <c r="AC214" s="42">
        <f>'2017'!U20</f>
        <v>0</v>
      </c>
      <c r="AD214" s="42">
        <f>'2017'!V20</f>
        <v>2.8760202098717449E-2</v>
      </c>
      <c r="AE214" s="42">
        <f>'2017'!W20</f>
        <v>2.8760202098717449E-2</v>
      </c>
      <c r="AF214" s="43">
        <f>'2017'!X20</f>
        <v>2.0132141469102215E-2</v>
      </c>
      <c r="AG214" s="44">
        <f>'2017'!Y20</f>
        <v>17.424657534246574</v>
      </c>
      <c r="AH214" s="45">
        <f>'2017'!Z20</f>
        <v>100.21197996614406</v>
      </c>
      <c r="AI214" s="45">
        <f>'2017'!AA20</f>
        <v>28.613618827160494</v>
      </c>
      <c r="AJ214" s="45">
        <f>'2017'!AB20</f>
        <v>0.23504273504273504</v>
      </c>
      <c r="AK214" s="45">
        <f>'2017'!AC20</f>
        <v>5.8</v>
      </c>
      <c r="AL214" s="45">
        <f t="shared" si="39"/>
        <v>9.5084745762711869</v>
      </c>
      <c r="AM214" s="45">
        <f t="shared" si="43"/>
        <v>2.5000000000000001E-2</v>
      </c>
      <c r="AN214" s="45">
        <f>'2017'!AD20</f>
        <v>77.7</v>
      </c>
      <c r="AO214" s="45">
        <f>'2017'!AE20</f>
        <v>3.31</v>
      </c>
      <c r="AP214" s="46">
        <f>'2017'!AF20</f>
        <v>43.3</v>
      </c>
      <c r="AQ214" s="47">
        <f>'2017'!AG20</f>
        <v>3</v>
      </c>
      <c r="AR214" s="48">
        <f>'2017'!AH20</f>
        <v>2</v>
      </c>
      <c r="AS214" s="48">
        <f>'2017'!AI20</f>
        <v>10</v>
      </c>
      <c r="AT214" s="48">
        <f>IF(AH214&gt;113.25,10,IF(AH214&gt;=107.84,9,IF(AH214&gt;=105.37,8,IF(AH214&gt;=103.25,7,IF(AH214&gt;=100.55,6,IF(AH214&gt;=98.75,5,IF(AH214&gt;=96.08,4,IF(AH214&gt;=94.39,3,IF(AH214&gt;=88.43,2,IF(AH214&gt;=85.16,1,IF(AH214&lt;85.16,0,FALSE)))))))))))</f>
        <v>5</v>
      </c>
      <c r="AU214" s="48">
        <f>'2017'!AK20</f>
        <v>5</v>
      </c>
      <c r="AV214" s="48">
        <f>'2017'!AL20</f>
        <v>4</v>
      </c>
      <c r="AW214" s="48">
        <f>'2017'!AM20</f>
        <v>4</v>
      </c>
      <c r="AX214" s="48">
        <f>'2017'!AN20</f>
        <v>3</v>
      </c>
      <c r="AY214" s="49">
        <f>IF(U214=1,10,IF(U214=2,7,IF(U214=3,6,IF(U214=4,4,IF(U214=5,3,IF(U214=6,2,IF(U214=7,1,IF(U214=0,0,"-"))))))))</f>
        <v>4</v>
      </c>
      <c r="AZ214" s="50">
        <f>'2017'!AP20</f>
        <v>0</v>
      </c>
      <c r="BA214" s="56">
        <f>'2017'!AQ20</f>
        <v>775</v>
      </c>
      <c r="BB214" s="57">
        <f>'2017'!AR20</f>
        <v>1989</v>
      </c>
      <c r="BC214" s="57">
        <f>'2017'!AS20</f>
        <v>0</v>
      </c>
      <c r="BD214" s="57">
        <f>'2017'!AT20</f>
        <v>0</v>
      </c>
      <c r="BE214" s="57">
        <f>'2017'!AU20</f>
        <v>0</v>
      </c>
      <c r="BF214" s="57">
        <f>'2017'!AV20</f>
        <v>0</v>
      </c>
      <c r="BG214" s="58">
        <f>'2017'!AW20</f>
        <v>0</v>
      </c>
      <c r="BH214" s="58">
        <f>'2017'!AX20</f>
        <v>0</v>
      </c>
      <c r="BI214" s="58">
        <f>'2017'!AY20</f>
        <v>0</v>
      </c>
      <c r="BJ214" s="58">
        <f>'2017'!AZ20</f>
        <v>0</v>
      </c>
      <c r="BK214" s="57">
        <f>'2017'!BA20</f>
        <v>315</v>
      </c>
      <c r="BL214" s="57">
        <f>'2017'!BB20</f>
        <v>3214</v>
      </c>
      <c r="BM214" s="57">
        <f>'2017'!BC20</f>
        <v>27</v>
      </c>
      <c r="BN214" s="57">
        <f>'2017'!BD20</f>
        <v>0</v>
      </c>
      <c r="BO214" s="59">
        <f>'2017'!BE20</f>
        <v>0</v>
      </c>
      <c r="BP214" s="56">
        <f>'2017'!BF20</f>
        <v>1233</v>
      </c>
      <c r="BQ214" s="57">
        <f>'2017'!BG20</f>
        <v>3475</v>
      </c>
      <c r="BR214" s="57">
        <f>'2017'!BH20</f>
        <v>0</v>
      </c>
      <c r="BS214" s="57">
        <f>'2017'!BI20</f>
        <v>0</v>
      </c>
      <c r="BT214" s="57">
        <f>'2017'!BJ20</f>
        <v>0</v>
      </c>
      <c r="BU214" s="57">
        <f>'2017'!BK20</f>
        <v>0</v>
      </c>
      <c r="BV214" s="58">
        <f>'2017'!BL20</f>
        <v>0</v>
      </c>
      <c r="BW214" s="58">
        <f>'2017'!BM20</f>
        <v>0</v>
      </c>
      <c r="BX214" s="58">
        <f>'2017'!BN20</f>
        <v>0</v>
      </c>
      <c r="BY214" s="58">
        <f>'2017'!BO20</f>
        <v>0</v>
      </c>
      <c r="BZ214" s="57">
        <f>'2017'!BP20</f>
        <v>125</v>
      </c>
      <c r="CA214" s="57">
        <f>'2017'!BQ20</f>
        <v>2942</v>
      </c>
      <c r="CB214" s="57">
        <f>'2017'!BR20</f>
        <v>18</v>
      </c>
      <c r="CC214" s="57">
        <f>'2017'!BS20</f>
        <v>0</v>
      </c>
      <c r="CD214" s="59">
        <f>'2017'!BT20</f>
        <v>0</v>
      </c>
      <c r="CE214" s="56">
        <f>'2017'!BU20</f>
        <v>515</v>
      </c>
      <c r="CF214" s="57">
        <f>'2017'!BV20</f>
        <v>2363</v>
      </c>
      <c r="CG214" s="57">
        <f>'2017'!BW20</f>
        <v>4</v>
      </c>
      <c r="CH214" s="57">
        <f>'2017'!BX20</f>
        <v>0</v>
      </c>
      <c r="CI214" s="57">
        <f>'2017'!BY20</f>
        <v>110</v>
      </c>
      <c r="CJ214" s="57">
        <f>'2017'!BZ20</f>
        <v>12</v>
      </c>
      <c r="CK214" s="58">
        <f>'2017'!CA20</f>
        <v>4.7</v>
      </c>
      <c r="CL214" s="58">
        <f>'2017'!CB20</f>
        <v>25.3</v>
      </c>
      <c r="CM214" s="58">
        <f>'2017'!CC20</f>
        <v>2.4900000000000002</v>
      </c>
      <c r="CN214" s="58">
        <f>'2017'!CD20</f>
        <v>22.3</v>
      </c>
      <c r="CO214" s="57">
        <f>'2017'!CE20</f>
        <v>47</v>
      </c>
      <c r="CP214" s="57">
        <f>'2017'!CF20</f>
        <v>3623</v>
      </c>
      <c r="CQ214" s="57">
        <f>'2017'!CG20</f>
        <v>8</v>
      </c>
      <c r="CR214" s="57">
        <f>'2017'!CH20</f>
        <v>8</v>
      </c>
      <c r="CS214" s="59">
        <f>'2017'!CI20</f>
        <v>0</v>
      </c>
      <c r="CT214" s="56">
        <f>'2017'!CJ20</f>
        <v>0</v>
      </c>
      <c r="CU214" s="57">
        <f>'2017'!CK20</f>
        <v>1668</v>
      </c>
      <c r="CV214" s="57">
        <f>'2017'!CL20</f>
        <v>0</v>
      </c>
      <c r="CW214" s="57">
        <f>'2017'!CM20</f>
        <v>0</v>
      </c>
      <c r="CX214" s="57">
        <f>'2017'!CN20</f>
        <v>0</v>
      </c>
      <c r="CY214" s="57">
        <f>'2017'!CO20</f>
        <v>0</v>
      </c>
      <c r="CZ214" s="58">
        <f>'2017'!CP20</f>
        <v>0</v>
      </c>
      <c r="DA214" s="58">
        <f>'2017'!CQ20</f>
        <v>0</v>
      </c>
      <c r="DB214" s="58">
        <f>'2017'!CR20</f>
        <v>0</v>
      </c>
      <c r="DC214" s="58">
        <f>'2017'!CS20</f>
        <v>0</v>
      </c>
      <c r="DD214" s="57">
        <f>'2017'!CT20</f>
        <v>0</v>
      </c>
      <c r="DE214" s="57">
        <f>'2017'!CU20</f>
        <v>3854</v>
      </c>
      <c r="DF214" s="57">
        <f>'2017'!CV20</f>
        <v>0</v>
      </c>
      <c r="DG214" s="57">
        <f>'2017'!CW20</f>
        <v>0</v>
      </c>
      <c r="DH214" s="59">
        <f>'2017'!CX20</f>
        <v>0</v>
      </c>
      <c r="DI214" s="56">
        <f>'2017'!CY20</f>
        <v>1371</v>
      </c>
      <c r="DJ214" s="57">
        <f>'2017'!CZ20</f>
        <v>2615</v>
      </c>
      <c r="DK214" s="57">
        <f>'2017'!DA20</f>
        <v>12</v>
      </c>
      <c r="DL214" s="57">
        <f>'2017'!DB20</f>
        <v>0</v>
      </c>
      <c r="DM214" s="57">
        <f>'2017'!DC20</f>
        <v>234</v>
      </c>
      <c r="DN214" s="57">
        <f>'2017'!DD20</f>
        <v>55</v>
      </c>
      <c r="DO214" s="58">
        <f>'2017'!DE20</f>
        <v>5.8</v>
      </c>
      <c r="DP214" s="58">
        <f>'2017'!DF20</f>
        <v>77.7</v>
      </c>
      <c r="DQ214" s="58">
        <f>'2017'!DG20</f>
        <v>3.31</v>
      </c>
      <c r="DR214" s="58">
        <f>'2017'!DH20</f>
        <v>43.3</v>
      </c>
      <c r="DS214" s="57">
        <f>'2017'!DI20</f>
        <v>74</v>
      </c>
      <c r="DT214" s="57">
        <f>'2017'!DJ20</f>
        <v>2573</v>
      </c>
      <c r="DU214" s="57">
        <f>'2017'!DK20</f>
        <v>6</v>
      </c>
      <c r="DV214" s="57">
        <f>'2017'!DL20</f>
        <v>7</v>
      </c>
      <c r="DW214" s="59">
        <f>'2017'!DM20</f>
        <v>0</v>
      </c>
    </row>
    <row r="215" spans="1:127" ht="15.75" customHeight="1" x14ac:dyDescent="0.2">
      <c r="A215" s="33">
        <f t="shared" si="36"/>
        <v>213</v>
      </c>
      <c r="B215" s="11">
        <f>'2021'!A14</f>
        <v>12</v>
      </c>
      <c r="C215" s="11">
        <v>2021</v>
      </c>
      <c r="D215" s="34" t="str">
        <f>'2021'!B14</f>
        <v>Elijah Mitchell</v>
      </c>
      <c r="E215" s="224" t="str" cm="1">
        <f t="array" ref="E215">_xlfn.IFS(F215&gt;=13,"Cornerstone",AND(F215&gt;=12,F215&lt;13),"Elite",AND(F215&gt;=11,F215&lt;12),"Elite Upside",AND(F215&gt;=9,F215&lt;11),"Upside",AND(F215&gt;=7,F215&lt;9),"Upside Lite",AND(F215&gt;=6,F215&lt;7),"Outlier",AND(F215&gt;=5,F215&lt;6),"Outlier Lite",F215&lt;5,"Purgatory")</f>
        <v>Outlier Lite</v>
      </c>
      <c r="F215" s="14">
        <f>'2021'!C14</f>
        <v>5.4055555555555559</v>
      </c>
      <c r="G215" s="14">
        <f t="shared" si="41"/>
        <v>34.799999999999997</v>
      </c>
      <c r="H215" s="35">
        <f t="shared" si="37"/>
        <v>-1.0990540872755687</v>
      </c>
      <c r="I215" s="36" t="str">
        <f>'2021'!D14</f>
        <v>ULL</v>
      </c>
      <c r="J215" s="37">
        <f>'2021'!E14</f>
        <v>8</v>
      </c>
      <c r="K215" s="38">
        <f>'2021'!F14</f>
        <v>35917</v>
      </c>
      <c r="L215" s="39">
        <f>'2021'!G14</f>
        <v>27.424657534246574</v>
      </c>
      <c r="M215" s="39" t="str">
        <f>'2021'!H14</f>
        <v>SR</v>
      </c>
      <c r="N215" s="39">
        <f>'2021'!I14</f>
        <v>23.008219178082193</v>
      </c>
      <c r="O215" s="39" t="str">
        <f t="shared" si="38"/>
        <v>JITTERBUG</v>
      </c>
      <c r="P215" s="39" t="str">
        <f t="shared" si="42"/>
        <v>3DOWN</v>
      </c>
      <c r="Q215" s="37">
        <f>'2021'!J14</f>
        <v>70</v>
      </c>
      <c r="R215" s="37">
        <f>'2021'!K14</f>
        <v>201</v>
      </c>
      <c r="S215" s="39">
        <f t="shared" si="40"/>
        <v>28.840177598722544</v>
      </c>
      <c r="T215" s="37">
        <f>'2021'!L14</f>
        <v>4.3499999999999996</v>
      </c>
      <c r="U215" s="40">
        <f>'2021'!M14</f>
        <v>6</v>
      </c>
      <c r="V215" s="41">
        <f>'2021'!N14</f>
        <v>0</v>
      </c>
      <c r="W215" s="42">
        <f>'2021'!O14</f>
        <v>5.8971141781681308E-2</v>
      </c>
      <c r="X215" s="42">
        <f>'2021'!P14</f>
        <v>0.22255892255892257</v>
      </c>
      <c r="Y215" s="42">
        <f>'2021'!Q14</f>
        <v>0.17591789534547558</v>
      </c>
      <c r="Z215" s="42">
        <f>'2021'!R14</f>
        <v>0.22040112141470777</v>
      </c>
      <c r="AA215" s="42">
        <f>'2021'!S14</f>
        <v>0.22148002198681516</v>
      </c>
      <c r="AB215" s="42">
        <f>'2021'!T14</f>
        <v>0.14396201429142985</v>
      </c>
      <c r="AC215" s="42">
        <f>'2021'!U14</f>
        <v>2.1122510561255279E-2</v>
      </c>
      <c r="AD215" s="42">
        <f>'2021'!V14</f>
        <v>6.6695727986050571E-2</v>
      </c>
      <c r="AE215" s="42">
        <f>'2021'!W14</f>
        <v>6.6695727986050571E-2</v>
      </c>
      <c r="AF215" s="43">
        <f>'2021'!X14</f>
        <v>4.3352223190932876E-2</v>
      </c>
      <c r="AG215" s="44">
        <f>'2021'!Y14</f>
        <v>20.347945205479451</v>
      </c>
      <c r="AH215" s="45">
        <f>'2021'!Z14</f>
        <v>112.27137079521074</v>
      </c>
      <c r="AI215" s="45">
        <f>'2021'!AA14</f>
        <v>28.837346938775511</v>
      </c>
      <c r="AJ215" s="45">
        <f>'2021'!AB14</f>
        <v>0.29078014184397161</v>
      </c>
      <c r="AK215" s="45">
        <f>'2021'!AC14</f>
        <v>6.2</v>
      </c>
      <c r="AL215" s="45">
        <f t="shared" si="39"/>
        <v>16.135135135135137</v>
      </c>
      <c r="AM215" s="45">
        <f t="shared" si="43"/>
        <v>0.10191082802547771</v>
      </c>
      <c r="AN215" s="45">
        <f>'2021'!AD14</f>
        <v>125.1</v>
      </c>
      <c r="AO215" s="45">
        <f>'2021'!AE14</f>
        <v>4.59</v>
      </c>
      <c r="AP215" s="46">
        <f>'2021'!AF14</f>
        <v>50.1</v>
      </c>
      <c r="AQ215" s="47">
        <f>'2021'!AG14</f>
        <v>1</v>
      </c>
      <c r="AR215" s="48">
        <f>'2021'!AH14</f>
        <v>5</v>
      </c>
      <c r="AS215" s="48">
        <f>'2021'!AI14</f>
        <v>4</v>
      </c>
      <c r="AT215" s="48">
        <f>IF(AH215&gt;113.25,10,IF(AH215&gt;=107.84,9,IF(AH215&gt;=105.37,8,IF(AH215&gt;=103.25,7,IF(AH215&gt;=100.55,6,IF(AH215&gt;=98.75,5,IF(AH215&gt;=96.08,4,IF(AH215&gt;=94.39,3,IF(AH215&gt;=88.43,2,IF(AH215&gt;=85.16,1,IF(AH215&lt;85.16,0,FALSE)))))))))))</f>
        <v>9</v>
      </c>
      <c r="AU215" s="48">
        <f>'2021'!AK14</f>
        <v>8</v>
      </c>
      <c r="AV215" s="48">
        <f>'2021'!AL14</f>
        <v>5</v>
      </c>
      <c r="AW215" s="48">
        <f>'2021'!AM14</f>
        <v>6</v>
      </c>
      <c r="AX215" s="48">
        <f>'2021'!AN14</f>
        <v>7</v>
      </c>
      <c r="AY215" s="49">
        <f>IF(U215=1,10,IF(U215=2,7,IF(U215=3,6,IF(U215=4,4,IF(U215=5,3,IF(U215=6,2,IF(U215=7,1,IF(U215=0,0,"-"))))))))</f>
        <v>2</v>
      </c>
      <c r="AZ215" s="50">
        <f>'2021'!AP14</f>
        <v>0</v>
      </c>
      <c r="BA215" s="56">
        <f>'2021'!AQ14</f>
        <v>0</v>
      </c>
      <c r="BB215" s="57">
        <f>'2021'!AR14</f>
        <v>2326</v>
      </c>
      <c r="BC215" s="57">
        <f>'2021'!AS14</f>
        <v>0</v>
      </c>
      <c r="BD215" s="57">
        <f>'2021'!AT14</f>
        <v>21</v>
      </c>
      <c r="BE215" s="57">
        <f>'2021'!AU14</f>
        <v>0</v>
      </c>
      <c r="BF215" s="57">
        <f>'2021'!AV14</f>
        <v>0</v>
      </c>
      <c r="BG215" s="58">
        <f>'2021'!AW14</f>
        <v>0</v>
      </c>
      <c r="BH215" s="58">
        <f>'2021'!AX14</f>
        <v>0</v>
      </c>
      <c r="BI215" s="58">
        <f>'2021'!AY14</f>
        <v>0</v>
      </c>
      <c r="BJ215" s="58">
        <f>'2021'!AZ14</f>
        <v>0</v>
      </c>
      <c r="BK215" s="57">
        <f>'2021'!BA14</f>
        <v>0</v>
      </c>
      <c r="BL215" s="57">
        <f>'2021'!BB14</f>
        <v>2308</v>
      </c>
      <c r="BM215" s="57">
        <f>'2021'!BC14</f>
        <v>0</v>
      </c>
      <c r="BN215" s="57">
        <f>'2021'!BD14</f>
        <v>0</v>
      </c>
      <c r="BO215" s="59">
        <f>'2021'!BE14</f>
        <v>12</v>
      </c>
      <c r="BP215" s="56">
        <f>'2021'!BF14</f>
        <v>257</v>
      </c>
      <c r="BQ215" s="57">
        <f>'2021'!BG14</f>
        <v>2204</v>
      </c>
      <c r="BR215" s="57">
        <f>'2021'!BH14</f>
        <v>4</v>
      </c>
      <c r="BS215" s="57">
        <f>'2021'!BI14</f>
        <v>27</v>
      </c>
      <c r="BT215" s="57">
        <f>'2021'!BJ14</f>
        <v>42</v>
      </c>
      <c r="BU215" s="57">
        <f>'2021'!BK14</f>
        <v>9</v>
      </c>
      <c r="BV215" s="58">
        <f>'2021'!BL14</f>
        <v>6.1</v>
      </c>
      <c r="BW215" s="58">
        <f>'2021'!BM14</f>
        <v>92.4</v>
      </c>
      <c r="BX215" s="58">
        <f>'2021'!BN14</f>
        <v>4.62</v>
      </c>
      <c r="BY215" s="58">
        <f>'2021'!BO14</f>
        <v>49</v>
      </c>
      <c r="BZ215" s="57">
        <f>'2021'!BP14</f>
        <v>25</v>
      </c>
      <c r="CA215" s="57">
        <f>'2021'!BQ14</f>
        <v>2578</v>
      </c>
      <c r="CB215" s="57">
        <f>'2021'!BR14</f>
        <v>3</v>
      </c>
      <c r="CC215" s="57">
        <f>'2021'!BS14</f>
        <v>0</v>
      </c>
      <c r="CD215" s="59">
        <f>'2021'!BT14</f>
        <v>16</v>
      </c>
      <c r="CE215" s="56">
        <f>'2021'!BU14</f>
        <v>973</v>
      </c>
      <c r="CF215" s="57">
        <f>'2021'!BV14</f>
        <v>3062</v>
      </c>
      <c r="CG215" s="57">
        <f>'2021'!BW14</f>
        <v>13</v>
      </c>
      <c r="CH215" s="57">
        <f>'2021'!BX14</f>
        <v>31</v>
      </c>
      <c r="CI215" s="57">
        <f>'2021'!BY14</f>
        <v>145</v>
      </c>
      <c r="CJ215" s="57">
        <f>'2021'!BZ14</f>
        <v>37</v>
      </c>
      <c r="CK215" s="58">
        <f>'2021'!CA14</f>
        <v>6.7</v>
      </c>
      <c r="CL215" s="58">
        <f>'2021'!CB14</f>
        <v>125.1</v>
      </c>
      <c r="CM215" s="58">
        <f>'2021'!CC14</f>
        <v>4.59</v>
      </c>
      <c r="CN215" s="58">
        <f>'2021'!CD14</f>
        <v>50.1</v>
      </c>
      <c r="CO215" s="57">
        <f>'2021'!CE14</f>
        <v>349</v>
      </c>
      <c r="CP215" s="57">
        <f>'2021'!CF14</f>
        <v>2878</v>
      </c>
      <c r="CQ215" s="57">
        <f>'2021'!CG14</f>
        <v>8</v>
      </c>
      <c r="CR215" s="57">
        <f>'2021'!CH14</f>
        <v>0</v>
      </c>
      <c r="CS215" s="59">
        <f>'2021'!CI14</f>
        <v>27</v>
      </c>
      <c r="CT215" s="56">
        <f>'2021'!CJ14</f>
        <v>1147</v>
      </c>
      <c r="CU215" s="57">
        <f>'2021'!CK14</f>
        <v>3604</v>
      </c>
      <c r="CV215" s="57">
        <f>'2021'!CL14</f>
        <v>16</v>
      </c>
      <c r="CW215" s="57">
        <f>'2021'!CM14</f>
        <v>42</v>
      </c>
      <c r="CX215" s="57">
        <f>'2021'!CN14</f>
        <v>198</v>
      </c>
      <c r="CY215" s="57">
        <f>'2021'!CO14</f>
        <v>56</v>
      </c>
      <c r="CZ215" s="58">
        <f>'2021'!CP14</f>
        <v>5.8</v>
      </c>
      <c r="DA215" s="58">
        <f>'2021'!CQ14</f>
        <v>115</v>
      </c>
      <c r="DB215" s="58">
        <f>'2021'!CR14</f>
        <v>3.8</v>
      </c>
      <c r="DC215" s="58">
        <f>'2021'!CS14</f>
        <v>28.3</v>
      </c>
      <c r="DD215" s="57">
        <f>'2021'!CT14</f>
        <v>70</v>
      </c>
      <c r="DE215" s="57">
        <f>'2021'!CU14</f>
        <v>3314</v>
      </c>
      <c r="DF215" s="57">
        <f>'2021'!CV14</f>
        <v>10</v>
      </c>
      <c r="DG215" s="57">
        <f>'2021'!CW14</f>
        <v>0</v>
      </c>
      <c r="DH215" s="59">
        <f>'2021'!CX14</f>
        <v>27</v>
      </c>
      <c r="DI215" s="56">
        <f>'2021'!CY14</f>
        <v>869</v>
      </c>
      <c r="DJ215" s="57">
        <f>'2021'!CZ14</f>
        <v>2343</v>
      </c>
      <c r="DK215" s="57">
        <f>'2021'!DA14</f>
        <v>8</v>
      </c>
      <c r="DL215" s="57">
        <f>'2021'!DB14</f>
        <v>25</v>
      </c>
      <c r="DM215" s="57">
        <f>'2021'!DC14</f>
        <v>141</v>
      </c>
      <c r="DN215" s="57">
        <f>'2021'!DD14</f>
        <v>41</v>
      </c>
      <c r="DO215" s="58">
        <f>'2021'!DE14</f>
        <v>6.2</v>
      </c>
      <c r="DP215" s="58">
        <f>'2021'!DF14</f>
        <v>120.8</v>
      </c>
      <c r="DQ215" s="58">
        <f>'2021'!DG14</f>
        <v>4.04</v>
      </c>
      <c r="DR215" s="58">
        <f>'2021'!DH14</f>
        <v>43.4</v>
      </c>
      <c r="DS215" s="57">
        <f>'2021'!DI14</f>
        <v>153</v>
      </c>
      <c r="DT215" s="57">
        <f>'2021'!DJ14</f>
        <v>2294</v>
      </c>
      <c r="DU215" s="57">
        <f>'2021'!DK14</f>
        <v>16</v>
      </c>
      <c r="DV215" s="57">
        <f>'2021'!DL14</f>
        <v>0</v>
      </c>
      <c r="DW215" s="59">
        <f>'2021'!DM14</f>
        <v>20</v>
      </c>
    </row>
    <row r="216" spans="1:127" ht="15.75" customHeight="1" x14ac:dyDescent="0.2">
      <c r="A216" s="33">
        <f t="shared" si="36"/>
        <v>214</v>
      </c>
      <c r="B216" s="11">
        <f>'2026 - WIP'!A17</f>
        <v>15</v>
      </c>
      <c r="C216" s="11">
        <v>2026</v>
      </c>
      <c r="D216" s="34" t="str">
        <f>'2026 - WIP'!B17</f>
        <v>Roman Hemby</v>
      </c>
      <c r="E216" s="224" t="str" cm="1">
        <f t="array" ref="E216">_xlfn.IFS(F216&gt;=13,"Cornerstone",AND(F216&gt;=12,F216&lt;13),"Elite",AND(F216&gt;=11,F216&lt;12),"Elite Upside",AND(F216&gt;=9,F216&lt;11),"Upside",AND(F216&gt;=7,F216&lt;9),"Upside Lite",AND(F216&gt;=6,F216&lt;7),"Outlier",AND(F216&gt;=5,F216&lt;6),"Outlier Lite",F216&lt;5,"Purgatory")</f>
        <v>Outlier Lite</v>
      </c>
      <c r="F216" s="14">
        <f>'2026 - WIP'!C17</f>
        <v>5.3888888888888893</v>
      </c>
      <c r="G216" s="14">
        <f t="shared" si="41"/>
        <v>34.5</v>
      </c>
      <c r="H216" s="35">
        <f t="shared" si="37"/>
        <v>-1.1061078383462293</v>
      </c>
      <c r="I216" s="36" t="str">
        <f>'2026 - WIP'!D17</f>
        <v>Indiana</v>
      </c>
      <c r="J216" s="37">
        <f>'2026 - WIP'!E17</f>
        <v>2</v>
      </c>
      <c r="K216" s="38">
        <f>'2026 - WIP'!F17</f>
        <v>37484</v>
      </c>
      <c r="L216" s="39">
        <f>'2026 - WIP'!G17</f>
        <v>23.13150684931507</v>
      </c>
      <c r="M216" s="39" t="str">
        <f>'2026 - WIP'!H17</f>
        <v>RS SR</v>
      </c>
      <c r="N216" s="39">
        <f>'2026 - WIP'!I17</f>
        <v>21.712328767123289</v>
      </c>
      <c r="O216" s="39" t="str">
        <f t="shared" si="38"/>
        <v>BELL COW</v>
      </c>
      <c r="P216" s="39" t="str">
        <f>IF(OR(AND($AA216&lt;0.25,$AO216&gt;=0.133,AE216&gt;4%),(AND($O216="JITTERBUG",$AO216&gt;0.11)),(AND($O216="JITTERBUG",$AE216&gt;9.5%))),"+RECEIVER",IF(AND($AJ216&gt;=0.25,$AQ216&gt;=3.81),"3DOWN",IF($AQ216&gt;=3.81,"HORSE",IF(OR(AJ216&gt;0.28,AK216&gt;7,AR216&gt;47),"SLASHER",IF(AO216&gt;0.19,"+RECEIVER","PLODDER")))))</f>
        <v>+RECEIVER</v>
      </c>
      <c r="Q216" s="37">
        <f>'2026 - WIP'!J17</f>
        <v>72</v>
      </c>
      <c r="R216" s="37">
        <f>'2026 - WIP'!K17</f>
        <v>200</v>
      </c>
      <c r="S216" s="39">
        <f t="shared" si="40"/>
        <v>27.124575854089979</v>
      </c>
      <c r="T216" s="39">
        <f>'2026 - WIP'!L17</f>
        <v>4.55</v>
      </c>
      <c r="U216" s="55">
        <f>'2026 - WIP'!M17</f>
        <v>0</v>
      </c>
      <c r="V216" s="41">
        <f>'2026 - WIP'!N17</f>
        <v>5.430273776302888E-2</v>
      </c>
      <c r="W216" s="42">
        <f>'2026 - WIP'!O17</f>
        <v>0.24964077018871539</v>
      </c>
      <c r="X216" s="42">
        <f>'2026 - WIP'!P17</f>
        <v>0.20357901845121057</v>
      </c>
      <c r="Y216" s="42">
        <f>'2026 - WIP'!Q17</f>
        <v>0.18994172242607382</v>
      </c>
      <c r="Z216" s="42">
        <f>'2026 - WIP'!R17</f>
        <v>0.13151927437641722</v>
      </c>
      <c r="AA216" s="42">
        <f>'2026 - WIP'!S17</f>
        <v>0.19058002228256632</v>
      </c>
      <c r="AB216" s="42">
        <f>'2026 - WIP'!T17</f>
        <v>0.19058002228256632</v>
      </c>
      <c r="AC216" s="42">
        <f>'2026 - WIP'!U17</f>
        <v>8.2527206771463121E-2</v>
      </c>
      <c r="AD216" s="42">
        <f>'2026 - WIP'!V17</f>
        <v>3.9906103286384977E-2</v>
      </c>
      <c r="AE216" s="42">
        <f>'2026 - WIP'!W17</f>
        <v>6.1216655028924052E-2</v>
      </c>
      <c r="AF216" s="43">
        <f>'2026 - WIP'!X17</f>
        <v>6.1216655028924052E-2</v>
      </c>
      <c r="AG216" s="44">
        <f>'2026 - WIP'!Y17</f>
        <v>18.057534246575344</v>
      </c>
      <c r="AH216" s="45">
        <f>'2026 - WIP'!Z17</f>
        <v>93.32852555322637</v>
      </c>
      <c r="AI216" s="45">
        <f>'2026 - WIP'!AA17</f>
        <v>27.121913580246911</v>
      </c>
      <c r="AJ216" s="45">
        <f>'2026 - WIP'!AB17</f>
        <v>0.33333333333333331</v>
      </c>
      <c r="AK216" s="45">
        <f>'2026 - WIP'!AC17</f>
        <v>5.5</v>
      </c>
      <c r="AL216" s="45">
        <f t="shared" si="39"/>
        <v>8.4521739130434774</v>
      </c>
      <c r="AM216" s="45">
        <f t="shared" si="43"/>
        <v>5.2631578947368418E-2</v>
      </c>
      <c r="AN216" s="45">
        <f>'2026 - WIP'!AD17</f>
        <v>147.4</v>
      </c>
      <c r="AO216" s="45">
        <f>'2026 - WIP'!AE17</f>
        <v>3.76</v>
      </c>
      <c r="AP216" s="46">
        <f>'2026 - WIP'!AF17</f>
        <v>39.799999999999997</v>
      </c>
      <c r="AQ216" s="47">
        <f>'2026 - WIP'!AG17</f>
        <v>3</v>
      </c>
      <c r="AR216" s="48">
        <f>'2026 - WIP'!AH17</f>
        <v>6</v>
      </c>
      <c r="AS216" s="48">
        <f>'2026 - WIP'!AI17</f>
        <v>10</v>
      </c>
      <c r="AT216" s="48">
        <f>'2026 - WIP'!AJ17</f>
        <v>2</v>
      </c>
      <c r="AU216" s="48">
        <f>'2026 - WIP'!AK17</f>
        <v>9</v>
      </c>
      <c r="AV216" s="48">
        <f>'2026 - WIP'!AL17</f>
        <v>3</v>
      </c>
      <c r="AW216" s="48">
        <f>'2026 - WIP'!AM17</f>
        <v>7</v>
      </c>
      <c r="AX216" s="48">
        <f>'2026 - WIP'!AN17</f>
        <v>3</v>
      </c>
      <c r="AY216" s="49">
        <f>'2026 - WIP'!AO17</f>
        <v>0</v>
      </c>
      <c r="AZ216" s="50">
        <f>'2026 - WIP'!AP17</f>
        <v>0</v>
      </c>
      <c r="BA216" s="56">
        <f>'2026 - WIP'!AQ17</f>
        <v>71</v>
      </c>
      <c r="BB216" s="57">
        <f>'2026 - WIP'!AR17</f>
        <v>411.90000000000003</v>
      </c>
      <c r="BC216" s="57">
        <f>'2026 - WIP'!AS17</f>
        <v>2</v>
      </c>
      <c r="BD216" s="57">
        <f>'2026 - WIP'!AT17</f>
        <v>4.5</v>
      </c>
      <c r="BE216" s="57">
        <f>'2026 - WIP'!AU17</f>
        <v>17</v>
      </c>
      <c r="BF216" s="57">
        <f>'2026 - WIP'!AV17</f>
        <v>1</v>
      </c>
      <c r="BG216" s="58">
        <f>'2026 - WIP'!AW17</f>
        <v>4.1764705882352944</v>
      </c>
      <c r="BH216" s="58">
        <f>'2026 - WIP'!AX17</f>
        <v>15.4</v>
      </c>
      <c r="BI216" s="58">
        <f>'2026 - WIP'!AY17</f>
        <v>2.76</v>
      </c>
      <c r="BJ216" s="58">
        <f>'2026 - WIP'!AZ17</f>
        <v>0</v>
      </c>
      <c r="BK216" s="57">
        <f>'2026 - WIP'!BA17</f>
        <v>1</v>
      </c>
      <c r="BL216" s="57">
        <f>'2026 - WIP'!BB17</f>
        <v>914</v>
      </c>
      <c r="BM216" s="57">
        <f>'2026 - WIP'!BC17</f>
        <v>1</v>
      </c>
      <c r="BN216" s="57">
        <f>'2026 - WIP'!BD17</f>
        <v>0</v>
      </c>
      <c r="BO216" s="59">
        <f>'2026 - WIP'!BE17</f>
        <v>6.3000000000000007</v>
      </c>
      <c r="BP216" s="56">
        <f>'2026 - WIP'!BF17</f>
        <v>988</v>
      </c>
      <c r="BQ216" s="57">
        <f>'2026 - WIP'!BG17</f>
        <v>1836.9</v>
      </c>
      <c r="BR216" s="57">
        <f>'2026 - WIP'!BH17</f>
        <v>10</v>
      </c>
      <c r="BS216" s="57">
        <f>'2026 - WIP'!BI17</f>
        <v>23.400000000000002</v>
      </c>
      <c r="BT216" s="57">
        <f>'2026 - WIP'!BJ17</f>
        <v>187</v>
      </c>
      <c r="BU216" s="57">
        <f>'2026 - WIP'!BK17</f>
        <v>36</v>
      </c>
      <c r="BV216" s="58">
        <f>'2026 - WIP'!BL17</f>
        <v>5.2834224598930479</v>
      </c>
      <c r="BW216" s="58">
        <f>'2026 - WIP'!BM17</f>
        <v>57.2</v>
      </c>
      <c r="BX216" s="58">
        <f>'2026 - WIP'!BN17</f>
        <v>2.81</v>
      </c>
      <c r="BY216" s="58">
        <f>'2026 - WIP'!BO17</f>
        <v>36</v>
      </c>
      <c r="BZ216" s="57">
        <f>'2026 - WIP'!BP17</f>
        <v>315</v>
      </c>
      <c r="CA216" s="57">
        <f>'2026 - WIP'!BQ17</f>
        <v>3382.6</v>
      </c>
      <c r="CB216" s="57">
        <f>'2026 - WIP'!BR17</f>
        <v>34</v>
      </c>
      <c r="CC216" s="57">
        <f>'2026 - WIP'!BS17</f>
        <v>1</v>
      </c>
      <c r="CD216" s="59">
        <f>'2026 - WIP'!BT17</f>
        <v>20.8</v>
      </c>
      <c r="CE216" s="56">
        <f>'2026 - WIP'!BU17</f>
        <v>676</v>
      </c>
      <c r="CF216" s="57">
        <f>'2026 - WIP'!BV17</f>
        <v>1409.2</v>
      </c>
      <c r="CG216" s="57">
        <f>'2026 - WIP'!BW17</f>
        <v>4</v>
      </c>
      <c r="CH216" s="57">
        <f>'2026 - WIP'!BX17</f>
        <v>19.5</v>
      </c>
      <c r="CI216" s="57">
        <f>'2026 - WIP'!BY17</f>
        <v>142</v>
      </c>
      <c r="CJ216" s="57">
        <f>'2026 - WIP'!BZ17</f>
        <v>29</v>
      </c>
      <c r="CK216" s="58">
        <f>'2026 - WIP'!CA17</f>
        <v>4.8</v>
      </c>
      <c r="CL216" s="58">
        <f>'2026 - WIP'!CB17</f>
        <v>85.7</v>
      </c>
      <c r="CM216" s="58">
        <f>'2026 - WIP'!CC17</f>
        <v>3.76</v>
      </c>
      <c r="CN216" s="58">
        <f>'2026 - WIP'!CD17</f>
        <v>39.799999999999997</v>
      </c>
      <c r="CO216" s="57">
        <f>'2026 - WIP'!CE17</f>
        <v>349</v>
      </c>
      <c r="CP216" s="57">
        <f>'2026 - WIP'!CF17</f>
        <v>3625.7</v>
      </c>
      <c r="CQ216" s="57">
        <f>'2026 - WIP'!CG17</f>
        <v>38</v>
      </c>
      <c r="CR216" s="57">
        <f>'2026 - WIP'!CH17</f>
        <v>3</v>
      </c>
      <c r="CS216" s="59">
        <f>'2026 - WIP'!CI17</f>
        <v>27.3</v>
      </c>
      <c r="CT216" s="56">
        <f>'2026 - WIP'!CJ17</f>
        <v>607</v>
      </c>
      <c r="CU216" s="57">
        <f>'2026 - WIP'!CK17</f>
        <v>1325</v>
      </c>
      <c r="CV216" s="57">
        <f>'2026 - WIP'!CL17</f>
        <v>6</v>
      </c>
      <c r="CW216" s="57">
        <f>'2026 - WIP'!CM17</f>
        <v>15</v>
      </c>
      <c r="CX216" s="57">
        <f>'2026 - WIP'!CN17</f>
        <v>134</v>
      </c>
      <c r="CY216" s="57">
        <f>'2026 - WIP'!CO17</f>
        <v>26</v>
      </c>
      <c r="CZ216" s="58">
        <f>'2026 - WIP'!CP17</f>
        <v>4.5298507462686564</v>
      </c>
      <c r="DA216" s="58">
        <f>'2026 - WIP'!CQ17</f>
        <v>61.6</v>
      </c>
      <c r="DB216" s="58">
        <f>'2026 - WIP'!CR17</f>
        <v>2.98</v>
      </c>
      <c r="DC216" s="58">
        <f>'2026 - WIP'!CS17</f>
        <v>29.2</v>
      </c>
      <c r="DD216" s="57">
        <f>'2026 - WIP'!CT17</f>
        <v>273</v>
      </c>
      <c r="DE216" s="57">
        <f>'2026 - WIP'!CU17</f>
        <v>3308</v>
      </c>
      <c r="DF216" s="57">
        <f>'2026 - WIP'!CV17</f>
        <v>40</v>
      </c>
      <c r="DG216" s="57">
        <f>'2026 - WIP'!CW17</f>
        <v>1</v>
      </c>
      <c r="DH216" s="59">
        <f>'2026 - WIP'!CX17</f>
        <v>21</v>
      </c>
      <c r="DI216" s="56">
        <f>'2026 - WIP'!CY17</f>
        <v>198</v>
      </c>
      <c r="DJ216" s="57">
        <f>'2026 - WIP'!CZ17</f>
        <v>912</v>
      </c>
      <c r="DK216" s="57">
        <f>'2026 - WIP'!DA17</f>
        <v>0</v>
      </c>
      <c r="DL216" s="57">
        <f>'2026 - WIP'!DB17</f>
        <v>0</v>
      </c>
      <c r="DM216" s="57">
        <f>'2026 - WIP'!DC17</f>
        <v>36</v>
      </c>
      <c r="DN216" s="57">
        <f>'2026 - WIP'!DD17</f>
        <v>12</v>
      </c>
      <c r="DO216" s="58">
        <f>'2026 - WIP'!DE17</f>
        <v>5.5</v>
      </c>
      <c r="DP216" s="58">
        <f>'2026 - WIP'!DF17</f>
        <v>147.4</v>
      </c>
      <c r="DQ216" s="58">
        <f>'2026 - WIP'!DG17</f>
        <v>3.5</v>
      </c>
      <c r="DR216" s="58">
        <f>'2026 - WIP'!DH17</f>
        <v>34.799999999999997</v>
      </c>
      <c r="DS216" s="57">
        <f>'2026 - WIP'!DI17</f>
        <v>34</v>
      </c>
      <c r="DT216" s="57">
        <f>'2026 - WIP'!DJ17</f>
        <v>852</v>
      </c>
      <c r="DU216" s="57">
        <f>'2026 - WIP'!DK17</f>
        <v>2</v>
      </c>
      <c r="DV216" s="57">
        <f>'2026 - WIP'!DL17</f>
        <v>0</v>
      </c>
      <c r="DW216" s="59">
        <f>'2026 - WIP'!DM17</f>
        <v>0</v>
      </c>
    </row>
    <row r="217" spans="1:127" ht="15.75" customHeight="1" x14ac:dyDescent="0.2">
      <c r="A217" s="33">
        <f t="shared" si="36"/>
        <v>215</v>
      </c>
      <c r="B217" s="11">
        <f>'2015'!A18</f>
        <v>16</v>
      </c>
      <c r="C217" s="11">
        <v>2015</v>
      </c>
      <c r="D217" s="34" t="str">
        <f>'2015'!B18</f>
        <v>Jeremy Langford</v>
      </c>
      <c r="E217" s="224" t="str" cm="1">
        <f t="array" ref="E217">_xlfn.IFS(F217&gt;=13,"Cornerstone",AND(F217&gt;=12,F217&lt;13),"Elite",AND(F217&gt;=11,F217&lt;12),"Elite Upside",AND(F217&gt;=9,F217&lt;11),"Upside",AND(F217&gt;=7,F217&lt;9),"Upside Lite",AND(F217&gt;=6,F217&lt;7),"Outlier",AND(F217&gt;=5,F217&lt;6),"Outlier Lite",F217&lt;5,"Purgatory")</f>
        <v>Outlier Lite</v>
      </c>
      <c r="F217" s="14">
        <f>'2015'!C18</f>
        <v>5.3833333333333337</v>
      </c>
      <c r="G217" s="14">
        <f t="shared" si="41"/>
        <v>34.200000000000003</v>
      </c>
      <c r="H217" s="35">
        <f t="shared" si="37"/>
        <v>-1.1084590887031163</v>
      </c>
      <c r="I217" s="36" t="str">
        <f>'2015'!D18</f>
        <v>Michigan State</v>
      </c>
      <c r="J217" s="37">
        <f>'2015'!E18</f>
        <v>2</v>
      </c>
      <c r="K217" s="38">
        <f>'2015'!F18</f>
        <v>33578</v>
      </c>
      <c r="L217" s="39">
        <f>'2015'!G18</f>
        <v>33.832876712328769</v>
      </c>
      <c r="M217" s="39" t="str">
        <f>'2015'!H18</f>
        <v>SR</v>
      </c>
      <c r="N217" s="39">
        <f>'2015'!I18</f>
        <v>23.405479452054795</v>
      </c>
      <c r="O217" s="39" t="str">
        <f t="shared" si="38"/>
        <v>DYNAMIC</v>
      </c>
      <c r="P217" s="39" t="str">
        <f t="shared" ref="P217:P240" si="44">IF(OR(AND($AA217&lt;0.25,$AM217&gt;=0.133,AE217&gt;4%),(AND($O217="JITTERBUG",$AM217&gt;0.11)),(AND($O217="JITTERBUG",$AE217&gt;9.5%))),"+RECEIVER",IF(AND($AJ217&gt;=0.25,$AO217&gt;=3.81),"3DOWN",IF($AO217&gt;=3.81,"HORSE",IF(OR(AJ217&gt;0.28,AK217&gt;7,AP217&gt;47),"SLASHER",IF(AM217&gt;0.19,"+RECEIVER","PLODDER")))))</f>
        <v>PLODDER</v>
      </c>
      <c r="Q217" s="37">
        <f>'2015'!J18</f>
        <v>72</v>
      </c>
      <c r="R217" s="37">
        <f>'2015'!K18</f>
        <v>208</v>
      </c>
      <c r="S217" s="39">
        <f t="shared" si="40"/>
        <v>28.209558888253582</v>
      </c>
      <c r="T217" s="39">
        <f>'2015'!L18</f>
        <v>4.42</v>
      </c>
      <c r="U217" s="55">
        <f>'2015'!M18</f>
        <v>4</v>
      </c>
      <c r="V217" s="41">
        <f>'2015'!N18</f>
        <v>0</v>
      </c>
      <c r="W217" s="42">
        <f>'2015'!O18</f>
        <v>0</v>
      </c>
      <c r="X217" s="42">
        <f>'2015'!P18</f>
        <v>0</v>
      </c>
      <c r="Y217" s="42">
        <f>'2015'!Q18</f>
        <v>0.29256994626644434</v>
      </c>
      <c r="Z217" s="42">
        <f>'2015'!R18</f>
        <v>0.24361022364217252</v>
      </c>
      <c r="AA217" s="42">
        <f>'2015'!S18</f>
        <v>0.26809008495430842</v>
      </c>
      <c r="AB217" s="42">
        <f>'2015'!T18</f>
        <v>0.26809008495430842</v>
      </c>
      <c r="AC217" s="42">
        <f>'2015'!U18</f>
        <v>6.4529387587340725E-2</v>
      </c>
      <c r="AD217" s="42">
        <f>'2015'!V18</f>
        <v>1.8246061167747914E-2</v>
      </c>
      <c r="AE217" s="42">
        <f>'2015'!W18</f>
        <v>4.1387724377544316E-2</v>
      </c>
      <c r="AF217" s="43">
        <f>'2015'!X18</f>
        <v>4.1387724377544316E-2</v>
      </c>
      <c r="AG217" s="44">
        <f>'2015'!Y18</f>
        <v>21.753424657534246</v>
      </c>
      <c r="AH217" s="45">
        <f>'2015'!Z18</f>
        <v>108.994417126114</v>
      </c>
      <c r="AI217" s="45">
        <f>'2015'!AA18</f>
        <v>28.206790123456788</v>
      </c>
      <c r="AJ217" s="45">
        <f>'2015'!AB18</f>
        <v>0.12363636363636364</v>
      </c>
      <c r="AK217" s="45">
        <f>'2015'!AC18</f>
        <v>5.5381818181818181</v>
      </c>
      <c r="AL217" s="45">
        <f t="shared" si="39"/>
        <v>5.6410256410256414</v>
      </c>
      <c r="AM217" s="45">
        <f t="shared" si="43"/>
        <v>3.8461538461538464E-2</v>
      </c>
      <c r="AN217" s="45">
        <f>'2015'!AD18</f>
        <v>36.700000000000003</v>
      </c>
      <c r="AO217" s="45">
        <f>'2015'!AE18</f>
        <v>2.92</v>
      </c>
      <c r="AP217" s="46">
        <f>'2015'!AF18</f>
        <v>38.299999999999997</v>
      </c>
      <c r="AQ217" s="47">
        <f>'2015'!AG18</f>
        <v>7</v>
      </c>
      <c r="AR217" s="48">
        <f>'2015'!AH18</f>
        <v>4</v>
      </c>
      <c r="AS217" s="48">
        <f>'2015'!AI18</f>
        <v>2</v>
      </c>
      <c r="AT217" s="48">
        <f>'2015'!AJ18</f>
        <v>9</v>
      </c>
      <c r="AU217" s="48">
        <f>'2015'!AK18</f>
        <v>0</v>
      </c>
      <c r="AV217" s="48">
        <f>'2015'!AL18</f>
        <v>3</v>
      </c>
      <c r="AW217" s="48">
        <f>'2015'!AM18</f>
        <v>0</v>
      </c>
      <c r="AX217" s="48">
        <f>'2015'!AN18</f>
        <v>1</v>
      </c>
      <c r="AY217" s="49">
        <f>'2015'!AO18</f>
        <v>4</v>
      </c>
      <c r="AZ217" s="50">
        <f>'2015'!AP18</f>
        <v>0</v>
      </c>
      <c r="BA217" s="56">
        <f>'2015'!AQ18</f>
        <v>0</v>
      </c>
      <c r="BB217" s="57">
        <f>'2015'!AR18</f>
        <v>1</v>
      </c>
      <c r="BC217" s="57">
        <f>'2015'!AS18</f>
        <v>0</v>
      </c>
      <c r="BD217" s="57">
        <f>'2015'!AT18</f>
        <v>0</v>
      </c>
      <c r="BE217" s="57">
        <f>'2015'!AU18</f>
        <v>0</v>
      </c>
      <c r="BF217" s="57">
        <f>'2015'!AV18</f>
        <v>0</v>
      </c>
      <c r="BG217" s="58">
        <f>'2015'!AW18</f>
        <v>0</v>
      </c>
      <c r="BH217" s="58">
        <f>'2015'!AX18</f>
        <v>0</v>
      </c>
      <c r="BI217" s="58">
        <f>'2015'!AY18</f>
        <v>0</v>
      </c>
      <c r="BJ217" s="58">
        <f>'2015'!AZ18</f>
        <v>0</v>
      </c>
      <c r="BK217" s="57">
        <f>'2015'!BA18</f>
        <v>0</v>
      </c>
      <c r="BL217" s="57">
        <f>'2015'!BB18</f>
        <v>1</v>
      </c>
      <c r="BM217" s="57">
        <f>'2015'!BC18</f>
        <v>0</v>
      </c>
      <c r="BN217" s="57">
        <f>'2015'!BD18</f>
        <v>0</v>
      </c>
      <c r="BO217" s="59">
        <f>'2015'!BE18</f>
        <v>0</v>
      </c>
      <c r="BP217" s="56">
        <f>'2015'!BF18</f>
        <v>0</v>
      </c>
      <c r="BQ217" s="57">
        <f>'2015'!BG18</f>
        <v>1</v>
      </c>
      <c r="BR217" s="57">
        <f>'2015'!BH18</f>
        <v>0</v>
      </c>
      <c r="BS217" s="57">
        <f>'2015'!BI18</f>
        <v>0</v>
      </c>
      <c r="BT217" s="57">
        <f>'2015'!BJ18</f>
        <v>0</v>
      </c>
      <c r="BU217" s="57">
        <f>'2015'!BK18</f>
        <v>0</v>
      </c>
      <c r="BV217" s="58">
        <f>'2015'!BL18</f>
        <v>0</v>
      </c>
      <c r="BW217" s="58">
        <f>'2015'!BM18</f>
        <v>0</v>
      </c>
      <c r="BX217" s="58">
        <f>'2015'!BN18</f>
        <v>0</v>
      </c>
      <c r="BY217" s="58">
        <f>'2015'!BO18</f>
        <v>0</v>
      </c>
      <c r="BZ217" s="57">
        <f>'2015'!BP18</f>
        <v>0</v>
      </c>
      <c r="CA217" s="57">
        <f>'2015'!BQ18</f>
        <v>1</v>
      </c>
      <c r="CB217" s="57">
        <f>'2015'!BR18</f>
        <v>0</v>
      </c>
      <c r="CC217" s="57">
        <f>'2015'!BS18</f>
        <v>0</v>
      </c>
      <c r="CD217" s="59">
        <f>'2015'!BT18</f>
        <v>0</v>
      </c>
      <c r="CE217" s="56">
        <f>'2015'!BU18</f>
        <v>0</v>
      </c>
      <c r="CF217" s="57">
        <f>'2015'!BV18</f>
        <v>1</v>
      </c>
      <c r="CG217" s="57">
        <f>'2015'!BW18</f>
        <v>0</v>
      </c>
      <c r="CH217" s="57">
        <f>'2015'!BX18</f>
        <v>0</v>
      </c>
      <c r="CI217" s="57">
        <f>'2015'!BY18</f>
        <v>0</v>
      </c>
      <c r="CJ217" s="57">
        <f>'2015'!BZ18</f>
        <v>0</v>
      </c>
      <c r="CK217" s="58">
        <f>'2015'!CA18</f>
        <v>0</v>
      </c>
      <c r="CL217" s="58">
        <f>'2015'!CB18</f>
        <v>0</v>
      </c>
      <c r="CM217" s="58">
        <f>'2015'!CC18</f>
        <v>0</v>
      </c>
      <c r="CN217" s="58">
        <f>'2015'!CD18</f>
        <v>0</v>
      </c>
      <c r="CO217" s="57">
        <f>'2015'!CE18</f>
        <v>0</v>
      </c>
      <c r="CP217" s="57">
        <f>'2015'!CF18</f>
        <v>1</v>
      </c>
      <c r="CQ217" s="57">
        <f>'2015'!CG18</f>
        <v>0</v>
      </c>
      <c r="CR217" s="57">
        <f>'2015'!CH18</f>
        <v>0</v>
      </c>
      <c r="CS217" s="59">
        <f>'2015'!CI18</f>
        <v>0</v>
      </c>
      <c r="CT217" s="56">
        <f>'2015'!CJ18</f>
        <v>1422</v>
      </c>
      <c r="CU217" s="57">
        <f>'2015'!CK18</f>
        <v>2964</v>
      </c>
      <c r="CV217" s="57">
        <f>'2015'!CL18</f>
        <v>18</v>
      </c>
      <c r="CW217" s="57">
        <f>'2015'!CM18</f>
        <v>0</v>
      </c>
      <c r="CX217" s="57">
        <f>'2015'!CN18</f>
        <v>292</v>
      </c>
      <c r="CY217" s="57">
        <f>'2015'!CO18</f>
        <v>0</v>
      </c>
      <c r="CZ217" s="58">
        <f>'2015'!CP18</f>
        <v>4.8698630136986303</v>
      </c>
      <c r="DA217" s="58">
        <f>'2015'!CQ18</f>
        <v>0</v>
      </c>
      <c r="DB217" s="58">
        <f>'2015'!CR18</f>
        <v>0</v>
      </c>
      <c r="DC217" s="58">
        <f>'2015'!CS18</f>
        <v>0</v>
      </c>
      <c r="DD217" s="57">
        <f>'2015'!CT18</f>
        <v>157</v>
      </c>
      <c r="DE217" s="57">
        <f>'2015'!CU18</f>
        <v>2433</v>
      </c>
      <c r="DF217" s="57">
        <f>'2015'!CV18</f>
        <v>28</v>
      </c>
      <c r="DG217" s="57">
        <f>'2015'!CW18</f>
        <v>1</v>
      </c>
      <c r="DH217" s="59">
        <f>'2015'!CX18</f>
        <v>0</v>
      </c>
      <c r="DI217" s="56">
        <f>'2015'!CY18</f>
        <v>1523</v>
      </c>
      <c r="DJ217" s="57">
        <f>'2015'!CZ18</f>
        <v>3057.6</v>
      </c>
      <c r="DK217" s="57">
        <f>'2015'!DA18</f>
        <v>22</v>
      </c>
      <c r="DL217" s="57">
        <f>'2015'!DB18</f>
        <v>44.199999999999996</v>
      </c>
      <c r="DM217" s="57">
        <f>'2015'!DC18</f>
        <v>275</v>
      </c>
      <c r="DN217" s="57">
        <f>'2015'!DD18</f>
        <v>34</v>
      </c>
      <c r="DO217" s="58">
        <f>'2015'!DE18</f>
        <v>5.5381818181818181</v>
      </c>
      <c r="DP217" s="58">
        <f>'2015'!DF18</f>
        <v>36.700000000000003</v>
      </c>
      <c r="DQ217" s="58">
        <f>'2015'!DG18</f>
        <v>2.92</v>
      </c>
      <c r="DR217" s="58">
        <f>'2015'!DH18</f>
        <v>38.299999999999997</v>
      </c>
      <c r="DS217" s="57">
        <f>'2015'!DI18</f>
        <v>63</v>
      </c>
      <c r="DT217" s="57">
        <f>'2015'!DJ18</f>
        <v>3452.8</v>
      </c>
      <c r="DU217" s="57">
        <f>'2015'!DK18</f>
        <v>11</v>
      </c>
      <c r="DV217" s="57">
        <f>'2015'!DL18</f>
        <v>0</v>
      </c>
      <c r="DW217" s="59">
        <f>'2015'!DM18</f>
        <v>26</v>
      </c>
    </row>
    <row r="218" spans="1:127" ht="15.75" customHeight="1" x14ac:dyDescent="0.2">
      <c r="A218" s="33">
        <f t="shared" si="36"/>
        <v>216</v>
      </c>
      <c r="B218" s="11">
        <f>'2023'!A20</f>
        <v>18</v>
      </c>
      <c r="C218" s="11">
        <v>2023</v>
      </c>
      <c r="D218" s="34" t="str">
        <f>'2023'!B20</f>
        <v>Keaton Mitchell</v>
      </c>
      <c r="E218" s="224" t="str" cm="1">
        <f t="array" ref="E218">_xlfn.IFS(F218&gt;=13,"Cornerstone",AND(F218&gt;=12,F218&lt;13),"Elite",AND(F218&gt;=11,F218&lt;12),"Elite Upside",AND(F218&gt;=9,F218&lt;11),"Upside",AND(F218&gt;=7,F218&lt;9),"Upside Lite",AND(F218&gt;=6,F218&lt;7),"Outlier",AND(F218&gt;=5,F218&lt;6),"Outlier Lite",F218&lt;5,"Purgatory")</f>
        <v>Outlier Lite</v>
      </c>
      <c r="F218" s="14">
        <f>'2023'!C20</f>
        <v>5.3777777777777782</v>
      </c>
      <c r="G218" s="14">
        <f t="shared" si="41"/>
        <v>33.900000000000006</v>
      </c>
      <c r="H218" s="35">
        <f t="shared" si="37"/>
        <v>-1.110810339060003</v>
      </c>
      <c r="I218" s="36" t="str">
        <f>'2023'!D20</f>
        <v>ECU</v>
      </c>
      <c r="J218" s="37">
        <f>'2023'!E20</f>
        <v>6</v>
      </c>
      <c r="K218" s="38">
        <f>'2023'!F20</f>
        <v>37273</v>
      </c>
      <c r="L218" s="39">
        <f>'2023'!G20</f>
        <v>23.709589041095889</v>
      </c>
      <c r="M218" s="39" t="str">
        <f>'2023'!H20</f>
        <v>JR</v>
      </c>
      <c r="N218" s="39">
        <f>'2023'!I20</f>
        <v>21.287671232876711</v>
      </c>
      <c r="O218" s="39" t="str">
        <f t="shared" si="38"/>
        <v>JITTERBUG</v>
      </c>
      <c r="P218" s="39" t="str">
        <f t="shared" si="44"/>
        <v>+RECEIVER</v>
      </c>
      <c r="Q218" s="37">
        <f>'2023'!J20</f>
        <v>68</v>
      </c>
      <c r="R218" s="37">
        <f>'2023'!K20</f>
        <v>179</v>
      </c>
      <c r="S218" s="39">
        <f t="shared" si="40"/>
        <v>27.216555384667867</v>
      </c>
      <c r="T218" s="37">
        <f>'2023'!L20</f>
        <v>4.37</v>
      </c>
      <c r="U218" s="40">
        <f>'2023'!M20</f>
        <v>0</v>
      </c>
      <c r="V218" s="41">
        <f>'2023'!N20</f>
        <v>0</v>
      </c>
      <c r="W218" s="42">
        <f>'2023'!O20</f>
        <v>0</v>
      </c>
      <c r="X218" s="42">
        <f>'2023'!P20</f>
        <v>0.14210816777041943</v>
      </c>
      <c r="Y218" s="42">
        <f>'2023'!Q20</f>
        <v>0.26375529049634477</v>
      </c>
      <c r="Z218" s="42">
        <f>'2023'!R20</f>
        <v>0.2839506172839506</v>
      </c>
      <c r="AA218" s="42">
        <f>'2023'!S20</f>
        <v>0.2839506172839506</v>
      </c>
      <c r="AB218" s="42">
        <f>'2023'!T20</f>
        <v>0.21296296296296297</v>
      </c>
      <c r="AC218" s="42">
        <f>'2023'!U20</f>
        <v>7.8177900892582336E-2</v>
      </c>
      <c r="AD218" s="42">
        <f>'2023'!V20</f>
        <v>6.6207627118644072E-2</v>
      </c>
      <c r="AE218" s="42">
        <f>'2023'!W20</f>
        <v>7.2192764005613197E-2</v>
      </c>
      <c r="AF218" s="43">
        <f>'2023'!X20</f>
        <v>5.4144573004209898E-2</v>
      </c>
      <c r="AG218" s="44">
        <f>'2023'!Y20</f>
        <v>19.646575342465752</v>
      </c>
      <c r="AH218" s="45">
        <f>'2023'!Z20</f>
        <v>98.16513739262372</v>
      </c>
      <c r="AI218" s="45">
        <f>'2023'!AA20</f>
        <v>27.213884083044984</v>
      </c>
      <c r="AJ218" s="45">
        <f>'2023'!AB20</f>
        <v>0.37313432835820898</v>
      </c>
      <c r="AK218" s="45">
        <f>'2023'!AC20</f>
        <v>7.2</v>
      </c>
      <c r="AL218" s="45">
        <f t="shared" si="39"/>
        <v>9.4918032786885238</v>
      </c>
      <c r="AM218" s="45">
        <f t="shared" si="43"/>
        <v>0.11842105263157894</v>
      </c>
      <c r="AN218" s="45">
        <f>'2023'!AD20</f>
        <v>126.4</v>
      </c>
      <c r="AO218" s="45">
        <f>'2023'!AE20</f>
        <v>3.6</v>
      </c>
      <c r="AP218" s="46">
        <f>'2023'!AF20</f>
        <v>57.7</v>
      </c>
      <c r="AQ218" s="47">
        <f>'2023'!AG20</f>
        <v>4</v>
      </c>
      <c r="AR218" s="48">
        <f>'2023'!AH20</f>
        <v>6</v>
      </c>
      <c r="AS218" s="48">
        <f>'2023'!AI20</f>
        <v>6</v>
      </c>
      <c r="AT218" s="48">
        <f>IF(AH218&gt;113.25,10,IF(AH218&gt;=107.84,9,IF(AH218&gt;=105.37,8,IF(AH218&gt;=103.25,7,IF(AH218&gt;=100.55,6,IF(AH218&gt;=98.75,5,IF(AH218&gt;=96.08,4,IF(AH218&gt;=94.39,3,IF(AH218&gt;=88.43,2,IF(AH218&gt;=85.16,1,IF(AH218&lt;85.16,0,FALSE)))))))))))</f>
        <v>4</v>
      </c>
      <c r="AU218" s="48">
        <f>'2023'!AK20</f>
        <v>10</v>
      </c>
      <c r="AV218" s="48">
        <f>'2023'!AL20</f>
        <v>8</v>
      </c>
      <c r="AW218" s="48">
        <f>'2023'!AM20</f>
        <v>6</v>
      </c>
      <c r="AX218" s="48">
        <f>'2023'!AN20</f>
        <v>2</v>
      </c>
      <c r="AY218" s="49">
        <f>'2023'!AO20</f>
        <v>0</v>
      </c>
      <c r="AZ218" s="50">
        <f>'2023'!AP20</f>
        <v>0</v>
      </c>
      <c r="BA218" s="56">
        <f>'2023'!AQ20</f>
        <v>0</v>
      </c>
      <c r="BB218" s="57">
        <f>'2023'!AR20</f>
        <v>1556</v>
      </c>
      <c r="BC218" s="57">
        <f>'2023'!AS20</f>
        <v>0</v>
      </c>
      <c r="BD218" s="57">
        <f>'2023'!AT20</f>
        <v>13</v>
      </c>
      <c r="BE218" s="57">
        <f>'2023'!AU20</f>
        <v>0</v>
      </c>
      <c r="BF218" s="57">
        <f>'2023'!AV20</f>
        <v>0</v>
      </c>
      <c r="BG218" s="58">
        <f>'2023'!AW20</f>
        <v>0</v>
      </c>
      <c r="BH218" s="58">
        <f>'2023'!AX20</f>
        <v>0</v>
      </c>
      <c r="BI218" s="58">
        <f>'2023'!AY20</f>
        <v>0</v>
      </c>
      <c r="BJ218" s="58">
        <f>'2023'!AZ20</f>
        <v>0</v>
      </c>
      <c r="BK218" s="57">
        <f>'2023'!BA20</f>
        <v>0</v>
      </c>
      <c r="BL218" s="57">
        <f>'2023'!BB20</f>
        <v>2417</v>
      </c>
      <c r="BM218" s="57">
        <f>'2023'!BC20</f>
        <v>0</v>
      </c>
      <c r="BN218" s="57">
        <f>'2023'!BD20</f>
        <v>0</v>
      </c>
      <c r="BO218" s="59">
        <f>'2023'!BE20</f>
        <v>18</v>
      </c>
      <c r="BP218" s="56">
        <f>'2023'!BF20</f>
        <v>0</v>
      </c>
      <c r="BQ218" s="57">
        <f>'2023'!BG20</f>
        <v>1696</v>
      </c>
      <c r="BR218" s="57">
        <f>'2023'!BH20</f>
        <v>0</v>
      </c>
      <c r="BS218" s="57">
        <f>'2023'!BI20</f>
        <v>12</v>
      </c>
      <c r="BT218" s="57">
        <f>'2023'!BJ20</f>
        <v>0</v>
      </c>
      <c r="BU218" s="57">
        <f>'2023'!BK20</f>
        <v>0</v>
      </c>
      <c r="BV218" s="58">
        <f>'2023'!BL20</f>
        <v>0</v>
      </c>
      <c r="BW218" s="58">
        <f>'2023'!BM20</f>
        <v>0</v>
      </c>
      <c r="BX218" s="58">
        <f>'2023'!BN20</f>
        <v>0</v>
      </c>
      <c r="BY218" s="58">
        <f>'2023'!BO20</f>
        <v>0</v>
      </c>
      <c r="BZ218" s="57">
        <f>'2023'!BP20</f>
        <v>0</v>
      </c>
      <c r="CA218" s="57">
        <f>'2023'!BQ20</f>
        <v>3466</v>
      </c>
      <c r="CB218" s="57">
        <f>'2023'!BR20</f>
        <v>0</v>
      </c>
      <c r="CC218" s="57">
        <f>'2023'!BS20</f>
        <v>0</v>
      </c>
      <c r="CD218" s="59">
        <f>'2023'!BT20</f>
        <v>2</v>
      </c>
      <c r="CE218" s="56">
        <f>'2023'!BU20</f>
        <v>440</v>
      </c>
      <c r="CF218" s="57">
        <f>'2023'!BV20</f>
        <v>1564</v>
      </c>
      <c r="CG218" s="57">
        <f>'2023'!BW20</f>
        <v>2</v>
      </c>
      <c r="CH218" s="57">
        <f>'2023'!BX20</f>
        <v>11</v>
      </c>
      <c r="CI218" s="57">
        <f>'2023'!BY20</f>
        <v>88</v>
      </c>
      <c r="CJ218" s="57">
        <f>'2023'!BZ20</f>
        <v>22</v>
      </c>
      <c r="CK218" s="58">
        <f>'2023'!CA20</f>
        <v>5</v>
      </c>
      <c r="CL218" s="58">
        <f>'2023'!CB20</f>
        <v>71.3</v>
      </c>
      <c r="CM218" s="58">
        <f>'2023'!CC20</f>
        <v>2.61</v>
      </c>
      <c r="CN218" s="58">
        <f>'2023'!CD20</f>
        <v>45.2</v>
      </c>
      <c r="CO218" s="57">
        <f>'2023'!CE20</f>
        <v>75</v>
      </c>
      <c r="CP218" s="57">
        <f>'2023'!CF20</f>
        <v>2060</v>
      </c>
      <c r="CQ218" s="57">
        <f>'2023'!CG20</f>
        <v>11</v>
      </c>
      <c r="CR218" s="57">
        <f>'2023'!CH20</f>
        <v>0</v>
      </c>
      <c r="CS218" s="59">
        <f>'2023'!CI20</f>
        <v>19</v>
      </c>
      <c r="CT218" s="56">
        <f>'2023'!CJ20</f>
        <v>1117</v>
      </c>
      <c r="CU218" s="57">
        <f>'2023'!CK20</f>
        <v>1949</v>
      </c>
      <c r="CV218" s="57">
        <f>'2023'!CL20</f>
        <v>9</v>
      </c>
      <c r="CW218" s="57">
        <f>'2023'!CM20</f>
        <v>20</v>
      </c>
      <c r="CX218" s="57">
        <f>'2023'!CN20</f>
        <v>174</v>
      </c>
      <c r="CY218" s="57">
        <f>'2023'!CO20</f>
        <v>37</v>
      </c>
      <c r="CZ218" s="58">
        <f>'2023'!CP20</f>
        <v>6.4</v>
      </c>
      <c r="DA218" s="58">
        <f>'2023'!CQ20</f>
        <v>84.5</v>
      </c>
      <c r="DB218" s="58">
        <f>'2023'!CR20</f>
        <v>3.26</v>
      </c>
      <c r="DC218" s="58">
        <f>'2023'!CS20</f>
        <v>54.4</v>
      </c>
      <c r="DD218" s="57">
        <f>'2023'!CT20</f>
        <v>254</v>
      </c>
      <c r="DE218" s="57">
        <f>'2023'!CU20</f>
        <v>3249</v>
      </c>
      <c r="DF218" s="57">
        <f>'2023'!CV20</f>
        <v>23</v>
      </c>
      <c r="DG218" s="57">
        <f>'2023'!CW20</f>
        <v>0</v>
      </c>
      <c r="DH218" s="59">
        <f>'2023'!CX20</f>
        <v>21</v>
      </c>
      <c r="DI218" s="56">
        <f>'2023'!CY20</f>
        <v>1452</v>
      </c>
      <c r="DJ218" s="57">
        <f>'2023'!CZ20</f>
        <v>2218</v>
      </c>
      <c r="DK218" s="57">
        <f>'2023'!DA20</f>
        <v>14</v>
      </c>
      <c r="DL218" s="57">
        <f>'2023'!DB20</f>
        <v>25</v>
      </c>
      <c r="DM218" s="57">
        <f>'2023'!DC20</f>
        <v>201</v>
      </c>
      <c r="DN218" s="57">
        <f>'2023'!DD20</f>
        <v>75</v>
      </c>
      <c r="DO218" s="58">
        <f>'2023'!DE20</f>
        <v>7.2</v>
      </c>
      <c r="DP218" s="58">
        <f>'2023'!DF20</f>
        <v>126.4</v>
      </c>
      <c r="DQ218" s="58">
        <f>'2023'!DG20</f>
        <v>3.6</v>
      </c>
      <c r="DR218" s="58">
        <f>'2023'!DH20</f>
        <v>57.7</v>
      </c>
      <c r="DS218" s="57">
        <f>'2023'!DI20</f>
        <v>250</v>
      </c>
      <c r="DT218" s="57">
        <f>'2023'!DJ20</f>
        <v>3776</v>
      </c>
      <c r="DU218" s="57">
        <f>'2023'!DK20</f>
        <v>27</v>
      </c>
      <c r="DV218" s="57">
        <f>'2023'!DL20</f>
        <v>0</v>
      </c>
      <c r="DW218" s="59">
        <f>'2023'!DM20</f>
        <v>28</v>
      </c>
    </row>
    <row r="219" spans="1:127" ht="15.75" customHeight="1" x14ac:dyDescent="0.2">
      <c r="A219" s="33">
        <f t="shared" si="36"/>
        <v>217</v>
      </c>
      <c r="B219" s="11">
        <f>'2021'!A15</f>
        <v>13</v>
      </c>
      <c r="C219" s="11">
        <v>2021</v>
      </c>
      <c r="D219" s="34" t="str">
        <f>'2021'!B15</f>
        <v>Jake Funk</v>
      </c>
      <c r="E219" s="224" t="str" cm="1">
        <f t="array" ref="E219">_xlfn.IFS(F219&gt;=13,"Cornerstone",AND(F219&gt;=12,F219&lt;13),"Elite",AND(F219&gt;=11,F219&lt;12),"Elite Upside",AND(F219&gt;=9,F219&lt;11),"Upside",AND(F219&gt;=7,F219&lt;9),"Upside Lite",AND(F219&gt;=6,F219&lt;7),"Outlier",AND(F219&gt;=5,F219&lt;6),"Outlier Lite",F219&lt;5,"Purgatory")</f>
        <v>Outlier Lite</v>
      </c>
      <c r="F219" s="14">
        <f>'2021'!C15</f>
        <v>5.3611111111111107</v>
      </c>
      <c r="G219" s="14">
        <f t="shared" si="41"/>
        <v>33.6</v>
      </c>
      <c r="H219" s="35">
        <f t="shared" si="37"/>
        <v>-1.117864090130664</v>
      </c>
      <c r="I219" s="36" t="str">
        <f>'2021'!D15</f>
        <v>Maryland</v>
      </c>
      <c r="J219" s="37">
        <f>'2021'!E15</f>
        <v>2</v>
      </c>
      <c r="K219" s="38">
        <f>'2021'!F15</f>
        <v>35806</v>
      </c>
      <c r="L219" s="39">
        <f>'2021'!G15</f>
        <v>27.728767123287671</v>
      </c>
      <c r="M219" s="39" t="str">
        <f>'2021'!H15</f>
        <v>RS SR</v>
      </c>
      <c r="N219" s="39">
        <f>'2021'!I15</f>
        <v>23.312328767123287</v>
      </c>
      <c r="O219" s="39" t="str">
        <f t="shared" si="38"/>
        <v>DYNAMIC</v>
      </c>
      <c r="P219" s="39" t="str">
        <f t="shared" si="44"/>
        <v>HORSE</v>
      </c>
      <c r="Q219" s="37">
        <f>'2021'!J15</f>
        <v>70</v>
      </c>
      <c r="R219" s="37">
        <f>'2021'!K15</f>
        <v>204</v>
      </c>
      <c r="S219" s="39">
        <f t="shared" si="40"/>
        <v>29.270628010643776</v>
      </c>
      <c r="T219" s="37">
        <f>'2021'!L15</f>
        <v>4.49</v>
      </c>
      <c r="U219" s="40">
        <f>'2021'!M15</f>
        <v>7</v>
      </c>
      <c r="V219" s="41">
        <f>'2021'!N15</f>
        <v>3.6245163917735697E-2</v>
      </c>
      <c r="W219" s="42">
        <f>'2021'!O15</f>
        <v>3.8402061855670105E-2</v>
      </c>
      <c r="X219" s="42">
        <f>'2021'!P15</f>
        <v>4.4873233116446041E-4</v>
      </c>
      <c r="Y219" s="42">
        <f>'2021'!Q15</f>
        <v>4.5862654695462267E-2</v>
      </c>
      <c r="Z219" s="42">
        <f>'2021'!R15</f>
        <v>0.28312958435207825</v>
      </c>
      <c r="AA219" s="42">
        <f>'2021'!S15</f>
        <v>0.28312958435207825</v>
      </c>
      <c r="AB219" s="42">
        <f>'2021'!T15</f>
        <v>0.28312958435207825</v>
      </c>
      <c r="AC219" s="42">
        <f>'2021'!U15</f>
        <v>7.6628352490421452E-3</v>
      </c>
      <c r="AD219" s="42">
        <f>'2021'!V15</f>
        <v>4.8484848484848485E-2</v>
      </c>
      <c r="AE219" s="42">
        <f>'2021'!W15</f>
        <v>4.8484848484848485E-2</v>
      </c>
      <c r="AF219" s="43">
        <f>'2021'!X15</f>
        <v>4.8484848484848485E-2</v>
      </c>
      <c r="AG219" s="44">
        <f>'2021'!Y15</f>
        <v>22.665753424657535</v>
      </c>
      <c r="AH219" s="45">
        <f>'2021'!Z15</f>
        <v>100.38638127398181</v>
      </c>
      <c r="AI219" s="45">
        <f>'2021'!AA15</f>
        <v>29.267755102040816</v>
      </c>
      <c r="AJ219" s="45">
        <f>'2021'!AB15</f>
        <v>0.22950819672131148</v>
      </c>
      <c r="AK219" s="45">
        <f>'2021'!AC15</f>
        <v>10.199999999999999</v>
      </c>
      <c r="AL219" s="45">
        <f t="shared" si="39"/>
        <v>6.1904761904761907</v>
      </c>
      <c r="AM219" s="45">
        <f t="shared" si="43"/>
        <v>0.12857142857142856</v>
      </c>
      <c r="AN219" s="45">
        <f>'2021'!AD15</f>
        <v>60.7</v>
      </c>
      <c r="AO219" s="45">
        <f>'2021'!AE15</f>
        <v>4.82</v>
      </c>
      <c r="AP219" s="46">
        <f>'2021'!AF15</f>
        <v>89.6</v>
      </c>
      <c r="AQ219" s="47">
        <f>'2021'!AG15</f>
        <v>8</v>
      </c>
      <c r="AR219" s="48">
        <f>'2021'!AH15</f>
        <v>5</v>
      </c>
      <c r="AS219" s="48">
        <f>'2021'!AI15</f>
        <v>0</v>
      </c>
      <c r="AT219" s="48">
        <f>IF(AH219&gt;113.25,10,IF(AH219&gt;=107.84,9,IF(AH219&gt;=105.37,8,IF(AH219&gt;=103.25,7,IF(AH219&gt;=100.55,6,IF(AH219&gt;=98.75,5,IF(AH219&gt;=96.08,4,IF(AH219&gt;=94.39,3,IF(AH219&gt;=88.43,2,IF(AH219&gt;=85.16,1,IF(AH219&lt;85.16,0,FALSE)))))))))))</f>
        <v>5</v>
      </c>
      <c r="AU219" s="48">
        <f>'2021'!AK15</f>
        <v>5</v>
      </c>
      <c r="AV219" s="48">
        <f>'2021'!AL15</f>
        <v>10</v>
      </c>
      <c r="AW219" s="48">
        <f>'2021'!AM15</f>
        <v>0</v>
      </c>
      <c r="AX219" s="48">
        <f>'2021'!AN15</f>
        <v>8</v>
      </c>
      <c r="AY219" s="49">
        <f>IF(U219=1,10,IF(U219=2,7,IF(U219=3,6,IF(U219=4,4,IF(U219=5,3,IF(U219=6,2,IF(U219=7,1,IF(U219=0,0,"-"))))))))</f>
        <v>1</v>
      </c>
      <c r="AZ219" s="50">
        <f>'2021'!AP15</f>
        <v>0</v>
      </c>
      <c r="BA219" s="56">
        <f>'2021'!AQ15</f>
        <v>136</v>
      </c>
      <c r="BB219" s="57">
        <f>'2021'!AR15</f>
        <v>2594</v>
      </c>
      <c r="BC219" s="57">
        <f>'2021'!AS15</f>
        <v>1</v>
      </c>
      <c r="BD219" s="57">
        <f>'2021'!AT15</f>
        <v>26</v>
      </c>
      <c r="BE219" s="57">
        <f>'2021'!AU15</f>
        <v>29</v>
      </c>
      <c r="BF219" s="57">
        <f>'2021'!AV15</f>
        <v>5</v>
      </c>
      <c r="BG219" s="58">
        <f>'2021'!AW15</f>
        <v>4.7</v>
      </c>
      <c r="BH219" s="58">
        <f>'2021'!AX15</f>
        <v>67.7</v>
      </c>
      <c r="BI219" s="58">
        <f>'2021'!AY15</f>
        <v>3.48</v>
      </c>
      <c r="BJ219" s="58">
        <f>'2021'!AZ15</f>
        <v>32.4</v>
      </c>
      <c r="BK219" s="57">
        <f>'2021'!BA15</f>
        <v>42</v>
      </c>
      <c r="BL219" s="57">
        <f>'2021'!BB15</f>
        <v>2317</v>
      </c>
      <c r="BM219" s="57">
        <f>'2021'!BC15</f>
        <v>7</v>
      </c>
      <c r="BN219" s="57">
        <f>'2021'!BD15</f>
        <v>0</v>
      </c>
      <c r="BO219" s="59">
        <f>'2021'!BE15</f>
        <v>15</v>
      </c>
      <c r="BP219" s="56">
        <f>'2021'!BF15</f>
        <v>145</v>
      </c>
      <c r="BQ219" s="57">
        <f>'2021'!BG15</f>
        <v>1940</v>
      </c>
      <c r="BR219" s="57">
        <f>'2021'!BH15</f>
        <v>4</v>
      </c>
      <c r="BS219" s="57">
        <f>'2021'!BI15</f>
        <v>19</v>
      </c>
      <c r="BT219" s="57">
        <f>'2021'!BJ15</f>
        <v>27</v>
      </c>
      <c r="BU219" s="57">
        <f>'2021'!BK15</f>
        <v>3</v>
      </c>
      <c r="BV219" s="58">
        <f>'2021'!BL15</f>
        <v>5.4</v>
      </c>
      <c r="BW219" s="58">
        <f>'2021'!BM15</f>
        <v>23</v>
      </c>
      <c r="BX219" s="58">
        <f>'2021'!BN15</f>
        <v>2.15</v>
      </c>
      <c r="BY219" s="58">
        <f>'2021'!BO15</f>
        <v>53.8</v>
      </c>
      <c r="BZ219" s="57">
        <f>'2021'!BP15</f>
        <v>4</v>
      </c>
      <c r="CA219" s="57">
        <f>'2021'!BQ15</f>
        <v>1940</v>
      </c>
      <c r="CB219" s="57">
        <f>'2021'!BR15</f>
        <v>1</v>
      </c>
      <c r="CC219" s="57">
        <f>'2021'!BS15</f>
        <v>0</v>
      </c>
      <c r="CD219" s="59">
        <f>'2021'!BT15</f>
        <v>15</v>
      </c>
      <c r="CE219" s="56">
        <f>'2021'!BU15</f>
        <v>-2</v>
      </c>
      <c r="CF219" s="57">
        <f>'2021'!BV15</f>
        <v>2762</v>
      </c>
      <c r="CG219" s="57">
        <f>'2021'!BW15</f>
        <v>0</v>
      </c>
      <c r="CH219" s="57">
        <f>'2021'!BX15</f>
        <v>26</v>
      </c>
      <c r="CI219" s="57">
        <f>'2021'!BY15</f>
        <v>2</v>
      </c>
      <c r="CJ219" s="57">
        <f>'2021'!BZ15</f>
        <v>1</v>
      </c>
      <c r="CK219" s="58">
        <f>'2021'!CA15</f>
        <v>-1</v>
      </c>
      <c r="CL219" s="58">
        <f>'2021'!CB15</f>
        <v>50</v>
      </c>
      <c r="CM219" s="58">
        <f>'2021'!CC15</f>
        <v>1.5</v>
      </c>
      <c r="CN219" s="58">
        <f>'2021'!CD15</f>
        <v>0</v>
      </c>
      <c r="CO219" s="57">
        <f>'2021'!CE15</f>
        <v>4</v>
      </c>
      <c r="CP219" s="57">
        <f>'2021'!CF15</f>
        <v>1695</v>
      </c>
      <c r="CQ219" s="57">
        <f>'2021'!CG15</f>
        <v>0</v>
      </c>
      <c r="CR219" s="57">
        <f>'2021'!CH15</f>
        <v>0</v>
      </c>
      <c r="CS219" s="59">
        <f>'2021'!CI15</f>
        <v>12</v>
      </c>
      <c r="CT219" s="56">
        <f>'2021'!CJ15</f>
        <v>173</v>
      </c>
      <c r="CU219" s="57">
        <f>'2021'!CK15</f>
        <v>2033</v>
      </c>
      <c r="CV219" s="57">
        <f>'2021'!CL15</f>
        <v>2</v>
      </c>
      <c r="CW219" s="57">
        <f>'2021'!CM15</f>
        <v>23</v>
      </c>
      <c r="CX219" s="57">
        <f>'2021'!CN15</f>
        <v>17</v>
      </c>
      <c r="CY219" s="57">
        <f>'2021'!CO15</f>
        <v>2</v>
      </c>
      <c r="CZ219" s="58">
        <f>'2021'!CP15</f>
        <v>10.199999999999999</v>
      </c>
      <c r="DA219" s="58">
        <f>'2021'!CQ15</f>
        <v>45.9</v>
      </c>
      <c r="DB219" s="58">
        <f>'2021'!CR15</f>
        <v>4.82</v>
      </c>
      <c r="DC219" s="58">
        <f>'2021'!CS15</f>
        <v>89.6</v>
      </c>
      <c r="DD219" s="57">
        <f>'2021'!CT15</f>
        <v>16</v>
      </c>
      <c r="DE219" s="57">
        <f>'2021'!CU15</f>
        <v>2088</v>
      </c>
      <c r="DF219" s="57">
        <f>'2021'!CV15</f>
        <v>4</v>
      </c>
      <c r="DG219" s="57">
        <f>'2021'!CW15</f>
        <v>0</v>
      </c>
      <c r="DH219" s="59">
        <f>'2021'!CX15</f>
        <v>16</v>
      </c>
      <c r="DI219" s="56">
        <f>'2021'!CY15</f>
        <v>515</v>
      </c>
      <c r="DJ219" s="57">
        <f>'2021'!CZ15</f>
        <v>725</v>
      </c>
      <c r="DK219" s="57">
        <f>'2021'!DA15</f>
        <v>3</v>
      </c>
      <c r="DL219" s="57">
        <f>'2021'!DB15</f>
        <v>5</v>
      </c>
      <c r="DM219" s="57">
        <f>'2021'!DC15</f>
        <v>61</v>
      </c>
      <c r="DN219" s="57">
        <f>'2021'!DD15</f>
        <v>14</v>
      </c>
      <c r="DO219" s="58">
        <f>'2021'!DE15</f>
        <v>8.4</v>
      </c>
      <c r="DP219" s="58">
        <f>'2021'!DF15</f>
        <v>60.7</v>
      </c>
      <c r="DQ219" s="58">
        <f>'2021'!DG15</f>
        <v>3.03</v>
      </c>
      <c r="DR219" s="58">
        <f>'2021'!DH15</f>
        <v>66</v>
      </c>
      <c r="DS219" s="57">
        <f>'2021'!DI15</f>
        <v>64</v>
      </c>
      <c r="DT219" s="57">
        <f>'2021'!DJ15</f>
        <v>1320</v>
      </c>
      <c r="DU219" s="57">
        <f>'2021'!DK15</f>
        <v>9</v>
      </c>
      <c r="DV219" s="57">
        <f>'2021'!DL15</f>
        <v>0</v>
      </c>
      <c r="DW219" s="59">
        <f>'2021'!DM15</f>
        <v>9</v>
      </c>
    </row>
    <row r="220" spans="1:127" ht="15.75" customHeight="1" x14ac:dyDescent="0.2">
      <c r="A220" s="33">
        <f t="shared" si="36"/>
        <v>218</v>
      </c>
      <c r="B220" s="11">
        <f>'2021'!A16</f>
        <v>14</v>
      </c>
      <c r="C220" s="11">
        <v>2021</v>
      </c>
      <c r="D220" s="34" t="str">
        <f>'2021'!B16</f>
        <v>Gary Brightwell</v>
      </c>
      <c r="E220" s="224" t="str" cm="1">
        <f t="array" ref="E220">_xlfn.IFS(F220&gt;=13,"Cornerstone",AND(F220&gt;=12,F220&lt;13),"Elite",AND(F220&gt;=11,F220&lt;12),"Elite Upside",AND(F220&gt;=9,F220&lt;11),"Upside",AND(F220&gt;=7,F220&lt;9),"Upside Lite",AND(F220&gt;=6,F220&lt;7),"Outlier",AND(F220&gt;=5,F220&lt;6),"Outlier Lite",F220&lt;5,"Purgatory")</f>
        <v>Outlier Lite</v>
      </c>
      <c r="F220" s="14">
        <f>'2021'!C16</f>
        <v>5.3444444444444441</v>
      </c>
      <c r="G220" s="14">
        <f t="shared" si="41"/>
        <v>33.300000000000004</v>
      </c>
      <c r="H220" s="35">
        <f t="shared" si="37"/>
        <v>-1.1249178412013248</v>
      </c>
      <c r="I220" s="36" t="str">
        <f>'2021'!D16</f>
        <v>Arizona</v>
      </c>
      <c r="J220" s="37">
        <f>'2021'!E16</f>
        <v>5</v>
      </c>
      <c r="K220" s="38">
        <f>'2021'!F16</f>
        <v>35854</v>
      </c>
      <c r="L220" s="39">
        <f>'2021'!G16</f>
        <v>27.597260273972601</v>
      </c>
      <c r="M220" s="39" t="str">
        <f>'2021'!H16</f>
        <v>SR</v>
      </c>
      <c r="N220" s="39">
        <f>'2021'!I16</f>
        <v>23.18082191780822</v>
      </c>
      <c r="O220" s="39" t="str">
        <f t="shared" si="38"/>
        <v>BELL COW</v>
      </c>
      <c r="P220" s="39" t="str">
        <f t="shared" si="44"/>
        <v>3DOWN</v>
      </c>
      <c r="Q220" s="37">
        <f>'2021'!J16</f>
        <v>71</v>
      </c>
      <c r="R220" s="37">
        <f>'2021'!K16</f>
        <v>218</v>
      </c>
      <c r="S220" s="39">
        <f t="shared" si="40"/>
        <v>30.404491834573832</v>
      </c>
      <c r="T220" s="37">
        <f>'2021'!L16</f>
        <v>4.62</v>
      </c>
      <c r="U220" s="40">
        <f>'2021'!M16</f>
        <v>6</v>
      </c>
      <c r="V220" s="41">
        <f>'2021'!N16</f>
        <v>0</v>
      </c>
      <c r="W220" s="42">
        <f>'2021'!O16</f>
        <v>0</v>
      </c>
      <c r="X220" s="42">
        <f>'2021'!P16</f>
        <v>9.8689002184996363E-2</v>
      </c>
      <c r="Y220" s="42">
        <f>'2021'!Q16</f>
        <v>8.5021776178754019E-2</v>
      </c>
      <c r="Z220" s="42">
        <f>'2021'!R16</f>
        <v>0.24742826204656199</v>
      </c>
      <c r="AA220" s="42">
        <f>'2021'!S16</f>
        <v>0.24742826204656199</v>
      </c>
      <c r="AB220" s="42">
        <f>'2021'!T16</f>
        <v>0.21031402273957769</v>
      </c>
      <c r="AC220" s="42">
        <f>'2021'!U16</f>
        <v>1.8477920450986535E-2</v>
      </c>
      <c r="AD220" s="42">
        <f>'2021'!V16</f>
        <v>5.3521126760563378E-2</v>
      </c>
      <c r="AE220" s="42">
        <f>'2021'!W16</f>
        <v>5.3521126760563378E-2</v>
      </c>
      <c r="AF220" s="43">
        <f>'2021'!X16</f>
        <v>4.5492957746478872E-2</v>
      </c>
      <c r="AG220" s="44">
        <f>'2021'!Y16</f>
        <v>22.534246575342465</v>
      </c>
      <c r="AH220" s="45">
        <f>'2021'!Z16</f>
        <v>95.701465226413774</v>
      </c>
      <c r="AI220" s="45">
        <f>'2021'!AA16</f>
        <v>30.401507637373538</v>
      </c>
      <c r="AJ220" s="45">
        <f>'2021'!AB16</f>
        <v>0.32183908045977011</v>
      </c>
      <c r="AK220" s="45">
        <f>'2021'!AC16</f>
        <v>5.9</v>
      </c>
      <c r="AL220" s="45">
        <f t="shared" si="39"/>
        <v>7.8125</v>
      </c>
      <c r="AM220" s="45">
        <f t="shared" si="43"/>
        <v>0.12121212121212122</v>
      </c>
      <c r="AN220" s="45">
        <f>'2021'!AD16</f>
        <v>124.2</v>
      </c>
      <c r="AO220" s="45">
        <f>'2021'!AE16</f>
        <v>4.3499999999999996</v>
      </c>
      <c r="AP220" s="46">
        <f>'2021'!AF16</f>
        <v>39.5</v>
      </c>
      <c r="AQ220" s="47">
        <f>'2021'!AG16</f>
        <v>4</v>
      </c>
      <c r="AR220" s="48">
        <f>'2021'!AH16</f>
        <v>5</v>
      </c>
      <c r="AS220" s="48">
        <f>'2021'!AI16</f>
        <v>0</v>
      </c>
      <c r="AT220" s="48">
        <f>IF(AH220&gt;113.25,10,IF(AH220&gt;=107.84,9,IF(AH220&gt;=105.37,8,IF(AH220&gt;=103.25,7,IF(AH220&gt;=100.55,6,IF(AH220&gt;=98.75,5,IF(AH220&gt;=96.08,4,IF(AH220&gt;=94.39,3,IF(AH220&gt;=88.43,2,IF(AH220&gt;=85.16,1,IF(AH220&lt;85.16,0,FALSE)))))))))))</f>
        <v>3</v>
      </c>
      <c r="AU220" s="48">
        <f>'2021'!AK16</f>
        <v>9</v>
      </c>
      <c r="AV220" s="48">
        <f>'2021'!AL16</f>
        <v>4</v>
      </c>
      <c r="AW220" s="48">
        <f>'2021'!AM16</f>
        <v>6</v>
      </c>
      <c r="AX220" s="48">
        <f>'2021'!AN16</f>
        <v>6</v>
      </c>
      <c r="AY220" s="49">
        <f>IF(U220=1,10,IF(U220=2,7,IF(U220=3,6,IF(U220=4,4,IF(U220=5,3,IF(U220=6,2,IF(U220=7,1,IF(U220=0,0,"-"))))))))</f>
        <v>2</v>
      </c>
      <c r="AZ220" s="50">
        <f>'2021'!AP16</f>
        <v>0</v>
      </c>
      <c r="BA220" s="56">
        <f>'2021'!AQ16</f>
        <v>0</v>
      </c>
      <c r="BB220" s="57">
        <f>'2021'!AR16</f>
        <v>2820</v>
      </c>
      <c r="BC220" s="57">
        <f>'2021'!AS16</f>
        <v>0</v>
      </c>
      <c r="BD220" s="57">
        <f>'2021'!AT16</f>
        <v>26</v>
      </c>
      <c r="BE220" s="57">
        <f>'2021'!AU16</f>
        <v>0</v>
      </c>
      <c r="BF220" s="57">
        <f>'2021'!AV16</f>
        <v>0</v>
      </c>
      <c r="BG220" s="58">
        <f>'2021'!AW16</f>
        <v>0</v>
      </c>
      <c r="BH220" s="58">
        <f>'2021'!AX16</f>
        <v>0</v>
      </c>
      <c r="BI220" s="58">
        <f>'2021'!AY16</f>
        <v>0</v>
      </c>
      <c r="BJ220" s="58">
        <f>'2021'!AZ16</f>
        <v>0</v>
      </c>
      <c r="BK220" s="57">
        <f>'2021'!BA16</f>
        <v>0</v>
      </c>
      <c r="BL220" s="57">
        <f>'2021'!BB16</f>
        <v>2137</v>
      </c>
      <c r="BM220" s="57">
        <f>'2021'!BC16</f>
        <v>0</v>
      </c>
      <c r="BN220" s="57">
        <f>'2021'!BD16</f>
        <v>0</v>
      </c>
      <c r="BO220" s="59">
        <f>'2021'!BE16</f>
        <v>13</v>
      </c>
      <c r="BP220" s="56">
        <f>'2021'!BF16</f>
        <v>0</v>
      </c>
      <c r="BQ220" s="57">
        <f>'2021'!BG16</f>
        <v>3056</v>
      </c>
      <c r="BR220" s="57">
        <f>'2021'!BH16</f>
        <v>0</v>
      </c>
      <c r="BS220" s="57">
        <f>'2021'!BI16</f>
        <v>34</v>
      </c>
      <c r="BT220" s="57">
        <f>'2021'!BJ16</f>
        <v>0</v>
      </c>
      <c r="BU220" s="57">
        <f>'2021'!BK16</f>
        <v>0</v>
      </c>
      <c r="BV220" s="58">
        <f>'2021'!BL16</f>
        <v>0</v>
      </c>
      <c r="BW220" s="58">
        <f>'2021'!BM16</f>
        <v>0</v>
      </c>
      <c r="BX220" s="58">
        <f>'2021'!BN16</f>
        <v>0</v>
      </c>
      <c r="BY220" s="58">
        <f>'2021'!BO16</f>
        <v>0</v>
      </c>
      <c r="BZ220" s="57">
        <f>'2021'!BP16</f>
        <v>0</v>
      </c>
      <c r="CA220" s="57">
        <f>'2021'!BQ16</f>
        <v>2343</v>
      </c>
      <c r="CB220" s="57">
        <f>'2021'!BR16</f>
        <v>0</v>
      </c>
      <c r="CC220" s="57">
        <f>'2021'!BS16</f>
        <v>0</v>
      </c>
      <c r="CD220" s="59">
        <f>'2021'!BT16</f>
        <v>19</v>
      </c>
      <c r="CE220" s="56">
        <f>'2021'!BU16</f>
        <v>533</v>
      </c>
      <c r="CF220" s="57">
        <f>'2021'!BV16</f>
        <v>2429</v>
      </c>
      <c r="CG220" s="57">
        <f>'2021'!BW16</f>
        <v>3</v>
      </c>
      <c r="CH220" s="57">
        <f>'2021'!BX16</f>
        <v>14</v>
      </c>
      <c r="CI220" s="57">
        <f>'2021'!BY16</f>
        <v>89</v>
      </c>
      <c r="CJ220" s="57">
        <f>'2021'!BZ16</f>
        <v>14</v>
      </c>
      <c r="CK220" s="58">
        <f>'2021'!CA16</f>
        <v>6</v>
      </c>
      <c r="CL220" s="58">
        <f>'2021'!CB16</f>
        <v>42</v>
      </c>
      <c r="CM220" s="58">
        <f>'2021'!CC16</f>
        <v>2.73</v>
      </c>
      <c r="CN220" s="58">
        <f>'2021'!CD16</f>
        <v>37.5</v>
      </c>
      <c r="CO220" s="57">
        <f>'2021'!CE16</f>
        <v>9</v>
      </c>
      <c r="CP220" s="57">
        <f>'2021'!CF16</f>
        <v>3063</v>
      </c>
      <c r="CQ220" s="57">
        <f>'2021'!CG16</f>
        <v>0</v>
      </c>
      <c r="CR220" s="57">
        <f>'2021'!CH16</f>
        <v>0</v>
      </c>
      <c r="CS220" s="59">
        <f>'2021'!CI16</f>
        <v>29</v>
      </c>
      <c r="CT220" s="56">
        <f>'2021'!CJ16</f>
        <v>390</v>
      </c>
      <c r="CU220" s="57">
        <f>'2021'!CK16</f>
        <v>2088</v>
      </c>
      <c r="CV220" s="57">
        <f>'2021'!CL16</f>
        <v>5</v>
      </c>
      <c r="CW220" s="57">
        <f>'2021'!CM16</f>
        <v>19</v>
      </c>
      <c r="CX220" s="57">
        <f>'2021'!CN16</f>
        <v>66</v>
      </c>
      <c r="CY220" s="57">
        <f>'2021'!CO16</f>
        <v>18</v>
      </c>
      <c r="CZ220" s="58">
        <f>'2021'!CP16</f>
        <v>5.9</v>
      </c>
      <c r="DA220" s="58">
        <f>'2021'!CQ16</f>
        <v>124.2</v>
      </c>
      <c r="DB220" s="58">
        <f>'2021'!CR16</f>
        <v>4.3499999999999996</v>
      </c>
      <c r="DC220" s="58">
        <f>'2021'!CS16</f>
        <v>39.5</v>
      </c>
      <c r="DD220" s="57">
        <f>'2021'!CT16</f>
        <v>59</v>
      </c>
      <c r="DE220" s="57">
        <f>'2021'!CU16</f>
        <v>3193</v>
      </c>
      <c r="DF220" s="57">
        <f>'2021'!CV16</f>
        <v>4</v>
      </c>
      <c r="DG220" s="57">
        <f>'2021'!CW16</f>
        <v>0</v>
      </c>
      <c r="DH220" s="59">
        <f>'2021'!CX16</f>
        <v>23</v>
      </c>
      <c r="DI220" s="56">
        <f>'2021'!CY16</f>
        <v>400</v>
      </c>
      <c r="DJ220" s="57">
        <f>'2021'!CZ16</f>
        <v>782</v>
      </c>
      <c r="DK220" s="57">
        <f>'2021'!DA16</f>
        <v>1</v>
      </c>
      <c r="DL220" s="57">
        <f>'2021'!DB16</f>
        <v>4</v>
      </c>
      <c r="DM220" s="57">
        <f>'2021'!DC16</f>
        <v>87</v>
      </c>
      <c r="DN220" s="57">
        <f>'2021'!DD16</f>
        <v>28</v>
      </c>
      <c r="DO220" s="58">
        <f>'2021'!DE16</f>
        <v>4.5999999999999996</v>
      </c>
      <c r="DP220" s="58">
        <f>'2021'!DF16</f>
        <v>108.7</v>
      </c>
      <c r="DQ220" s="58">
        <f>'2021'!DG16</f>
        <v>3.59</v>
      </c>
      <c r="DR220" s="58">
        <f>'2021'!DH16</f>
        <v>39.5</v>
      </c>
      <c r="DS220" s="57">
        <f>'2021'!DI16</f>
        <v>57</v>
      </c>
      <c r="DT220" s="57">
        <f>'2021'!DJ16</f>
        <v>1065</v>
      </c>
      <c r="DU220" s="57">
        <f>'2021'!DK16</f>
        <v>12</v>
      </c>
      <c r="DV220" s="57">
        <f>'2021'!DL16</f>
        <v>0</v>
      </c>
      <c r="DW220" s="59">
        <f>'2021'!DM16</f>
        <v>6</v>
      </c>
    </row>
    <row r="221" spans="1:127" ht="15.75" customHeight="1" x14ac:dyDescent="0.2">
      <c r="A221" s="33">
        <f t="shared" si="36"/>
        <v>219</v>
      </c>
      <c r="B221" s="11">
        <f>'2017'!A21</f>
        <v>19</v>
      </c>
      <c r="C221" s="11">
        <v>2017</v>
      </c>
      <c r="D221" s="34" t="str">
        <f>'2017'!B21</f>
        <v>Brian Hill</v>
      </c>
      <c r="E221" s="224" t="str" cm="1">
        <f t="array" ref="E221">_xlfn.IFS(F221&gt;=13,"Cornerstone",AND(F221&gt;=12,F221&lt;13),"Elite",AND(F221&gt;=11,F221&lt;12),"Elite Upside",AND(F221&gt;=9,F221&lt;11),"Upside",AND(F221&gt;=7,F221&lt;9),"Upside Lite",AND(F221&gt;=6,F221&lt;7),"Outlier",AND(F221&gt;=5,F221&lt;6),"Outlier Lite",F221&lt;5,"Purgatory")</f>
        <v>Outlier Lite</v>
      </c>
      <c r="F221" s="14">
        <f>'2017'!C21</f>
        <v>5.3277777777777775</v>
      </c>
      <c r="G221" s="14">
        <f t="shared" si="41"/>
        <v>33</v>
      </c>
      <c r="H221" s="35">
        <f t="shared" si="37"/>
        <v>-1.1319715922719853</v>
      </c>
      <c r="I221" s="36" t="str">
        <f>'2017'!D21</f>
        <v>Wyoming</v>
      </c>
      <c r="J221" s="37">
        <f>'2017'!E21</f>
        <v>7</v>
      </c>
      <c r="K221" s="38">
        <f>'2017'!F21</f>
        <v>35008</v>
      </c>
      <c r="L221" s="39">
        <f>'2017'!G21</f>
        <v>29.915068493150685</v>
      </c>
      <c r="M221" s="39" t="str">
        <f>'2017'!H21</f>
        <v>JR</v>
      </c>
      <c r="N221" s="39">
        <f>'2017'!I21</f>
        <v>21.490410958904111</v>
      </c>
      <c r="O221" s="39" t="str">
        <f t="shared" si="38"/>
        <v>BELL COW</v>
      </c>
      <c r="P221" s="39" t="str">
        <f t="shared" si="44"/>
        <v>SLASHER</v>
      </c>
      <c r="Q221" s="37">
        <f>'2017'!J21</f>
        <v>71</v>
      </c>
      <c r="R221" s="37">
        <f>'2017'!K21</f>
        <v>219</v>
      </c>
      <c r="S221" s="39">
        <f t="shared" si="40"/>
        <v>30.543961980603989</v>
      </c>
      <c r="T221" s="37">
        <f>'2017'!L21</f>
        <v>4.54</v>
      </c>
      <c r="U221" s="55">
        <f>'2017'!M21</f>
        <v>5</v>
      </c>
      <c r="V221" s="41">
        <f>'2017'!N21</f>
        <v>0</v>
      </c>
      <c r="W221" s="42">
        <f>'2017'!O21</f>
        <v>0</v>
      </c>
      <c r="X221" s="42">
        <f>'2017'!P21</f>
        <v>0.2185517392255524</v>
      </c>
      <c r="Y221" s="42">
        <f>'2017'!Q21</f>
        <v>0.41427911275415896</v>
      </c>
      <c r="Z221" s="42">
        <f>'2017'!R21</f>
        <v>0.31801712779973651</v>
      </c>
      <c r="AA221" s="42">
        <f>'2017'!S21</f>
        <v>0.36614812027694776</v>
      </c>
      <c r="AB221" s="42">
        <f>'2017'!T21</f>
        <v>0.23799627818001606</v>
      </c>
      <c r="AC221" s="42">
        <f>'2017'!U21</f>
        <v>6.7645749888740545E-2</v>
      </c>
      <c r="AD221" s="42">
        <f>'2017'!V21</f>
        <v>2.0891799189273464E-2</v>
      </c>
      <c r="AE221" s="42">
        <f>'2017'!W21</f>
        <v>4.4268774539007003E-2</v>
      </c>
      <c r="AF221" s="43">
        <f>'2017'!X21</f>
        <v>2.8774703450354551E-2</v>
      </c>
      <c r="AG221" s="44">
        <f>'2017'!Y21</f>
        <v>18.835616438356166</v>
      </c>
      <c r="AH221" s="45">
        <f>'2017'!Z21</f>
        <v>103.09810886730278</v>
      </c>
      <c r="AI221" s="45">
        <f>'2017'!AA21</f>
        <v>30.540964094425711</v>
      </c>
      <c r="AJ221" s="45">
        <f>'2017'!AB21</f>
        <v>0.16370106761565836</v>
      </c>
      <c r="AK221" s="45">
        <f>'2017'!AC21</f>
        <v>5.8</v>
      </c>
      <c r="AL221" s="45">
        <f t="shared" si="39"/>
        <v>10.341463414634147</v>
      </c>
      <c r="AM221" s="45">
        <f t="shared" si="43"/>
        <v>2.2408963585434174E-2</v>
      </c>
      <c r="AN221" s="45">
        <f>'2017'!AD21</f>
        <v>55.1</v>
      </c>
      <c r="AO221" s="45">
        <f>'2017'!AE21</f>
        <v>3.19</v>
      </c>
      <c r="AP221" s="46">
        <f>'2017'!AF21</f>
        <v>50.9</v>
      </c>
      <c r="AQ221" s="47">
        <f>'2017'!AG21</f>
        <v>5</v>
      </c>
      <c r="AR221" s="48">
        <f>'2017'!AH21</f>
        <v>3</v>
      </c>
      <c r="AS221" s="48">
        <f>'2017'!AI21</f>
        <v>9</v>
      </c>
      <c r="AT221" s="48">
        <f>IF(AH221&gt;113.25,10,IF(AH221&gt;=107.84,9,IF(AH221&gt;=105.37,8,IF(AH221&gt;=103.25,7,IF(AH221&gt;=100.55,6,IF(AH221&gt;=98.75,5,IF(AH221&gt;=96.08,4,IF(AH221&gt;=94.39,3,IF(AH221&gt;=88.43,2,IF(AH221&gt;=85.16,1,IF(AH221&lt;85.16,0,FALSE)))))))))))</f>
        <v>6</v>
      </c>
      <c r="AU221" s="48">
        <f>'2017'!AK21</f>
        <v>2</v>
      </c>
      <c r="AV221" s="48">
        <f>'2017'!AL21</f>
        <v>4</v>
      </c>
      <c r="AW221" s="48">
        <f>'2017'!AM21</f>
        <v>2</v>
      </c>
      <c r="AX221" s="48">
        <f>'2017'!AN21</f>
        <v>2</v>
      </c>
      <c r="AY221" s="49">
        <f>IF(U221=1,10,IF(U221=2,7,IF(U221=3,6,IF(U221=4,4,IF(U221=5,3,IF(U221=6,2,IF(U221=7,1,IF(U221=0,0,"-"))))))))</f>
        <v>3</v>
      </c>
      <c r="AZ221" s="50">
        <f>'2017'!AP21</f>
        <v>0</v>
      </c>
      <c r="BA221" s="56">
        <f>'2017'!AQ21</f>
        <v>0</v>
      </c>
      <c r="BB221" s="57">
        <f>'2017'!AR21</f>
        <v>1492</v>
      </c>
      <c r="BC221" s="57">
        <f>'2017'!AS21</f>
        <v>0</v>
      </c>
      <c r="BD221" s="57">
        <f>'2017'!AT21</f>
        <v>0</v>
      </c>
      <c r="BE221" s="57">
        <f>'2017'!AU21</f>
        <v>0</v>
      </c>
      <c r="BF221" s="57">
        <f>'2017'!AV21</f>
        <v>0</v>
      </c>
      <c r="BG221" s="58">
        <f>'2017'!AW21</f>
        <v>0</v>
      </c>
      <c r="BH221" s="58">
        <f>'2017'!AX21</f>
        <v>0</v>
      </c>
      <c r="BI221" s="58">
        <f>'2017'!AY21</f>
        <v>0</v>
      </c>
      <c r="BJ221" s="58">
        <f>'2017'!AZ21</f>
        <v>0</v>
      </c>
      <c r="BK221" s="57">
        <f>'2017'!BA21</f>
        <v>0</v>
      </c>
      <c r="BL221" s="57">
        <f>'2017'!BB21</f>
        <v>3180</v>
      </c>
      <c r="BM221" s="57">
        <f>'2017'!BC21</f>
        <v>0</v>
      </c>
      <c r="BN221" s="57">
        <f>'2017'!BD21</f>
        <v>0</v>
      </c>
      <c r="BO221" s="59">
        <f>'2017'!BE21</f>
        <v>0</v>
      </c>
      <c r="BP221" s="56">
        <f>'2017'!BF21</f>
        <v>0</v>
      </c>
      <c r="BQ221" s="57">
        <f>'2017'!BG21</f>
        <v>2285</v>
      </c>
      <c r="BR221" s="57">
        <f>'2017'!BH21</f>
        <v>0</v>
      </c>
      <c r="BS221" s="57">
        <f>'2017'!BI21</f>
        <v>0</v>
      </c>
      <c r="BT221" s="57">
        <f>'2017'!BJ21</f>
        <v>0</v>
      </c>
      <c r="BU221" s="57">
        <f>'2017'!BK21</f>
        <v>0</v>
      </c>
      <c r="BV221" s="58">
        <f>'2017'!BL21</f>
        <v>0</v>
      </c>
      <c r="BW221" s="58">
        <f>'2017'!BM21</f>
        <v>0</v>
      </c>
      <c r="BX221" s="58">
        <f>'2017'!BN21</f>
        <v>0</v>
      </c>
      <c r="BY221" s="58">
        <f>'2017'!BO21</f>
        <v>0</v>
      </c>
      <c r="BZ221" s="57">
        <f>'2017'!BP21</f>
        <v>0</v>
      </c>
      <c r="CA221" s="57">
        <f>'2017'!BQ21</f>
        <v>3389</v>
      </c>
      <c r="CB221" s="57">
        <f>'2017'!BR21</f>
        <v>0</v>
      </c>
      <c r="CC221" s="57">
        <f>'2017'!BS21</f>
        <v>0</v>
      </c>
      <c r="CD221" s="59">
        <f>'2017'!BT21</f>
        <v>0</v>
      </c>
      <c r="CE221" s="56">
        <f>'2017'!BU21</f>
        <v>794</v>
      </c>
      <c r="CF221" s="57">
        <f>'2017'!BV21</f>
        <v>1838</v>
      </c>
      <c r="CG221" s="57">
        <f>'2017'!BW21</f>
        <v>7</v>
      </c>
      <c r="CH221" s="57">
        <f>'2017'!BX21</f>
        <v>0</v>
      </c>
      <c r="CI221" s="57">
        <f>'2017'!BY21</f>
        <v>143</v>
      </c>
      <c r="CJ221" s="57">
        <f>'2017'!BZ21</f>
        <v>19</v>
      </c>
      <c r="CK221" s="58">
        <f>'2017'!CA21</f>
        <v>5.6</v>
      </c>
      <c r="CL221" s="58">
        <f>'2017'!CB21</f>
        <v>34.5</v>
      </c>
      <c r="CM221" s="58">
        <f>'2017'!CC21</f>
        <v>2.4500000000000002</v>
      </c>
      <c r="CN221" s="58">
        <f>'2017'!CD21</f>
        <v>50.9</v>
      </c>
      <c r="CO221" s="57">
        <f>'2017'!CE21</f>
        <v>205</v>
      </c>
      <c r="CP221" s="57">
        <f>'2017'!CF21</f>
        <v>2733</v>
      </c>
      <c r="CQ221" s="57">
        <f>'2017'!CG21</f>
        <v>13</v>
      </c>
      <c r="CR221" s="57">
        <f>'2017'!CH21</f>
        <v>0</v>
      </c>
      <c r="CS221" s="59">
        <f>'2017'!CI21</f>
        <v>0</v>
      </c>
      <c r="CT221" s="56">
        <f>'2017'!CJ21</f>
        <v>1641</v>
      </c>
      <c r="CU221" s="57">
        <f>'2017'!CK21</f>
        <v>2081</v>
      </c>
      <c r="CV221" s="57">
        <f>'2017'!CL21</f>
        <v>5</v>
      </c>
      <c r="CW221" s="57">
        <f>'2017'!CM21</f>
        <v>0</v>
      </c>
      <c r="CX221" s="57">
        <f>'2017'!CN21</f>
        <v>281</v>
      </c>
      <c r="CY221" s="57">
        <f>'2017'!CO21</f>
        <v>46</v>
      </c>
      <c r="CZ221" s="58">
        <f>'2017'!CP21</f>
        <v>5.8</v>
      </c>
      <c r="DA221" s="58">
        <f>'2017'!CQ21</f>
        <v>55.1</v>
      </c>
      <c r="DB221" s="58">
        <f>'2017'!CR21</f>
        <v>3.19</v>
      </c>
      <c r="DC221" s="58">
        <f>'2017'!CS21</f>
        <v>45.3</v>
      </c>
      <c r="DD221" s="57">
        <f>'2017'!CT21</f>
        <v>152</v>
      </c>
      <c r="DE221" s="57">
        <f>'2017'!CU21</f>
        <v>2247</v>
      </c>
      <c r="DF221" s="57">
        <f>'2017'!CV21</f>
        <v>20</v>
      </c>
      <c r="DG221" s="57">
        <f>'2017'!CW21</f>
        <v>0</v>
      </c>
      <c r="DH221" s="59">
        <f>'2017'!CX21</f>
        <v>0</v>
      </c>
      <c r="DI221" s="56">
        <f>'2017'!CY21</f>
        <v>1864</v>
      </c>
      <c r="DJ221" s="57">
        <f>'2017'!CZ21</f>
        <v>2865</v>
      </c>
      <c r="DK221" s="57">
        <f>'2017'!DA21</f>
        <v>22</v>
      </c>
      <c r="DL221" s="57">
        <f>'2017'!DB21</f>
        <v>0</v>
      </c>
      <c r="DM221" s="57">
        <f>'2017'!DC21</f>
        <v>349</v>
      </c>
      <c r="DN221" s="57">
        <f>'2017'!DD21</f>
        <v>49</v>
      </c>
      <c r="DO221" s="58">
        <f>'2017'!DE21</f>
        <v>5.3</v>
      </c>
      <c r="DP221" s="58">
        <f>'2017'!DF21</f>
        <v>40.700000000000003</v>
      </c>
      <c r="DQ221" s="58">
        <f>'2017'!DG21</f>
        <v>2.91</v>
      </c>
      <c r="DR221" s="58">
        <f>'2017'!DH21</f>
        <v>42.8</v>
      </c>
      <c r="DS221" s="57">
        <f>'2017'!DI21</f>
        <v>67</v>
      </c>
      <c r="DT221" s="57">
        <f>'2017'!DJ21</f>
        <v>3207</v>
      </c>
      <c r="DU221" s="57">
        <f>'2017'!DK21</f>
        <v>8</v>
      </c>
      <c r="DV221" s="57">
        <f>'2017'!DL21</f>
        <v>0</v>
      </c>
      <c r="DW221" s="59">
        <f>'2017'!DM21</f>
        <v>0</v>
      </c>
    </row>
    <row r="222" spans="1:127" ht="15.75" customHeight="1" x14ac:dyDescent="0.2">
      <c r="A222" s="33">
        <f t="shared" si="36"/>
        <v>220</v>
      </c>
      <c r="B222" s="11">
        <f>'2015'!A19</f>
        <v>17</v>
      </c>
      <c r="C222" s="11">
        <v>2015</v>
      </c>
      <c r="D222" s="34" t="str">
        <f>'2015'!B19</f>
        <v>Akeem Hunt</v>
      </c>
      <c r="E222" s="224" t="str" cm="1">
        <f t="array" ref="E222">_xlfn.IFS(F222&gt;=13,"Cornerstone",AND(F222&gt;=12,F222&lt;13),"Elite",AND(F222&gt;=11,F222&lt;12),"Elite Upside",AND(F222&gt;=9,F222&lt;11),"Upside",AND(F222&gt;=7,F222&lt;9),"Upside Lite",AND(F222&gt;=6,F222&lt;7),"Outlier",AND(F222&gt;=5,F222&lt;6),"Outlier Lite",F222&lt;5,"Purgatory")</f>
        <v>Outlier Lite</v>
      </c>
      <c r="F222" s="14">
        <f>'2015'!C19</f>
        <v>5.322222222222222</v>
      </c>
      <c r="G222" s="14">
        <f t="shared" si="41"/>
        <v>32.700000000000003</v>
      </c>
      <c r="H222" s="35">
        <f t="shared" si="37"/>
        <v>-1.1343228426288723</v>
      </c>
      <c r="I222" s="36" t="str">
        <f>'2015'!D19</f>
        <v>Purdue</v>
      </c>
      <c r="J222" s="37">
        <f>'2015'!E19</f>
        <v>2</v>
      </c>
      <c r="K222" s="38">
        <f>'2015'!F19</f>
        <v>34022</v>
      </c>
      <c r="L222" s="39">
        <f>'2015'!G19</f>
        <v>32.61643835616438</v>
      </c>
      <c r="M222" s="39" t="str">
        <f>'2015'!H19</f>
        <v>SR</v>
      </c>
      <c r="N222" s="39">
        <f>'2015'!I19</f>
        <v>22.18904109589041</v>
      </c>
      <c r="O222" s="39" t="str">
        <f t="shared" si="38"/>
        <v>JITTERBUG</v>
      </c>
      <c r="P222" s="39" t="str">
        <f t="shared" si="44"/>
        <v>+RECEIVER</v>
      </c>
      <c r="Q222" s="37">
        <f>'2015'!J19</f>
        <v>69</v>
      </c>
      <c r="R222" s="37">
        <f>'2015'!K19</f>
        <v>183</v>
      </c>
      <c r="S222" s="39">
        <f t="shared" si="40"/>
        <v>27.02407648041509</v>
      </c>
      <c r="T222" s="39">
        <f>'2015'!L19</f>
        <v>4.38</v>
      </c>
      <c r="U222" s="55">
        <f>'2015'!M19</f>
        <v>0</v>
      </c>
      <c r="V222" s="41">
        <f>'2015'!N19</f>
        <v>0</v>
      </c>
      <c r="W222" s="42">
        <f>'2015'!O19</f>
        <v>6.4357749469214451E-2</v>
      </c>
      <c r="X222" s="42">
        <f>'2015'!P19</f>
        <v>0.10296084049665712</v>
      </c>
      <c r="Y222" s="42">
        <f>'2015'!Q19</f>
        <v>0.23681885125184093</v>
      </c>
      <c r="Z222" s="42">
        <f>'2015'!R19</f>
        <v>0.30010640355968271</v>
      </c>
      <c r="AA222" s="42">
        <f>'2015'!S19</f>
        <v>0.30010640355968271</v>
      </c>
      <c r="AB222" s="42">
        <f>'2015'!T19</f>
        <v>0.30010640355968271</v>
      </c>
      <c r="AC222" s="42">
        <f>'2015'!U19</f>
        <v>0.42236024844720499</v>
      </c>
      <c r="AD222" s="42">
        <f>'2015'!V19</f>
        <v>0.13607257203842049</v>
      </c>
      <c r="AE222" s="42">
        <f>'2015'!W19</f>
        <v>0.27921641024281274</v>
      </c>
      <c r="AF222" s="43">
        <f>'2015'!X19</f>
        <v>0.27921641024281274</v>
      </c>
      <c r="AG222" s="44">
        <f>'2015'!Y19</f>
        <v>20.536986301369861</v>
      </c>
      <c r="AH222" s="45">
        <f>'2015'!Z19</f>
        <v>99.445387271488897</v>
      </c>
      <c r="AI222" s="45">
        <f>'2015'!AA19</f>
        <v>27.021424070573406</v>
      </c>
      <c r="AJ222" s="45">
        <f>'2015'!AB19</f>
        <v>0.20118343195266272</v>
      </c>
      <c r="AK222" s="45">
        <f>'2015'!AC19</f>
        <v>5.5325443786982245</v>
      </c>
      <c r="AL222" s="45">
        <f t="shared" si="39"/>
        <v>8.5399999999999991</v>
      </c>
      <c r="AM222" s="45">
        <f t="shared" si="43"/>
        <v>0.22119815668202766</v>
      </c>
      <c r="AN222" s="45">
        <f>'2015'!AD19</f>
        <v>60.2</v>
      </c>
      <c r="AO222" s="45">
        <f>'2015'!AE19</f>
        <v>3.35</v>
      </c>
      <c r="AP222" s="46">
        <f>'2015'!AF19</f>
        <v>53.2</v>
      </c>
      <c r="AQ222" s="47">
        <f>'2015'!AG19</f>
        <v>8</v>
      </c>
      <c r="AR222" s="48">
        <f>'2015'!AH19</f>
        <v>10</v>
      </c>
      <c r="AS222" s="48">
        <f>'2015'!AI19</f>
        <v>3</v>
      </c>
      <c r="AT222" s="48">
        <f>'2015'!AJ19</f>
        <v>5</v>
      </c>
      <c r="AU222" s="48">
        <f>'2015'!AK19</f>
        <v>4</v>
      </c>
      <c r="AV222" s="48">
        <f>'2015'!AL19</f>
        <v>3</v>
      </c>
      <c r="AW222" s="48">
        <f>'2015'!AM19</f>
        <v>2</v>
      </c>
      <c r="AX222" s="48">
        <f>'2015'!AN19</f>
        <v>3</v>
      </c>
      <c r="AY222" s="49">
        <f>'2015'!AO19</f>
        <v>0</v>
      </c>
      <c r="AZ222" s="50">
        <f>'2015'!AP19</f>
        <v>0</v>
      </c>
      <c r="BA222" s="56">
        <f>'2015'!AQ19</f>
        <v>0</v>
      </c>
      <c r="BB222" s="57">
        <f>'2015'!AR19</f>
        <v>1</v>
      </c>
      <c r="BC222" s="57">
        <f>'2015'!AS19</f>
        <v>0</v>
      </c>
      <c r="BD222" s="57">
        <f>'2015'!AT19</f>
        <v>0</v>
      </c>
      <c r="BE222" s="57">
        <f>'2015'!AU19</f>
        <v>0</v>
      </c>
      <c r="BF222" s="57">
        <f>'2015'!AV19</f>
        <v>0</v>
      </c>
      <c r="BG222" s="58">
        <f>'2015'!AW19</f>
        <v>0</v>
      </c>
      <c r="BH222" s="58">
        <f>'2015'!AX19</f>
        <v>0</v>
      </c>
      <c r="BI222" s="58">
        <f>'2015'!AY19</f>
        <v>0</v>
      </c>
      <c r="BJ222" s="58">
        <f>'2015'!AZ19</f>
        <v>0</v>
      </c>
      <c r="BK222" s="57">
        <f>'2015'!BA19</f>
        <v>0</v>
      </c>
      <c r="BL222" s="57">
        <f>'2015'!BB19</f>
        <v>1</v>
      </c>
      <c r="BM222" s="57">
        <f>'2015'!BC19</f>
        <v>0</v>
      </c>
      <c r="BN222" s="57">
        <f>'2015'!BD19</f>
        <v>0</v>
      </c>
      <c r="BO222" s="59">
        <f>'2015'!BE19</f>
        <v>0</v>
      </c>
      <c r="BP222" s="56">
        <f>'2015'!BF19</f>
        <v>287</v>
      </c>
      <c r="BQ222" s="57">
        <f>'2015'!BG19</f>
        <v>2179.1999999999998</v>
      </c>
      <c r="BR222" s="57">
        <f>'2015'!BH19</f>
        <v>2</v>
      </c>
      <c r="BS222" s="57">
        <f>'2015'!BI19</f>
        <v>0</v>
      </c>
      <c r="BT222" s="57">
        <f>'2015'!BJ19</f>
        <v>33</v>
      </c>
      <c r="BU222" s="57">
        <f>'2015'!BK19</f>
        <v>0</v>
      </c>
      <c r="BV222" s="58">
        <f>'2015'!BL19</f>
        <v>0</v>
      </c>
      <c r="BW222" s="58">
        <f>'2015'!BM19</f>
        <v>0</v>
      </c>
      <c r="BX222" s="58">
        <f>'2015'!BN19</f>
        <v>0</v>
      </c>
      <c r="BY222" s="58">
        <f>'2015'!BO19</f>
        <v>0</v>
      </c>
      <c r="BZ222" s="57">
        <f>'2015'!BP19</f>
        <v>4</v>
      </c>
      <c r="CA222" s="57">
        <f>'2015'!BQ19</f>
        <v>2342.3999999999996</v>
      </c>
      <c r="CB222" s="57">
        <f>'2015'!BR19</f>
        <v>1</v>
      </c>
      <c r="CC222" s="57">
        <f>'2015'!BS19</f>
        <v>0</v>
      </c>
      <c r="CD222" s="59">
        <f>'2015'!BT19</f>
        <v>0</v>
      </c>
      <c r="CE222" s="56">
        <f>'2015'!BU19</f>
        <v>335</v>
      </c>
      <c r="CF222" s="57">
        <f>'2015'!BV19</f>
        <v>3100</v>
      </c>
      <c r="CG222" s="57">
        <f>'2015'!BW19</f>
        <v>2</v>
      </c>
      <c r="CH222" s="57">
        <f>'2015'!BX19</f>
        <v>0</v>
      </c>
      <c r="CI222" s="57">
        <f>'2015'!BY19</f>
        <v>42</v>
      </c>
      <c r="CJ222" s="57">
        <f>'2015'!BZ19</f>
        <v>0</v>
      </c>
      <c r="CK222" s="58">
        <f>'2015'!CA19</f>
        <v>0</v>
      </c>
      <c r="CL222" s="58">
        <f>'2015'!CB19</f>
        <v>0</v>
      </c>
      <c r="CM222" s="58">
        <f>'2015'!CC19</f>
        <v>0</v>
      </c>
      <c r="CN222" s="58">
        <f>'2015'!CD19</f>
        <v>0</v>
      </c>
      <c r="CO222" s="57">
        <f>'2015'!CE19</f>
        <v>204</v>
      </c>
      <c r="CP222" s="57">
        <f>'2015'!CF19</f>
        <v>2135</v>
      </c>
      <c r="CQ222" s="57">
        <f>'2015'!CG19</f>
        <v>13</v>
      </c>
      <c r="CR222" s="57">
        <f>'2015'!CH19</f>
        <v>2</v>
      </c>
      <c r="CS222" s="59">
        <f>'2015'!CI19</f>
        <v>0</v>
      </c>
      <c r="CT222" s="56">
        <f>'2015'!CJ19</f>
        <v>464</v>
      </c>
      <c r="CU222" s="57">
        <f>'2015'!CK19</f>
        <v>2590</v>
      </c>
      <c r="CV222" s="57">
        <f>'2015'!CL19</f>
        <v>1</v>
      </c>
      <c r="CW222" s="57">
        <f>'2015'!CM19</f>
        <v>0</v>
      </c>
      <c r="CX222" s="57">
        <f>'2015'!CN19</f>
        <v>123</v>
      </c>
      <c r="CY222" s="57">
        <f>'2015'!CO19</f>
        <v>0</v>
      </c>
      <c r="CZ222" s="58">
        <f>'2015'!CP19</f>
        <v>3.7723577235772359</v>
      </c>
      <c r="DA222" s="58">
        <f>'2015'!CQ19</f>
        <v>0</v>
      </c>
      <c r="DB222" s="58">
        <f>'2015'!CR19</f>
        <v>0</v>
      </c>
      <c r="DC222" s="58">
        <f>'2015'!CS19</f>
        <v>0</v>
      </c>
      <c r="DD222" s="57">
        <f>'2015'!CT19</f>
        <v>340</v>
      </c>
      <c r="DE222" s="57">
        <f>'2015'!CU19</f>
        <v>805</v>
      </c>
      <c r="DF222" s="57">
        <f>'2015'!CV19</f>
        <v>38</v>
      </c>
      <c r="DG222" s="57">
        <f>'2015'!CW19</f>
        <v>2</v>
      </c>
      <c r="DH222" s="59">
        <f>'2015'!CX19</f>
        <v>0</v>
      </c>
      <c r="DI222" s="56">
        <f>'2015'!CY19</f>
        <v>935</v>
      </c>
      <c r="DJ222" s="57">
        <f>'2015'!CZ19</f>
        <v>1886.3999999999999</v>
      </c>
      <c r="DK222" s="57">
        <f>'2015'!DA19</f>
        <v>6</v>
      </c>
      <c r="DL222" s="57">
        <f>'2015'!DB19</f>
        <v>16.799999999999997</v>
      </c>
      <c r="DM222" s="57">
        <f>'2015'!DC19</f>
        <v>169</v>
      </c>
      <c r="DN222" s="57">
        <f>'2015'!DD19</f>
        <v>34</v>
      </c>
      <c r="DO222" s="58">
        <f>'2015'!DE19</f>
        <v>5.5325443786982245</v>
      </c>
      <c r="DP222" s="58">
        <f>'2015'!DF19</f>
        <v>60.2</v>
      </c>
      <c r="DQ222" s="58">
        <f>'2015'!DG19</f>
        <v>3.35</v>
      </c>
      <c r="DR222" s="58">
        <f>'2015'!DH19</f>
        <v>53.2</v>
      </c>
      <c r="DS222" s="57">
        <f>'2015'!DI19</f>
        <v>306</v>
      </c>
      <c r="DT222" s="57">
        <f>'2015'!DJ19</f>
        <v>2248.8000000000002</v>
      </c>
      <c r="DU222" s="57">
        <f>'2015'!DK19</f>
        <v>48</v>
      </c>
      <c r="DV222" s="57">
        <f>'2015'!DL19</f>
        <v>2</v>
      </c>
      <c r="DW222" s="59">
        <f>'2015'!DM19</f>
        <v>15.600000000000001</v>
      </c>
    </row>
    <row r="223" spans="1:127" ht="15.75" customHeight="1" x14ac:dyDescent="0.2">
      <c r="A223" s="33">
        <f t="shared" si="36"/>
        <v>221</v>
      </c>
      <c r="B223" s="11">
        <f>'2021'!A17</f>
        <v>15</v>
      </c>
      <c r="C223" s="11">
        <v>2021</v>
      </c>
      <c r="D223" s="34" t="str">
        <f>'2021'!B17</f>
        <v>Kylin Hill</v>
      </c>
      <c r="E223" s="224" t="str" cm="1">
        <f t="array" ref="E223">_xlfn.IFS(F223&gt;=13,"Cornerstone",AND(F223&gt;=12,F223&lt;13),"Elite",AND(F223&gt;=11,F223&lt;12),"Elite Upside",AND(F223&gt;=9,F223&lt;11),"Upside",AND(F223&gt;=7,F223&lt;9),"Upside Lite",AND(F223&gt;=6,F223&lt;7),"Outlier",AND(F223&gt;=5,F223&lt;6),"Outlier Lite",F223&lt;5,"Purgatory")</f>
        <v>Outlier Lite</v>
      </c>
      <c r="F223" s="14">
        <f>'2021'!C17</f>
        <v>5.2722222222222221</v>
      </c>
      <c r="G223" s="14">
        <f t="shared" si="41"/>
        <v>32.4</v>
      </c>
      <c r="H223" s="35">
        <f t="shared" si="37"/>
        <v>-1.1554840958408541</v>
      </c>
      <c r="I223" s="36" t="str">
        <f>'2021'!D17</f>
        <v>Mississippi State</v>
      </c>
      <c r="J223" s="37">
        <f>'2021'!E17</f>
        <v>1</v>
      </c>
      <c r="K223" s="38">
        <f>'2021'!F17</f>
        <v>36025</v>
      </c>
      <c r="L223" s="39">
        <f>'2021'!G17</f>
        <v>27.12876712328767</v>
      </c>
      <c r="M223" s="39" t="str">
        <f>'2021'!H17</f>
        <v>SR</v>
      </c>
      <c r="N223" s="39">
        <f>'2021'!I17</f>
        <v>22.712328767123289</v>
      </c>
      <c r="O223" s="39" t="str">
        <f t="shared" si="38"/>
        <v>BELL COW</v>
      </c>
      <c r="P223" s="39" t="str">
        <f t="shared" si="44"/>
        <v>+RECEIVER</v>
      </c>
      <c r="Q223" s="37">
        <f>'2021'!J17</f>
        <v>71</v>
      </c>
      <c r="R223" s="37">
        <f>'2021'!K17</f>
        <v>214</v>
      </c>
      <c r="S223" s="39">
        <f t="shared" si="40"/>
        <v>29.846611250453211</v>
      </c>
      <c r="T223" s="37">
        <f>'2021'!L17</f>
        <v>4.57</v>
      </c>
      <c r="U223" s="40">
        <f>'2021'!M17</f>
        <v>7</v>
      </c>
      <c r="V223" s="41">
        <f>'2021'!N17</f>
        <v>0</v>
      </c>
      <c r="W223" s="42">
        <f>'2021'!O17</f>
        <v>7.9198823961778755E-2</v>
      </c>
      <c r="X223" s="42">
        <f>'2021'!P17</f>
        <v>0.17615176151761516</v>
      </c>
      <c r="Y223" s="42">
        <f>'2021'!Q17</f>
        <v>0.29378965583541627</v>
      </c>
      <c r="Z223" s="42">
        <f>'2021'!R17</f>
        <v>7.8033137359700688E-2</v>
      </c>
      <c r="AA223" s="42">
        <f>'2021'!S17</f>
        <v>0.18591139659755848</v>
      </c>
      <c r="AB223" s="42">
        <f>'2021'!T17</f>
        <v>0.18591139659755848</v>
      </c>
      <c r="AC223" s="42">
        <f>'2021'!U17</f>
        <v>7.7153879125589367E-2</v>
      </c>
      <c r="AD223" s="42">
        <f>'2021'!V17</f>
        <v>7.1801166001841055E-2</v>
      </c>
      <c r="AE223" s="42">
        <f>'2021'!W17</f>
        <v>7.4477522563715204E-2</v>
      </c>
      <c r="AF223" s="43">
        <f>'2021'!X17</f>
        <v>7.4477522563715204E-2</v>
      </c>
      <c r="AG223" s="44">
        <f>'2021'!Y17</f>
        <v>20.052054794520547</v>
      </c>
      <c r="AH223" s="45">
        <f>'2021'!Z17</f>
        <v>98.124841610958683</v>
      </c>
      <c r="AI223" s="45">
        <f>'2021'!AA17</f>
        <v>29.843681809164849</v>
      </c>
      <c r="AJ223" s="45">
        <f>'2021'!AB17</f>
        <v>0.26495726495726496</v>
      </c>
      <c r="AK223" s="45">
        <f>'2021'!AC17</f>
        <v>5.5</v>
      </c>
      <c r="AL223" s="45">
        <f t="shared" si="39"/>
        <v>11.62962962962963</v>
      </c>
      <c r="AM223" s="45">
        <f t="shared" si="43"/>
        <v>0.60526315789473684</v>
      </c>
      <c r="AN223" s="45">
        <f>'2021'!AD17</f>
        <v>116.1</v>
      </c>
      <c r="AO223" s="45">
        <f>'2021'!AE17</f>
        <v>4.03</v>
      </c>
      <c r="AP223" s="46">
        <f>'2021'!AF17</f>
        <v>45.1</v>
      </c>
      <c r="AQ223" s="47">
        <f>'2021'!AG17</f>
        <v>3</v>
      </c>
      <c r="AR223" s="48">
        <f>'2021'!AH17</f>
        <v>7</v>
      </c>
      <c r="AS223" s="48">
        <f>'2021'!AI17</f>
        <v>4</v>
      </c>
      <c r="AT223" s="48">
        <f>IF(AH223&gt;113.25,10,IF(AH223&gt;=107.84,9,IF(AH223&gt;=105.37,8,IF(AH223&gt;=103.25,7,IF(AH223&gt;=100.55,6,IF(AH223&gt;=98.75,5,IF(AH223&gt;=96.08,4,IF(AH223&gt;=94.39,3,IF(AH223&gt;=88.43,2,IF(AH223&gt;=85.16,1,IF(AH223&lt;85.16,0,FALSE)))))))))))</f>
        <v>4</v>
      </c>
      <c r="AU223" s="48">
        <f>'2021'!AK17</f>
        <v>7</v>
      </c>
      <c r="AV223" s="48">
        <f>'2021'!AL17</f>
        <v>3</v>
      </c>
      <c r="AW223" s="48">
        <f>'2021'!AM17</f>
        <v>5</v>
      </c>
      <c r="AX223" s="48">
        <f>'2021'!AN17</f>
        <v>5</v>
      </c>
      <c r="AY223" s="49">
        <f>IF(U223=1,10,IF(U223=2,7,IF(U223=3,6,IF(U223=4,4,IF(U223=5,3,IF(U223=6,2,IF(U223=7,1,IF(U223=0,0,"-"))))))))</f>
        <v>1</v>
      </c>
      <c r="AZ223" s="50">
        <f>'2021'!AP17</f>
        <v>0</v>
      </c>
      <c r="BA223" s="56">
        <f>'2021'!AQ17</f>
        <v>0</v>
      </c>
      <c r="BB223" s="57">
        <f>'2021'!AR17</f>
        <v>2997</v>
      </c>
      <c r="BC223" s="57">
        <f>'2021'!AS17</f>
        <v>0</v>
      </c>
      <c r="BD223" s="57">
        <f>'2021'!AT17</f>
        <v>24</v>
      </c>
      <c r="BE223" s="57">
        <f>'2021'!AU17</f>
        <v>0</v>
      </c>
      <c r="BF223" s="57">
        <f>'2021'!AV17</f>
        <v>0</v>
      </c>
      <c r="BG223" s="58">
        <f>'2021'!AW17</f>
        <v>0</v>
      </c>
      <c r="BH223" s="58">
        <f>'2021'!AX17</f>
        <v>0</v>
      </c>
      <c r="BI223" s="58">
        <f>'2021'!AY17</f>
        <v>0</v>
      </c>
      <c r="BJ223" s="58">
        <f>'2021'!AZ17</f>
        <v>0</v>
      </c>
      <c r="BK223" s="57">
        <f>'2021'!BA17</f>
        <v>0</v>
      </c>
      <c r="BL223" s="57">
        <f>'2021'!BB17</f>
        <v>2726</v>
      </c>
      <c r="BM223" s="57">
        <f>'2021'!BC17</f>
        <v>0</v>
      </c>
      <c r="BN223" s="57">
        <f>'2021'!BD17</f>
        <v>0</v>
      </c>
      <c r="BO223" s="59">
        <f>'2021'!BE17</f>
        <v>24</v>
      </c>
      <c r="BP223" s="56">
        <f>'2021'!BF17</f>
        <v>393</v>
      </c>
      <c r="BQ223" s="57">
        <f>'2021'!BG17</f>
        <v>3272</v>
      </c>
      <c r="BR223" s="57">
        <f>'2021'!BH17</f>
        <v>2</v>
      </c>
      <c r="BS223" s="57">
        <f>'2021'!BI17</f>
        <v>30</v>
      </c>
      <c r="BT223" s="57">
        <f>'2021'!BJ17</f>
        <v>78</v>
      </c>
      <c r="BU223" s="57">
        <f>'2021'!BK17</f>
        <v>21</v>
      </c>
      <c r="BV223" s="58">
        <f>'2021'!BL17</f>
        <v>5</v>
      </c>
      <c r="BW223" s="58">
        <f>'2021'!BM17</f>
        <v>103.6</v>
      </c>
      <c r="BX223" s="58">
        <f>'2021'!BN17</f>
        <v>3.4</v>
      </c>
      <c r="BY223" s="58">
        <f>'2021'!BO17</f>
        <v>16.5</v>
      </c>
      <c r="BZ223" s="57">
        <f>'2021'!BP17</f>
        <v>38</v>
      </c>
      <c r="CA223" s="57">
        <f>'2021'!BQ17</f>
        <v>2170</v>
      </c>
      <c r="CB223" s="57">
        <f>'2021'!BR17</f>
        <v>4</v>
      </c>
      <c r="CC223" s="57">
        <f>'2021'!BS17</f>
        <v>0</v>
      </c>
      <c r="CD223" s="59">
        <f>'2021'!BT17</f>
        <v>17</v>
      </c>
      <c r="CE223" s="56">
        <f>'2021'!BU17</f>
        <v>734</v>
      </c>
      <c r="CF223" s="57">
        <f>'2021'!BV17</f>
        <v>2907</v>
      </c>
      <c r="CG223" s="57">
        <f>'2021'!BW17</f>
        <v>4</v>
      </c>
      <c r="CH223" s="57">
        <f>'2021'!BX17</f>
        <v>26</v>
      </c>
      <c r="CI223" s="57">
        <f>'2021'!BY17</f>
        <v>117</v>
      </c>
      <c r="CJ223" s="57">
        <f>'2021'!BZ17</f>
        <v>31</v>
      </c>
      <c r="CK223" s="58">
        <f>'2021'!CA17</f>
        <v>6.3</v>
      </c>
      <c r="CL223" s="58">
        <f>'2021'!CB17</f>
        <v>116.1</v>
      </c>
      <c r="CM223" s="58">
        <f>'2021'!CC17</f>
        <v>4.03</v>
      </c>
      <c r="CN223" s="58">
        <f>'2021'!CD17</f>
        <v>45.1</v>
      </c>
      <c r="CO223" s="57">
        <f>'2021'!CE17</f>
        <v>176</v>
      </c>
      <c r="CP223" s="57">
        <f>'2021'!CF17</f>
        <v>2259</v>
      </c>
      <c r="CQ223" s="57">
        <f>'2021'!CG17</f>
        <v>9</v>
      </c>
      <c r="CR223" s="57">
        <f>'2021'!CH17</f>
        <v>0</v>
      </c>
      <c r="CS223" s="59">
        <f>'2021'!CI17</f>
        <v>22</v>
      </c>
      <c r="CT223" s="56">
        <f>'2021'!CJ17</f>
        <v>1348</v>
      </c>
      <c r="CU223" s="57">
        <f>'2021'!CK17</f>
        <v>2868</v>
      </c>
      <c r="CV223" s="57">
        <f>'2021'!CL17</f>
        <v>10</v>
      </c>
      <c r="CW223" s="57">
        <f>'2021'!CM17</f>
        <v>27</v>
      </c>
      <c r="CX223" s="57">
        <f>'2021'!CN17</f>
        <v>243</v>
      </c>
      <c r="CY223" s="57">
        <f>'2021'!CO17</f>
        <v>61</v>
      </c>
      <c r="CZ223" s="58">
        <f>'2021'!CP17</f>
        <v>5.5</v>
      </c>
      <c r="DA223" s="58">
        <f>'2021'!CQ17</f>
        <v>74.8</v>
      </c>
      <c r="DB223" s="58">
        <f>'2021'!CR17</f>
        <v>3.05</v>
      </c>
      <c r="DC223" s="58">
        <f>'2021'!CS17</f>
        <v>42.7</v>
      </c>
      <c r="DD223" s="57">
        <f>'2021'!CT17</f>
        <v>180</v>
      </c>
      <c r="DE223" s="57">
        <f>'2021'!CU17</f>
        <v>2333</v>
      </c>
      <c r="DF223" s="57">
        <f>'2021'!CV17</f>
        <v>18</v>
      </c>
      <c r="DG223" s="57">
        <f>'2021'!CW17</f>
        <v>0</v>
      </c>
      <c r="DH223" s="59">
        <f>'2021'!CX17</f>
        <v>19</v>
      </c>
      <c r="DI223" s="56">
        <f>'2021'!CY17</f>
        <v>58</v>
      </c>
      <c r="DJ223" s="57">
        <f>'2021'!CZ17</f>
        <v>483</v>
      </c>
      <c r="DK223" s="57">
        <f>'2021'!DA17</f>
        <v>0</v>
      </c>
      <c r="DL223" s="57">
        <f>'2021'!DB17</f>
        <v>8</v>
      </c>
      <c r="DM223" s="57">
        <f>'2021'!DC17</f>
        <v>15</v>
      </c>
      <c r="DN223" s="57">
        <f>'2021'!DD17</f>
        <v>3</v>
      </c>
      <c r="DO223" s="58">
        <f>'2021'!DE17</f>
        <v>3.9</v>
      </c>
      <c r="DP223" s="58">
        <f>'2021'!DF17</f>
        <v>77.900000000000006</v>
      </c>
      <c r="DQ223" s="58">
        <f>'2021'!DG17</f>
        <v>2.4700000000000002</v>
      </c>
      <c r="DR223" s="58">
        <f>'2021'!DH17</f>
        <v>0</v>
      </c>
      <c r="DS223" s="57">
        <f>'2021'!DI17</f>
        <v>234</v>
      </c>
      <c r="DT223" s="57">
        <f>'2021'!DJ17</f>
        <v>3259</v>
      </c>
      <c r="DU223" s="57">
        <f>'2021'!DK17</f>
        <v>23</v>
      </c>
      <c r="DV223" s="57">
        <f>'2021'!DL17</f>
        <v>0</v>
      </c>
      <c r="DW223" s="59">
        <f>'2021'!DM17</f>
        <v>17</v>
      </c>
    </row>
    <row r="224" spans="1:127" ht="15.75" customHeight="1" x14ac:dyDescent="0.2">
      <c r="A224" s="33">
        <f t="shared" si="36"/>
        <v>222</v>
      </c>
      <c r="B224" s="11">
        <f>'2023'!A21</f>
        <v>19</v>
      </c>
      <c r="C224" s="11">
        <v>2023</v>
      </c>
      <c r="D224" s="34" t="str">
        <f>'2023'!B21</f>
        <v>DeWayne McBride</v>
      </c>
      <c r="E224" s="224" t="str" cm="1">
        <f t="array" ref="E224">_xlfn.IFS(F224&gt;=13,"Cornerstone",AND(F224&gt;=12,F224&lt;13),"Elite",AND(F224&gt;=11,F224&lt;12),"Elite Upside",AND(F224&gt;=9,F224&lt;11),"Upside",AND(F224&gt;=7,F224&lt;9),"Upside Lite",AND(F224&gt;=6,F224&lt;7),"Outlier",AND(F224&gt;=5,F224&lt;6),"Outlier Lite",F224&lt;5,"Purgatory")</f>
        <v>Outlier Lite</v>
      </c>
      <c r="F224" s="14">
        <f>'2023'!C21</f>
        <v>5.2611111111111111</v>
      </c>
      <c r="G224" s="14">
        <f t="shared" si="41"/>
        <v>32.1</v>
      </c>
      <c r="H224" s="35">
        <f t="shared" si="37"/>
        <v>-1.1601865965546279</v>
      </c>
      <c r="I224" s="36" t="str">
        <f>'2023'!D21</f>
        <v>UAB</v>
      </c>
      <c r="J224" s="37">
        <f>'2023'!E21</f>
        <v>8</v>
      </c>
      <c r="K224" s="38">
        <f>'2023'!F21</f>
        <v>37080</v>
      </c>
      <c r="L224" s="39">
        <f>'2023'!G21</f>
        <v>24.238356164383561</v>
      </c>
      <c r="M224" s="39" t="str">
        <f>'2023'!H21</f>
        <v>JR</v>
      </c>
      <c r="N224" s="39">
        <f>'2023'!I21</f>
        <v>21.816438356164383</v>
      </c>
      <c r="O224" s="39" t="str">
        <f t="shared" si="38"/>
        <v>BELL CALF</v>
      </c>
      <c r="P224" s="39" t="str">
        <f t="shared" si="44"/>
        <v>3DOWN</v>
      </c>
      <c r="Q224" s="37">
        <f>'2023'!J21</f>
        <v>70</v>
      </c>
      <c r="R224" s="37">
        <f>'2023'!K21</f>
        <v>209</v>
      </c>
      <c r="S224" s="39">
        <f t="shared" si="40"/>
        <v>29.988045363845824</v>
      </c>
      <c r="T224" s="37">
        <f>'2023'!L21</f>
        <v>4.5199999999999996</v>
      </c>
      <c r="U224" s="40">
        <f>'2023'!M21</f>
        <v>7</v>
      </c>
      <c r="V224" s="41">
        <f>'2023'!N21</f>
        <v>0</v>
      </c>
      <c r="W224" s="42">
        <f>'2023'!O21</f>
        <v>0</v>
      </c>
      <c r="X224" s="42">
        <f>'2023'!P21</f>
        <v>0.12153931339977851</v>
      </c>
      <c r="Y224" s="42">
        <f>'2023'!Q21</f>
        <v>0.27567675159235666</v>
      </c>
      <c r="Z224" s="42">
        <f>'2023'!R21</f>
        <v>0.30072018268048478</v>
      </c>
      <c r="AA224" s="42">
        <f>'2023'!S21</f>
        <v>0.30072018268048478</v>
      </c>
      <c r="AB224" s="42">
        <f>'2023'!T21</f>
        <v>0.19546811874231512</v>
      </c>
      <c r="AC224" s="42">
        <f>'2023'!U21</f>
        <v>7.0842654735272185E-3</v>
      </c>
      <c r="AD224" s="42">
        <f>'2023'!V21</f>
        <v>3.7965072133637054E-3</v>
      </c>
      <c r="AE224" s="42">
        <f>'2023'!W21</f>
        <v>5.4403863434454615E-3</v>
      </c>
      <c r="AF224" s="43">
        <f>'2023'!X21</f>
        <v>3.5362511232395499E-3</v>
      </c>
      <c r="AG224" s="44">
        <f>'2023'!Y21</f>
        <v>20.175342465753424</v>
      </c>
      <c r="AH224" s="45">
        <f>'2023'!Z21</f>
        <v>100.14344850389824</v>
      </c>
      <c r="AI224" s="45">
        <f>'2023'!AA21</f>
        <v>29.985102040816326</v>
      </c>
      <c r="AJ224" s="45">
        <f>'2023'!AB21</f>
        <v>0.38235294117647056</v>
      </c>
      <c r="AK224" s="45">
        <f>'2023'!AC21</f>
        <v>7.3</v>
      </c>
      <c r="AL224" s="45">
        <f t="shared" si="39"/>
        <v>5.8</v>
      </c>
      <c r="AM224" s="45">
        <f t="shared" si="43"/>
        <v>8.5106382978723406E-3</v>
      </c>
      <c r="AN224" s="45">
        <f>'2023'!AD21</f>
        <v>177.7</v>
      </c>
      <c r="AO224" s="45">
        <f>'2023'!AE21</f>
        <v>4.72</v>
      </c>
      <c r="AP224" s="46">
        <f>'2023'!AF21</f>
        <v>52.5</v>
      </c>
      <c r="AQ224" s="47">
        <f>'2023'!AG21</f>
        <v>3</v>
      </c>
      <c r="AR224" s="48">
        <f>'2023'!AH21</f>
        <v>0</v>
      </c>
      <c r="AS224" s="48">
        <f>'2023'!AI21</f>
        <v>4</v>
      </c>
      <c r="AT224" s="48">
        <f>IF(AH224&gt;113.25,10,IF(AH224&gt;=107.84,9,IF(AH224&gt;=105.37,8,IF(AH224&gt;=103.25,7,IF(AH224&gt;=100.55,6,IF(AH224&gt;=98.75,5,IF(AH224&gt;=96.08,4,IF(AH224&gt;=94.39,3,IF(AH224&gt;=88.43,2,IF(AH224&gt;=85.16,1,IF(AH224&lt;85.16,0,FALSE)))))))))))</f>
        <v>5</v>
      </c>
      <c r="AU224" s="48">
        <f>'2023'!AK21</f>
        <v>10</v>
      </c>
      <c r="AV224" s="48">
        <f>'2023'!AL21</f>
        <v>8</v>
      </c>
      <c r="AW224" s="48">
        <f>'2023'!AM21</f>
        <v>8</v>
      </c>
      <c r="AX224" s="48">
        <f>'2023'!AN21</f>
        <v>7</v>
      </c>
      <c r="AY224" s="49">
        <f>'2023'!AO21</f>
        <v>1</v>
      </c>
      <c r="AZ224" s="50">
        <f>'2023'!AP21</f>
        <v>0</v>
      </c>
      <c r="BA224" s="56">
        <f>'2023'!AQ21</f>
        <v>0</v>
      </c>
      <c r="BB224" s="57">
        <f>'2023'!AR21</f>
        <v>2818</v>
      </c>
      <c r="BC224" s="57">
        <f>'2023'!AS21</f>
        <v>0</v>
      </c>
      <c r="BD224" s="57">
        <f>'2023'!AT21</f>
        <v>32</v>
      </c>
      <c r="BE224" s="57">
        <f>'2023'!AU21</f>
        <v>0</v>
      </c>
      <c r="BF224" s="57">
        <f>'2023'!AV21</f>
        <v>0</v>
      </c>
      <c r="BG224" s="58">
        <f>'2023'!AW21</f>
        <v>0</v>
      </c>
      <c r="BH224" s="58">
        <f>'2023'!AX21</f>
        <v>0</v>
      </c>
      <c r="BI224" s="58">
        <f>'2023'!AY21</f>
        <v>0</v>
      </c>
      <c r="BJ224" s="58">
        <f>'2023'!AZ21</f>
        <v>0</v>
      </c>
      <c r="BK224" s="57">
        <f>'2023'!BA21</f>
        <v>0</v>
      </c>
      <c r="BL224" s="57">
        <f>'2023'!BB21</f>
        <v>2862</v>
      </c>
      <c r="BM224" s="57">
        <f>'2023'!BC21</f>
        <v>0</v>
      </c>
      <c r="BN224" s="57">
        <f>'2023'!BD21</f>
        <v>0</v>
      </c>
      <c r="BO224" s="59">
        <f>'2023'!BE21</f>
        <v>18</v>
      </c>
      <c r="BP224" s="56">
        <f>'2023'!BF21</f>
        <v>0</v>
      </c>
      <c r="BQ224" s="57">
        <f>'2023'!BG21</f>
        <v>2111</v>
      </c>
      <c r="BR224" s="57">
        <f>'2023'!BH21</f>
        <v>0</v>
      </c>
      <c r="BS224" s="57">
        <f>'2023'!BI21</f>
        <v>16</v>
      </c>
      <c r="BT224" s="57">
        <f>'2023'!BJ21</f>
        <v>0</v>
      </c>
      <c r="BU224" s="57">
        <f>'2023'!BK21</f>
        <v>0</v>
      </c>
      <c r="BV224" s="58">
        <f>'2023'!BL21</f>
        <v>0</v>
      </c>
      <c r="BW224" s="58">
        <f>'2023'!BM21</f>
        <v>0</v>
      </c>
      <c r="BX224" s="58">
        <f>'2023'!BN21</f>
        <v>0</v>
      </c>
      <c r="BY224" s="58">
        <f>'2023'!BO21</f>
        <v>0</v>
      </c>
      <c r="BZ224" s="57">
        <f>'2023'!BP21</f>
        <v>0</v>
      </c>
      <c r="CA224" s="57">
        <f>'2023'!BQ21</f>
        <v>2815</v>
      </c>
      <c r="CB224" s="57">
        <f>'2023'!BR21</f>
        <v>0</v>
      </c>
      <c r="CC224" s="57">
        <f>'2023'!BS21</f>
        <v>0</v>
      </c>
      <c r="CD224" s="59">
        <f>'2023'!BT21</f>
        <v>20</v>
      </c>
      <c r="CE224" s="56">
        <f>'2023'!BU21</f>
        <v>439</v>
      </c>
      <c r="CF224" s="57">
        <f>'2023'!BV21</f>
        <v>1800</v>
      </c>
      <c r="CG224" s="57">
        <f>'2023'!BW21</f>
        <v>4</v>
      </c>
      <c r="CH224" s="57">
        <f>'2023'!BX21</f>
        <v>17</v>
      </c>
      <c r="CI224" s="57">
        <f>'2023'!BY21</f>
        <v>47</v>
      </c>
      <c r="CJ224" s="57">
        <f>'2023'!BZ21</f>
        <v>21</v>
      </c>
      <c r="CK224" s="58">
        <f>'2023'!CA21</f>
        <v>9.3000000000000007</v>
      </c>
      <c r="CL224" s="58">
        <f>'2023'!CB21</f>
        <v>336.5</v>
      </c>
      <c r="CM224" s="58">
        <f>'2023'!CC21</f>
        <v>7.53</v>
      </c>
      <c r="CN224" s="58">
        <f>'2023'!CD21</f>
        <v>65.400000000000006</v>
      </c>
      <c r="CO224" s="57">
        <f>'2023'!CE21</f>
        <v>0</v>
      </c>
      <c r="CP224" s="57">
        <f>'2023'!CF21</f>
        <v>1812</v>
      </c>
      <c r="CQ224" s="57">
        <f>'2023'!CG21</f>
        <v>0</v>
      </c>
      <c r="CR224" s="57">
        <f>'2023'!CH21</f>
        <v>0</v>
      </c>
      <c r="CS224" s="59">
        <f>'2023'!CI21</f>
        <v>14</v>
      </c>
      <c r="CT224" s="56">
        <f>'2023'!CJ21</f>
        <v>1366</v>
      </c>
      <c r="CU224" s="57">
        <f>'2023'!CK21</f>
        <v>2342</v>
      </c>
      <c r="CV224" s="57">
        <f>'2023'!CL21</f>
        <v>13</v>
      </c>
      <c r="CW224" s="57">
        <f>'2023'!CM21</f>
        <v>27</v>
      </c>
      <c r="CX224" s="57">
        <f>'2023'!CN21</f>
        <v>204</v>
      </c>
      <c r="CY224" s="57">
        <f>'2023'!CO21</f>
        <v>78</v>
      </c>
      <c r="CZ224" s="58">
        <f>'2023'!CP21</f>
        <v>6.7</v>
      </c>
      <c r="DA224" s="58">
        <f>'2023'!CQ21</f>
        <v>177.7</v>
      </c>
      <c r="DB224" s="58">
        <f>'2023'!CR21</f>
        <v>4.72</v>
      </c>
      <c r="DC224" s="58">
        <f>'2023'!CS21</f>
        <v>52.5</v>
      </c>
      <c r="DD224" s="57">
        <f>'2023'!CT21</f>
        <v>19</v>
      </c>
      <c r="DE224" s="57">
        <f>'2023'!CU21</f>
        <v>2682</v>
      </c>
      <c r="DF224" s="57">
        <f>'2023'!CV21</f>
        <v>3</v>
      </c>
      <c r="DG224" s="57">
        <f>'2023'!CW21</f>
        <v>0</v>
      </c>
      <c r="DH224" s="59">
        <f>'2023'!CX21</f>
        <v>20</v>
      </c>
      <c r="DI224" s="56">
        <f>'2023'!CY21</f>
        <v>1702</v>
      </c>
      <c r="DJ224" s="57">
        <f>'2023'!CZ21</f>
        <v>3059</v>
      </c>
      <c r="DK224" s="57">
        <f>'2023'!DA21</f>
        <v>19</v>
      </c>
      <c r="DL224" s="57">
        <f>'2023'!DB21</f>
        <v>32</v>
      </c>
      <c r="DM224" s="57">
        <f>'2023'!DC21</f>
        <v>233</v>
      </c>
      <c r="DN224" s="57">
        <f>'2023'!DD21</f>
        <v>76</v>
      </c>
      <c r="DO224" s="58">
        <f>'2023'!DE21</f>
        <v>7.3</v>
      </c>
      <c r="DP224" s="58">
        <f>'2023'!DF21</f>
        <v>150.80000000000001</v>
      </c>
      <c r="DQ224" s="58">
        <f>'2023'!DG21</f>
        <v>4.5999999999999996</v>
      </c>
      <c r="DR224" s="58">
        <f>'2023'!DH21</f>
        <v>52.2</v>
      </c>
      <c r="DS224" s="57">
        <f>'2023'!DI21</f>
        <v>10</v>
      </c>
      <c r="DT224" s="57">
        <f>'2023'!DJ21</f>
        <v>2634</v>
      </c>
      <c r="DU224" s="57">
        <f>'2023'!DK21</f>
        <v>2</v>
      </c>
      <c r="DV224" s="57">
        <f>'2023'!DL21</f>
        <v>0</v>
      </c>
      <c r="DW224" s="59">
        <f>'2023'!DM21</f>
        <v>15</v>
      </c>
    </row>
    <row r="225" spans="1:127" ht="15.75" customHeight="1" x14ac:dyDescent="0.2">
      <c r="A225" s="33">
        <f t="shared" si="36"/>
        <v>223</v>
      </c>
      <c r="B225" s="11">
        <f>'2022'!A25</f>
        <v>23</v>
      </c>
      <c r="C225" s="11">
        <v>2022</v>
      </c>
      <c r="D225" s="34" t="str">
        <f>'2022'!B25</f>
        <v>Jashaun Corbin</v>
      </c>
      <c r="E225" s="224" t="str" cm="1">
        <f t="array" ref="E225">_xlfn.IFS(F225&gt;=13,"Cornerstone",AND(F225&gt;=12,F225&lt;13),"Elite",AND(F225&gt;=11,F225&lt;12),"Elite Upside",AND(F225&gt;=9,F225&lt;11),"Upside",AND(F225&gt;=7,F225&lt;9),"Upside Lite",AND(F225&gt;=6,F225&lt;7),"Outlier",AND(F225&gt;=5,F225&lt;6),"Outlier Lite",F225&lt;5,"Purgatory")</f>
        <v>Outlier Lite</v>
      </c>
      <c r="F225" s="14">
        <f>'2022'!C25</f>
        <v>5.2555555555555564</v>
      </c>
      <c r="G225" s="14">
        <f t="shared" si="41"/>
        <v>31.8</v>
      </c>
      <c r="H225" s="35">
        <f t="shared" si="37"/>
        <v>-1.1625378469115144</v>
      </c>
      <c r="I225" s="36" t="str">
        <f>'2022'!D25</f>
        <v>Florida State</v>
      </c>
      <c r="J225" s="37">
        <f>'2022'!E25</f>
        <v>4</v>
      </c>
      <c r="K225" s="38">
        <f>'2022'!F25</f>
        <v>36758</v>
      </c>
      <c r="L225" s="39">
        <f>'2022'!G25</f>
        <v>25.12054794520548</v>
      </c>
      <c r="M225" s="39" t="str">
        <f>'2022'!H25</f>
        <v>JR</v>
      </c>
      <c r="N225" s="39">
        <f>'2022'!I25</f>
        <v>21.701369863013699</v>
      </c>
      <c r="O225" s="39" t="str">
        <f t="shared" si="38"/>
        <v>BELL COW</v>
      </c>
      <c r="P225" s="39" t="str">
        <f t="shared" si="44"/>
        <v>+RECEIVER</v>
      </c>
      <c r="Q225" s="37">
        <f>'2022'!J25</f>
        <v>71</v>
      </c>
      <c r="R225" s="37">
        <f>'2022'!K25</f>
        <v>202</v>
      </c>
      <c r="S225" s="39">
        <f t="shared" si="40"/>
        <v>28.172969498091351</v>
      </c>
      <c r="T225" s="37">
        <f>'2022'!L25</f>
        <v>4.5199999999999996</v>
      </c>
      <c r="U225" s="40">
        <f>'2022'!M25</f>
        <v>0</v>
      </c>
      <c r="V225" s="41">
        <f>'2022'!N25</f>
        <v>0</v>
      </c>
      <c r="W225" s="42">
        <f>'2022'!O25</f>
        <v>9.8469271190312999E-2</v>
      </c>
      <c r="X225" s="42">
        <f>'2022'!P25</f>
        <v>2.983619344773791E-2</v>
      </c>
      <c r="Y225" s="42">
        <f>'2022'!Q25</f>
        <v>0.14537815126050421</v>
      </c>
      <c r="Z225" s="42">
        <f>'2022'!R25</f>
        <v>0.22473637961335677</v>
      </c>
      <c r="AA225" s="42">
        <f>'2022'!S25</f>
        <v>0.22473637961335677</v>
      </c>
      <c r="AB225" s="42">
        <f>'2022'!T25</f>
        <v>0.2022627416520211</v>
      </c>
      <c r="AC225" s="42">
        <f>'2022'!U25</f>
        <v>6.4935064935064929E-2</v>
      </c>
      <c r="AD225" s="42">
        <f>'2022'!V25</f>
        <v>5.9528730880529145E-2</v>
      </c>
      <c r="AE225" s="42">
        <f>'2022'!W25</f>
        <v>6.223189790779704E-2</v>
      </c>
      <c r="AF225" s="43">
        <f>'2022'!X25</f>
        <v>5.6008708117017338E-2</v>
      </c>
      <c r="AG225" s="44">
        <f>'2022'!Y25</f>
        <v>21.054794520547944</v>
      </c>
      <c r="AH225" s="45">
        <f>'2022'!Z25</f>
        <v>96.789361711901662</v>
      </c>
      <c r="AI225" s="45">
        <f>'2022'!AA25</f>
        <v>28.170204324538783</v>
      </c>
      <c r="AJ225" s="45">
        <f>'2022'!AB25</f>
        <v>0.24390243902439024</v>
      </c>
      <c r="AK225" s="45">
        <f>'2022'!AC25</f>
        <v>6.2</v>
      </c>
      <c r="AL225" s="45">
        <f t="shared" si="39"/>
        <v>7.3469387755102042</v>
      </c>
      <c r="AM225" s="45">
        <f t="shared" si="43"/>
        <v>0.14457831325301204</v>
      </c>
      <c r="AN225" s="45">
        <f>'2022'!AD25</f>
        <v>92.4</v>
      </c>
      <c r="AO225" s="45">
        <f>'2022'!AE25</f>
        <v>4.57</v>
      </c>
      <c r="AP225" s="46">
        <f>'2022'!AF25</f>
        <v>47.1</v>
      </c>
      <c r="AQ225" s="47">
        <f>'2022'!AG25</f>
        <v>4</v>
      </c>
      <c r="AR225" s="48">
        <f>'2022'!AH25</f>
        <v>6</v>
      </c>
      <c r="AS225" s="48">
        <f>'2022'!AI25</f>
        <v>3</v>
      </c>
      <c r="AT225" s="48">
        <f>IF(AH225&gt;113.25,10,IF(AH225&gt;=107.84,9,IF(AH225&gt;=105.37,8,IF(AH225&gt;=103.25,7,IF(AH225&gt;=100.55,6,IF(AH225&gt;=98.75,5,IF(AH225&gt;=96.08,4,IF(AH225&gt;=94.39,3,IF(AH225&gt;=88.43,2,IF(AH225&gt;=85.16,1,IF(AH225&lt;85.16,0,FALSE)))))))))))</f>
        <v>4</v>
      </c>
      <c r="AU225" s="48">
        <f>'2022'!AK25</f>
        <v>6</v>
      </c>
      <c r="AV225" s="48">
        <f>'2022'!AL25</f>
        <v>5</v>
      </c>
      <c r="AW225" s="48">
        <f>'2022'!AM25</f>
        <v>3</v>
      </c>
      <c r="AX225" s="48">
        <f>'2022'!AN25</f>
        <v>7</v>
      </c>
      <c r="AY225" s="49">
        <f>IF(U225=1,10,IF(U225=2,7,IF(U225=3,6,IF(U225=4,4,IF(U225=5,3,IF(U225=6,2,IF(U225=7,1,IF(U225=0,0,"-"))))))))</f>
        <v>0</v>
      </c>
      <c r="AZ225" s="50">
        <f>'2022'!AP25</f>
        <v>0</v>
      </c>
      <c r="BA225" s="56">
        <f>'2022'!AQ25</f>
        <v>0</v>
      </c>
      <c r="BB225" s="57">
        <f>'2022'!AR25</f>
        <v>2024</v>
      </c>
      <c r="BC225" s="57">
        <f>'2022'!AS25</f>
        <v>0</v>
      </c>
      <c r="BD225" s="57">
        <f>'2022'!AT25</f>
        <v>18</v>
      </c>
      <c r="BE225" s="57">
        <f>'2022'!AU25</f>
        <v>0</v>
      </c>
      <c r="BF225" s="57">
        <f>'2022'!AV25</f>
        <v>0</v>
      </c>
      <c r="BG225" s="58">
        <f>'2022'!AW25</f>
        <v>0</v>
      </c>
      <c r="BH225" s="58">
        <f>'2022'!AX25</f>
        <v>0</v>
      </c>
      <c r="BI225" s="58">
        <f>'2022'!AY25</f>
        <v>0</v>
      </c>
      <c r="BJ225" s="58">
        <f>'2022'!AZ25</f>
        <v>0</v>
      </c>
      <c r="BK225" s="57">
        <f>'2022'!BA25</f>
        <v>0</v>
      </c>
      <c r="BL225" s="57">
        <f>'2022'!BB25</f>
        <v>3266</v>
      </c>
      <c r="BM225" s="57">
        <f>'2022'!BC25</f>
        <v>0</v>
      </c>
      <c r="BN225" s="57">
        <f>'2022'!BD25</f>
        <v>0</v>
      </c>
      <c r="BO225" s="59">
        <f>'2022'!BE25</f>
        <v>22</v>
      </c>
      <c r="BP225" s="56">
        <f>'2022'!BF25</f>
        <v>346</v>
      </c>
      <c r="BQ225" s="57">
        <f>'2022'!BG25</f>
        <v>1093</v>
      </c>
      <c r="BR225" s="57">
        <f>'2022'!BH25</f>
        <v>1</v>
      </c>
      <c r="BS225" s="57">
        <f>'2022'!BI25</f>
        <v>11</v>
      </c>
      <c r="BT225" s="57">
        <f>'2022'!BJ25</f>
        <v>61</v>
      </c>
      <c r="BU225" s="57">
        <f>'2022'!BK25</f>
        <v>8</v>
      </c>
      <c r="BV225" s="58">
        <f>'2022'!BL25</f>
        <v>5.7</v>
      </c>
      <c r="BW225" s="58">
        <f>'2022'!BM25</f>
        <v>37.5</v>
      </c>
      <c r="BX225" s="58">
        <f>'2022'!BN25</f>
        <v>3.33</v>
      </c>
      <c r="BY225" s="58">
        <f>'2022'!BO25</f>
        <v>43.6</v>
      </c>
      <c r="BZ225" s="57">
        <f>'2022'!BP25</f>
        <v>85</v>
      </c>
      <c r="CA225" s="57">
        <f>'2022'!BQ25</f>
        <v>3284</v>
      </c>
      <c r="CB225" s="57">
        <f>'2022'!BR25</f>
        <v>0</v>
      </c>
      <c r="CC225" s="57">
        <f>'2022'!BS25</f>
        <v>0</v>
      </c>
      <c r="CD225" s="59">
        <f>'2022'!BT25</f>
        <v>25</v>
      </c>
      <c r="CE225" s="56">
        <f>'2022'!BU25</f>
        <v>137</v>
      </c>
      <c r="CF225" s="57">
        <f>'2022'!BV25</f>
        <v>2068</v>
      </c>
      <c r="CG225" s="57">
        <f>'2022'!BW25</f>
        <v>1</v>
      </c>
      <c r="CH225" s="57">
        <f>'2022'!BX25</f>
        <v>24</v>
      </c>
      <c r="CI225" s="57">
        <f>'2022'!BY25</f>
        <v>35</v>
      </c>
      <c r="CJ225" s="57">
        <f>'2022'!BZ25</f>
        <v>11</v>
      </c>
      <c r="CK225" s="58">
        <f>'2022'!CA25</f>
        <v>3.9</v>
      </c>
      <c r="CL225" s="58">
        <f>'2022'!CB25</f>
        <v>86.6</v>
      </c>
      <c r="CM225" s="58">
        <f>'2022'!CC25</f>
        <v>3.23</v>
      </c>
      <c r="CN225" s="58">
        <f>'2022'!CD25</f>
        <v>14.6</v>
      </c>
      <c r="CO225" s="57">
        <f>'2022'!CE25</f>
        <v>16</v>
      </c>
      <c r="CP225" s="57">
        <f>'2022'!CF25</f>
        <v>3060</v>
      </c>
      <c r="CQ225" s="57">
        <f>'2022'!CG25</f>
        <v>6</v>
      </c>
      <c r="CR225" s="57">
        <f>'2022'!CH25</f>
        <v>0</v>
      </c>
      <c r="CS225" s="59">
        <f>'2022'!CI25</f>
        <v>22</v>
      </c>
      <c r="CT225" s="56">
        <f>'2022'!CJ25</f>
        <v>404</v>
      </c>
      <c r="CU225" s="57">
        <f>'2022'!CK25</f>
        <v>1799</v>
      </c>
      <c r="CV225" s="57">
        <f>'2022'!CL25</f>
        <v>5</v>
      </c>
      <c r="CW225" s="57">
        <f>'2022'!CM25</f>
        <v>19</v>
      </c>
      <c r="CX225" s="57">
        <f>'2022'!CN25</f>
        <v>82</v>
      </c>
      <c r="CY225" s="57">
        <f>'2022'!CO25</f>
        <v>20</v>
      </c>
      <c r="CZ225" s="58">
        <f>'2022'!CP25</f>
        <v>4.9000000000000004</v>
      </c>
      <c r="DA225" s="58">
        <f>'2022'!CQ25</f>
        <v>92.4</v>
      </c>
      <c r="DB225" s="58">
        <f>'2022'!CR25</f>
        <v>3.89</v>
      </c>
      <c r="DC225" s="58">
        <f>'2022'!CS25</f>
        <v>30.2</v>
      </c>
      <c r="DD225" s="57">
        <f>'2022'!CT25</f>
        <v>115</v>
      </c>
      <c r="DE225" s="57">
        <f>'2022'!CU25</f>
        <v>1771</v>
      </c>
      <c r="DF225" s="57">
        <f>'2022'!CV25</f>
        <v>19</v>
      </c>
      <c r="DG225" s="57">
        <f>'2022'!CW25</f>
        <v>0</v>
      </c>
      <c r="DH225" s="59">
        <f>'2022'!CX25</f>
        <v>10</v>
      </c>
      <c r="DI225" s="56">
        <f>'2022'!CY25</f>
        <v>879</v>
      </c>
      <c r="DJ225" s="57">
        <f>'2022'!CZ25</f>
        <v>2133</v>
      </c>
      <c r="DK225" s="57">
        <f>'2022'!DA25</f>
        <v>7</v>
      </c>
      <c r="DL225" s="57">
        <f>'2022'!DB25</f>
        <v>21</v>
      </c>
      <c r="DM225" s="57">
        <f>'2022'!DC25</f>
        <v>142</v>
      </c>
      <c r="DN225" s="57">
        <f>'2022'!DD25</f>
        <v>27</v>
      </c>
      <c r="DO225" s="58">
        <f>'2022'!DE25</f>
        <v>6.2</v>
      </c>
      <c r="DP225" s="58">
        <f>'2022'!DF25</f>
        <v>82.6</v>
      </c>
      <c r="DQ225" s="58">
        <f>'2022'!DG25</f>
        <v>4.57</v>
      </c>
      <c r="DR225" s="58">
        <f>'2022'!DH25</f>
        <v>47.1</v>
      </c>
      <c r="DS225" s="57">
        <f>'2022'!DI25</f>
        <v>144</v>
      </c>
      <c r="DT225" s="57">
        <f>'2022'!DJ25</f>
        <v>2419</v>
      </c>
      <c r="DU225" s="57">
        <f>'2022'!DK25</f>
        <v>24</v>
      </c>
      <c r="DV225" s="57">
        <f>'2022'!DL25</f>
        <v>0</v>
      </c>
      <c r="DW225" s="59">
        <f>'2022'!DM25</f>
        <v>20</v>
      </c>
    </row>
    <row r="226" spans="1:127" ht="15.75" customHeight="1" x14ac:dyDescent="0.2">
      <c r="A226" s="33">
        <f t="shared" si="36"/>
        <v>224</v>
      </c>
      <c r="B226" s="11">
        <f>'2017'!A22</f>
        <v>20</v>
      </c>
      <c r="C226" s="11">
        <v>2017</v>
      </c>
      <c r="D226" s="34" t="str">
        <f>'2017'!B22</f>
        <v>Joe Williams</v>
      </c>
      <c r="E226" s="224" t="str" cm="1">
        <f t="array" ref="E226">_xlfn.IFS(F226&gt;=13,"Cornerstone",AND(F226&gt;=12,F226&lt;13),"Elite",AND(F226&gt;=11,F226&lt;12),"Elite Upside",AND(F226&gt;=9,F226&lt;11),"Upside",AND(F226&gt;=7,F226&lt;9),"Upside Lite",AND(F226&gt;=6,F226&lt;7),"Outlier",AND(F226&gt;=5,F226&lt;6),"Outlier Lite",F226&lt;5,"Purgatory")</f>
        <v>Outlier Lite</v>
      </c>
      <c r="F226" s="14">
        <f>'2017'!C22</f>
        <v>5.2333333333333334</v>
      </c>
      <c r="G226" s="14">
        <f t="shared" si="41"/>
        <v>31.4</v>
      </c>
      <c r="H226" s="35">
        <f t="shared" si="37"/>
        <v>-1.1719428483390624</v>
      </c>
      <c r="I226" s="36" t="str">
        <f>'2017'!D22</f>
        <v>Utah</v>
      </c>
      <c r="J226" s="37">
        <f>'2017'!E22</f>
        <v>5</v>
      </c>
      <c r="K226" s="38">
        <f>'2017'!F22</f>
        <v>34216</v>
      </c>
      <c r="L226" s="39">
        <f>'2017'!G22</f>
        <v>32.084931506849315</v>
      </c>
      <c r="M226" s="39" t="str">
        <f>'2017'!H22</f>
        <v>SR</v>
      </c>
      <c r="N226" s="39">
        <f>'2017'!I22</f>
        <v>23.660273972602738</v>
      </c>
      <c r="O226" s="39" t="str">
        <f t="shared" si="38"/>
        <v>DYNAMIC</v>
      </c>
      <c r="P226" s="39" t="str">
        <f t="shared" si="44"/>
        <v>SLASHER</v>
      </c>
      <c r="Q226" s="37">
        <f>'2017'!J22</f>
        <v>71</v>
      </c>
      <c r="R226" s="37">
        <f>'2017'!K22</f>
        <v>210</v>
      </c>
      <c r="S226" s="39">
        <f t="shared" si="40"/>
        <v>29.28873066633259</v>
      </c>
      <c r="T226" s="37">
        <f>'2017'!L22</f>
        <v>4.41</v>
      </c>
      <c r="U226" s="55">
        <f>'2017'!M22</f>
        <v>4</v>
      </c>
      <c r="V226" s="41">
        <f>'2017'!N22</f>
        <v>0</v>
      </c>
      <c r="W226" s="42">
        <f>'2017'!O22</f>
        <v>0</v>
      </c>
      <c r="X226" s="42">
        <f>'2017'!P22</f>
        <v>0</v>
      </c>
      <c r="Y226" s="42">
        <f>'2017'!Q22</f>
        <v>0.11951684678957407</v>
      </c>
      <c r="Z226" s="42">
        <f>'2017'!R22</f>
        <v>0.26719056974459726</v>
      </c>
      <c r="AA226" s="42">
        <f>'2017'!S22</f>
        <v>0.26719056974459726</v>
      </c>
      <c r="AB226" s="42">
        <f>'2017'!T22</f>
        <v>0.22711198428290766</v>
      </c>
      <c r="AC226" s="42">
        <f>'2017'!U22</f>
        <v>3.5897435897435895E-2</v>
      </c>
      <c r="AD226" s="42">
        <f>'2017'!V22</f>
        <v>3.7983670571529994E-2</v>
      </c>
      <c r="AE226" s="42">
        <f>'2017'!W22</f>
        <v>3.7983670571529994E-2</v>
      </c>
      <c r="AF226" s="43">
        <f>'2017'!X22</f>
        <v>3.2286119985800492E-2</v>
      </c>
      <c r="AG226" s="44">
        <f>'2017'!Y22</f>
        <v>23.019178082191782</v>
      </c>
      <c r="AH226" s="45">
        <f>'2017'!Z22</f>
        <v>111.0439578328315</v>
      </c>
      <c r="AI226" s="45">
        <f>'2017'!AA22</f>
        <v>29.28585598095616</v>
      </c>
      <c r="AJ226" s="45">
        <f>'2017'!AB22</f>
        <v>0.14761904761904762</v>
      </c>
      <c r="AK226" s="45">
        <f>'2017'!AC22</f>
        <v>6.6</v>
      </c>
      <c r="AL226" s="45">
        <f t="shared" si="39"/>
        <v>9.5500000000000007</v>
      </c>
      <c r="AM226" s="45">
        <f t="shared" si="43"/>
        <v>4.1095890410958902E-2</v>
      </c>
      <c r="AN226" s="45">
        <f>'2017'!AD22</f>
        <v>54.6</v>
      </c>
      <c r="AO226" s="45">
        <f>'2017'!AE22</f>
        <v>3.42</v>
      </c>
      <c r="AP226" s="46">
        <f>'2017'!AF22</f>
        <v>48.2</v>
      </c>
      <c r="AQ226" s="47">
        <f>'2017'!AG22</f>
        <v>4</v>
      </c>
      <c r="AR226" s="48">
        <f>'2017'!AH22</f>
        <v>3</v>
      </c>
      <c r="AS226" s="48">
        <f>'2017'!AI22</f>
        <v>0</v>
      </c>
      <c r="AT226" s="48">
        <f>IF(AH226&gt;113.25,10,IF(AH226&gt;=107.84,9,IF(AH226&gt;=105.37,8,IF(AH226&gt;=103.25,7,IF(AH226&gt;=100.55,6,IF(AH226&gt;=98.75,5,IF(AH226&gt;=96.08,4,IF(AH226&gt;=94.39,3,IF(AH226&gt;=88.43,2,IF(AH226&gt;=85.16,1,IF(AH226&lt;85.16,0,FALSE)))))))))))</f>
        <v>9</v>
      </c>
      <c r="AU226" s="48">
        <f>'2017'!AK22</f>
        <v>1</v>
      </c>
      <c r="AV226" s="48">
        <f>'2017'!AL22</f>
        <v>6</v>
      </c>
      <c r="AW226" s="48">
        <f>'2017'!AM22</f>
        <v>2</v>
      </c>
      <c r="AX226" s="48">
        <f>'2017'!AN22</f>
        <v>3</v>
      </c>
      <c r="AY226" s="49">
        <f>IF(U226=1,10,IF(U226=2,7,IF(U226=3,6,IF(U226=4,4,IF(U226=5,3,IF(U226=6,2,IF(U226=7,1,IF(U226=0,0,"-"))))))))</f>
        <v>4</v>
      </c>
      <c r="AZ226" s="50">
        <f>'2017'!AP22</f>
        <v>0</v>
      </c>
      <c r="BA226" s="56">
        <f>'2017'!AQ22</f>
        <v>0</v>
      </c>
      <c r="BB226" s="57">
        <f>'2017'!AR22</f>
        <v>1605</v>
      </c>
      <c r="BC226" s="57">
        <f>'2017'!AS22</f>
        <v>0</v>
      </c>
      <c r="BD226" s="57">
        <f>'2017'!AT22</f>
        <v>0</v>
      </c>
      <c r="BE226" s="57">
        <f>'2017'!AU22</f>
        <v>0</v>
      </c>
      <c r="BF226" s="57">
        <f>'2017'!AV22</f>
        <v>0</v>
      </c>
      <c r="BG226" s="58">
        <f>'2017'!AW22</f>
        <v>0</v>
      </c>
      <c r="BH226" s="58">
        <f>'2017'!AX22</f>
        <v>0</v>
      </c>
      <c r="BI226" s="58">
        <f>'2017'!AY22</f>
        <v>0</v>
      </c>
      <c r="BJ226" s="58">
        <f>'2017'!AZ22</f>
        <v>0</v>
      </c>
      <c r="BK226" s="57">
        <f>'2017'!BA22</f>
        <v>0</v>
      </c>
      <c r="BL226" s="57">
        <f>'2017'!BB22</f>
        <v>2288</v>
      </c>
      <c r="BM226" s="57">
        <f>'2017'!BC22</f>
        <v>0</v>
      </c>
      <c r="BN226" s="57">
        <f>'2017'!BD22</f>
        <v>0</v>
      </c>
      <c r="BO226" s="59">
        <f>'2017'!BE22</f>
        <v>0</v>
      </c>
      <c r="BP226" s="56">
        <f>'2017'!BF22</f>
        <v>0</v>
      </c>
      <c r="BQ226" s="57">
        <f>'2017'!BG22</f>
        <v>1924</v>
      </c>
      <c r="BR226" s="57">
        <f>'2017'!BH22</f>
        <v>0</v>
      </c>
      <c r="BS226" s="57">
        <f>'2017'!BI22</f>
        <v>0</v>
      </c>
      <c r="BT226" s="57">
        <f>'2017'!BJ22</f>
        <v>0</v>
      </c>
      <c r="BU226" s="57">
        <f>'2017'!BK22</f>
        <v>0</v>
      </c>
      <c r="BV226" s="58">
        <f>'2017'!BL22</f>
        <v>0</v>
      </c>
      <c r="BW226" s="58">
        <f>'2017'!BM22</f>
        <v>0</v>
      </c>
      <c r="BX226" s="58">
        <f>'2017'!BN22</f>
        <v>0</v>
      </c>
      <c r="BY226" s="58">
        <f>'2017'!BO22</f>
        <v>0</v>
      </c>
      <c r="BZ226" s="57">
        <f>'2017'!BP22</f>
        <v>0</v>
      </c>
      <c r="CA226" s="57">
        <f>'2017'!BQ22</f>
        <v>2835</v>
      </c>
      <c r="CB226" s="57">
        <f>'2017'!BR22</f>
        <v>0</v>
      </c>
      <c r="CC226" s="57">
        <f>'2017'!BS22</f>
        <v>0</v>
      </c>
      <c r="CD226" s="59">
        <f>'2017'!BT22</f>
        <v>0</v>
      </c>
      <c r="CE226" s="56">
        <f>'2017'!BU22</f>
        <v>0</v>
      </c>
      <c r="CF226" s="57">
        <f>'2017'!BV22</f>
        <v>2475</v>
      </c>
      <c r="CG226" s="57">
        <f>'2017'!BW22</f>
        <v>0</v>
      </c>
      <c r="CH226" s="57">
        <f>'2017'!BX22</f>
        <v>0</v>
      </c>
      <c r="CI226" s="57">
        <f>'2017'!BY22</f>
        <v>0</v>
      </c>
      <c r="CJ226" s="57">
        <f>'2017'!BZ22</f>
        <v>0</v>
      </c>
      <c r="CK226" s="58">
        <f>'2017'!CA22</f>
        <v>0</v>
      </c>
      <c r="CL226" s="58">
        <f>'2017'!CB22</f>
        <v>0</v>
      </c>
      <c r="CM226" s="58">
        <f>'2017'!CC22</f>
        <v>0</v>
      </c>
      <c r="CN226" s="58">
        <f>'2017'!CD22</f>
        <v>0</v>
      </c>
      <c r="CO226" s="57">
        <f>'2017'!CE22</f>
        <v>0</v>
      </c>
      <c r="CP226" s="57">
        <f>'2017'!CF22</f>
        <v>2570</v>
      </c>
      <c r="CQ226" s="57">
        <f>'2017'!CG22</f>
        <v>0</v>
      </c>
      <c r="CR226" s="57">
        <f>'2017'!CH22</f>
        <v>0</v>
      </c>
      <c r="CS226" s="59">
        <f>'2017'!CI22</f>
        <v>0</v>
      </c>
      <c r="CT226" s="56">
        <f>'2017'!CJ22</f>
        <v>480</v>
      </c>
      <c r="CU226" s="57">
        <f>'2017'!CK22</f>
        <v>2379</v>
      </c>
      <c r="CV226" s="57">
        <f>'2017'!CL22</f>
        <v>3</v>
      </c>
      <c r="CW226" s="57">
        <f>'2017'!CM22</f>
        <v>0</v>
      </c>
      <c r="CX226" s="57">
        <f>'2017'!CN22</f>
        <v>105</v>
      </c>
      <c r="CY226" s="57">
        <f>'2017'!CO22</f>
        <v>12</v>
      </c>
      <c r="CZ226" s="58">
        <f>'2017'!CP22</f>
        <v>4.5999999999999996</v>
      </c>
      <c r="DA226" s="58">
        <f>'2017'!CQ22</f>
        <v>35.799999999999997</v>
      </c>
      <c r="DB226" s="58">
        <f>'2017'!CR22</f>
        <v>2.77</v>
      </c>
      <c r="DC226" s="58">
        <f>'2017'!CS22</f>
        <v>16.5</v>
      </c>
      <c r="DD226" s="57">
        <f>'2017'!CT22</f>
        <v>84</v>
      </c>
      <c r="DE226" s="57">
        <f>'2017'!CU22</f>
        <v>2340</v>
      </c>
      <c r="DF226" s="57">
        <f>'2017'!CV22</f>
        <v>11</v>
      </c>
      <c r="DG226" s="57">
        <f>'2017'!CW22</f>
        <v>0</v>
      </c>
      <c r="DH226" s="59">
        <f>'2017'!CX22</f>
        <v>0</v>
      </c>
      <c r="DI226" s="56">
        <f>'2017'!CY22</f>
        <v>1389</v>
      </c>
      <c r="DJ226" s="57">
        <f>'2017'!CZ22</f>
        <v>2782</v>
      </c>
      <c r="DK226" s="57">
        <f>'2017'!DA22</f>
        <v>10</v>
      </c>
      <c r="DL226" s="57">
        <f>'2017'!DB22</f>
        <v>0</v>
      </c>
      <c r="DM226" s="57">
        <f>'2017'!DC22</f>
        <v>210</v>
      </c>
      <c r="DN226" s="57">
        <f>'2017'!DD22</f>
        <v>31</v>
      </c>
      <c r="DO226" s="58">
        <f>'2017'!DE22</f>
        <v>6.6</v>
      </c>
      <c r="DP226" s="58">
        <f>'2017'!DF22</f>
        <v>54.6</v>
      </c>
      <c r="DQ226" s="58">
        <f>'2017'!DG22</f>
        <v>3.42</v>
      </c>
      <c r="DR226" s="58">
        <f>'2017'!DH22</f>
        <v>48.2</v>
      </c>
      <c r="DS226" s="57">
        <f>'2017'!DI22</f>
        <v>107</v>
      </c>
      <c r="DT226" s="57">
        <f>'2017'!DJ22</f>
        <v>2817</v>
      </c>
      <c r="DU226" s="57">
        <f>'2017'!DK22</f>
        <v>9</v>
      </c>
      <c r="DV226" s="57">
        <f>'2017'!DL22</f>
        <v>0</v>
      </c>
      <c r="DW226" s="59">
        <f>'2017'!DM22</f>
        <v>0</v>
      </c>
    </row>
    <row r="227" spans="1:127" ht="15.75" customHeight="1" x14ac:dyDescent="0.2">
      <c r="A227" s="33">
        <f t="shared" si="36"/>
        <v>225</v>
      </c>
      <c r="B227" s="11">
        <f>'2025'!A30</f>
        <v>28</v>
      </c>
      <c r="C227" s="11">
        <v>2025</v>
      </c>
      <c r="D227" s="34" t="str">
        <f>'2025'!B30</f>
        <v>Lan Larison</v>
      </c>
      <c r="E227" s="224" t="str" cm="1">
        <f t="array" ref="E227">_xlfn.IFS(F227&gt;=13,"Cornerstone",AND(F227&gt;=12,F227&lt;13),"Elite",AND(F227&gt;=11,F227&lt;12),"Elite Upside",AND(F227&gt;=9,F227&lt;11),"Upside",AND(F227&gt;=7,F227&lt;9),"Upside Lite",AND(F227&gt;=6,F227&lt;7),"Outlier",AND(F227&gt;=5,F227&lt;6),"Outlier Lite",F227&lt;5,"Purgatory")</f>
        <v>Outlier Lite</v>
      </c>
      <c r="F227" s="14">
        <f>'2025'!C30</f>
        <v>5.2222222222222223</v>
      </c>
      <c r="G227" s="14">
        <f t="shared" si="41"/>
        <v>31.1</v>
      </c>
      <c r="H227" s="35">
        <f t="shared" si="37"/>
        <v>-1.1766453490528361</v>
      </c>
      <c r="I227" s="36" t="str">
        <f>'2025'!D30</f>
        <v>UC Davis</v>
      </c>
      <c r="J227" s="37">
        <f>'2025'!E30</f>
        <v>11</v>
      </c>
      <c r="K227" s="38">
        <f>'2025'!F30</f>
        <v>36683</v>
      </c>
      <c r="L227" s="39">
        <f>'2025'!G30</f>
        <v>25.326027397260273</v>
      </c>
      <c r="M227" s="39" t="str">
        <f>'2025'!H30</f>
        <v>RS SR</v>
      </c>
      <c r="N227" s="39">
        <f>'2025'!I30</f>
        <v>24.906849315068492</v>
      </c>
      <c r="O227" s="39" t="str">
        <f t="shared" si="38"/>
        <v>FREAK</v>
      </c>
      <c r="P227" s="39" t="str">
        <f t="shared" si="44"/>
        <v>HORSE</v>
      </c>
      <c r="Q227" s="37">
        <f>'2025'!J30</f>
        <v>72</v>
      </c>
      <c r="R227" s="37">
        <f>'2025'!K30</f>
        <v>215</v>
      </c>
      <c r="S227" s="39">
        <f t="shared" si="40"/>
        <v>29.158919043146728</v>
      </c>
      <c r="T227" s="37">
        <f>'2025'!L30</f>
        <v>4.46</v>
      </c>
      <c r="U227" s="40">
        <f>'2025'!M30</f>
        <v>0</v>
      </c>
      <c r="V227" s="41">
        <f>'2025'!N30</f>
        <v>0.1460624725032996</v>
      </c>
      <c r="W227" s="42">
        <f>'2025'!O30</f>
        <v>0.10012285012285012</v>
      </c>
      <c r="X227" s="42">
        <f>'2025'!P30</f>
        <v>0.15006540833489068</v>
      </c>
      <c r="Y227" s="42">
        <f>'2025'!Q30</f>
        <v>0.30576967998131277</v>
      </c>
      <c r="Z227" s="42">
        <f>'2025'!R30</f>
        <v>0.35411585365853659</v>
      </c>
      <c r="AA227" s="42">
        <f>'2025'!S30</f>
        <v>0.35411585365853659</v>
      </c>
      <c r="AB227" s="42">
        <f>'2025'!T30</f>
        <v>0.19476371951219515</v>
      </c>
      <c r="AC227" s="42">
        <f>'2025'!U30</f>
        <v>8.0032336297493942E-2</v>
      </c>
      <c r="AD227" s="42">
        <f>'2025'!V30</f>
        <v>0.18371742407925909</v>
      </c>
      <c r="AE227" s="42">
        <f>'2025'!W30</f>
        <v>0.18371742407925909</v>
      </c>
      <c r="AF227" s="43">
        <f>'2025'!X30</f>
        <v>0.1010445832435925</v>
      </c>
      <c r="AG227" s="44">
        <f>'2025'!Y30</f>
        <v>22.263013698630136</v>
      </c>
      <c r="AH227" s="45">
        <f>'2025'!Z30</f>
        <v>108.67484282052182</v>
      </c>
      <c r="AI227" s="45">
        <f>'2025'!AA30</f>
        <v>29.15605709876543</v>
      </c>
      <c r="AJ227" s="45">
        <f>'2025'!AB30</f>
        <v>0.24431818181818182</v>
      </c>
      <c r="AK227" s="45">
        <f>'2025'!AC30</f>
        <v>6.3125</v>
      </c>
      <c r="AL227" s="45">
        <f t="shared" si="39"/>
        <v>12.439393939393939</v>
      </c>
      <c r="AM227" s="45">
        <f t="shared" si="43"/>
        <v>0.18624641833810887</v>
      </c>
      <c r="AN227" s="45">
        <f>'2025'!AD30</f>
        <v>105</v>
      </c>
      <c r="AO227" s="45">
        <f>'2025'!AE30</f>
        <v>4.24</v>
      </c>
      <c r="AP227" s="46">
        <f>'2025'!AF30</f>
        <v>52.7</v>
      </c>
      <c r="AQ227" s="47">
        <f>'2025'!AG30</f>
        <v>3</v>
      </c>
      <c r="AR227" s="48">
        <f>'2025'!AH30</f>
        <v>9</v>
      </c>
      <c r="AS227" s="48">
        <f>'2025'!AI30</f>
        <v>1</v>
      </c>
      <c r="AT227" s="48">
        <f>'2025'!AJ30</f>
        <v>9</v>
      </c>
      <c r="AU227" s="48">
        <f>'2025'!AK30</f>
        <v>6</v>
      </c>
      <c r="AV227" s="48">
        <f>'2025'!AL30</f>
        <v>5</v>
      </c>
      <c r="AW227" s="48">
        <f>'2025'!AM30</f>
        <v>4</v>
      </c>
      <c r="AX227" s="48">
        <f>'2025'!AN30</f>
        <v>6</v>
      </c>
      <c r="AY227" s="49">
        <f>'2025'!AO30</f>
        <v>0</v>
      </c>
      <c r="AZ227" s="50">
        <f>'2025'!AP30</f>
        <v>0</v>
      </c>
      <c r="BA227" s="56">
        <f>'2025'!AQ30</f>
        <v>327</v>
      </c>
      <c r="BB227" s="57">
        <f>'2025'!AR30</f>
        <v>1132</v>
      </c>
      <c r="BC227" s="57">
        <f>'2025'!AS30</f>
        <v>4</v>
      </c>
      <c r="BD227" s="57">
        <f>'2025'!AT30</f>
        <v>12</v>
      </c>
      <c r="BE227" s="57">
        <f>'2025'!AU30</f>
        <v>56</v>
      </c>
      <c r="BF227" s="57">
        <f>'2025'!AV30</f>
        <v>6</v>
      </c>
      <c r="BG227" s="58">
        <f>'2025'!AW30</f>
        <v>5.8392857142857144</v>
      </c>
      <c r="BH227" s="58">
        <f>'2025'!AX30</f>
        <v>40.1</v>
      </c>
      <c r="BI227" s="58">
        <f>'2025'!AY30</f>
        <v>3.71</v>
      </c>
      <c r="BJ227" s="58">
        <f>'2025'!AZ30</f>
        <v>33.299999999999997</v>
      </c>
      <c r="BK227" s="57">
        <f>'2025'!BA30</f>
        <v>5</v>
      </c>
      <c r="BL227" s="57">
        <f>'2025'!BB30</f>
        <v>1141</v>
      </c>
      <c r="BM227" s="57">
        <f>'2025'!BC30</f>
        <v>1</v>
      </c>
      <c r="BN227" s="57">
        <f>'2025'!BD30</f>
        <v>0</v>
      </c>
      <c r="BO227" s="59">
        <f>'2025'!BE30</f>
        <v>10</v>
      </c>
      <c r="BP227" s="56">
        <f>'2025'!BF30</f>
        <v>237</v>
      </c>
      <c r="BQ227" s="57">
        <f>'2025'!BG30</f>
        <v>2109</v>
      </c>
      <c r="BR227" s="57">
        <f>'2025'!BH30</f>
        <v>3</v>
      </c>
      <c r="BS227" s="57">
        <f>'2025'!BI30</f>
        <v>19</v>
      </c>
      <c r="BT227" s="57">
        <f>'2025'!BJ30</f>
        <v>56</v>
      </c>
      <c r="BU227" s="57">
        <f>'2025'!BK30</f>
        <v>8</v>
      </c>
      <c r="BV227" s="58">
        <f>'2025'!BL30</f>
        <v>4.2321428571428568</v>
      </c>
      <c r="BW227" s="58">
        <f>'2025'!BM30</f>
        <v>50.9</v>
      </c>
      <c r="BX227" s="58">
        <f>'2025'!BN30</f>
        <v>3.18</v>
      </c>
      <c r="BY227" s="58">
        <f>'2025'!BO30</f>
        <v>27</v>
      </c>
      <c r="BZ227" s="57">
        <f>'2025'!BP30</f>
        <v>252</v>
      </c>
      <c r="CA227" s="57">
        <f>'2025'!BQ30</f>
        <v>2775</v>
      </c>
      <c r="CB227" s="57">
        <f>'2025'!BR30</f>
        <v>19</v>
      </c>
      <c r="CC227" s="57">
        <f>'2025'!BS30</f>
        <v>1</v>
      </c>
      <c r="CD227" s="59">
        <f>'2025'!BT30</f>
        <v>19</v>
      </c>
      <c r="CE227" s="56">
        <f>'2025'!BU30</f>
        <v>469</v>
      </c>
      <c r="CF227" s="57">
        <f>'2025'!BV30</f>
        <v>2106</v>
      </c>
      <c r="CG227" s="57">
        <f>'2025'!BW30</f>
        <v>4</v>
      </c>
      <c r="CH227" s="57">
        <f>'2025'!BX30</f>
        <v>24</v>
      </c>
      <c r="CI227" s="57">
        <f>'2025'!BY30</f>
        <v>62</v>
      </c>
      <c r="CJ227" s="57">
        <f>'2025'!BZ30</f>
        <v>15</v>
      </c>
      <c r="CK227" s="58">
        <f>'2025'!CA30</f>
        <v>7.564516129032258</v>
      </c>
      <c r="CL227" s="58">
        <f>'2025'!CB30</f>
        <v>83</v>
      </c>
      <c r="CM227" s="58">
        <f>'2025'!CC30</f>
        <v>4.24</v>
      </c>
      <c r="CN227" s="58">
        <f>'2025'!CD30</f>
        <v>52.7</v>
      </c>
      <c r="CO227" s="57">
        <f>'2025'!CE30</f>
        <v>334</v>
      </c>
      <c r="CP227" s="57">
        <f>'2025'!CF30</f>
        <v>3245</v>
      </c>
      <c r="CQ227" s="57">
        <f>'2025'!CG30</f>
        <v>26</v>
      </c>
      <c r="CR227" s="57">
        <f>'2025'!CH30</f>
        <v>1</v>
      </c>
      <c r="CS227" s="59">
        <f>'2025'!CI30</f>
        <v>23</v>
      </c>
      <c r="CT227" s="56">
        <f>'2025'!CJ30</f>
        <v>1111</v>
      </c>
      <c r="CU227" s="57">
        <f>'2025'!CK30</f>
        <v>1807</v>
      </c>
      <c r="CV227" s="57">
        <f>'2025'!CL30</f>
        <v>13</v>
      </c>
      <c r="CW227" s="57">
        <f>'2025'!CM30</f>
        <v>15</v>
      </c>
      <c r="CX227" s="57">
        <f>'2025'!CN30</f>
        <v>176</v>
      </c>
      <c r="CY227" s="57">
        <f>'2025'!CO30</f>
        <v>43</v>
      </c>
      <c r="CZ227" s="58">
        <f>'2025'!CP30</f>
        <v>6.3125</v>
      </c>
      <c r="DA227" s="58">
        <f>'2025'!CQ30</f>
        <v>105</v>
      </c>
      <c r="DB227" s="58">
        <f>'2025'!CR30</f>
        <v>3.98</v>
      </c>
      <c r="DC227" s="58">
        <f>'2025'!CS30</f>
        <v>50</v>
      </c>
      <c r="DD227" s="57">
        <f>'2025'!CT30</f>
        <v>198</v>
      </c>
      <c r="DE227" s="57">
        <f>'2025'!CU30</f>
        <v>2474</v>
      </c>
      <c r="DF227" s="57">
        <f>'2025'!CV30</f>
        <v>21</v>
      </c>
      <c r="DG227" s="57">
        <f>'2025'!CW30</f>
        <v>2</v>
      </c>
      <c r="DH227" s="59">
        <f>'2025'!CX30</f>
        <v>15</v>
      </c>
      <c r="DI227" s="56">
        <f>'2025'!CY30</f>
        <v>1470</v>
      </c>
      <c r="DJ227" s="57">
        <f>'2025'!CZ30</f>
        <v>1917</v>
      </c>
      <c r="DK227" s="57">
        <f>'2025'!DA30</f>
        <v>17</v>
      </c>
      <c r="DL227" s="57">
        <f>'2025'!DB30</f>
        <v>21</v>
      </c>
      <c r="DM227" s="57">
        <f>'2025'!DC30</f>
        <v>284</v>
      </c>
      <c r="DN227" s="57">
        <f>'2025'!DD30</f>
        <v>60</v>
      </c>
      <c r="DO227" s="58">
        <f>'2025'!DE30</f>
        <v>5.176056338028169</v>
      </c>
      <c r="DP227" s="58">
        <f>'2025'!DF30</f>
        <v>72.599999999999994</v>
      </c>
      <c r="DQ227" s="58">
        <f>'2025'!DG30</f>
        <v>3.29</v>
      </c>
      <c r="DR227" s="58">
        <f>'2025'!DH30</f>
        <v>37.1</v>
      </c>
      <c r="DS227" s="57">
        <f>'2025'!DI30</f>
        <v>853</v>
      </c>
      <c r="DT227" s="57">
        <f>'2025'!DJ30</f>
        <v>4643</v>
      </c>
      <c r="DU227" s="57">
        <f>'2025'!DK30</f>
        <v>65</v>
      </c>
      <c r="DV227" s="57">
        <f>'2025'!DL30</f>
        <v>6</v>
      </c>
      <c r="DW227" s="59">
        <f>'2025'!DM30</f>
        <v>39</v>
      </c>
    </row>
    <row r="228" spans="1:127" ht="15.75" customHeight="1" x14ac:dyDescent="0.2">
      <c r="A228" s="33">
        <f t="shared" si="36"/>
        <v>226</v>
      </c>
      <c r="B228" s="11">
        <f>'2022'!A26</f>
        <v>24</v>
      </c>
      <c r="C228" s="11">
        <v>2022</v>
      </c>
      <c r="D228" s="34" t="str">
        <f>'2022'!B26</f>
        <v>Trestan Ebner</v>
      </c>
      <c r="E228" s="224" t="str" cm="1">
        <f t="array" ref="E228">_xlfn.IFS(F228&gt;=13,"Cornerstone",AND(F228&gt;=12,F228&lt;13),"Elite",AND(F228&gt;=11,F228&lt;12),"Elite Upside",AND(F228&gt;=9,F228&lt;11),"Upside",AND(F228&gt;=7,F228&lt;9),"Upside Lite",AND(F228&gt;=6,F228&lt;7),"Outlier",AND(F228&gt;=5,F228&lt;6),"Outlier Lite",F228&lt;5,"Purgatory")</f>
        <v>Outlier Lite</v>
      </c>
      <c r="F228" s="14">
        <f>'2022'!C26</f>
        <v>5.2055555555555548</v>
      </c>
      <c r="G228" s="14">
        <f t="shared" si="41"/>
        <v>30.8</v>
      </c>
      <c r="H228" s="35">
        <f t="shared" si="37"/>
        <v>-1.1836991001234971</v>
      </c>
      <c r="I228" s="36" t="str">
        <f>'2022'!D26</f>
        <v>Baylor</v>
      </c>
      <c r="J228" s="37">
        <f>'2022'!E26</f>
        <v>3</v>
      </c>
      <c r="K228" s="38">
        <f>'2022'!F26</f>
        <v>36162</v>
      </c>
      <c r="L228" s="39">
        <f>'2022'!G26</f>
        <v>26.753424657534246</v>
      </c>
      <c r="M228" s="39" t="str">
        <f>'2022'!H26</f>
        <v>RS SR</v>
      </c>
      <c r="N228" s="39">
        <f>'2022'!I26</f>
        <v>23.334246575342465</v>
      </c>
      <c r="O228" s="39" t="str">
        <f t="shared" si="38"/>
        <v>DYNAMIC</v>
      </c>
      <c r="P228" s="39" t="str">
        <f t="shared" si="44"/>
        <v>+RECEIVER</v>
      </c>
      <c r="Q228" s="37">
        <f>'2022'!J26</f>
        <v>71</v>
      </c>
      <c r="R228" s="37">
        <f>'2022'!K26</f>
        <v>206</v>
      </c>
      <c r="S228" s="39">
        <f t="shared" si="40"/>
        <v>28.730850082211973</v>
      </c>
      <c r="T228" s="37">
        <f>'2022'!L26</f>
        <v>4.43</v>
      </c>
      <c r="U228" s="40">
        <f>'2022'!M26</f>
        <v>6</v>
      </c>
      <c r="V228" s="41">
        <f>'2022'!N26</f>
        <v>7.985182136242025E-2</v>
      </c>
      <c r="W228" s="42">
        <f>'2022'!O26</f>
        <v>0.12717828418230562</v>
      </c>
      <c r="X228" s="42">
        <f>'2022'!P26</f>
        <v>9.6932723267242837E-2</v>
      </c>
      <c r="Y228" s="42">
        <f>'2022'!Q26</f>
        <v>0.14541547277936961</v>
      </c>
      <c r="Z228" s="42">
        <f>'2022'!R26</f>
        <v>0.18129545070184339</v>
      </c>
      <c r="AA228" s="42">
        <f>'2022'!S26</f>
        <v>0.18129545070184339</v>
      </c>
      <c r="AB228" s="42">
        <f>'2022'!T26</f>
        <v>0.16316590563165906</v>
      </c>
      <c r="AC228" s="42">
        <f>'2022'!U26</f>
        <v>0.14552804446690248</v>
      </c>
      <c r="AD228" s="42">
        <f>'2022'!V26</f>
        <v>0.10341188884980654</v>
      </c>
      <c r="AE228" s="42">
        <f>'2022'!W26</f>
        <v>0.12446996665835451</v>
      </c>
      <c r="AF228" s="43">
        <f>'2022'!X26</f>
        <v>0.11202296999251907</v>
      </c>
      <c r="AG228" s="44">
        <f>'2022'!Y26</f>
        <v>22.687671232876713</v>
      </c>
      <c r="AH228" s="45">
        <f>'2022'!Z26</f>
        <v>106.97500393738189</v>
      </c>
      <c r="AI228" s="45">
        <f>'2022'!AA26</f>
        <v>28.728030152747472</v>
      </c>
      <c r="AJ228" s="45">
        <f>'2022'!AB26</f>
        <v>0.33333333333333331</v>
      </c>
      <c r="AK228" s="45">
        <f>'2022'!AC26</f>
        <v>5.2</v>
      </c>
      <c r="AL228" s="45">
        <f t="shared" si="39"/>
        <v>14.843137254901961</v>
      </c>
      <c r="AM228" s="45">
        <f t="shared" si="43"/>
        <v>0.14772727272727273</v>
      </c>
      <c r="AN228" s="45">
        <f>'2022'!AD26</f>
        <v>118.5</v>
      </c>
      <c r="AO228" s="45">
        <f>'2022'!AE26</f>
        <v>3.42</v>
      </c>
      <c r="AP228" s="46">
        <f>'2022'!AF26</f>
        <v>41.5</v>
      </c>
      <c r="AQ228" s="47">
        <f>'2022'!AG26</f>
        <v>2</v>
      </c>
      <c r="AR228" s="48">
        <f>'2022'!AH26</f>
        <v>9</v>
      </c>
      <c r="AS228" s="48">
        <f>'2022'!AI26</f>
        <v>0</v>
      </c>
      <c r="AT228" s="48">
        <f>IF(AH228&gt;113.25,10,IF(AH228&gt;=107.84,9,IF(AH228&gt;=105.37,8,IF(AH228&gt;=103.25,7,IF(AH228&gt;=100.55,6,IF(AH228&gt;=98.75,5,IF(AH228&gt;=96.08,4,IF(AH228&gt;=94.39,3,IF(AH228&gt;=88.43,2,IF(AH228&gt;=85.16,1,IF(AH228&lt;85.16,0,FALSE)))))))))))</f>
        <v>8</v>
      </c>
      <c r="AU228" s="48">
        <f>'2022'!AK26</f>
        <v>9</v>
      </c>
      <c r="AV228" s="48">
        <f>'2022'!AL26</f>
        <v>1</v>
      </c>
      <c r="AW228" s="48">
        <f>'2022'!AM26</f>
        <v>6</v>
      </c>
      <c r="AX228" s="48">
        <f>'2022'!AN26</f>
        <v>1</v>
      </c>
      <c r="AY228" s="49">
        <f>IF(U228=1,10,IF(U228=2,7,IF(U228=3,6,IF(U228=4,4,IF(U228=5,3,IF(U228=6,2,IF(U228=7,1,IF(U228=0,0,"-"))))))))</f>
        <v>2</v>
      </c>
      <c r="AZ228" s="50">
        <f>'2022'!AP26</f>
        <v>0</v>
      </c>
      <c r="BA228" s="56">
        <f>'2022'!AQ26</f>
        <v>121</v>
      </c>
      <c r="BB228" s="57">
        <f>'2022'!AR26</f>
        <v>1407</v>
      </c>
      <c r="BC228" s="57">
        <f>'2022'!AS26</f>
        <v>1</v>
      </c>
      <c r="BD228" s="57">
        <f>'2022'!AT26</f>
        <v>10</v>
      </c>
      <c r="BE228" s="57">
        <f>'2022'!AU26</f>
        <v>23</v>
      </c>
      <c r="BF228" s="57">
        <f>'2022'!AV26</f>
        <v>6</v>
      </c>
      <c r="BG228" s="58">
        <f>'2022'!AW26</f>
        <v>5.3</v>
      </c>
      <c r="BH228" s="58">
        <f>'2022'!AX26</f>
        <v>74.5</v>
      </c>
      <c r="BI228" s="58">
        <f>'2022'!AY26</f>
        <v>2.91</v>
      </c>
      <c r="BJ228" s="58">
        <f>'2022'!AZ26</f>
        <v>47.1</v>
      </c>
      <c r="BK228" s="57">
        <f>'2022'!BA26</f>
        <v>267</v>
      </c>
      <c r="BL228" s="57">
        <f>'2022'!BB26</f>
        <v>3452</v>
      </c>
      <c r="BM228" s="57">
        <f>'2022'!BC26</f>
        <v>20</v>
      </c>
      <c r="BN228" s="57">
        <f>'2022'!BD26</f>
        <v>0</v>
      </c>
      <c r="BO228" s="59">
        <f>'2022'!BE26</f>
        <v>23</v>
      </c>
      <c r="BP228" s="56">
        <f>'2022'!BF26</f>
        <v>411</v>
      </c>
      <c r="BQ228" s="57">
        <f>'2022'!BG26</f>
        <v>2198</v>
      </c>
      <c r="BR228" s="57">
        <f>'2022'!BH26</f>
        <v>1</v>
      </c>
      <c r="BS228" s="57">
        <f>'2022'!BI26</f>
        <v>25</v>
      </c>
      <c r="BT228" s="57">
        <f>'2022'!BJ26</f>
        <v>69</v>
      </c>
      <c r="BU228" s="57">
        <f>'2022'!BK26</f>
        <v>27</v>
      </c>
      <c r="BV228" s="58">
        <f>'2022'!BL26</f>
        <v>6</v>
      </c>
      <c r="BW228" s="58">
        <f>'2022'!BM26</f>
        <v>136.80000000000001</v>
      </c>
      <c r="BX228" s="58">
        <f>'2022'!BN26</f>
        <v>3.94</v>
      </c>
      <c r="BY228" s="58">
        <f>'2022'!BO26</f>
        <v>47</v>
      </c>
      <c r="BZ228" s="57">
        <f>'2022'!BP26</f>
        <v>348</v>
      </c>
      <c r="CA228" s="57">
        <f>'2022'!BQ26</f>
        <v>3770</v>
      </c>
      <c r="CB228" s="57">
        <f>'2022'!BR26</f>
        <v>7</v>
      </c>
      <c r="CC228" s="57">
        <f>'2022'!BS26</f>
        <v>0</v>
      </c>
      <c r="CD228" s="59">
        <f>'2022'!BT26</f>
        <v>22</v>
      </c>
      <c r="CE228" s="56">
        <f>'2022'!BU26</f>
        <v>255</v>
      </c>
      <c r="CF228" s="57">
        <f>'2022'!BV26</f>
        <v>2330</v>
      </c>
      <c r="CG228" s="57">
        <f>'2022'!BW26</f>
        <v>3</v>
      </c>
      <c r="CH228" s="57">
        <f>'2022'!BX26</f>
        <v>35</v>
      </c>
      <c r="CI228" s="57">
        <f>'2022'!BY26</f>
        <v>53</v>
      </c>
      <c r="CJ228" s="57">
        <f>'2022'!BZ26</f>
        <v>15</v>
      </c>
      <c r="CK228" s="58">
        <f>'2022'!CA26</f>
        <v>4.8</v>
      </c>
      <c r="CL228" s="58">
        <f>'2022'!CB26</f>
        <v>63.3</v>
      </c>
      <c r="CM228" s="58">
        <f>'2022'!CC26</f>
        <v>2.57</v>
      </c>
      <c r="CN228" s="58">
        <f>'2022'!CD26</f>
        <v>51.4</v>
      </c>
      <c r="CO228" s="57">
        <f>'2022'!CE26</f>
        <v>317</v>
      </c>
      <c r="CP228" s="57">
        <f>'2022'!CF26</f>
        <v>3571</v>
      </c>
      <c r="CQ228" s="57">
        <f>'2022'!CG26</f>
        <v>24</v>
      </c>
      <c r="CR228" s="57">
        <f>'2022'!CH26</f>
        <v>0</v>
      </c>
      <c r="CS228" s="59">
        <f>'2022'!CI26</f>
        <v>24</v>
      </c>
      <c r="CT228" s="56">
        <f>'2022'!CJ26</f>
        <v>118</v>
      </c>
      <c r="CU228" s="57">
        <f>'2022'!CK26</f>
        <v>813</v>
      </c>
      <c r="CV228" s="57">
        <f>'2022'!CL26</f>
        <v>1</v>
      </c>
      <c r="CW228" s="57">
        <f>'2022'!CM26</f>
        <v>8</v>
      </c>
      <c r="CX228" s="57">
        <f>'2022'!CN26</f>
        <v>51</v>
      </c>
      <c r="CY228" s="57">
        <f>'2022'!CO26</f>
        <v>14</v>
      </c>
      <c r="CZ228" s="58">
        <f>'2022'!CP26</f>
        <v>2.2999999999999998</v>
      </c>
      <c r="DA228" s="58">
        <f>'2022'!CQ26</f>
        <v>69.8</v>
      </c>
      <c r="DB228" s="58">
        <f>'2022'!CR26</f>
        <v>2.04</v>
      </c>
      <c r="DC228" s="58">
        <f>'2022'!CS26</f>
        <v>0</v>
      </c>
      <c r="DD228" s="57">
        <f>'2022'!CT26</f>
        <v>288</v>
      </c>
      <c r="DE228" s="57">
        <f>'2022'!CU26</f>
        <v>1979</v>
      </c>
      <c r="DF228" s="57">
        <f>'2022'!CV26</f>
        <v>25</v>
      </c>
      <c r="DG228" s="57">
        <f>'2022'!CW26</f>
        <v>0</v>
      </c>
      <c r="DH228" s="59">
        <f>'2022'!CX26</f>
        <v>14</v>
      </c>
      <c r="DI228" s="56">
        <f>'2022'!CY26</f>
        <v>778</v>
      </c>
      <c r="DJ228" s="57">
        <f>'2022'!CZ26</f>
        <v>3070</v>
      </c>
      <c r="DK228" s="57">
        <f>'2022'!DA26</f>
        <v>2</v>
      </c>
      <c r="DL228" s="57">
        <f>'2022'!DB26</f>
        <v>29</v>
      </c>
      <c r="DM228" s="57">
        <f>'2022'!DC26</f>
        <v>150</v>
      </c>
      <c r="DN228" s="57">
        <f>'2022'!DD26</f>
        <v>50</v>
      </c>
      <c r="DO228" s="58">
        <f>'2022'!DE26</f>
        <v>5.2</v>
      </c>
      <c r="DP228" s="58">
        <f>'2022'!DF26</f>
        <v>118.5</v>
      </c>
      <c r="DQ228" s="58">
        <f>'2022'!DG26</f>
        <v>3.42</v>
      </c>
      <c r="DR228" s="58">
        <f>'2022'!DH26</f>
        <v>41.5</v>
      </c>
      <c r="DS228" s="57">
        <f>'2022'!DI26</f>
        <v>294</v>
      </c>
      <c r="DT228" s="57">
        <f>'2022'!DJ26</f>
        <v>2843</v>
      </c>
      <c r="DU228" s="57">
        <f>'2022'!DK26</f>
        <v>26</v>
      </c>
      <c r="DV228" s="57">
        <f>'2022'!DL26</f>
        <v>0</v>
      </c>
      <c r="DW228" s="59">
        <f>'2022'!DM26</f>
        <v>24</v>
      </c>
    </row>
    <row r="229" spans="1:127" ht="16.5" customHeight="1" x14ac:dyDescent="0.2">
      <c r="A229" s="33">
        <f t="shared" si="36"/>
        <v>227</v>
      </c>
      <c r="B229" s="11">
        <f>'2016'!A19</f>
        <v>17</v>
      </c>
      <c r="C229" s="11">
        <v>2016</v>
      </c>
      <c r="D229" s="34" t="str">
        <f>'2016'!B19</f>
        <v>DJ Foster</v>
      </c>
      <c r="E229" s="224" t="str" cm="1">
        <f t="array" ref="E229">_xlfn.IFS(F229&gt;=13,"Cornerstone",AND(F229&gt;=12,F229&lt;13),"Elite",AND(F229&gt;=11,F229&lt;12),"Elite Upside",AND(F229&gt;=9,F229&lt;11),"Upside",AND(F229&gt;=7,F229&lt;9),"Upside Lite",AND(F229&gt;=6,F229&lt;7),"Outlier",AND(F229&gt;=5,F229&lt;6),"Outlier Lite",F229&lt;5,"Purgatory")</f>
        <v>Outlier Lite</v>
      </c>
      <c r="F229" s="14">
        <f>'2016'!C19</f>
        <v>5.1888888888888891</v>
      </c>
      <c r="G229" s="14">
        <f t="shared" si="41"/>
        <v>30.5</v>
      </c>
      <c r="H229" s="35">
        <f t="shared" si="37"/>
        <v>-1.1907528511941574</v>
      </c>
      <c r="I229" s="36" t="str">
        <f>'2016'!D19</f>
        <v>Arizona State</v>
      </c>
      <c r="J229" s="37">
        <f>'2016'!E19</f>
        <v>3</v>
      </c>
      <c r="K229" s="38">
        <f>'2016'!F19</f>
        <v>34295</v>
      </c>
      <c r="L229" s="39">
        <f>'2016'!G19</f>
        <v>31.86849315068493</v>
      </c>
      <c r="M229" s="39" t="str">
        <f>'2016'!H19</f>
        <v>SR</v>
      </c>
      <c r="N229" s="39">
        <f>'2016'!I19</f>
        <v>22.443835616438356</v>
      </c>
      <c r="O229" s="39" t="str">
        <f t="shared" si="38"/>
        <v>DYNAMIC</v>
      </c>
      <c r="P229" s="39" t="str">
        <f t="shared" si="44"/>
        <v>+RECEIVER</v>
      </c>
      <c r="Q229" s="37">
        <f>'2016'!J19</f>
        <v>71</v>
      </c>
      <c r="R229" s="37">
        <f>'2016'!K19</f>
        <v>198</v>
      </c>
      <c r="S229" s="39">
        <f t="shared" si="40"/>
        <v>27.61508891397073</v>
      </c>
      <c r="T229" s="37">
        <f>'2016'!L19</f>
        <v>4.57</v>
      </c>
      <c r="U229" s="55">
        <f>'2016'!M19</f>
        <v>0</v>
      </c>
      <c r="V229" s="41">
        <f>'2016'!N19</f>
        <v>0</v>
      </c>
      <c r="W229" s="42">
        <f>'2016'!O19</f>
        <v>0.16989567809239942</v>
      </c>
      <c r="X229" s="42">
        <f>'2016'!P19</f>
        <v>0.18025616994689159</v>
      </c>
      <c r="Y229" s="42">
        <f>'2016'!Q19</f>
        <v>0.30730969234247552</v>
      </c>
      <c r="Z229" s="42">
        <f>'2016'!R19</f>
        <v>0.1360215313703686</v>
      </c>
      <c r="AA229" s="42">
        <f>'2016'!S19</f>
        <v>0.22166561185642206</v>
      </c>
      <c r="AB229" s="42">
        <f>'2016'!T19</f>
        <v>0.19949905067077986</v>
      </c>
      <c r="AC229" s="42">
        <f>'2016'!U19</f>
        <v>0.19350302348474194</v>
      </c>
      <c r="AD229" s="42">
        <f>'2016'!V19</f>
        <v>0.14559979384099986</v>
      </c>
      <c r="AE229" s="42">
        <f>'2016'!W19</f>
        <v>0.16955140866287088</v>
      </c>
      <c r="AF229" s="43">
        <f>'2016'!X19</f>
        <v>0.15259626779658381</v>
      </c>
      <c r="AG229" s="44">
        <f>'2016'!Y19</f>
        <v>18.789041095890411</v>
      </c>
      <c r="AH229" s="45">
        <f>'2016'!Z19</f>
        <v>90.788404854999158</v>
      </c>
      <c r="AI229" s="45">
        <f>'2016'!AA19</f>
        <v>27.612378496330095</v>
      </c>
      <c r="AJ229" s="45">
        <f>'2016'!AB19</f>
        <v>0.18181818181818182</v>
      </c>
      <c r="AK229" s="45">
        <f>'2016'!AC19</f>
        <v>5.5333333333333332</v>
      </c>
      <c r="AL229" s="45">
        <f t="shared" si="39"/>
        <v>11.036199095022624</v>
      </c>
      <c r="AM229" s="45">
        <f t="shared" si="43"/>
        <v>0.51327433628318586</v>
      </c>
      <c r="AN229" s="45">
        <f>'2016'!AD19</f>
        <v>50.7</v>
      </c>
      <c r="AO229" s="45">
        <f>'2016'!AE19</f>
        <v>2.74</v>
      </c>
      <c r="AP229" s="46">
        <f>'2016'!AF19</f>
        <v>43.3</v>
      </c>
      <c r="AQ229" s="47">
        <f>'2016'!AG19</f>
        <v>3</v>
      </c>
      <c r="AR229" s="48">
        <f>'2016'!AH19</f>
        <v>10</v>
      </c>
      <c r="AS229" s="48">
        <f>'2016'!AI19</f>
        <v>9</v>
      </c>
      <c r="AT229" s="48">
        <f>'2016'!AJ19</f>
        <v>2</v>
      </c>
      <c r="AU229" s="48">
        <f>'2016'!AK19</f>
        <v>5</v>
      </c>
      <c r="AV229" s="48">
        <f>'2016'!AL19</f>
        <v>3</v>
      </c>
      <c r="AW229" s="48">
        <f>'2016'!AM19</f>
        <v>3</v>
      </c>
      <c r="AX229" s="48">
        <f>'2016'!AN19</f>
        <v>1</v>
      </c>
      <c r="AY229" s="49">
        <f>'2016'!AO19</f>
        <v>0</v>
      </c>
      <c r="AZ229" s="50">
        <f>'2016'!AP19</f>
        <v>0.25</v>
      </c>
      <c r="BA229" s="56">
        <f>'2016'!AQ19</f>
        <v>0</v>
      </c>
      <c r="BB229" s="57">
        <f>'2016'!AR19</f>
        <v>1</v>
      </c>
      <c r="BC229" s="57">
        <f>'2016'!AS19</f>
        <v>0</v>
      </c>
      <c r="BD229" s="57">
        <f>'2016'!AT19</f>
        <v>0</v>
      </c>
      <c r="BE229" s="57">
        <f>'2016'!AU19</f>
        <v>0</v>
      </c>
      <c r="BF229" s="57">
        <f>'2016'!AV19</f>
        <v>0</v>
      </c>
      <c r="BG229" s="58">
        <f>'2016'!AW19</f>
        <v>0</v>
      </c>
      <c r="BH229" s="58">
        <f>'2016'!AX19</f>
        <v>0</v>
      </c>
      <c r="BI229" s="58">
        <f>'2016'!AY19</f>
        <v>0</v>
      </c>
      <c r="BJ229" s="58">
        <f>'2016'!AZ19</f>
        <v>0</v>
      </c>
      <c r="BK229" s="57">
        <f>'2016'!BA19</f>
        <v>0</v>
      </c>
      <c r="BL229" s="57">
        <f>'2016'!BB19</f>
        <v>1</v>
      </c>
      <c r="BM229" s="57">
        <f>'2016'!BC19</f>
        <v>0</v>
      </c>
      <c r="BN229" s="57">
        <f>'2016'!BD19</f>
        <v>0</v>
      </c>
      <c r="BO229" s="59">
        <f>'2016'!BE19</f>
        <v>0</v>
      </c>
      <c r="BP229" s="56">
        <f>'2016'!BF19</f>
        <v>493</v>
      </c>
      <c r="BQ229" s="57">
        <f>'2016'!BG19</f>
        <v>2670</v>
      </c>
      <c r="BR229" s="57">
        <f>'2016'!BH19</f>
        <v>2</v>
      </c>
      <c r="BS229" s="57">
        <f>'2016'!BI19</f>
        <v>27</v>
      </c>
      <c r="BT229" s="57">
        <f>'2016'!BJ19</f>
        <v>0</v>
      </c>
      <c r="BU229" s="57">
        <f>'2016'!BK19</f>
        <v>0</v>
      </c>
      <c r="BV229" s="58">
        <f>'2016'!BL19</f>
        <v>0</v>
      </c>
      <c r="BW229" s="58">
        <f>'2016'!BM19</f>
        <v>0</v>
      </c>
      <c r="BX229" s="58">
        <f>'2016'!BN19</f>
        <v>0</v>
      </c>
      <c r="BY229" s="58">
        <f>'2016'!BO19</f>
        <v>0</v>
      </c>
      <c r="BZ229" s="57">
        <f>'2016'!BP19</f>
        <v>533</v>
      </c>
      <c r="CA229" s="57">
        <f>'2016'!BQ19</f>
        <v>3369</v>
      </c>
      <c r="CB229" s="57">
        <f>'2016'!BR19</f>
        <v>38</v>
      </c>
      <c r="CC229" s="57">
        <f>'2016'!BS19</f>
        <v>4</v>
      </c>
      <c r="CD229" s="59">
        <f>'2016'!BT19</f>
        <v>33</v>
      </c>
      <c r="CE229" s="56">
        <f>'2016'!BU19</f>
        <v>501</v>
      </c>
      <c r="CF229" s="57">
        <f>'2016'!BV19</f>
        <v>2679</v>
      </c>
      <c r="CG229" s="57">
        <f>'2016'!BW19</f>
        <v>6</v>
      </c>
      <c r="CH229" s="57">
        <f>'2016'!BX19</f>
        <v>36</v>
      </c>
      <c r="CI229" s="57">
        <f>'2016'!BY19</f>
        <v>0</v>
      </c>
      <c r="CJ229" s="57">
        <f>'2016'!BZ19</f>
        <v>0</v>
      </c>
      <c r="CK229" s="58">
        <f>'2016'!CA19</f>
        <v>0</v>
      </c>
      <c r="CL229" s="58">
        <f>'2016'!CB19</f>
        <v>0</v>
      </c>
      <c r="CM229" s="58">
        <f>'2016'!CC19</f>
        <v>0</v>
      </c>
      <c r="CN229" s="58">
        <f>'2016'!CD19</f>
        <v>0</v>
      </c>
      <c r="CO229" s="57">
        <f>'2016'!CE19</f>
        <v>653</v>
      </c>
      <c r="CP229" s="57">
        <f>'2016'!CF19</f>
        <v>3723</v>
      </c>
      <c r="CQ229" s="57">
        <f>'2016'!CG19</f>
        <v>63</v>
      </c>
      <c r="CR229" s="57">
        <f>'2016'!CH19</f>
        <v>4</v>
      </c>
      <c r="CS229" s="59">
        <f>'2016'!CI19</f>
        <v>28</v>
      </c>
      <c r="CT229" s="56">
        <f>'2016'!CJ19</f>
        <v>1079</v>
      </c>
      <c r="CU229" s="57">
        <f>'2016'!CK19</f>
        <v>2194.4</v>
      </c>
      <c r="CV229" s="57">
        <f>'2016'!CL19</f>
        <v>9</v>
      </c>
      <c r="CW229" s="57">
        <f>'2016'!CM19</f>
        <v>19.5</v>
      </c>
      <c r="CX229" s="57">
        <f>'2016'!CN19</f>
        <v>195</v>
      </c>
      <c r="CY229" s="57">
        <f>'2016'!CO19</f>
        <v>24</v>
      </c>
      <c r="CZ229" s="58">
        <f>'2016'!CP19</f>
        <v>5.5333333333333332</v>
      </c>
      <c r="DA229" s="58">
        <f>'2016'!CQ19</f>
        <v>39.4</v>
      </c>
      <c r="DB229" s="58">
        <f>'2016'!CR19</f>
        <v>2.74</v>
      </c>
      <c r="DC229" s="58">
        <f>'2016'!CS19</f>
        <v>43.3</v>
      </c>
      <c r="DD229" s="57">
        <f>'2016'!CT19</f>
        <v>688</v>
      </c>
      <c r="DE229" s="57">
        <f>'2016'!CU19</f>
        <v>3555.5</v>
      </c>
      <c r="DF229" s="57">
        <f>'2016'!CV19</f>
        <v>62</v>
      </c>
      <c r="DG229" s="57">
        <f>'2016'!CW19</f>
        <v>3</v>
      </c>
      <c r="DH229" s="59">
        <f>'2016'!CX19</f>
        <v>33.800000000000004</v>
      </c>
      <c r="DI229" s="56">
        <f>'2016'!CY19</f>
        <v>279</v>
      </c>
      <c r="DJ229" s="57">
        <f>'2016'!CZ19</f>
        <v>2324.4</v>
      </c>
      <c r="DK229" s="57">
        <f>'2016'!DA19</f>
        <v>1</v>
      </c>
      <c r="DL229" s="57">
        <f>'2016'!DB19</f>
        <v>19.5</v>
      </c>
      <c r="DM229" s="57">
        <f>'2016'!DC19</f>
        <v>55</v>
      </c>
      <c r="DN229" s="57">
        <f>'2016'!DD19</f>
        <v>10</v>
      </c>
      <c r="DO229" s="58">
        <f>'2016'!DE19</f>
        <v>5.0727272727272723</v>
      </c>
      <c r="DP229" s="58">
        <f>'2016'!DF19</f>
        <v>50.7</v>
      </c>
      <c r="DQ229" s="58">
        <f>'2016'!DG19</f>
        <v>2.4900000000000002</v>
      </c>
      <c r="DR229" s="58">
        <f>'2016'!DH19</f>
        <v>33.700000000000003</v>
      </c>
      <c r="DS229" s="57">
        <f>'2016'!DI19</f>
        <v>565</v>
      </c>
      <c r="DT229" s="57">
        <f>'2016'!DJ19</f>
        <v>3880.5</v>
      </c>
      <c r="DU229" s="57">
        <f>'2016'!DK19</f>
        <v>58</v>
      </c>
      <c r="DV229" s="57">
        <f>'2016'!DL19</f>
        <v>3</v>
      </c>
      <c r="DW229" s="59">
        <f>'2016'!DM19</f>
        <v>29.9</v>
      </c>
    </row>
    <row r="230" spans="1:127" ht="15.75" customHeight="1" x14ac:dyDescent="0.2">
      <c r="A230" s="33">
        <f t="shared" si="36"/>
        <v>228</v>
      </c>
      <c r="B230" s="11">
        <f>'2018'!A18</f>
        <v>16</v>
      </c>
      <c r="C230" s="11">
        <v>2018</v>
      </c>
      <c r="D230" s="34" t="str">
        <f>'2018'!B18</f>
        <v>Jaylen Samuels</v>
      </c>
      <c r="E230" s="224" t="str" cm="1">
        <f t="array" ref="E230">_xlfn.IFS(F230&gt;=13,"Cornerstone",AND(F230&gt;=12,F230&lt;13),"Elite",AND(F230&gt;=11,F230&lt;12),"Elite Upside",AND(F230&gt;=9,F230&lt;11),"Upside",AND(F230&gt;=7,F230&lt;9),"Upside Lite",AND(F230&gt;=6,F230&lt;7),"Outlier",AND(F230&gt;=5,F230&lt;6),"Outlier Lite",F230&lt;5,"Purgatory")</f>
        <v>Outlier Lite</v>
      </c>
      <c r="F230" s="14">
        <f>'2018'!C18</f>
        <v>5.177777777777778</v>
      </c>
      <c r="G230" s="14">
        <f t="shared" si="41"/>
        <v>30.2</v>
      </c>
      <c r="H230" s="35">
        <f t="shared" si="37"/>
        <v>-1.1954553519079312</v>
      </c>
      <c r="I230" s="36" t="str">
        <f>'2018'!D18</f>
        <v>NC State</v>
      </c>
      <c r="J230" s="37">
        <f>'2018'!E18</f>
        <v>4</v>
      </c>
      <c r="K230" s="38">
        <f>'2018'!F18</f>
        <v>35266</v>
      </c>
      <c r="L230" s="39">
        <f>'2018'!G18</f>
        <v>29.208219178082192</v>
      </c>
      <c r="M230" s="39" t="str">
        <f>'2018'!H18</f>
        <v>SR</v>
      </c>
      <c r="N230" s="39">
        <f>'2018'!I18</f>
        <v>21.780821917808218</v>
      </c>
      <c r="O230" s="39" t="str">
        <f t="shared" si="38"/>
        <v>BELL COW</v>
      </c>
      <c r="P230" s="39" t="str">
        <f t="shared" si="44"/>
        <v>+RECEIVER</v>
      </c>
      <c r="Q230" s="37">
        <f>'2018'!J18</f>
        <v>71</v>
      </c>
      <c r="R230" s="37">
        <f>'2018'!K18</f>
        <v>223</v>
      </c>
      <c r="S230" s="39">
        <f t="shared" si="40"/>
        <v>31.10184256472461</v>
      </c>
      <c r="T230" s="37">
        <f>'2018'!L18</f>
        <v>4.54</v>
      </c>
      <c r="U230" s="40">
        <f>'2018'!M18</f>
        <v>0</v>
      </c>
      <c r="V230" s="41">
        <f>'2018'!N18</f>
        <v>0</v>
      </c>
      <c r="W230" s="42">
        <f>'2018'!O18</f>
        <v>4.0482018452268877E-2</v>
      </c>
      <c r="X230" s="42">
        <f>'2018'!P18</f>
        <v>0.18017514440096888</v>
      </c>
      <c r="Y230" s="42">
        <f>'2018'!Q18</f>
        <v>0.13929429152041381</v>
      </c>
      <c r="Z230" s="42">
        <f>'2018'!R18</f>
        <v>0.16805721096543505</v>
      </c>
      <c r="AA230" s="42">
        <f>'2018'!S18</f>
        <v>0.17411617768320198</v>
      </c>
      <c r="AB230" s="42">
        <f>'2018'!T18</f>
        <v>0.15670455991488177</v>
      </c>
      <c r="AC230" s="42">
        <f>'2018'!U18</f>
        <v>0.16523795447827372</v>
      </c>
      <c r="AD230" s="42">
        <f>'2018'!V18</f>
        <v>0.16564245810055866</v>
      </c>
      <c r="AE230" s="42">
        <f>'2018'!W18</f>
        <v>0.16564245810055866</v>
      </c>
      <c r="AF230" s="43">
        <f>'2018'!X18</f>
        <v>0.1490782122905028</v>
      </c>
      <c r="AG230" s="44">
        <f>'2018'!Y18</f>
        <v>19.126027397260273</v>
      </c>
      <c r="AH230" s="45">
        <f>'2018'!Z18</f>
        <v>104.98117934889736</v>
      </c>
      <c r="AI230" s="45">
        <f>'2018'!AA18</f>
        <v>31.098789922634399</v>
      </c>
      <c r="AJ230" s="45">
        <f>'2018'!AB18</f>
        <v>0.23636363636363636</v>
      </c>
      <c r="AK230" s="45">
        <f>'2018'!AC18</f>
        <v>6.6</v>
      </c>
      <c r="AL230" s="45">
        <f t="shared" si="39"/>
        <v>9.2089552238805972</v>
      </c>
      <c r="AM230" s="45">
        <f t="shared" si="43"/>
        <v>0.48684210526315791</v>
      </c>
      <c r="AN230" s="45">
        <f>'2018'!AD18</f>
        <v>59.6</v>
      </c>
      <c r="AO230" s="45">
        <f>'2018'!AE18</f>
        <v>3.49</v>
      </c>
      <c r="AP230" s="46">
        <f>'2018'!AF18</f>
        <v>51.4</v>
      </c>
      <c r="AQ230" s="47">
        <f>'2018'!AG18</f>
        <v>2</v>
      </c>
      <c r="AR230" s="48">
        <f>'2018'!AH18</f>
        <v>10</v>
      </c>
      <c r="AS230" s="48">
        <f>'2018'!AI18</f>
        <v>7</v>
      </c>
      <c r="AT230" s="48">
        <f t="shared" ref="AT230:AT236" si="45">IF(AH230&gt;113.25,10,IF(AH230&gt;=107.84,9,IF(AH230&gt;=105.37,8,IF(AH230&gt;=103.25,7,IF(AH230&gt;=100.55,6,IF(AH230&gt;=98.75,5,IF(AH230&gt;=96.08,4,IF(AH230&gt;=94.39,3,IF(AH230&gt;=88.43,2,IF(AH230&gt;=85.16,1,IF(AH230&lt;85.16,0,FALSE)))))))))))</f>
        <v>7</v>
      </c>
      <c r="AU230" s="48">
        <f>'2018'!AK18</f>
        <v>5</v>
      </c>
      <c r="AV230" s="48">
        <f>'2018'!AL18</f>
        <v>6</v>
      </c>
      <c r="AW230" s="48">
        <f>'2018'!AM18</f>
        <v>0</v>
      </c>
      <c r="AX230" s="48">
        <f>'2018'!AN18</f>
        <v>2</v>
      </c>
      <c r="AY230" s="49">
        <f>IF(U230=1,10,IF(U230=2,7,IF(U230=3,6,IF(U230=4,4,IF(U230=5,3,IF(U230=6,2,IF(U230=7,1,IF(U230=0,0,"-"))))))))</f>
        <v>0</v>
      </c>
      <c r="AZ230" s="50">
        <f>'2018'!AP18</f>
        <v>0</v>
      </c>
      <c r="BA230" s="56">
        <f>'2018'!AQ18</f>
        <v>0</v>
      </c>
      <c r="BB230" s="57">
        <f>'2018'!AR18</f>
        <v>1952</v>
      </c>
      <c r="BC230" s="57">
        <f>'2018'!AS18</f>
        <v>0</v>
      </c>
      <c r="BD230" s="57">
        <f>'2018'!AT18</f>
        <v>0</v>
      </c>
      <c r="BE230" s="57">
        <f>'2018'!AU18</f>
        <v>0</v>
      </c>
      <c r="BF230" s="57">
        <f>'2018'!AV18</f>
        <v>0</v>
      </c>
      <c r="BG230" s="58">
        <f>'2018'!AW18</f>
        <v>0</v>
      </c>
      <c r="BH230" s="58">
        <f>'2018'!AX18</f>
        <v>0</v>
      </c>
      <c r="BI230" s="58">
        <f>'2018'!AY18</f>
        <v>0</v>
      </c>
      <c r="BJ230" s="58">
        <f>'2018'!AZ18</f>
        <v>0</v>
      </c>
      <c r="BK230" s="57">
        <f>'2018'!BA18</f>
        <v>0</v>
      </c>
      <c r="BL230" s="57">
        <f>'2018'!BB18</f>
        <v>2890</v>
      </c>
      <c r="BM230" s="57">
        <f>'2018'!BC18</f>
        <v>0</v>
      </c>
      <c r="BN230" s="57">
        <f>'2018'!BD18</f>
        <v>0</v>
      </c>
      <c r="BO230" s="59">
        <f>'2018'!BE18</f>
        <v>0</v>
      </c>
      <c r="BP230" s="56">
        <f>'2018'!BF18</f>
        <v>119</v>
      </c>
      <c r="BQ230" s="57">
        <f>'2018'!BG18</f>
        <v>2659</v>
      </c>
      <c r="BR230" s="57">
        <f>'2018'!BH18</f>
        <v>1</v>
      </c>
      <c r="BS230" s="57">
        <f>'2018'!BI18</f>
        <v>0</v>
      </c>
      <c r="BT230" s="57">
        <f>'2018'!BJ18</f>
        <v>14</v>
      </c>
      <c r="BU230" s="57">
        <f>'2018'!BK18</f>
        <v>9</v>
      </c>
      <c r="BV230" s="58">
        <f>'2018'!BL18</f>
        <v>8.5</v>
      </c>
      <c r="BW230" s="58">
        <f>'2018'!BM18</f>
        <v>392.9</v>
      </c>
      <c r="BX230" s="58">
        <f>'2018'!BN18</f>
        <v>7.86</v>
      </c>
      <c r="BY230" s="58">
        <f>'2018'!BO18</f>
        <v>52.1</v>
      </c>
      <c r="BZ230" s="57">
        <f>'2018'!BP18</f>
        <v>96</v>
      </c>
      <c r="CA230" s="57">
        <f>'2018'!BQ18</f>
        <v>2652</v>
      </c>
      <c r="CB230" s="57">
        <f>'2018'!BR18</f>
        <v>6</v>
      </c>
      <c r="CC230" s="57">
        <f>'2018'!BS18</f>
        <v>0</v>
      </c>
      <c r="CD230" s="59">
        <f>'2018'!BT18</f>
        <v>0</v>
      </c>
      <c r="CE230" s="56">
        <f>'2018'!BU18</f>
        <v>364</v>
      </c>
      <c r="CF230" s="57">
        <f>'2018'!BV18</f>
        <v>2627</v>
      </c>
      <c r="CG230" s="57">
        <f>'2018'!BW18</f>
        <v>9</v>
      </c>
      <c r="CH230" s="57">
        <f>'2018'!BX18</f>
        <v>0</v>
      </c>
      <c r="CI230" s="57">
        <f>'2018'!BY18</f>
        <v>55</v>
      </c>
      <c r="CJ230" s="57">
        <f>'2018'!BZ18</f>
        <v>13</v>
      </c>
      <c r="CK230" s="58">
        <f>'2018'!CA18</f>
        <v>6.6</v>
      </c>
      <c r="CL230" s="58">
        <f>'2018'!CB18</f>
        <v>42.2</v>
      </c>
      <c r="CM230" s="58">
        <f>'2018'!CC18</f>
        <v>1.95</v>
      </c>
      <c r="CN230" s="58">
        <f>'2018'!CD18</f>
        <v>51.4</v>
      </c>
      <c r="CO230" s="57">
        <f>'2018'!CE18</f>
        <v>603</v>
      </c>
      <c r="CP230" s="57">
        <f>'2018'!CF18</f>
        <v>2740</v>
      </c>
      <c r="CQ230" s="57">
        <f>'2018'!CG18</f>
        <v>65</v>
      </c>
      <c r="CR230" s="57">
        <f>'2018'!CH18</f>
        <v>0</v>
      </c>
      <c r="CS230" s="59">
        <f>'2018'!CI18</f>
        <v>0</v>
      </c>
      <c r="CT230" s="56">
        <f>'2018'!CJ18</f>
        <v>195</v>
      </c>
      <c r="CU230" s="57">
        <f>'2018'!CK18</f>
        <v>2030</v>
      </c>
      <c r="CV230" s="57">
        <f>'2018'!CL18</f>
        <v>6</v>
      </c>
      <c r="CW230" s="57">
        <f>'2018'!CM18</f>
        <v>0</v>
      </c>
      <c r="CX230" s="57">
        <f>'2018'!CN18</f>
        <v>32</v>
      </c>
      <c r="CY230" s="57">
        <f>'2018'!CO18</f>
        <v>2</v>
      </c>
      <c r="CZ230" s="58">
        <f>'2018'!CP18</f>
        <v>6.1</v>
      </c>
      <c r="DA230" s="58">
        <f>'2018'!CQ18</f>
        <v>16.3</v>
      </c>
      <c r="DB230" s="58">
        <f>'2018'!CR18</f>
        <v>1.59</v>
      </c>
      <c r="DC230" s="58">
        <f>'2018'!CS18</f>
        <v>32.799999999999997</v>
      </c>
      <c r="DD230" s="57">
        <f>'2018'!CT18</f>
        <v>559</v>
      </c>
      <c r="DE230" s="57">
        <f>'2018'!CU18</f>
        <v>3383</v>
      </c>
      <c r="DF230" s="57">
        <f>'2018'!CV18</f>
        <v>56</v>
      </c>
      <c r="DG230" s="57">
        <f>'2018'!CW18</f>
        <v>0</v>
      </c>
      <c r="DH230" s="59">
        <f>'2018'!CX18</f>
        <v>0</v>
      </c>
      <c r="DI230" s="56">
        <f>'2018'!CY18</f>
        <v>394</v>
      </c>
      <c r="DJ230" s="57">
        <f>'2018'!CZ18</f>
        <v>2293</v>
      </c>
      <c r="DK230" s="57">
        <f>'2018'!DA18</f>
        <v>12</v>
      </c>
      <c r="DL230" s="57">
        <f>'2018'!DB18</f>
        <v>0</v>
      </c>
      <c r="DM230" s="57">
        <f>'2018'!DC18</f>
        <v>78</v>
      </c>
      <c r="DN230" s="57">
        <f>'2018'!DD18</f>
        <v>15</v>
      </c>
      <c r="DO230" s="58">
        <f>'2018'!DE18</f>
        <v>5.0999999999999996</v>
      </c>
      <c r="DP230" s="58">
        <f>'2018'!DF18</f>
        <v>59.6</v>
      </c>
      <c r="DQ230" s="58">
        <f>'2018'!DG18</f>
        <v>3.49</v>
      </c>
      <c r="DR230" s="58">
        <f>'2018'!DH18</f>
        <v>39.1</v>
      </c>
      <c r="DS230" s="57">
        <f>'2018'!DI18</f>
        <v>593</v>
      </c>
      <c r="DT230" s="57">
        <f>'2018'!DJ18</f>
        <v>3580</v>
      </c>
      <c r="DU230" s="57">
        <f>'2018'!DK18</f>
        <v>74</v>
      </c>
      <c r="DV230" s="57">
        <f>'2018'!DL18</f>
        <v>0</v>
      </c>
      <c r="DW230" s="59">
        <f>'2018'!DM18</f>
        <v>0</v>
      </c>
    </row>
    <row r="231" spans="1:127" ht="15.75" customHeight="1" x14ac:dyDescent="0.2">
      <c r="A231" s="33">
        <f t="shared" si="36"/>
        <v>229</v>
      </c>
      <c r="B231" s="11">
        <f>'2017'!A23</f>
        <v>21</v>
      </c>
      <c r="C231" s="11">
        <v>2017</v>
      </c>
      <c r="D231" s="34" t="str">
        <f>'2017'!B23</f>
        <v>T.J. Logan</v>
      </c>
      <c r="E231" s="224" t="str" cm="1">
        <f t="array" ref="E231">_xlfn.IFS(F231&gt;=13,"Cornerstone",AND(F231&gt;=12,F231&lt;13),"Elite",AND(F231&gt;=11,F231&lt;12),"Elite Upside",AND(F231&gt;=9,F231&lt;11),"Upside",AND(F231&gt;=7,F231&lt;9),"Upside Lite",AND(F231&gt;=6,F231&lt;7),"Outlier",AND(F231&gt;=5,F231&lt;6),"Outlier Lite",F231&lt;5,"Purgatory")</f>
        <v>Purgatory</v>
      </c>
      <c r="F231" s="14">
        <f>'2017'!C23</f>
        <v>4.9722222222222223</v>
      </c>
      <c r="G231" s="14">
        <f t="shared" si="41"/>
        <v>29.599999999999998</v>
      </c>
      <c r="H231" s="35">
        <f t="shared" si="37"/>
        <v>-1.2824516151127461</v>
      </c>
      <c r="I231" s="36" t="str">
        <f>'2017'!D23</f>
        <v>North Caroina</v>
      </c>
      <c r="J231" s="37">
        <f>'2017'!E23</f>
        <v>4</v>
      </c>
      <c r="K231" s="38">
        <f>'2017'!F23</f>
        <v>34580</v>
      </c>
      <c r="L231" s="39">
        <f>'2017'!G23</f>
        <v>31.087671232876712</v>
      </c>
      <c r="M231" s="39" t="str">
        <f>'2017'!H23</f>
        <v>SR</v>
      </c>
      <c r="N231" s="39">
        <f>'2017'!I23</f>
        <v>22.663013698630138</v>
      </c>
      <c r="O231" s="39" t="str">
        <f t="shared" si="38"/>
        <v>JITTERBUG</v>
      </c>
      <c r="P231" s="39" t="str">
        <f t="shared" si="44"/>
        <v>+RECEIVER</v>
      </c>
      <c r="Q231" s="37">
        <f>'2017'!J23</f>
        <v>69</v>
      </c>
      <c r="R231" s="37">
        <f>'2017'!K23</f>
        <v>196</v>
      </c>
      <c r="S231" s="39">
        <f t="shared" si="40"/>
        <v>28.943819618368078</v>
      </c>
      <c r="T231" s="37">
        <f>'2017'!L23</f>
        <v>4.37</v>
      </c>
      <c r="U231" s="55">
        <f>'2017'!M23</f>
        <v>5</v>
      </c>
      <c r="V231" s="41">
        <f>'2017'!N23</f>
        <v>0</v>
      </c>
      <c r="W231" s="42">
        <f>'2017'!O23</f>
        <v>0.11872063606794363</v>
      </c>
      <c r="X231" s="42">
        <f>'2017'!P23</f>
        <v>0</v>
      </c>
      <c r="Y231" s="42">
        <f>'2017'!Q23</f>
        <v>8.068065131289423E-2</v>
      </c>
      <c r="Z231" s="42">
        <f>'2017'!R23</f>
        <v>0.1559488347643245</v>
      </c>
      <c r="AA231" s="42">
        <f>'2017'!S23</f>
        <v>0.1559488347643245</v>
      </c>
      <c r="AB231" s="42">
        <f>'2017'!T23</f>
        <v>0.14035395128789205</v>
      </c>
      <c r="AC231" s="42">
        <f>'2017'!U23</f>
        <v>4.1088435374149662E-2</v>
      </c>
      <c r="AD231" s="42">
        <f>'2017'!V23</f>
        <v>6.822356336919444E-2</v>
      </c>
      <c r="AE231" s="42">
        <f>'2017'!W23</f>
        <v>6.822356336919444E-2</v>
      </c>
      <c r="AF231" s="43">
        <f>'2017'!X23</f>
        <v>6.1401207032274994E-2</v>
      </c>
      <c r="AG231" s="44">
        <f>'2017'!Y23</f>
        <v>22.021917808219179</v>
      </c>
      <c r="AH231" s="45">
        <f>'2017'!Z23</f>
        <v>107.48808340197904</v>
      </c>
      <c r="AI231" s="45">
        <f>'2017'!AA23</f>
        <v>28.940978785969335</v>
      </c>
      <c r="AJ231" s="45">
        <f>'2017'!AB23</f>
        <v>0.21848739495798319</v>
      </c>
      <c r="AK231" s="45">
        <f>'2017'!AC23</f>
        <v>6</v>
      </c>
      <c r="AL231" s="45">
        <f t="shared" si="39"/>
        <v>7.0394736842105265</v>
      </c>
      <c r="AM231" s="45">
        <f t="shared" si="43"/>
        <v>0.20134228187919462</v>
      </c>
      <c r="AN231" s="45">
        <f>'2017'!AD23</f>
        <v>66.900000000000006</v>
      </c>
      <c r="AO231" s="45">
        <f>'2017'!AE23</f>
        <v>3.32</v>
      </c>
      <c r="AP231" s="46">
        <f>'2017'!AF23</f>
        <v>49.1</v>
      </c>
      <c r="AQ231" s="47">
        <f>'2017'!AG23</f>
        <v>1</v>
      </c>
      <c r="AR231" s="48">
        <f>'2017'!AH23</f>
        <v>6</v>
      </c>
      <c r="AS231" s="48">
        <f>'2017'!AI23</f>
        <v>1</v>
      </c>
      <c r="AT231" s="48">
        <f t="shared" si="45"/>
        <v>8</v>
      </c>
      <c r="AU231" s="48">
        <f>'2017'!AK23</f>
        <v>4</v>
      </c>
      <c r="AV231" s="48">
        <f>'2017'!AL23</f>
        <v>4</v>
      </c>
      <c r="AW231" s="48">
        <f>'2017'!AM23</f>
        <v>3</v>
      </c>
      <c r="AX231" s="48">
        <f>'2017'!AN23</f>
        <v>3</v>
      </c>
      <c r="AY231" s="49">
        <f>IF(U231=1,10,IF(U231=2,7,IF(U231=3,6,IF(U231=4,4,IF(U231=5,3,IF(U231=6,2,IF(U231=7,1,IF(U231=0,0,"-"))))))))</f>
        <v>3</v>
      </c>
      <c r="AZ231" s="50">
        <f>'2017'!AP23</f>
        <v>0</v>
      </c>
      <c r="BA231" s="56">
        <f>'2017'!AQ23</f>
        <v>0</v>
      </c>
      <c r="BB231" s="57">
        <f>'2017'!AR23</f>
        <v>2326</v>
      </c>
      <c r="BC231" s="57">
        <f>'2017'!AS23</f>
        <v>0</v>
      </c>
      <c r="BD231" s="57">
        <f>'2017'!AT23</f>
        <v>0</v>
      </c>
      <c r="BE231" s="57">
        <f>'2017'!AU23</f>
        <v>0</v>
      </c>
      <c r="BF231" s="57">
        <f>'2017'!AV23</f>
        <v>0</v>
      </c>
      <c r="BG231" s="58">
        <f>'2017'!AW23</f>
        <v>0</v>
      </c>
      <c r="BH231" s="58">
        <f>'2017'!AX23</f>
        <v>0</v>
      </c>
      <c r="BI231" s="58">
        <f>'2017'!AY23</f>
        <v>0</v>
      </c>
      <c r="BJ231" s="58">
        <f>'2017'!AZ23</f>
        <v>0</v>
      </c>
      <c r="BK231" s="57">
        <f>'2017'!BA23</f>
        <v>0</v>
      </c>
      <c r="BL231" s="57">
        <f>'2017'!BB23</f>
        <v>3501</v>
      </c>
      <c r="BM231" s="57">
        <f>'2017'!BC23</f>
        <v>0</v>
      </c>
      <c r="BN231" s="57">
        <f>'2017'!BD23</f>
        <v>0</v>
      </c>
      <c r="BO231" s="59">
        <f>'2017'!BE23</f>
        <v>0</v>
      </c>
      <c r="BP231" s="56">
        <f>'2017'!BF23</f>
        <v>533</v>
      </c>
      <c r="BQ231" s="57">
        <f>'2017'!BG23</f>
        <v>1928</v>
      </c>
      <c r="BR231" s="57">
        <f>'2017'!BH23</f>
        <v>0</v>
      </c>
      <c r="BS231" s="57">
        <f>'2017'!BI23</f>
        <v>0</v>
      </c>
      <c r="BT231" s="57">
        <f>'2017'!BJ23</f>
        <v>0</v>
      </c>
      <c r="BU231" s="57">
        <f>'2017'!BK23</f>
        <v>0</v>
      </c>
      <c r="BV231" s="58">
        <f>'2017'!BL23</f>
        <v>0</v>
      </c>
      <c r="BW231" s="58">
        <f>'2017'!BM23</f>
        <v>0</v>
      </c>
      <c r="BX231" s="58">
        <f>'2017'!BN23</f>
        <v>0</v>
      </c>
      <c r="BY231" s="58">
        <f>'2017'!BO23</f>
        <v>0</v>
      </c>
      <c r="BZ231" s="57">
        <f>'2017'!BP23</f>
        <v>124</v>
      </c>
      <c r="CA231" s="57">
        <f>'2017'!BQ23</f>
        <v>3606</v>
      </c>
      <c r="CB231" s="57">
        <f>'2017'!BR23</f>
        <v>10</v>
      </c>
      <c r="CC231" s="57">
        <f>'2017'!BS23</f>
        <v>0</v>
      </c>
      <c r="CD231" s="59">
        <f>'2017'!BT23</f>
        <v>0</v>
      </c>
      <c r="CE231" s="56">
        <f>'2017'!BU23</f>
        <v>0</v>
      </c>
      <c r="CF231" s="57">
        <f>'2017'!BV23</f>
        <v>1973</v>
      </c>
      <c r="CG231" s="57">
        <f>'2017'!BW23</f>
        <v>3</v>
      </c>
      <c r="CH231" s="57">
        <f>'2017'!BX23</f>
        <v>0</v>
      </c>
      <c r="CI231" s="57">
        <f>'2017'!BY23</f>
        <v>119</v>
      </c>
      <c r="CJ231" s="57">
        <f>'2017'!BZ23</f>
        <v>11</v>
      </c>
      <c r="CK231" s="58">
        <f>'2017'!CA23</f>
        <v>4.9000000000000004</v>
      </c>
      <c r="CL231" s="58">
        <f>'2017'!CB23</f>
        <v>29.2</v>
      </c>
      <c r="CM231" s="58">
        <f>'2017'!CC23</f>
        <v>2.21</v>
      </c>
      <c r="CN231" s="58">
        <f>'2017'!CD23</f>
        <v>14.5</v>
      </c>
      <c r="CO231" s="57">
        <f>'2017'!CE23</f>
        <v>0</v>
      </c>
      <c r="CP231" s="57">
        <f>'2017'!CF23</f>
        <v>3614</v>
      </c>
      <c r="CQ231" s="57">
        <f>'2017'!CG23</f>
        <v>25</v>
      </c>
      <c r="CR231" s="57">
        <f>'2017'!CH23</f>
        <v>0</v>
      </c>
      <c r="CS231" s="59">
        <f>'2017'!CI23</f>
        <v>0</v>
      </c>
      <c r="CT231" s="56">
        <f>'2017'!CJ23</f>
        <v>399</v>
      </c>
      <c r="CU231" s="57">
        <f>'2017'!CK23</f>
        <v>3142</v>
      </c>
      <c r="CV231" s="57">
        <f>'2017'!CL23</f>
        <v>5</v>
      </c>
      <c r="CW231" s="57">
        <f>'2017'!CM23</f>
        <v>0</v>
      </c>
      <c r="CX231" s="57">
        <f>'2017'!CN23</f>
        <v>66</v>
      </c>
      <c r="CY231" s="57">
        <f>'2017'!CO23</f>
        <v>14</v>
      </c>
      <c r="CZ231" s="58">
        <f>'2017'!CP23</f>
        <v>6</v>
      </c>
      <c r="DA231" s="58">
        <f>'2017'!CQ23</f>
        <v>60.3</v>
      </c>
      <c r="DB231" s="58">
        <f>'2017'!CR23</f>
        <v>3.32</v>
      </c>
      <c r="DC231" s="58">
        <f>'2017'!CS23</f>
        <v>49.1</v>
      </c>
      <c r="DD231" s="57">
        <f>'2017'!CT23</f>
        <v>151</v>
      </c>
      <c r="DE231" s="57">
        <f>'2017'!CU23</f>
        <v>3675</v>
      </c>
      <c r="DF231" s="57">
        <f>'2017'!CV23</f>
        <v>11</v>
      </c>
      <c r="DG231" s="57">
        <f>'2017'!CW23</f>
        <v>0</v>
      </c>
      <c r="DH231" s="59">
        <f>'2017'!CX23</f>
        <v>0</v>
      </c>
      <c r="DI231" s="56">
        <f>'2017'!CY23</f>
        <v>630</v>
      </c>
      <c r="DJ231" s="57">
        <f>'2017'!CZ23</f>
        <v>1896</v>
      </c>
      <c r="DK231" s="57">
        <f>'2017'!DA23</f>
        <v>7</v>
      </c>
      <c r="DL231" s="57">
        <f>'2017'!DB23</f>
        <v>0</v>
      </c>
      <c r="DM231" s="57">
        <f>'2017'!DC23</f>
        <v>119</v>
      </c>
      <c r="DN231" s="57">
        <f>'2017'!DD23</f>
        <v>26</v>
      </c>
      <c r="DO231" s="58">
        <f>'2017'!DE23</f>
        <v>5.3</v>
      </c>
      <c r="DP231" s="58">
        <f>'2017'!DF23</f>
        <v>66.900000000000006</v>
      </c>
      <c r="DQ231" s="58">
        <f>'2017'!DG23</f>
        <v>2.93</v>
      </c>
      <c r="DR231" s="58">
        <f>'2017'!DH23</f>
        <v>41.1</v>
      </c>
      <c r="DS231" s="57">
        <f>'2017'!DI23</f>
        <v>260</v>
      </c>
      <c r="DT231" s="57">
        <f>'2017'!DJ23</f>
        <v>3811</v>
      </c>
      <c r="DU231" s="57">
        <f>'2017'!DK23</f>
        <v>30</v>
      </c>
      <c r="DV231" s="57">
        <f>'2017'!DL23</f>
        <v>0</v>
      </c>
      <c r="DW231" s="59">
        <f>'2017'!DM23</f>
        <v>0</v>
      </c>
    </row>
    <row r="232" spans="1:127" ht="15.75" customHeight="1" x14ac:dyDescent="0.2">
      <c r="A232" s="33">
        <f t="shared" si="36"/>
        <v>229</v>
      </c>
      <c r="B232" s="11">
        <f>'2019'!A21</f>
        <v>19</v>
      </c>
      <c r="C232" s="11">
        <v>2019</v>
      </c>
      <c r="D232" s="34" t="str">
        <f>'2019'!B21</f>
        <v>Myles Gaskin</v>
      </c>
      <c r="E232" s="224" t="str" cm="1">
        <f t="array" ref="E232">_xlfn.IFS(F232&gt;=13,"Cornerstone",AND(F232&gt;=12,F232&lt;13),"Elite",AND(F232&gt;=11,F232&lt;12),"Elite Upside",AND(F232&gt;=9,F232&lt;11),"Upside",AND(F232&gt;=7,F232&lt;9),"Upside Lite",AND(F232&gt;=6,F232&lt;7),"Outlier",AND(F232&gt;=5,F232&lt;6),"Outlier Lite",F232&lt;5,"Purgatory")</f>
        <v>Purgatory</v>
      </c>
      <c r="F232" s="14">
        <f>'2019'!C21</f>
        <v>4.9722222222222223</v>
      </c>
      <c r="G232" s="14">
        <f t="shared" si="41"/>
        <v>29.599999999999998</v>
      </c>
      <c r="H232" s="35">
        <f t="shared" si="37"/>
        <v>-1.2824516151127461</v>
      </c>
      <c r="I232" s="36" t="str">
        <f>'2019'!D21</f>
        <v>Washington</v>
      </c>
      <c r="J232" s="37">
        <f>'2019'!E21</f>
        <v>5</v>
      </c>
      <c r="K232" s="38">
        <f>'2019'!F21</f>
        <v>35476</v>
      </c>
      <c r="L232" s="39">
        <f>'2019'!G21</f>
        <v>28.632876712328766</v>
      </c>
      <c r="M232" s="39" t="str">
        <f>'2019'!H21</f>
        <v>SR</v>
      </c>
      <c r="N232" s="39">
        <f>'2019'!I21</f>
        <v>22.202739726027396</v>
      </c>
      <c r="O232" s="39" t="str">
        <f t="shared" si="38"/>
        <v>BELL CALF</v>
      </c>
      <c r="P232" s="39" t="str">
        <f t="shared" si="44"/>
        <v>PLODDER</v>
      </c>
      <c r="Q232" s="37">
        <f>'2019'!J21</f>
        <v>69</v>
      </c>
      <c r="R232" s="37">
        <f>'2019'!K21</f>
        <v>205</v>
      </c>
      <c r="S232" s="39">
        <f t="shared" si="40"/>
        <v>30.272872560027835</v>
      </c>
      <c r="T232" s="37">
        <f>'2019'!L21</f>
        <v>4.58</v>
      </c>
      <c r="U232" s="40">
        <f>'2019'!M21</f>
        <v>7</v>
      </c>
      <c r="V232" s="41">
        <f>'2019'!N21</f>
        <v>0</v>
      </c>
      <c r="W232" s="42">
        <f>'2019'!O21</f>
        <v>0.25152671755725192</v>
      </c>
      <c r="X232" s="42">
        <f>'2019'!P21</f>
        <v>0.23604814756917306</v>
      </c>
      <c r="Y232" s="42">
        <f>'2019'!Q21</f>
        <v>0.30525516979700246</v>
      </c>
      <c r="Z232" s="42">
        <f>'2019'!R21</f>
        <v>0.23204134366925064</v>
      </c>
      <c r="AA232" s="42">
        <f>'2019'!S21</f>
        <v>0.26864825673312653</v>
      </c>
      <c r="AB232" s="42">
        <f>'2019'!T21</f>
        <v>0.22835101822315754</v>
      </c>
      <c r="AC232" s="42">
        <f>'2019'!U21</f>
        <v>8.0304603669089647E-2</v>
      </c>
      <c r="AD232" s="42">
        <f>'2019'!V21</f>
        <v>2.3074617920287685E-2</v>
      </c>
      <c r="AE232" s="42">
        <f>'2019'!W21</f>
        <v>5.1689610794688666E-2</v>
      </c>
      <c r="AF232" s="43">
        <f>'2019'!X21</f>
        <v>4.3936169175485366E-2</v>
      </c>
      <c r="AG232" s="44">
        <f>'2019'!Y21</f>
        <v>18.550684931506851</v>
      </c>
      <c r="AH232" s="45">
        <f>'2019'!Z21</f>
        <v>93.179836636354054</v>
      </c>
      <c r="AI232" s="45">
        <f>'2019'!AA21</f>
        <v>30.269901281243438</v>
      </c>
      <c r="AJ232" s="45">
        <f>'2019'!AB21</f>
        <v>0.1981981981981982</v>
      </c>
      <c r="AK232" s="45">
        <f>'2019'!AC21</f>
        <v>6.2</v>
      </c>
      <c r="AL232" s="45">
        <f t="shared" si="39"/>
        <v>7.1384615384615389</v>
      </c>
      <c r="AM232" s="45">
        <f t="shared" si="43"/>
        <v>7.4999999999999997E-2</v>
      </c>
      <c r="AN232" s="45">
        <f>'2019'!AD21</f>
        <v>82.9</v>
      </c>
      <c r="AO232" s="45">
        <f>'2019'!AE21</f>
        <v>3.57</v>
      </c>
      <c r="AP232" s="46">
        <f>'2019'!AF21</f>
        <v>46</v>
      </c>
      <c r="AQ232" s="47">
        <f>'2019'!AG21</f>
        <v>4</v>
      </c>
      <c r="AR232" s="48">
        <f>'2019'!AH21</f>
        <v>5</v>
      </c>
      <c r="AS232" s="48">
        <f>'2019'!AI21</f>
        <v>9</v>
      </c>
      <c r="AT232" s="48">
        <f t="shared" si="45"/>
        <v>2</v>
      </c>
      <c r="AU232" s="48">
        <f>'2019'!AK21</f>
        <v>3</v>
      </c>
      <c r="AV232" s="48">
        <f>'2019'!AL21</f>
        <v>5</v>
      </c>
      <c r="AW232" s="48">
        <f>'2019'!AM21</f>
        <v>2</v>
      </c>
      <c r="AX232" s="48">
        <f>'2019'!AN21</f>
        <v>2</v>
      </c>
      <c r="AY232" s="49">
        <f>IF(U232=1,10,IF(U232=2,7,IF(U232=3,6,IF(U232=4,4,IF(U232=5,3,IF(U232=6,2,IF(U232=7,1,IF(U232=0,0,"-"))))))))</f>
        <v>1</v>
      </c>
      <c r="AZ232" s="50">
        <f>'2019'!AP21</f>
        <v>0.25</v>
      </c>
      <c r="BA232" s="56">
        <f>'2019'!AQ21</f>
        <v>0</v>
      </c>
      <c r="BB232" s="57">
        <f>'2019'!AR21</f>
        <v>2640</v>
      </c>
      <c r="BC232" s="57">
        <f>'2019'!AS21</f>
        <v>0</v>
      </c>
      <c r="BD232" s="57">
        <f>'2019'!AT21</f>
        <v>23</v>
      </c>
      <c r="BE232" s="57">
        <f>'2019'!AU21</f>
        <v>0</v>
      </c>
      <c r="BF232" s="57">
        <f>'2019'!AV21</f>
        <v>0</v>
      </c>
      <c r="BG232" s="58">
        <f>'2019'!AW21</f>
        <v>0</v>
      </c>
      <c r="BH232" s="58">
        <f>'2019'!AX21</f>
        <v>0</v>
      </c>
      <c r="BI232" s="58">
        <f>'2019'!AY21</f>
        <v>0</v>
      </c>
      <c r="BJ232" s="58">
        <f>'2019'!AZ21</f>
        <v>0</v>
      </c>
      <c r="BK232" s="57">
        <f>'2019'!BA21</f>
        <v>0</v>
      </c>
      <c r="BL232" s="57">
        <f>'2019'!BB21</f>
        <v>2801</v>
      </c>
      <c r="BM232" s="57">
        <f>'2019'!BC21</f>
        <v>0</v>
      </c>
      <c r="BN232" s="57">
        <f>'2019'!BD21</f>
        <v>0</v>
      </c>
      <c r="BO232" s="59">
        <f>'2019'!BE21</f>
        <v>19</v>
      </c>
      <c r="BP232" s="56">
        <f>'2019'!BF21</f>
        <v>1300</v>
      </c>
      <c r="BQ232" s="57">
        <f>'2019'!BG21</f>
        <v>2130</v>
      </c>
      <c r="BR232" s="57">
        <f>'2019'!BH21</f>
        <v>14</v>
      </c>
      <c r="BS232" s="57">
        <f>'2019'!BI21</f>
        <v>27</v>
      </c>
      <c r="BT232" s="57">
        <f>'2019'!BJ21</f>
        <v>226</v>
      </c>
      <c r="BU232" s="57">
        <f>'2019'!BK21</f>
        <v>61</v>
      </c>
      <c r="BV232" s="58">
        <f>'2019'!BL21</f>
        <v>5.8</v>
      </c>
      <c r="BW232" s="58">
        <f>'2019'!BM21</f>
        <v>105.5</v>
      </c>
      <c r="BX232" s="58">
        <f>'2019'!BN21</f>
        <v>3.88</v>
      </c>
      <c r="BY232" s="58">
        <f>'2019'!BO21</f>
        <v>46.9</v>
      </c>
      <c r="BZ232" s="57">
        <f>'2019'!BP21</f>
        <v>18</v>
      </c>
      <c r="CA232" s="57">
        <f>'2019'!BQ21</f>
        <v>3110</v>
      </c>
      <c r="CB232" s="57">
        <f>'2019'!BR21</f>
        <v>6</v>
      </c>
      <c r="CC232" s="57">
        <f>'2019'!BS21</f>
        <v>0</v>
      </c>
      <c r="CD232" s="59">
        <f>'2019'!BT21</f>
        <v>17</v>
      </c>
      <c r="CE232" s="56">
        <f>'2019'!BU21</f>
        <v>1373</v>
      </c>
      <c r="CF232" s="57">
        <f>'2019'!BV21</f>
        <v>2774</v>
      </c>
      <c r="CG232" s="57">
        <f>'2019'!BW21</f>
        <v>10</v>
      </c>
      <c r="CH232" s="57">
        <f>'2019'!BX21</f>
        <v>24</v>
      </c>
      <c r="CI232" s="57">
        <f>'2019'!BY21</f>
        <v>237</v>
      </c>
      <c r="CJ232" s="57">
        <f>'2019'!BZ21</f>
        <v>45</v>
      </c>
      <c r="CK232" s="58">
        <f>'2019'!CA21</f>
        <v>5.8</v>
      </c>
      <c r="CL232" s="58">
        <f>'2019'!CB21</f>
        <v>57.4</v>
      </c>
      <c r="CM232" s="58">
        <f>'2019'!CC21</f>
        <v>2.94</v>
      </c>
      <c r="CN232" s="58">
        <f>'2019'!CD21</f>
        <v>27.2</v>
      </c>
      <c r="CO232" s="57">
        <f>'2019'!CE21</f>
        <v>137</v>
      </c>
      <c r="CP232" s="57">
        <f>'2019'!CF21</f>
        <v>3623</v>
      </c>
      <c r="CQ232" s="57">
        <f>'2019'!CG21</f>
        <v>19</v>
      </c>
      <c r="CR232" s="57">
        <f>'2019'!CH21</f>
        <v>0</v>
      </c>
      <c r="CS232" s="59">
        <f>'2019'!CI21</f>
        <v>47</v>
      </c>
      <c r="CT232" s="56">
        <f>'2019'!CJ21</f>
        <v>1377</v>
      </c>
      <c r="CU232" s="57">
        <f>'2019'!CK21</f>
        <v>2382</v>
      </c>
      <c r="CV232" s="57">
        <f>'2019'!CL21</f>
        <v>21</v>
      </c>
      <c r="CW232" s="57">
        <f>'2019'!CM21</f>
        <v>37</v>
      </c>
      <c r="CX232" s="57">
        <f>'2019'!CN21</f>
        <v>222</v>
      </c>
      <c r="CY232" s="57">
        <f>'2019'!CO21</f>
        <v>44</v>
      </c>
      <c r="CZ232" s="58">
        <f>'2019'!CP21</f>
        <v>6.2</v>
      </c>
      <c r="DA232" s="58">
        <f>'2019'!CQ21</f>
        <v>82.9</v>
      </c>
      <c r="DB232" s="58">
        <f>'2019'!CR21</f>
        <v>3.57</v>
      </c>
      <c r="DC232" s="58">
        <f>'2019'!CS21</f>
        <v>46</v>
      </c>
      <c r="DD232" s="57">
        <f>'2019'!CT21</f>
        <v>232</v>
      </c>
      <c r="DE232" s="57">
        <f>'2019'!CU21</f>
        <v>2889</v>
      </c>
      <c r="DF232" s="57">
        <f>'2019'!CV21</f>
        <v>19</v>
      </c>
      <c r="DG232" s="57">
        <f>'2019'!CW21</f>
        <v>0</v>
      </c>
      <c r="DH232" s="59">
        <f>'2019'!CX21</f>
        <v>19</v>
      </c>
      <c r="DI232" s="56">
        <f>'2019'!CY21</f>
        <v>1270</v>
      </c>
      <c r="DJ232" s="57">
        <f>'2019'!CZ21</f>
        <v>2468</v>
      </c>
      <c r="DK232" s="57">
        <f>'2019'!DA21</f>
        <v>12</v>
      </c>
      <c r="DL232" s="57">
        <f>'2019'!DB21</f>
        <v>26</v>
      </c>
      <c r="DM232" s="57">
        <f>'2019'!DC21</f>
        <v>259</v>
      </c>
      <c r="DN232" s="57">
        <f>'2019'!DD21</f>
        <v>45</v>
      </c>
      <c r="DO232" s="58">
        <f>'2019'!DE21</f>
        <v>4.9000000000000004</v>
      </c>
      <c r="DP232" s="58">
        <f>'2019'!DF21</f>
        <v>48.1</v>
      </c>
      <c r="DQ232" s="58">
        <f>'2019'!DG21</f>
        <v>2.85</v>
      </c>
      <c r="DR232" s="58">
        <f>'2019'!DH21</f>
        <v>28.7</v>
      </c>
      <c r="DS232" s="57">
        <f>'2019'!DI21</f>
        <v>77</v>
      </c>
      <c r="DT232" s="57">
        <f>'2019'!DJ21</f>
        <v>3337</v>
      </c>
      <c r="DU232" s="57">
        <f>'2019'!DK21</f>
        <v>21</v>
      </c>
      <c r="DV232" s="57">
        <f>'2019'!DL21</f>
        <v>0</v>
      </c>
      <c r="DW232" s="59">
        <f>'2019'!DM21</f>
        <v>19</v>
      </c>
    </row>
    <row r="233" spans="1:127" ht="15.75" customHeight="1" x14ac:dyDescent="0.2">
      <c r="A233" s="33">
        <f t="shared" si="36"/>
        <v>231</v>
      </c>
      <c r="B233" s="11">
        <f>'2018'!A19</f>
        <v>17</v>
      </c>
      <c r="C233" s="11">
        <v>2018</v>
      </c>
      <c r="D233" s="34" t="str">
        <f>'2018'!B19</f>
        <v>Jordan Wilkins</v>
      </c>
      <c r="E233" s="224" t="str" cm="1">
        <f t="array" ref="E233">_xlfn.IFS(F233&gt;=13,"Cornerstone",AND(F233&gt;=12,F233&lt;13),"Elite",AND(F233&gt;=11,F233&lt;12),"Elite Upside",AND(F233&gt;=9,F233&lt;11),"Upside",AND(F233&gt;=7,F233&lt;9),"Upside Lite",AND(F233&gt;=6,F233&lt;7),"Outlier",AND(F233&gt;=5,F233&lt;6),"Outlier Lite",F233&lt;5,"Purgatory")</f>
        <v>Purgatory</v>
      </c>
      <c r="F233" s="14">
        <f>'2018'!C19</f>
        <v>4.9666666666666659</v>
      </c>
      <c r="G233" s="14">
        <f t="shared" si="41"/>
        <v>29.299999999999997</v>
      </c>
      <c r="H233" s="35">
        <f t="shared" si="37"/>
        <v>-1.2848028654696333</v>
      </c>
      <c r="I233" s="36" t="str">
        <f>'2018'!D19</f>
        <v>Ole Miss</v>
      </c>
      <c r="J233" s="37">
        <f>'2018'!E19</f>
        <v>1</v>
      </c>
      <c r="K233" s="38">
        <f>'2018'!F19</f>
        <v>34533</v>
      </c>
      <c r="L233" s="39">
        <f>'2018'!G19</f>
        <v>31.216438356164385</v>
      </c>
      <c r="M233" s="39" t="str">
        <f>'2018'!H19</f>
        <v>SR</v>
      </c>
      <c r="N233" s="39">
        <f>'2018'!I19</f>
        <v>23.789041095890411</v>
      </c>
      <c r="O233" s="39" t="str">
        <f t="shared" si="38"/>
        <v>BELL COW</v>
      </c>
      <c r="P233" s="39" t="str">
        <f t="shared" si="44"/>
        <v>+RECEIVER</v>
      </c>
      <c r="Q233" s="37">
        <f>'2018'!J19</f>
        <v>71</v>
      </c>
      <c r="R233" s="37">
        <f>'2018'!K19</f>
        <v>217</v>
      </c>
      <c r="S233" s="39">
        <f t="shared" si="40"/>
        <v>30.26502168854368</v>
      </c>
      <c r="T233" s="37">
        <f>'2018'!L19</f>
        <v>4.53</v>
      </c>
      <c r="U233" s="40">
        <f>'2018'!M19</f>
        <v>5</v>
      </c>
      <c r="V233" s="41">
        <f>'2018'!N19</f>
        <v>0</v>
      </c>
      <c r="W233" s="42">
        <f>'2018'!O19</f>
        <v>6.8098384728340677E-2</v>
      </c>
      <c r="X233" s="42">
        <f>'2018'!P19</f>
        <v>6.8043381369781608E-2</v>
      </c>
      <c r="Y233" s="42">
        <f>'2018'!Q19</f>
        <v>0</v>
      </c>
      <c r="Z233" s="42">
        <f>'2018'!R19</f>
        <v>0.22602739726027396</v>
      </c>
      <c r="AA233" s="42">
        <f>'2018'!S19</f>
        <v>0.22602739726027396</v>
      </c>
      <c r="AB233" s="42">
        <f>'2018'!T19</f>
        <v>0.22602739726027396</v>
      </c>
      <c r="AC233" s="42">
        <f>'2018'!U19</f>
        <v>0</v>
      </c>
      <c r="AD233" s="42">
        <f>'2018'!V19</f>
        <v>6.1913219994925148E-2</v>
      </c>
      <c r="AE233" s="42">
        <f>'2018'!W19</f>
        <v>6.1913219994925148E-2</v>
      </c>
      <c r="AF233" s="43">
        <f>'2018'!X19</f>
        <v>6.1913219994925148E-2</v>
      </c>
      <c r="AG233" s="44">
        <f>'2018'!Y19</f>
        <v>23.150684931506849</v>
      </c>
      <c r="AH233" s="45">
        <f>'2018'!Z19</f>
        <v>103.06160972821449</v>
      </c>
      <c r="AI233" s="45">
        <f>'2018'!AA19</f>
        <v>30.262051180321365</v>
      </c>
      <c r="AJ233" s="45">
        <f>'2018'!AB19</f>
        <v>0.20645161290322581</v>
      </c>
      <c r="AK233" s="45">
        <f>'2018'!AC19</f>
        <v>6.5</v>
      </c>
      <c r="AL233" s="45">
        <f t="shared" si="39"/>
        <v>9.8484848484848477</v>
      </c>
      <c r="AM233" s="45">
        <f t="shared" si="43"/>
        <v>0.14835164835164835</v>
      </c>
      <c r="AN233" s="45">
        <f>'2018'!AD19</f>
        <v>79</v>
      </c>
      <c r="AO233" s="45">
        <f>'2018'!AE19</f>
        <v>3.34</v>
      </c>
      <c r="AP233" s="46">
        <f>'2018'!AF19</f>
        <v>47.7</v>
      </c>
      <c r="AQ233" s="47">
        <f>'2018'!AG19</f>
        <v>4</v>
      </c>
      <c r="AR233" s="48">
        <f>'2018'!AH19</f>
        <v>6</v>
      </c>
      <c r="AS233" s="48">
        <f>'2018'!AI19</f>
        <v>0</v>
      </c>
      <c r="AT233" s="48">
        <f t="shared" si="45"/>
        <v>6</v>
      </c>
      <c r="AU233" s="48">
        <f>'2018'!AK19</f>
        <v>4</v>
      </c>
      <c r="AV233" s="48">
        <f>'2018'!AL19</f>
        <v>6</v>
      </c>
      <c r="AW233" s="48">
        <f>'2018'!AM19</f>
        <v>2</v>
      </c>
      <c r="AX233" s="48">
        <f>'2018'!AN19</f>
        <v>1</v>
      </c>
      <c r="AY233" s="49">
        <f>IF(U233=1,10,IF(U233=2,7,IF(U233=3,6,IF(U233=4,4,IF(U233=5,3,IF(U233=6,2,IF(U233=7,1,IF(U233=0,0,"-"))))))))</f>
        <v>3</v>
      </c>
      <c r="AZ233" s="50">
        <f>'2018'!AP19</f>
        <v>0</v>
      </c>
      <c r="BA233" s="56">
        <f>'2018'!AQ19</f>
        <v>0</v>
      </c>
      <c r="BB233" s="57">
        <f>'2018'!AR19</f>
        <v>2470</v>
      </c>
      <c r="BC233" s="57">
        <f>'2018'!AS19</f>
        <v>0</v>
      </c>
      <c r="BD233" s="57">
        <f>'2018'!AT19</f>
        <v>0</v>
      </c>
      <c r="BE233" s="57">
        <f>'2018'!AU19</f>
        <v>0</v>
      </c>
      <c r="BF233" s="57">
        <f>'2018'!AV19</f>
        <v>0</v>
      </c>
      <c r="BG233" s="58">
        <f>'2018'!AW19</f>
        <v>0</v>
      </c>
      <c r="BH233" s="58">
        <f>'2018'!AX19</f>
        <v>0</v>
      </c>
      <c r="BI233" s="58">
        <f>'2018'!AY19</f>
        <v>0</v>
      </c>
      <c r="BJ233" s="58">
        <f>'2018'!AZ19</f>
        <v>0</v>
      </c>
      <c r="BK233" s="57">
        <f>'2018'!BA19</f>
        <v>0</v>
      </c>
      <c r="BL233" s="57">
        <f>'2018'!BB19</f>
        <v>3683</v>
      </c>
      <c r="BM233" s="57">
        <f>'2018'!BC19</f>
        <v>0</v>
      </c>
      <c r="BN233" s="57">
        <f>'2018'!BD19</f>
        <v>0</v>
      </c>
      <c r="BO233" s="59">
        <f>'2018'!BE19</f>
        <v>0</v>
      </c>
      <c r="BP233" s="56">
        <f>'2018'!BF19</f>
        <v>365</v>
      </c>
      <c r="BQ233" s="57">
        <f>'2018'!BG19</f>
        <v>2021</v>
      </c>
      <c r="BR233" s="57">
        <f>'2018'!BH19</f>
        <v>1</v>
      </c>
      <c r="BS233" s="57">
        <f>'2018'!BI19</f>
        <v>0</v>
      </c>
      <c r="BT233" s="57">
        <f>'2018'!BJ19</f>
        <v>52</v>
      </c>
      <c r="BU233" s="57">
        <f>'2018'!BK19</f>
        <v>15</v>
      </c>
      <c r="BV233" s="58">
        <f>'2018'!BL19</f>
        <v>7</v>
      </c>
      <c r="BW233" s="58">
        <f>'2018'!BM19</f>
        <v>99.1</v>
      </c>
      <c r="BX233" s="58">
        <f>'2018'!BN19</f>
        <v>3.5</v>
      </c>
      <c r="BY233" s="58">
        <f>'2018'!BO19</f>
        <v>56.2</v>
      </c>
      <c r="BZ233" s="57">
        <f>'2018'!BP19</f>
        <v>6</v>
      </c>
      <c r="CA233" s="57">
        <f>'2018'!BQ19</f>
        <v>3427</v>
      </c>
      <c r="CB233" s="57">
        <f>'2018'!BR19</f>
        <v>1</v>
      </c>
      <c r="CC233" s="57">
        <f>'2018'!BS19</f>
        <v>0</v>
      </c>
      <c r="CD233" s="59">
        <f>'2018'!BT19</f>
        <v>0</v>
      </c>
      <c r="CE233" s="56">
        <f>'2018'!BU19</f>
        <v>383</v>
      </c>
      <c r="CF233" s="57">
        <f>'2018'!BV19</f>
        <v>2380</v>
      </c>
      <c r="CG233" s="57">
        <f>'2018'!BW19</f>
        <v>4</v>
      </c>
      <c r="CH233" s="57">
        <f>'2018'!BX19</f>
        <v>0</v>
      </c>
      <c r="CI233" s="57">
        <f>'2018'!BY19</f>
        <v>72</v>
      </c>
      <c r="CJ233" s="57">
        <f>'2018'!BZ19</f>
        <v>16</v>
      </c>
      <c r="CK233" s="58">
        <f>'2018'!CA19</f>
        <v>5.3</v>
      </c>
      <c r="CL233" s="58">
        <f>'2018'!CB19</f>
        <v>67.8</v>
      </c>
      <c r="CM233" s="58">
        <f>'2018'!CC19</f>
        <v>3.26</v>
      </c>
      <c r="CN233" s="58">
        <f>'2018'!CD19</f>
        <v>35</v>
      </c>
      <c r="CO233" s="57">
        <f>'2018'!CE19</f>
        <v>75</v>
      </c>
      <c r="CP233" s="57">
        <f>'2018'!CF19</f>
        <v>4351</v>
      </c>
      <c r="CQ233" s="57">
        <f>'2018'!CG19</f>
        <v>5</v>
      </c>
      <c r="CR233" s="57">
        <f>'2018'!CH19</f>
        <v>0</v>
      </c>
      <c r="CS233" s="59">
        <f>'2018'!CI19</f>
        <v>0</v>
      </c>
      <c r="CT233" s="56">
        <f>'2018'!CJ19</f>
        <v>0</v>
      </c>
      <c r="CU233" s="57">
        <f>'2018'!CK19</f>
        <v>1793</v>
      </c>
      <c r="CV233" s="57">
        <f>'2018'!CL19</f>
        <v>0</v>
      </c>
      <c r="CW233" s="57">
        <f>'2018'!CM19</f>
        <v>0</v>
      </c>
      <c r="CX233" s="57">
        <f>'2018'!CN19</f>
        <v>0</v>
      </c>
      <c r="CY233" s="57">
        <f>'2018'!CO19</f>
        <v>0</v>
      </c>
      <c r="CZ233" s="58">
        <f>'2018'!CP19</f>
        <v>0</v>
      </c>
      <c r="DA233" s="58">
        <f>'2018'!CQ19</f>
        <v>0</v>
      </c>
      <c r="DB233" s="58">
        <f>'2018'!CR19</f>
        <v>0</v>
      </c>
      <c r="DC233" s="58">
        <f>'2018'!CS19</f>
        <v>0</v>
      </c>
      <c r="DD233" s="57">
        <f>'2018'!CT19</f>
        <v>0</v>
      </c>
      <c r="DE233" s="57">
        <f>'2018'!CU19</f>
        <v>3779</v>
      </c>
      <c r="DF233" s="57">
        <f>'2018'!CV19</f>
        <v>0</v>
      </c>
      <c r="DG233" s="57">
        <f>'2018'!CW19</f>
        <v>0</v>
      </c>
      <c r="DH233" s="59">
        <f>'2018'!CX19</f>
        <v>0</v>
      </c>
      <c r="DI233" s="56">
        <f>'2018'!CY19</f>
        <v>1010</v>
      </c>
      <c r="DJ233" s="57">
        <f>'2018'!CZ19</f>
        <v>1607</v>
      </c>
      <c r="DK233" s="57">
        <f>'2018'!DA19</f>
        <v>9</v>
      </c>
      <c r="DL233" s="57">
        <f>'2018'!DB19</f>
        <v>0</v>
      </c>
      <c r="DM233" s="57">
        <f>'2018'!DC19</f>
        <v>155</v>
      </c>
      <c r="DN233" s="57">
        <f>'2018'!DD19</f>
        <v>32</v>
      </c>
      <c r="DO233" s="58">
        <f>'2018'!DE19</f>
        <v>6.5</v>
      </c>
      <c r="DP233" s="58">
        <f>'2018'!DF19</f>
        <v>79</v>
      </c>
      <c r="DQ233" s="58">
        <f>'2018'!DG19</f>
        <v>3.34</v>
      </c>
      <c r="DR233" s="58">
        <f>'2018'!DH19</f>
        <v>47.7</v>
      </c>
      <c r="DS233" s="57">
        <f>'2018'!DI19</f>
        <v>244</v>
      </c>
      <c r="DT233" s="57">
        <f>'2018'!DJ19</f>
        <v>3941</v>
      </c>
      <c r="DU233" s="57">
        <f>'2018'!DK19</f>
        <v>27</v>
      </c>
      <c r="DV233" s="57">
        <f>'2018'!DL19</f>
        <v>0</v>
      </c>
      <c r="DW233" s="59">
        <f>'2018'!DM19</f>
        <v>0</v>
      </c>
    </row>
    <row r="234" spans="1:127" ht="15.75" customHeight="1" x14ac:dyDescent="0.2">
      <c r="A234" s="33">
        <f t="shared" si="36"/>
        <v>232</v>
      </c>
      <c r="B234" s="11">
        <f>'2021'!A18</f>
        <v>16</v>
      </c>
      <c r="C234" s="11">
        <v>2021</v>
      </c>
      <c r="D234" s="34" t="str">
        <f>'2021'!B18</f>
        <v>Kene Nwangwu</v>
      </c>
      <c r="E234" s="224" t="str" cm="1">
        <f t="array" ref="E234">_xlfn.IFS(F234&gt;=13,"Cornerstone",AND(F234&gt;=12,F234&lt;13),"Elite",AND(F234&gt;=11,F234&lt;12),"Elite Upside",AND(F234&gt;=9,F234&lt;11),"Upside",AND(F234&gt;=7,F234&lt;9),"Upside Lite",AND(F234&gt;=6,F234&lt;7),"Outlier",AND(F234&gt;=5,F234&lt;6),"Outlier Lite",F234&lt;5,"Purgatory")</f>
        <v>Purgatory</v>
      </c>
      <c r="F234" s="14">
        <f>'2021'!C18</f>
        <v>4.9444444444444446</v>
      </c>
      <c r="G234" s="14">
        <f t="shared" si="41"/>
        <v>28.999999999999996</v>
      </c>
      <c r="H234" s="35">
        <f t="shared" si="37"/>
        <v>-1.2942078668971804</v>
      </c>
      <c r="I234" s="36" t="str">
        <f>'2021'!D18</f>
        <v>Iowa State</v>
      </c>
      <c r="J234" s="37">
        <f>'2021'!E18</f>
        <v>3</v>
      </c>
      <c r="K234" s="38">
        <f>'2021'!F18</f>
        <v>35835</v>
      </c>
      <c r="L234" s="39">
        <f>'2021'!G18</f>
        <v>27.649315068493152</v>
      </c>
      <c r="M234" s="39" t="str">
        <f>'2021'!H18</f>
        <v>SR</v>
      </c>
      <c r="N234" s="39">
        <f>'2021'!I18</f>
        <v>23.232876712328768</v>
      </c>
      <c r="O234" s="39" t="str">
        <f t="shared" si="38"/>
        <v>JITTERBUG</v>
      </c>
      <c r="P234" s="39" t="str">
        <f t="shared" si="44"/>
        <v>SLASHER</v>
      </c>
      <c r="Q234" s="37">
        <f>'2021'!J18</f>
        <v>71</v>
      </c>
      <c r="R234" s="37">
        <f>'2021'!K18</f>
        <v>209</v>
      </c>
      <c r="S234" s="39">
        <f t="shared" si="40"/>
        <v>29.149260520302434</v>
      </c>
      <c r="T234" s="37">
        <f>'2021'!L18</f>
        <v>4.32</v>
      </c>
      <c r="U234" s="40">
        <f>'2021'!M18</f>
        <v>4</v>
      </c>
      <c r="V234" s="41">
        <f>'2021'!N18</f>
        <v>2.9452460960664163E-2</v>
      </c>
      <c r="W234" s="42">
        <f>'2021'!O18</f>
        <v>0</v>
      </c>
      <c r="X234" s="42">
        <f>'2021'!P18</f>
        <v>3.483309143686502E-2</v>
      </c>
      <c r="Y234" s="42">
        <f>'2021'!Q18</f>
        <v>2.1295013850415514E-2</v>
      </c>
      <c r="Z234" s="42">
        <f>'2021'!R18</f>
        <v>6.8945760122230706E-2</v>
      </c>
      <c r="AA234" s="42">
        <f>'2021'!S18</f>
        <v>6.8945760122230706E-2</v>
      </c>
      <c r="AB234" s="42">
        <f>'2021'!T18</f>
        <v>6.2051184110007637E-2</v>
      </c>
      <c r="AC234" s="42">
        <f>'2021'!U18</f>
        <v>1.9767729182110206E-3</v>
      </c>
      <c r="AD234" s="42">
        <f>'2021'!V18</f>
        <v>7.5966850828729279E-3</v>
      </c>
      <c r="AE234" s="42">
        <f>'2021'!W18</f>
        <v>7.5966850828729279E-3</v>
      </c>
      <c r="AF234" s="43">
        <f>'2021'!X18</f>
        <v>6.8370165745856356E-3</v>
      </c>
      <c r="AG234" s="44" t="str">
        <f>'2021'!Y18</f>
        <v>N/A</v>
      </c>
      <c r="AH234" s="45">
        <f>'2021'!Z18</f>
        <v>120.01659315192089</v>
      </c>
      <c r="AI234" s="45">
        <f>'2021'!AA18</f>
        <v>29.146399523903987</v>
      </c>
      <c r="AJ234" s="45">
        <f>'2021'!AB18</f>
        <v>0.1875</v>
      </c>
      <c r="AK234" s="45">
        <f>'2021'!AC18</f>
        <v>7.2</v>
      </c>
      <c r="AL234" s="45">
        <f t="shared" si="39"/>
        <v>9.5</v>
      </c>
      <c r="AM234" s="45">
        <f t="shared" si="43"/>
        <v>4.6875E-2</v>
      </c>
      <c r="AN234" s="45">
        <f>'2021'!AD18</f>
        <v>51.7</v>
      </c>
      <c r="AO234" s="45">
        <f>'2021'!AE18</f>
        <v>3.31</v>
      </c>
      <c r="AP234" s="46">
        <f>'2021'!AF18</f>
        <v>49</v>
      </c>
      <c r="AQ234" s="47">
        <f>'2021'!AG18</f>
        <v>0</v>
      </c>
      <c r="AR234" s="48">
        <f>'2021'!AH18</f>
        <v>0</v>
      </c>
      <c r="AS234" s="48">
        <f>'2021'!AI18</f>
        <v>0</v>
      </c>
      <c r="AT234" s="48">
        <f t="shared" si="45"/>
        <v>10</v>
      </c>
      <c r="AU234" s="48">
        <f>'2021'!AK18</f>
        <v>2</v>
      </c>
      <c r="AV234" s="48">
        <f>'2021'!AL18</f>
        <v>8</v>
      </c>
      <c r="AW234" s="48">
        <f>'2021'!AM18</f>
        <v>0</v>
      </c>
      <c r="AX234" s="48">
        <f>'2021'!AN18</f>
        <v>1</v>
      </c>
      <c r="AY234" s="49">
        <f>IF(U234=1,10,IF(U234=2,7,IF(U234=3,6,IF(U234=4,4,IF(U234=5,3,IF(U234=6,2,IF(U234=7,1,IF(U234=0,0,"-"))))))))</f>
        <v>4</v>
      </c>
      <c r="AZ234" s="50">
        <f>'2021'!AP18</f>
        <v>1</v>
      </c>
      <c r="BA234" s="56">
        <f>'2021'!AQ18</f>
        <v>133</v>
      </c>
      <c r="BB234" s="57">
        <f>'2021'!AR18</f>
        <v>1953</v>
      </c>
      <c r="BC234" s="57">
        <f>'2021'!AS18</f>
        <v>0</v>
      </c>
      <c r="BD234" s="57">
        <f>'2021'!AT18</f>
        <v>18</v>
      </c>
      <c r="BE234" s="57">
        <f>'2021'!AU18</f>
        <v>27</v>
      </c>
      <c r="BF234" s="57">
        <f>'2021'!AV18</f>
        <v>6</v>
      </c>
      <c r="BG234" s="58">
        <f>'2021'!AW18</f>
        <v>4.9000000000000004</v>
      </c>
      <c r="BH234" s="58">
        <f>'2021'!AX18</f>
        <v>59.5</v>
      </c>
      <c r="BI234" s="58">
        <f>'2021'!AY18</f>
        <v>2.78</v>
      </c>
      <c r="BJ234" s="58">
        <f>'2021'!AZ18</f>
        <v>0</v>
      </c>
      <c r="BK234" s="57">
        <f>'2021'!BA18</f>
        <v>16</v>
      </c>
      <c r="BL234" s="57">
        <f>'2021'!BB18</f>
        <v>3106</v>
      </c>
      <c r="BM234" s="57">
        <f>'2021'!BC18</f>
        <v>1</v>
      </c>
      <c r="BN234" s="57">
        <f>'2021'!BD18</f>
        <v>0</v>
      </c>
      <c r="BO234" s="59">
        <f>'2021'!BE18</f>
        <v>21</v>
      </c>
      <c r="BP234" s="56">
        <f>'2021'!BF18</f>
        <v>0</v>
      </c>
      <c r="BQ234" s="57">
        <f>'2021'!BG18</f>
        <v>1470</v>
      </c>
      <c r="BR234" s="57">
        <f>'2021'!BH18</f>
        <v>0</v>
      </c>
      <c r="BS234" s="57">
        <f>'2021'!BI18</f>
        <v>16</v>
      </c>
      <c r="BT234" s="57">
        <f>'2021'!BJ18</f>
        <v>0</v>
      </c>
      <c r="BU234" s="57">
        <f>'2021'!BK18</f>
        <v>0</v>
      </c>
      <c r="BV234" s="58">
        <f>'2021'!BL18</f>
        <v>0</v>
      </c>
      <c r="BW234" s="58">
        <f>'2021'!BM18</f>
        <v>0</v>
      </c>
      <c r="BX234" s="58">
        <f>'2021'!BN18</f>
        <v>0</v>
      </c>
      <c r="BY234" s="58">
        <f>'2021'!BO18</f>
        <v>0</v>
      </c>
      <c r="BZ234" s="57">
        <f>'2021'!BP18</f>
        <v>0</v>
      </c>
      <c r="CA234" s="57">
        <f>'2021'!BQ18</f>
        <v>3548</v>
      </c>
      <c r="CB234" s="57">
        <f>'2021'!BR18</f>
        <v>0</v>
      </c>
      <c r="CC234" s="57">
        <f>'2021'!BS18</f>
        <v>0</v>
      </c>
      <c r="CD234" s="59">
        <f>'2021'!BT18</f>
        <v>27</v>
      </c>
      <c r="CE234" s="56">
        <f>'2021'!BU18</f>
        <v>157</v>
      </c>
      <c r="CF234" s="57">
        <f>'2021'!BV18</f>
        <v>1691</v>
      </c>
      <c r="CG234" s="57">
        <f>'2021'!BW18</f>
        <v>0</v>
      </c>
      <c r="CH234" s="57">
        <f>'2021'!BX18</f>
        <v>20</v>
      </c>
      <c r="CI234" s="57">
        <f>'2021'!BY18</f>
        <v>39</v>
      </c>
      <c r="CJ234" s="57">
        <f>'2021'!BZ18</f>
        <v>16</v>
      </c>
      <c r="CK234" s="58">
        <f>'2021'!CA18</f>
        <v>4</v>
      </c>
      <c r="CL234" s="58">
        <f>'2021'!CB18</f>
        <v>137.1</v>
      </c>
      <c r="CM234" s="58">
        <f>'2021'!CC18</f>
        <v>3.31</v>
      </c>
      <c r="CN234" s="58">
        <f>'2021'!CD18</f>
        <v>15.3</v>
      </c>
      <c r="CO234" s="57">
        <f>'2021'!CE18</f>
        <v>11</v>
      </c>
      <c r="CP234" s="57">
        <f>'2021'!CF18</f>
        <v>3132</v>
      </c>
      <c r="CQ234" s="57">
        <f>'2021'!CG18</f>
        <v>1</v>
      </c>
      <c r="CR234" s="57">
        <f>'2021'!CH18</f>
        <v>0</v>
      </c>
      <c r="CS234" s="59">
        <f>'2021'!CI18</f>
        <v>20</v>
      </c>
      <c r="CT234" s="56">
        <f>'2021'!CJ18</f>
        <v>115</v>
      </c>
      <c r="CU234" s="57">
        <f>'2021'!CK18</f>
        <v>1729</v>
      </c>
      <c r="CV234" s="57">
        <f>'2021'!CL18</f>
        <v>0</v>
      </c>
      <c r="CW234" s="57">
        <f>'2021'!CM18</f>
        <v>22</v>
      </c>
      <c r="CX234" s="57">
        <f>'2021'!CN18</f>
        <v>16</v>
      </c>
      <c r="CY234" s="57">
        <f>'2021'!CO18</f>
        <v>3</v>
      </c>
      <c r="CZ234" s="58">
        <f>'2021'!CP18</f>
        <v>7.2</v>
      </c>
      <c r="DA234" s="58">
        <f>'2021'!CQ18</f>
        <v>47.4</v>
      </c>
      <c r="DB234" s="58">
        <f>'2021'!CR18</f>
        <v>2.69</v>
      </c>
      <c r="DC234" s="58">
        <f>'2021'!CS18</f>
        <v>32.200000000000003</v>
      </c>
      <c r="DD234" s="57">
        <f>'2021'!CT18</f>
        <v>8</v>
      </c>
      <c r="DE234" s="57">
        <f>'2021'!CU18</f>
        <v>4047</v>
      </c>
      <c r="DF234" s="57">
        <f>'2021'!CV18</f>
        <v>1</v>
      </c>
      <c r="DG234" s="57">
        <f>'2021'!CW18</f>
        <v>0</v>
      </c>
      <c r="DH234" s="59">
        <f>'2021'!CX18</f>
        <v>29</v>
      </c>
      <c r="DI234" s="56">
        <f>'2021'!CY18</f>
        <v>339</v>
      </c>
      <c r="DJ234" s="57">
        <f>'2021'!CZ18</f>
        <v>2340</v>
      </c>
      <c r="DK234" s="57">
        <f>'2021'!DA18</f>
        <v>4</v>
      </c>
      <c r="DL234" s="57">
        <f>'2021'!DB18</f>
        <v>31</v>
      </c>
      <c r="DM234" s="57">
        <f>'2021'!DC18</f>
        <v>61</v>
      </c>
      <c r="DN234" s="57">
        <f>'2021'!DD18</f>
        <v>9</v>
      </c>
      <c r="DO234" s="58">
        <f>'2021'!DE18</f>
        <v>5.6</v>
      </c>
      <c r="DP234" s="58">
        <f>'2021'!DF18</f>
        <v>51.7</v>
      </c>
      <c r="DQ234" s="58">
        <f>'2021'!DG18</f>
        <v>3.31</v>
      </c>
      <c r="DR234" s="58">
        <f>'2021'!DH18</f>
        <v>49</v>
      </c>
      <c r="DS234" s="57">
        <f>'2021'!DI18</f>
        <v>22</v>
      </c>
      <c r="DT234" s="57">
        <f>'2021'!DJ18</f>
        <v>2896</v>
      </c>
      <c r="DU234" s="57">
        <f>'2021'!DK18</f>
        <v>3</v>
      </c>
      <c r="DV234" s="57">
        <f>'2021'!DL18</f>
        <v>0</v>
      </c>
      <c r="DW234" s="59">
        <f>'2021'!DM18</f>
        <v>20</v>
      </c>
    </row>
    <row r="235" spans="1:127" ht="15.75" customHeight="1" x14ac:dyDescent="0.2">
      <c r="A235" s="33">
        <f t="shared" si="36"/>
        <v>233</v>
      </c>
      <c r="B235" s="11">
        <f>'2023'!A22</f>
        <v>20</v>
      </c>
      <c r="C235" s="11">
        <v>2023</v>
      </c>
      <c r="D235" s="34" t="str">
        <f>'2023'!B22</f>
        <v>Xazavian Valladay</v>
      </c>
      <c r="E235" s="224" t="str" cm="1">
        <f t="array" ref="E235">_xlfn.IFS(F235&gt;=13,"Cornerstone",AND(F235&gt;=12,F235&lt;13),"Elite",AND(F235&gt;=11,F235&lt;12),"Elite Upside",AND(F235&gt;=9,F235&lt;11),"Upside",AND(F235&gt;=7,F235&lt;9),"Upside Lite",AND(F235&gt;=6,F235&lt;7),"Outlier",AND(F235&gt;=5,F235&lt;6),"Outlier Lite",F235&lt;5,"Purgatory")</f>
        <v>Purgatory</v>
      </c>
      <c r="F235" s="14">
        <f>'2023'!C22</f>
        <v>4.9388888888888891</v>
      </c>
      <c r="G235" s="14">
        <f t="shared" si="41"/>
        <v>28.7</v>
      </c>
      <c r="H235" s="35">
        <f t="shared" si="37"/>
        <v>-1.2965591172540671</v>
      </c>
      <c r="I235" s="36" t="str">
        <f>'2023'!D22</f>
        <v>Arizona State</v>
      </c>
      <c r="J235" s="37">
        <f>'2023'!E22</f>
        <v>4</v>
      </c>
      <c r="K235" s="38">
        <f>'2023'!F22</f>
        <v>35979</v>
      </c>
      <c r="L235" s="39">
        <f>'2023'!G22</f>
        <v>27.254794520547946</v>
      </c>
      <c r="M235" s="39" t="str">
        <f>'2023'!H22</f>
        <v>RS SR</v>
      </c>
      <c r="N235" s="39">
        <f>'2023'!I22</f>
        <v>24.832876712328765</v>
      </c>
      <c r="O235" s="39" t="str">
        <f t="shared" si="38"/>
        <v>BELL COW</v>
      </c>
      <c r="P235" s="39" t="str">
        <f t="shared" si="44"/>
        <v>SLASHER</v>
      </c>
      <c r="Q235" s="37">
        <f>'2023'!J22</f>
        <v>72</v>
      </c>
      <c r="R235" s="37">
        <f>'2023'!K22</f>
        <v>201</v>
      </c>
      <c r="S235" s="39">
        <f t="shared" si="40"/>
        <v>27.260198733360433</v>
      </c>
      <c r="T235" s="37">
        <f>'2023'!L22</f>
        <v>4.55</v>
      </c>
      <c r="U235" s="40">
        <f>'2023'!M22</f>
        <v>0</v>
      </c>
      <c r="V235" s="41">
        <f>'2023'!N22</f>
        <v>0.11010330057949105</v>
      </c>
      <c r="W235" s="42">
        <f>'2023'!O22</f>
        <v>0.32310390179745724</v>
      </c>
      <c r="X235" s="42">
        <f>'2023'!P22</f>
        <v>0.29056772463120251</v>
      </c>
      <c r="Y235" s="42">
        <f>'2023'!Q22</f>
        <v>0.26628313129237724</v>
      </c>
      <c r="Z235" s="42">
        <f>'2023'!R22</f>
        <v>0.31876883340507967</v>
      </c>
      <c r="AA235" s="42">
        <f>'2023'!S22</f>
        <v>0.32093636760126842</v>
      </c>
      <c r="AB235" s="42">
        <f>'2023'!T22</f>
        <v>0.28884273084114159</v>
      </c>
      <c r="AC235" s="42">
        <f>'2023'!U22</f>
        <v>0.11016548463356975</v>
      </c>
      <c r="AD235" s="42">
        <f>'2023'!V22</f>
        <v>9.560039695666557E-2</v>
      </c>
      <c r="AE235" s="42">
        <f>'2023'!W22</f>
        <v>0.10288294079511766</v>
      </c>
      <c r="AF235" s="43">
        <f>'2023'!X22</f>
        <v>9.2594646715605897E-2</v>
      </c>
      <c r="AG235" s="44">
        <f>'2023'!Y22</f>
        <v>21.17808219178082</v>
      </c>
      <c r="AH235" s="45">
        <f>'2023'!Z22</f>
        <v>93.795168180992491</v>
      </c>
      <c r="AI235" s="45">
        <f>'2023'!AA22</f>
        <v>27.257523148148149</v>
      </c>
      <c r="AJ235" s="45">
        <f>'2023'!AB22</f>
        <v>0.29292929292929293</v>
      </c>
      <c r="AK235" s="45">
        <f>'2023'!AC22</f>
        <v>5.5</v>
      </c>
      <c r="AL235" s="45">
        <f t="shared" si="39"/>
        <v>10.392857142857142</v>
      </c>
      <c r="AM235" s="45">
        <f t="shared" si="43"/>
        <v>0.14682539682539683</v>
      </c>
      <c r="AN235" s="45">
        <f>'2023'!AD22</f>
        <v>93.9</v>
      </c>
      <c r="AO235" s="45">
        <f>'2023'!AE22</f>
        <v>3.56</v>
      </c>
      <c r="AP235" s="46">
        <f>'2023'!AF22</f>
        <v>41.7</v>
      </c>
      <c r="AQ235" s="47">
        <f>'2023'!AG22</f>
        <v>8</v>
      </c>
      <c r="AR235" s="48">
        <f>'2023'!AH22</f>
        <v>9</v>
      </c>
      <c r="AS235" s="48">
        <f>'2023'!AI22</f>
        <v>3</v>
      </c>
      <c r="AT235" s="48">
        <f t="shared" si="45"/>
        <v>2</v>
      </c>
      <c r="AU235" s="48">
        <f>'2023'!AK22</f>
        <v>8</v>
      </c>
      <c r="AV235" s="48">
        <f>'2023'!AL22</f>
        <v>3</v>
      </c>
      <c r="AW235" s="48">
        <f>'2023'!AM22</f>
        <v>3</v>
      </c>
      <c r="AX235" s="48">
        <f>'2023'!AN22</f>
        <v>2</v>
      </c>
      <c r="AY235" s="49">
        <f>'2023'!AO22</f>
        <v>0</v>
      </c>
      <c r="AZ235" s="50">
        <f>'2023'!AP22</f>
        <v>0</v>
      </c>
      <c r="BA235" s="56">
        <f>'2023'!AQ22</f>
        <v>402</v>
      </c>
      <c r="BB235" s="57">
        <f>'2023'!AR22</f>
        <v>2393</v>
      </c>
      <c r="BC235" s="57">
        <f>'2023'!AS22</f>
        <v>3</v>
      </c>
      <c r="BD235" s="57">
        <f>'2023'!AT22</f>
        <v>19</v>
      </c>
      <c r="BE235" s="57">
        <f>'2023'!AU22</f>
        <v>72</v>
      </c>
      <c r="BF235" s="57">
        <f>'2023'!AV22</f>
        <v>11</v>
      </c>
      <c r="BG235" s="58">
        <f>'2023'!AW22</f>
        <v>5.6</v>
      </c>
      <c r="BH235" s="58">
        <f>'2023'!AX22</f>
        <v>38.200000000000003</v>
      </c>
      <c r="BI235" s="58">
        <f>'2023'!AY22</f>
        <v>2.64</v>
      </c>
      <c r="BJ235" s="58">
        <f>'2023'!AZ22</f>
        <v>53</v>
      </c>
      <c r="BK235" s="57">
        <f>'2023'!BA22</f>
        <v>35</v>
      </c>
      <c r="BL235" s="57">
        <f>'2023'!BB22</f>
        <v>1576</v>
      </c>
      <c r="BM235" s="57">
        <f>'2023'!BC22</f>
        <v>0</v>
      </c>
      <c r="BN235" s="57">
        <f>'2023'!BD22</f>
        <v>0</v>
      </c>
      <c r="BO235" s="59">
        <f>'2023'!BE22</f>
        <v>8</v>
      </c>
      <c r="BP235" s="56">
        <f>'2023'!BF22</f>
        <v>1263</v>
      </c>
      <c r="BQ235" s="57">
        <f>'2023'!BG22</f>
        <v>2792</v>
      </c>
      <c r="BR235" s="57">
        <f>'2023'!BH22</f>
        <v>6</v>
      </c>
      <c r="BS235" s="57">
        <f>'2023'!BI22</f>
        <v>27</v>
      </c>
      <c r="BT235" s="57">
        <f>'2023'!BJ22</f>
        <v>247</v>
      </c>
      <c r="BU235" s="57">
        <f>'2023'!BK22</f>
        <v>33</v>
      </c>
      <c r="BV235" s="58">
        <f>'2023'!BL22</f>
        <v>5.0999999999999996</v>
      </c>
      <c r="BW235" s="58">
        <f>'2023'!BM22</f>
        <v>48.1</v>
      </c>
      <c r="BX235" s="58">
        <f>'2023'!BN22</f>
        <v>3.45</v>
      </c>
      <c r="BY235" s="58">
        <f>'2023'!BO22</f>
        <v>37.9</v>
      </c>
      <c r="BZ235" s="57">
        <f>'2023'!BP22</f>
        <v>211</v>
      </c>
      <c r="CA235" s="57">
        <f>'2023'!BQ22</f>
        <v>1770</v>
      </c>
      <c r="CB235" s="57">
        <f>'2023'!BR22</f>
        <v>11</v>
      </c>
      <c r="CC235" s="57">
        <f>'2023'!BS22</f>
        <v>0</v>
      </c>
      <c r="CD235" s="59">
        <f>'2023'!BT22</f>
        <v>11</v>
      </c>
      <c r="CE235" s="56">
        <f>'2023'!BU22</f>
        <v>545</v>
      </c>
      <c r="CF235" s="57">
        <f>'2023'!BV22</f>
        <v>1317</v>
      </c>
      <c r="CG235" s="57">
        <f>'2023'!BW22</f>
        <v>4</v>
      </c>
      <c r="CH235" s="57">
        <f>'2023'!BX22</f>
        <v>16</v>
      </c>
      <c r="CI235" s="57">
        <f>'2023'!BY22</f>
        <v>99</v>
      </c>
      <c r="CJ235" s="57">
        <f>'2023'!BZ22</f>
        <v>29</v>
      </c>
      <c r="CK235" s="58">
        <f>'2023'!CA22</f>
        <v>5.5</v>
      </c>
      <c r="CL235" s="58">
        <f>'2023'!CB22</f>
        <v>93.9</v>
      </c>
      <c r="CM235" s="58">
        <f>'2023'!CC22</f>
        <v>3.39</v>
      </c>
      <c r="CN235" s="58">
        <f>'2023'!CD22</f>
        <v>40.6</v>
      </c>
      <c r="CO235" s="57">
        <f>'2023'!CE22</f>
        <v>105</v>
      </c>
      <c r="CP235" s="57">
        <f>'2023'!CF22</f>
        <v>920</v>
      </c>
      <c r="CQ235" s="57">
        <f>'2023'!CG22</f>
        <v>13</v>
      </c>
      <c r="CR235" s="57">
        <f>'2023'!CH22</f>
        <v>0</v>
      </c>
      <c r="CS235" s="59">
        <f>'2023'!CI22</f>
        <v>1</v>
      </c>
      <c r="CT235" s="56">
        <f>'2023'!CJ22</f>
        <v>1063</v>
      </c>
      <c r="CU235" s="57">
        <f>'2023'!CK22</f>
        <v>2752</v>
      </c>
      <c r="CV235" s="57">
        <f>'2023'!CL22</f>
        <v>6</v>
      </c>
      <c r="CW235" s="57">
        <f>'2023'!CM22</f>
        <v>24</v>
      </c>
      <c r="CX235" s="57">
        <f>'2023'!CN22</f>
        <v>207</v>
      </c>
      <c r="CY235" s="57">
        <f>'2023'!CO22</f>
        <v>33</v>
      </c>
      <c r="CZ235" s="58">
        <f>'2023'!CP22</f>
        <v>5.0999999999999996</v>
      </c>
      <c r="DA235" s="58">
        <f>'2023'!CQ22</f>
        <v>55.7</v>
      </c>
      <c r="DB235" s="58">
        <f>'2023'!CR22</f>
        <v>3.56</v>
      </c>
      <c r="DC235" s="58">
        <f>'2023'!CS22</f>
        <v>32.200000000000003</v>
      </c>
      <c r="DD235" s="57">
        <f>'2023'!CT22</f>
        <v>233</v>
      </c>
      <c r="DE235" s="57">
        <f>'2023'!CU22</f>
        <v>2115</v>
      </c>
      <c r="DF235" s="57">
        <f>'2023'!CV22</f>
        <v>23</v>
      </c>
      <c r="DG235" s="57">
        <f>'2023'!CW22</f>
        <v>0</v>
      </c>
      <c r="DH235" s="59">
        <f>'2023'!CX22</f>
        <v>15</v>
      </c>
      <c r="DI235" s="56">
        <f>'2023'!CY22</f>
        <v>1192</v>
      </c>
      <c r="DJ235" s="57">
        <f>'2023'!CZ22</f>
        <v>1623</v>
      </c>
      <c r="DK235" s="57">
        <f>'2023'!DA22</f>
        <v>16</v>
      </c>
      <c r="DL235" s="57">
        <f>'2023'!DB22</f>
        <v>21</v>
      </c>
      <c r="DM235" s="57">
        <f>'2023'!DC22</f>
        <v>215</v>
      </c>
      <c r="DN235" s="57">
        <f>'2023'!DD22</f>
        <v>44</v>
      </c>
      <c r="DO235" s="58">
        <f>'2023'!DE22</f>
        <v>5.5</v>
      </c>
      <c r="DP235" s="58">
        <f>'2023'!DF22</f>
        <v>70.599999999999994</v>
      </c>
      <c r="DQ235" s="58">
        <f>'2023'!DG22</f>
        <v>3.23</v>
      </c>
      <c r="DR235" s="58">
        <f>'2023'!DH22</f>
        <v>41.7</v>
      </c>
      <c r="DS235" s="57">
        <f>'2023'!DI22</f>
        <v>289</v>
      </c>
      <c r="DT235" s="57">
        <f>'2023'!DJ22</f>
        <v>3023</v>
      </c>
      <c r="DU235" s="57">
        <f>'2023'!DK22</f>
        <v>37</v>
      </c>
      <c r="DV235" s="57">
        <f>'2023'!DL22</f>
        <v>0</v>
      </c>
      <c r="DW235" s="59">
        <f>'2023'!DM22</f>
        <v>18</v>
      </c>
    </row>
    <row r="236" spans="1:127" ht="15.75" customHeight="1" x14ac:dyDescent="0.2">
      <c r="A236" s="33">
        <f t="shared" si="36"/>
        <v>234</v>
      </c>
      <c r="B236" s="11">
        <f>'2023'!A23</f>
        <v>21</v>
      </c>
      <c r="C236" s="11">
        <v>2023</v>
      </c>
      <c r="D236" s="34" t="str">
        <f>'2023'!B23</f>
        <v>Travis Dye</v>
      </c>
      <c r="E236" s="224" t="str" cm="1">
        <f t="array" ref="E236">_xlfn.IFS(F236&gt;=13,"Cornerstone",AND(F236&gt;=12,F236&lt;13),"Elite",AND(F236&gt;=11,F236&lt;12),"Elite Upside",AND(F236&gt;=9,F236&lt;11),"Upside",AND(F236&gt;=7,F236&lt;9),"Upside Lite",AND(F236&gt;=6,F236&lt;7),"Outlier",AND(F236&gt;=5,F236&lt;6),"Outlier Lite",F236&lt;5,"Purgatory")</f>
        <v>Purgatory</v>
      </c>
      <c r="F236" s="14">
        <f>'2023'!C23</f>
        <v>4.9000000000000004</v>
      </c>
      <c r="G236" s="14">
        <f t="shared" si="41"/>
        <v>28.4</v>
      </c>
      <c r="H236" s="35">
        <f t="shared" si="37"/>
        <v>-1.3130178697522754</v>
      </c>
      <c r="I236" s="36" t="str">
        <f>'2023'!D23</f>
        <v>USC</v>
      </c>
      <c r="J236" s="37">
        <f>'2023'!E23</f>
        <v>5</v>
      </c>
      <c r="K236" s="38">
        <f>'2023'!F23</f>
        <v>36396</v>
      </c>
      <c r="L236" s="39">
        <f>'2023'!G23</f>
        <v>26.112328767123287</v>
      </c>
      <c r="M236" s="39" t="str">
        <f>'2023'!H23</f>
        <v>RS SR</v>
      </c>
      <c r="N236" s="39">
        <f>'2023'!I23</f>
        <v>23.69041095890411</v>
      </c>
      <c r="O236" s="39" t="str">
        <f t="shared" si="38"/>
        <v>DYNAMIC</v>
      </c>
      <c r="P236" s="39" t="str">
        <f t="shared" si="44"/>
        <v>HORSE</v>
      </c>
      <c r="Q236" s="37">
        <f>'2023'!J23</f>
        <v>70</v>
      </c>
      <c r="R236" s="37">
        <f>'2023'!K23</f>
        <v>201</v>
      </c>
      <c r="S236" s="39">
        <f t="shared" si="40"/>
        <v>28.840177598722544</v>
      </c>
      <c r="T236" s="37">
        <f>'2023'!L23</f>
        <v>4.4800000000000004</v>
      </c>
      <c r="U236" s="40">
        <f>'2023'!M23</f>
        <v>0</v>
      </c>
      <c r="V236" s="41">
        <f>'2023'!N23</f>
        <v>0.14411859722172368</v>
      </c>
      <c r="W236" s="42">
        <f>'2023'!O23</f>
        <v>0.1335082827620141</v>
      </c>
      <c r="X236" s="42">
        <f>'2023'!P23</f>
        <v>0.23601882613510522</v>
      </c>
      <c r="Y236" s="42">
        <f>'2023'!Q23</f>
        <v>0.28001618395765199</v>
      </c>
      <c r="Z236" s="42">
        <f>'2023'!R23</f>
        <v>0.15385700183330983</v>
      </c>
      <c r="AA236" s="42">
        <f>'2023'!S23</f>
        <v>0.2169365928954809</v>
      </c>
      <c r="AB236" s="42">
        <f>'2023'!T23</f>
        <v>0.18439610396115877</v>
      </c>
      <c r="AC236" s="42">
        <f>'2023'!U23</f>
        <v>0.12846168743141179</v>
      </c>
      <c r="AD236" s="42">
        <f>'2023'!V23</f>
        <v>4.3018996507368602E-2</v>
      </c>
      <c r="AE236" s="42">
        <f>'2023'!W23</f>
        <v>8.5740341969390191E-2</v>
      </c>
      <c r="AF236" s="43">
        <f>'2023'!X23</f>
        <v>7.2879290673981661E-2</v>
      </c>
      <c r="AG236" s="44">
        <f>'2023'!Y23</f>
        <v>21.035616438356165</v>
      </c>
      <c r="AH236" s="45">
        <f>'2023'!Z23</f>
        <v>99.796198249508649</v>
      </c>
      <c r="AI236" s="45">
        <f>'2023'!AA23</f>
        <v>28.837346938775511</v>
      </c>
      <c r="AJ236" s="45">
        <f>'2023'!AB23</f>
        <v>0.234375</v>
      </c>
      <c r="AK236" s="45">
        <f>'2023'!AC23</f>
        <v>6.1</v>
      </c>
      <c r="AL236" s="45">
        <f t="shared" si="39"/>
        <v>11.114583333333334</v>
      </c>
      <c r="AM236" s="45">
        <f t="shared" si="43"/>
        <v>0.12574850299401197</v>
      </c>
      <c r="AN236" s="45">
        <f>'2023'!AD23</f>
        <v>87.3</v>
      </c>
      <c r="AO236" s="45">
        <f>'2023'!AE23</f>
        <v>4.25</v>
      </c>
      <c r="AP236" s="46">
        <f>'2023'!AF23</f>
        <v>41.3</v>
      </c>
      <c r="AQ236" s="47">
        <f>'2023'!AG23</f>
        <v>3</v>
      </c>
      <c r="AR236" s="48">
        <f>'2023'!AH23</f>
        <v>7</v>
      </c>
      <c r="AS236" s="48">
        <f>'2023'!AI23</f>
        <v>3</v>
      </c>
      <c r="AT236" s="48">
        <f t="shared" si="45"/>
        <v>5</v>
      </c>
      <c r="AU236" s="48">
        <f>'2023'!AK23</f>
        <v>5</v>
      </c>
      <c r="AV236" s="48">
        <f>'2023'!AL23</f>
        <v>5</v>
      </c>
      <c r="AW236" s="48">
        <f>'2023'!AM23</f>
        <v>3</v>
      </c>
      <c r="AX236" s="48">
        <f>'2023'!AN23</f>
        <v>6</v>
      </c>
      <c r="AY236" s="49">
        <f>'2023'!AO23</f>
        <v>0</v>
      </c>
      <c r="AZ236" s="50">
        <f>'2023'!AP23</f>
        <v>0.5</v>
      </c>
      <c r="BA236" s="56">
        <f>'2023'!AQ23</f>
        <v>734</v>
      </c>
      <c r="BB236" s="57">
        <f>'2023'!AR23</f>
        <v>2350.4</v>
      </c>
      <c r="BC236" s="57">
        <f>'2023'!AS23</f>
        <v>4</v>
      </c>
      <c r="BD236" s="57">
        <f>'2023'!AT23</f>
        <v>28.6</v>
      </c>
      <c r="BE236" s="57">
        <f>'2023'!AU23</f>
        <v>140</v>
      </c>
      <c r="BF236" s="57">
        <f>'2023'!AV23</f>
        <v>20</v>
      </c>
      <c r="BG236" s="58">
        <f>'2023'!AW23</f>
        <v>5.2</v>
      </c>
      <c r="BH236" s="58">
        <f>'2023'!AX23</f>
        <v>39.6</v>
      </c>
      <c r="BI236" s="58">
        <f>'2023'!AY23</f>
        <v>2.61</v>
      </c>
      <c r="BJ236" s="58">
        <f>'2023'!AZ23</f>
        <v>33.200000000000003</v>
      </c>
      <c r="BK236" s="57">
        <f>'2023'!BA23</f>
        <v>69</v>
      </c>
      <c r="BL236" s="57">
        <f>'2023'!BB23</f>
        <v>3221.4</v>
      </c>
      <c r="BM236" s="57">
        <f>'2023'!BC23</f>
        <v>3</v>
      </c>
      <c r="BN236" s="57">
        <f>'2023'!BD23</f>
        <v>0</v>
      </c>
      <c r="BO236" s="59">
        <f>'2023'!BE23</f>
        <v>29</v>
      </c>
      <c r="BP236" s="56">
        <f>'2023'!BF23</f>
        <v>655</v>
      </c>
      <c r="BQ236" s="57">
        <f>'2023'!BG23</f>
        <v>2482.2000000000003</v>
      </c>
      <c r="BR236" s="57">
        <f>'2023'!BH23</f>
        <v>0</v>
      </c>
      <c r="BS236" s="57">
        <f>'2023'!BI23</f>
        <v>26.599999999999998</v>
      </c>
      <c r="BT236" s="57">
        <f>'2023'!BJ23</f>
        <v>106</v>
      </c>
      <c r="BU236" s="57">
        <f>'2023'!BK23</f>
        <v>16</v>
      </c>
      <c r="BV236" s="58">
        <f>'2023'!BL23</f>
        <v>6.2</v>
      </c>
      <c r="BW236" s="58">
        <f>'2023'!BM23</f>
        <v>48.9</v>
      </c>
      <c r="BX236" s="58">
        <f>'2023'!BN23</f>
        <v>3.31</v>
      </c>
      <c r="BY236" s="58">
        <f>'2023'!BO23</f>
        <v>35.9</v>
      </c>
      <c r="BZ236" s="57">
        <f>'2023'!BP23</f>
        <v>159</v>
      </c>
      <c r="CA236" s="57">
        <f>'2023'!BQ23</f>
        <v>3614.7999999999997</v>
      </c>
      <c r="CB236" s="57">
        <f>'2023'!BR23</f>
        <v>16</v>
      </c>
      <c r="CC236" s="57">
        <f>'2023'!BS23</f>
        <v>0</v>
      </c>
      <c r="CD236" s="59">
        <f>'2023'!BT23</f>
        <v>35</v>
      </c>
      <c r="CE236" s="56">
        <f>'2023'!BU23</f>
        <v>443</v>
      </c>
      <c r="CF236" s="57">
        <f>'2023'!BV23</f>
        <v>1166.8999999999999</v>
      </c>
      <c r="CG236" s="57">
        <f>'2023'!BW23</f>
        <v>1</v>
      </c>
      <c r="CH236" s="57">
        <f>'2023'!BX23</f>
        <v>13.299999999999999</v>
      </c>
      <c r="CI236" s="57">
        <f>'2023'!BY23</f>
        <v>64</v>
      </c>
      <c r="CJ236" s="57">
        <f>'2023'!BZ23</f>
        <v>15</v>
      </c>
      <c r="CK236" s="58">
        <f>'2023'!CA23</f>
        <v>6.9</v>
      </c>
      <c r="CL236" s="58">
        <f>'2023'!CB23</f>
        <v>87.3</v>
      </c>
      <c r="CM236" s="58">
        <f>'2023'!CC23</f>
        <v>4.25</v>
      </c>
      <c r="CN236" s="58">
        <f>'2023'!CD23</f>
        <v>41.3</v>
      </c>
      <c r="CO236" s="57">
        <f>'2023'!CE23</f>
        <v>239</v>
      </c>
      <c r="CP236" s="57">
        <f>'2023'!CF23</f>
        <v>1722.7</v>
      </c>
      <c r="CQ236" s="57">
        <f>'2023'!CG23</f>
        <v>9</v>
      </c>
      <c r="CR236" s="57">
        <f>'2023'!CH23</f>
        <v>0</v>
      </c>
      <c r="CS236" s="59">
        <f>'2023'!CI23</f>
        <v>15</v>
      </c>
      <c r="CT236" s="56">
        <f>'2023'!CJ23</f>
        <v>1263</v>
      </c>
      <c r="CU236" s="57">
        <f>'2023'!CK23</f>
        <v>2833.6</v>
      </c>
      <c r="CV236" s="57">
        <f>'2023'!CL23</f>
        <v>16</v>
      </c>
      <c r="CW236" s="57">
        <f>'2023'!CM23</f>
        <v>35</v>
      </c>
      <c r="CX236" s="57">
        <f>'2023'!CN23</f>
        <v>210</v>
      </c>
      <c r="CY236" s="57">
        <f>'2023'!CO23</f>
        <v>33</v>
      </c>
      <c r="CZ236" s="58">
        <f>'2023'!CP23</f>
        <v>6</v>
      </c>
      <c r="DA236" s="58">
        <f>'2023'!CQ23</f>
        <v>54.9</v>
      </c>
      <c r="DB236" s="58">
        <f>'2023'!CR23</f>
        <v>3.53</v>
      </c>
      <c r="DC236" s="58">
        <f>'2023'!CS23</f>
        <v>38.799999999999997</v>
      </c>
      <c r="DD236" s="57">
        <f>'2023'!CT23</f>
        <v>398</v>
      </c>
      <c r="DE236" s="57">
        <f>'2023'!CU23</f>
        <v>3098.2000000000003</v>
      </c>
      <c r="DF236" s="57">
        <f>'2023'!CV23</f>
        <v>47</v>
      </c>
      <c r="DG236" s="57">
        <f>'2023'!CW23</f>
        <v>0</v>
      </c>
      <c r="DH236" s="59">
        <f>'2023'!CX23</f>
        <v>21</v>
      </c>
      <c r="DI236" s="56">
        <f>'2023'!CY23</f>
        <v>889</v>
      </c>
      <c r="DJ236" s="57">
        <f>'2023'!CZ23</f>
        <v>2395.4</v>
      </c>
      <c r="DK236" s="57">
        <f>'2023'!DA23</f>
        <v>9</v>
      </c>
      <c r="DL236" s="57">
        <f>'2023'!DB23</f>
        <v>29.400000000000002</v>
      </c>
      <c r="DM236" s="57">
        <f>'2023'!DC23</f>
        <v>146</v>
      </c>
      <c r="DN236" s="57">
        <f>'2023'!DD23</f>
        <v>29</v>
      </c>
      <c r="DO236" s="58">
        <f>'2023'!DE23</f>
        <v>6.1</v>
      </c>
      <c r="DP236" s="58">
        <f>'2023'!DF23</f>
        <v>59.2</v>
      </c>
      <c r="DQ236" s="58">
        <f>'2023'!DG23</f>
        <v>3.19</v>
      </c>
      <c r="DR236" s="58">
        <f>'2023'!DH23</f>
        <v>35.700000000000003</v>
      </c>
      <c r="DS236" s="57">
        <f>'2023'!DI23</f>
        <v>202</v>
      </c>
      <c r="DT236" s="57">
        <f>'2023'!DJ23</f>
        <v>4695.5999999999995</v>
      </c>
      <c r="DU236" s="57">
        <f>'2023'!DK23</f>
        <v>21</v>
      </c>
      <c r="DV236" s="57">
        <f>'2023'!DL23</f>
        <v>0</v>
      </c>
      <c r="DW236" s="59">
        <f>'2023'!DM23</f>
        <v>43</v>
      </c>
    </row>
    <row r="237" spans="1:127" ht="15.75" customHeight="1" x14ac:dyDescent="0.2">
      <c r="A237" s="33">
        <f t="shared" si="36"/>
        <v>235</v>
      </c>
      <c r="B237" s="11">
        <f>'2025'!A31</f>
        <v>29</v>
      </c>
      <c r="C237" s="11">
        <v>2025</v>
      </c>
      <c r="D237" s="34" t="str">
        <f>'2025'!B31</f>
        <v>Corey Kiner</v>
      </c>
      <c r="E237" s="224" t="str" cm="1">
        <f t="array" ref="E237">_xlfn.IFS(F237&gt;=13,"Cornerstone",AND(F237&gt;=12,F237&lt;13),"Elite",AND(F237&gt;=11,F237&lt;12),"Elite Upside",AND(F237&gt;=9,F237&lt;11),"Upside",AND(F237&gt;=7,F237&lt;9),"Upside Lite",AND(F237&gt;=6,F237&lt;7),"Outlier",AND(F237&gt;=5,F237&lt;6),"Outlier Lite",F237&lt;5,"Purgatory")</f>
        <v>Purgatory</v>
      </c>
      <c r="F237" s="14">
        <f>'2025'!C31</f>
        <v>4.8611111111111107</v>
      </c>
      <c r="G237" s="14">
        <f t="shared" si="41"/>
        <v>28.1</v>
      </c>
      <c r="H237" s="35">
        <f t="shared" si="37"/>
        <v>-1.3294766222504839</v>
      </c>
      <c r="I237" s="36" t="str">
        <f>'2025'!D31</f>
        <v>Cincinnati</v>
      </c>
      <c r="J237" s="37">
        <f>'2025'!E31</f>
        <v>3</v>
      </c>
      <c r="K237" s="38">
        <f>'2025'!F31</f>
        <v>37277</v>
      </c>
      <c r="L237" s="39">
        <f>'2025'!G31</f>
        <v>23.698630136986303</v>
      </c>
      <c r="M237" s="39" t="str">
        <f>'2025'!H31</f>
        <v>SR</v>
      </c>
      <c r="N237" s="39">
        <f>'2025'!I31</f>
        <v>23.279452054794522</v>
      </c>
      <c r="O237" s="39" t="str">
        <f t="shared" si="38"/>
        <v>BELL CALF</v>
      </c>
      <c r="P237" s="39" t="str">
        <f t="shared" si="44"/>
        <v>3DOWN</v>
      </c>
      <c r="Q237" s="37">
        <f>'2025'!J31</f>
        <v>69</v>
      </c>
      <c r="R237" s="37">
        <f>'2025'!K31</f>
        <v>208</v>
      </c>
      <c r="S237" s="39">
        <f t="shared" si="40"/>
        <v>30.715890207247757</v>
      </c>
      <c r="T237" s="37">
        <f>'2025'!L31</f>
        <v>4.57</v>
      </c>
      <c r="U237" s="40">
        <f>'2025'!M31</f>
        <v>0</v>
      </c>
      <c r="V237" s="41">
        <f>'2025'!N31</f>
        <v>0</v>
      </c>
      <c r="W237" s="42">
        <f>'2025'!O31</f>
        <v>8.2039911308203997E-2</v>
      </c>
      <c r="X237" s="42">
        <f>'2025'!P31</f>
        <v>9.6401718582169713E-2</v>
      </c>
      <c r="Y237" s="42">
        <f>'2025'!Q31</f>
        <v>0.21494230393115588</v>
      </c>
      <c r="Z237" s="42">
        <f>'2025'!R31</f>
        <v>0.24772096710265556</v>
      </c>
      <c r="AA237" s="42">
        <f>'2025'!S31</f>
        <v>0.24772096710265556</v>
      </c>
      <c r="AB237" s="42">
        <f>'2025'!T31</f>
        <v>0.22294887039239</v>
      </c>
      <c r="AC237" s="42">
        <f>'2025'!U31</f>
        <v>1.9537480063795853E-2</v>
      </c>
      <c r="AD237" s="42">
        <f>'2025'!V31</f>
        <v>3.6305956996827635E-2</v>
      </c>
      <c r="AE237" s="42">
        <f>'2025'!W31</f>
        <v>3.6305956996827635E-2</v>
      </c>
      <c r="AF237" s="43">
        <f>'2025'!X31</f>
        <v>3.2675361297144871E-2</v>
      </c>
      <c r="AG237" s="44">
        <f>'2025'!Y31</f>
        <v>21.632876712328766</v>
      </c>
      <c r="AH237" s="45">
        <f>'2025'!Z31</f>
        <v>95.373677827473855</v>
      </c>
      <c r="AI237" s="45">
        <f>'2025'!AA31</f>
        <v>30.712875446334802</v>
      </c>
      <c r="AJ237" s="45">
        <f>'2025'!AB31</f>
        <v>0.40196078431372551</v>
      </c>
      <c r="AK237" s="45">
        <f>'2025'!AC31</f>
        <v>5.6225490196078427</v>
      </c>
      <c r="AL237" s="45">
        <f t="shared" si="39"/>
        <v>5.290322580645161</v>
      </c>
      <c r="AM237" s="45">
        <f t="shared" si="43"/>
        <v>6.8493150684931503E-2</v>
      </c>
      <c r="AN237" s="45">
        <f>'2025'!AD31</f>
        <v>163.80000000000001</v>
      </c>
      <c r="AO237" s="45">
        <f>'2025'!AE31</f>
        <v>4.12</v>
      </c>
      <c r="AP237" s="46">
        <f>'2025'!AF31</f>
        <v>45.9</v>
      </c>
      <c r="AQ237" s="47">
        <f>'2025'!AG31</f>
        <v>4</v>
      </c>
      <c r="AR237" s="48">
        <f>'2025'!AH31</f>
        <v>3</v>
      </c>
      <c r="AS237" s="48">
        <f>'2025'!AI31</f>
        <v>2</v>
      </c>
      <c r="AT237" s="48">
        <f>'2025'!AJ31</f>
        <v>3</v>
      </c>
      <c r="AU237" s="48">
        <f>'2025'!AK31</f>
        <v>10</v>
      </c>
      <c r="AV237" s="48">
        <f>'2025'!AL31</f>
        <v>3</v>
      </c>
      <c r="AW237" s="48">
        <f>'2025'!AM31</f>
        <v>8</v>
      </c>
      <c r="AX237" s="48">
        <f>'2025'!AN31</f>
        <v>5</v>
      </c>
      <c r="AY237" s="49">
        <f>'2025'!AO31</f>
        <v>0</v>
      </c>
      <c r="AZ237" s="50">
        <f>'2025'!AP31</f>
        <v>0</v>
      </c>
      <c r="BA237" s="56">
        <f>'2025'!AQ31</f>
        <v>0</v>
      </c>
      <c r="BB237" s="57">
        <f>'2025'!AR31</f>
        <v>1</v>
      </c>
      <c r="BC237" s="57">
        <f>'2025'!AS31</f>
        <v>0</v>
      </c>
      <c r="BD237" s="57">
        <f>'2025'!AT31</f>
        <v>0</v>
      </c>
      <c r="BE237" s="57">
        <f>'2025'!AU31</f>
        <v>0</v>
      </c>
      <c r="BF237" s="57">
        <f>'2025'!AV31</f>
        <v>0</v>
      </c>
      <c r="BG237" s="58">
        <f>'2025'!AW31</f>
        <v>0</v>
      </c>
      <c r="BH237" s="58">
        <f>'2025'!AX31</f>
        <v>0</v>
      </c>
      <c r="BI237" s="58">
        <f>'2025'!AY31</f>
        <v>0</v>
      </c>
      <c r="BJ237" s="58">
        <f>'2025'!AZ31</f>
        <v>0</v>
      </c>
      <c r="BK237" s="57">
        <f>'2025'!BA31</f>
        <v>0</v>
      </c>
      <c r="BL237" s="57">
        <f>'2025'!BB31</f>
        <v>0</v>
      </c>
      <c r="BM237" s="57">
        <f>'2025'!BC31</f>
        <v>0</v>
      </c>
      <c r="BN237" s="57">
        <f>'2025'!BD31</f>
        <v>0</v>
      </c>
      <c r="BO237" s="59">
        <f>'2025'!BE31</f>
        <v>0</v>
      </c>
      <c r="BP237" s="56">
        <f>'2025'!BF31</f>
        <v>323</v>
      </c>
      <c r="BQ237" s="57">
        <f>'2025'!BG31</f>
        <v>1259.5</v>
      </c>
      <c r="BR237" s="57">
        <f>'2025'!BH31</f>
        <v>2</v>
      </c>
      <c r="BS237" s="57">
        <f>'2025'!BI31</f>
        <v>7.6999999999999993</v>
      </c>
      <c r="BT237" s="57">
        <f>'2025'!BJ31</f>
        <v>79</v>
      </c>
      <c r="BU237" s="57">
        <f>'2025'!BK31</f>
        <v>24</v>
      </c>
      <c r="BV237" s="58">
        <f>'2025'!BL31</f>
        <v>4.0886075949367084</v>
      </c>
      <c r="BW237" s="58">
        <f>'2025'!BM31</f>
        <v>84.4</v>
      </c>
      <c r="BX237" s="58">
        <f>'2025'!BN31</f>
        <v>2.85</v>
      </c>
      <c r="BY237" s="58">
        <f>'2025'!BO31</f>
        <v>15.2</v>
      </c>
      <c r="BZ237" s="57">
        <f>'2025'!BP31</f>
        <v>10</v>
      </c>
      <c r="CA237" s="57">
        <f>'2025'!BQ31</f>
        <v>2799.5</v>
      </c>
      <c r="CB237" s="57">
        <f>'2025'!BR31</f>
        <v>2</v>
      </c>
      <c r="CC237" s="57">
        <f>'2025'!BS31</f>
        <v>0</v>
      </c>
      <c r="CD237" s="59">
        <f>'2025'!BT31</f>
        <v>27.5</v>
      </c>
      <c r="CE237" s="56">
        <f>'2025'!BU31</f>
        <v>357</v>
      </c>
      <c r="CF237" s="57">
        <f>'2025'!BV31</f>
        <v>1297</v>
      </c>
      <c r="CG237" s="57">
        <f>'2025'!BW31</f>
        <v>5</v>
      </c>
      <c r="CH237" s="57">
        <f>'2025'!BX31</f>
        <v>15</v>
      </c>
      <c r="CI237" s="57">
        <f>'2025'!BY31</f>
        <v>81</v>
      </c>
      <c r="CJ237" s="57">
        <f>'2025'!BZ31</f>
        <v>11</v>
      </c>
      <c r="CK237" s="58">
        <f>'2025'!CA31</f>
        <v>4.4074074074074074</v>
      </c>
      <c r="CL237" s="58">
        <f>'2025'!CB31</f>
        <v>30.3</v>
      </c>
      <c r="CM237" s="58">
        <f>'2025'!CC31</f>
        <v>2.2799999999999998</v>
      </c>
      <c r="CN237" s="58">
        <f>'2025'!CD31</f>
        <v>37.299999999999997</v>
      </c>
      <c r="CO237" s="57">
        <f>'2025'!CE31</f>
        <v>2</v>
      </c>
      <c r="CP237" s="57">
        <f>'2025'!CF31</f>
        <v>2427</v>
      </c>
      <c r="CQ237" s="57">
        <f>'2025'!CG31</f>
        <v>2</v>
      </c>
      <c r="CR237" s="57">
        <f>'2025'!CH31</f>
        <v>0</v>
      </c>
      <c r="CS237" s="59">
        <f>'2025'!CI31</f>
        <v>17</v>
      </c>
      <c r="CT237" s="56">
        <f>'2025'!CJ31</f>
        <v>1050</v>
      </c>
      <c r="CU237" s="57">
        <f>'2025'!CK31</f>
        <v>2605</v>
      </c>
      <c r="CV237" s="57">
        <f>'2025'!CL31</f>
        <v>5</v>
      </c>
      <c r="CW237" s="57">
        <f>'2025'!CM31</f>
        <v>14</v>
      </c>
      <c r="CX237" s="57">
        <f>'2025'!CN31</f>
        <v>192</v>
      </c>
      <c r="CY237" s="57">
        <f>'2025'!CO31</f>
        <v>53</v>
      </c>
      <c r="CZ237" s="58">
        <f>'2025'!CP31</f>
        <v>5.46875</v>
      </c>
      <c r="DA237" s="58">
        <f>'2025'!CQ31</f>
        <v>92.7</v>
      </c>
      <c r="DB237" s="58">
        <f>'2025'!CR31</f>
        <v>3.32</v>
      </c>
      <c r="DC237" s="58">
        <f>'2025'!CS31</f>
        <v>35.700000000000003</v>
      </c>
      <c r="DD237" s="57">
        <f>'2025'!CT31</f>
        <v>49</v>
      </c>
      <c r="DE237" s="57">
        <f>'2025'!CU31</f>
        <v>2508</v>
      </c>
      <c r="DF237" s="57">
        <f>'2025'!CV31</f>
        <v>12</v>
      </c>
      <c r="DG237" s="57">
        <f>'2025'!CW31</f>
        <v>0</v>
      </c>
      <c r="DH237" s="59">
        <f>'2025'!CX31</f>
        <v>21</v>
      </c>
      <c r="DI237" s="56">
        <f>'2025'!CY31</f>
        <v>1147</v>
      </c>
      <c r="DJ237" s="57">
        <f>'2025'!CZ31</f>
        <v>2209</v>
      </c>
      <c r="DK237" s="57">
        <f>'2025'!DA31</f>
        <v>4</v>
      </c>
      <c r="DL237" s="57">
        <f>'2025'!DB31</f>
        <v>19</v>
      </c>
      <c r="DM237" s="57">
        <f>'2025'!DC31</f>
        <v>204</v>
      </c>
      <c r="DN237" s="57">
        <f>'2025'!DD31</f>
        <v>82</v>
      </c>
      <c r="DO237" s="58">
        <f>'2025'!DE31</f>
        <v>5.6225490196078427</v>
      </c>
      <c r="DP237" s="58">
        <f>'2025'!DF31</f>
        <v>163.80000000000001</v>
      </c>
      <c r="DQ237" s="58">
        <f>'2025'!DG31</f>
        <v>4.12</v>
      </c>
      <c r="DR237" s="58">
        <f>'2025'!DH31</f>
        <v>45.9</v>
      </c>
      <c r="DS237" s="57">
        <f>'2025'!DI31</f>
        <v>103</v>
      </c>
      <c r="DT237" s="57">
        <f>'2025'!DJ31</f>
        <v>2837</v>
      </c>
      <c r="DU237" s="57">
        <f>'2025'!DK31</f>
        <v>15</v>
      </c>
      <c r="DV237" s="57">
        <f>'2025'!DL31</f>
        <v>0</v>
      </c>
      <c r="DW237" s="59">
        <f>'2025'!DM31</f>
        <v>18</v>
      </c>
    </row>
    <row r="238" spans="1:127" ht="15.75" customHeight="1" x14ac:dyDescent="0.2">
      <c r="A238" s="33">
        <f t="shared" si="36"/>
        <v>236</v>
      </c>
      <c r="B238" s="11">
        <f>'2022'!A27</f>
        <v>25</v>
      </c>
      <c r="C238" s="11">
        <v>2022</v>
      </c>
      <c r="D238" s="34" t="str">
        <f>'2022'!B27</f>
        <v>ZaQuandre White</v>
      </c>
      <c r="E238" s="224" t="str" cm="1">
        <f t="array" ref="E238">_xlfn.IFS(F238&gt;=13,"Cornerstone",AND(F238&gt;=12,F238&lt;13),"Elite",AND(F238&gt;=11,F238&lt;12),"Elite Upside",AND(F238&gt;=9,F238&lt;11),"Upside",AND(F238&gt;=7,F238&lt;9),"Upside Lite",AND(F238&gt;=6,F238&lt;7),"Outlier",AND(F238&gt;=5,F238&lt;6),"Outlier Lite",F238&lt;5,"Purgatory")</f>
        <v>Purgatory</v>
      </c>
      <c r="F238" s="14">
        <f>'2022'!C27</f>
        <v>4.8555555555555561</v>
      </c>
      <c r="G238" s="14">
        <f t="shared" si="41"/>
        <v>27.800000000000004</v>
      </c>
      <c r="H238" s="35">
        <f t="shared" si="37"/>
        <v>-1.3318278726073705</v>
      </c>
      <c r="I238" s="36" t="str">
        <f>'2022'!D27</f>
        <v>South Carolina</v>
      </c>
      <c r="J238" s="37">
        <f>'2022'!E27</f>
        <v>1</v>
      </c>
      <c r="K238" s="38">
        <f>'2022'!F27</f>
        <v>36150</v>
      </c>
      <c r="L238" s="39">
        <f>'2022'!G27</f>
        <v>26.786301369863015</v>
      </c>
      <c r="M238" s="39" t="str">
        <f>'2022'!H27</f>
        <v>RS SR</v>
      </c>
      <c r="N238" s="39">
        <f>'2022'!I27</f>
        <v>23.367123287671234</v>
      </c>
      <c r="O238" s="39" t="str">
        <f t="shared" si="38"/>
        <v>BELL COW</v>
      </c>
      <c r="P238" s="39" t="str">
        <f t="shared" si="44"/>
        <v>+RECEIVER</v>
      </c>
      <c r="Q238" s="37">
        <f>'2022'!J27</f>
        <v>72</v>
      </c>
      <c r="R238" s="37">
        <f>'2022'!K27</f>
        <v>206</v>
      </c>
      <c r="S238" s="39">
        <f t="shared" si="40"/>
        <v>27.938313129712682</v>
      </c>
      <c r="T238" s="37">
        <f>'2022'!L27</f>
        <v>4.63</v>
      </c>
      <c r="U238" s="40">
        <f>'2022'!M27</f>
        <v>0</v>
      </c>
      <c r="V238" s="41">
        <f>'2022'!N27</f>
        <v>0</v>
      </c>
      <c r="W238" s="42">
        <f>'2022'!O27</f>
        <v>0</v>
      </c>
      <c r="X238" s="42">
        <f>'2022'!P27</f>
        <v>0</v>
      </c>
      <c r="Y238" s="42">
        <f>'2022'!Q27</f>
        <v>1.3235708251196845E-2</v>
      </c>
      <c r="Z238" s="42">
        <f>'2022'!R27</f>
        <v>0.17639015496809479</v>
      </c>
      <c r="AA238" s="42">
        <f>'2022'!S27</f>
        <v>0.17639015496809479</v>
      </c>
      <c r="AB238" s="42">
        <f>'2022'!T27</f>
        <v>0.17639015496809479</v>
      </c>
      <c r="AC238" s="42">
        <f>'2022'!U27</f>
        <v>-4.2735042735042739E-3</v>
      </c>
      <c r="AD238" s="42">
        <f>'2022'!V27</f>
        <v>8.2982791586998089E-2</v>
      </c>
      <c r="AE238" s="42">
        <f>'2022'!W27</f>
        <v>8.2982791586998089E-2</v>
      </c>
      <c r="AF238" s="43">
        <f>'2022'!X27</f>
        <v>8.2982791586998089E-2</v>
      </c>
      <c r="AG238" s="44">
        <f>'2022'!Y27</f>
        <v>22.720547945205478</v>
      </c>
      <c r="AH238" s="45">
        <f>'2022'!Z27</f>
        <v>89.65473928370362</v>
      </c>
      <c r="AI238" s="45">
        <f>'2022'!AA27</f>
        <v>27.935570987654323</v>
      </c>
      <c r="AJ238" s="45">
        <f>'2022'!AB27</f>
        <v>0.3258426966292135</v>
      </c>
      <c r="AK238" s="45">
        <f>'2022'!AC27</f>
        <v>6.3</v>
      </c>
      <c r="AL238" s="45">
        <f t="shared" si="39"/>
        <v>9.9523809523809526</v>
      </c>
      <c r="AM238" s="45">
        <f t="shared" si="43"/>
        <v>0.17592592592592593</v>
      </c>
      <c r="AN238" s="45">
        <f>'2022'!AD27</f>
        <v>153.6</v>
      </c>
      <c r="AO238" s="45">
        <f>'2022'!AE27</f>
        <v>4.6100000000000003</v>
      </c>
      <c r="AP238" s="46">
        <f>'2022'!AF27</f>
        <v>51.2</v>
      </c>
      <c r="AQ238" s="47">
        <f>'2022'!AG27</f>
        <v>3</v>
      </c>
      <c r="AR238" s="48">
        <f>'2022'!AH27</f>
        <v>8</v>
      </c>
      <c r="AS238" s="48">
        <f>'2022'!AI27</f>
        <v>0</v>
      </c>
      <c r="AT238" s="48">
        <f>IF(AH238&gt;113.25,10,IF(AH238&gt;=107.84,9,IF(AH238&gt;=105.37,8,IF(AH238&gt;=103.25,7,IF(AH238&gt;=100.55,6,IF(AH238&gt;=98.75,5,IF(AH238&gt;=96.08,4,IF(AH238&gt;=94.39,3,IF(AH238&gt;=88.43,2,IF(AH238&gt;=85.16,1,IF(AH238&lt;85.16,0,FALSE)))))))))))</f>
        <v>2</v>
      </c>
      <c r="AU238" s="48">
        <f>'2022'!AK27</f>
        <v>9</v>
      </c>
      <c r="AV238" s="48">
        <f>'2022'!AL27</f>
        <v>5</v>
      </c>
      <c r="AW238" s="48">
        <f>'2022'!AM27</f>
        <v>8</v>
      </c>
      <c r="AX238" s="48">
        <f>'2022'!AN27</f>
        <v>7</v>
      </c>
      <c r="AY238" s="49">
        <f>IF(U238=1,10,IF(U238=2,7,IF(U238=3,6,IF(U238=4,4,IF(U238=5,3,IF(U238=6,2,IF(U238=7,1,IF(U238=0,0,"-"))))))))</f>
        <v>0</v>
      </c>
      <c r="AZ238" s="50">
        <f>'2022'!AP27</f>
        <v>0</v>
      </c>
      <c r="BA238" s="56">
        <f>'2022'!AQ27</f>
        <v>0</v>
      </c>
      <c r="BB238" s="57">
        <f>'2022'!AR27</f>
        <v>1588</v>
      </c>
      <c r="BC238" s="57">
        <f>'2022'!AS27</f>
        <v>0</v>
      </c>
      <c r="BD238" s="57">
        <f>'2022'!AT27</f>
        <v>16</v>
      </c>
      <c r="BE238" s="57">
        <f>'2022'!AU27</f>
        <v>0</v>
      </c>
      <c r="BF238" s="57">
        <f>'2022'!AV27</f>
        <v>0</v>
      </c>
      <c r="BG238" s="58">
        <f>'2022'!AW27</f>
        <v>0</v>
      </c>
      <c r="BH238" s="58">
        <f>'2022'!AX27</f>
        <v>0</v>
      </c>
      <c r="BI238" s="58">
        <f>'2022'!AY27</f>
        <v>0</v>
      </c>
      <c r="BJ238" s="58">
        <f>'2022'!AZ27</f>
        <v>0</v>
      </c>
      <c r="BK238" s="57">
        <f>'2022'!BA27</f>
        <v>0</v>
      </c>
      <c r="BL238" s="57">
        <f>'2022'!BB27</f>
        <v>2794</v>
      </c>
      <c r="BM238" s="57">
        <f>'2022'!BC27</f>
        <v>0</v>
      </c>
      <c r="BN238" s="57">
        <f>'2022'!BD27</f>
        <v>0</v>
      </c>
      <c r="BO238" s="59">
        <f>'2022'!BE27</f>
        <v>18</v>
      </c>
      <c r="BP238" s="56">
        <f>'2022'!BF27</f>
        <v>0</v>
      </c>
      <c r="BQ238" s="57">
        <f>'2022'!BG27</f>
        <v>1986</v>
      </c>
      <c r="BR238" s="57">
        <f>'2022'!BH27</f>
        <v>0</v>
      </c>
      <c r="BS238" s="57">
        <f>'2022'!BI27</f>
        <v>15</v>
      </c>
      <c r="BT238" s="57">
        <f>'2022'!BJ27</f>
        <v>0</v>
      </c>
      <c r="BU238" s="57">
        <f>'2022'!BK27</f>
        <v>0</v>
      </c>
      <c r="BV238" s="58">
        <f>'2022'!BL27</f>
        <v>0</v>
      </c>
      <c r="BW238" s="58">
        <f>'2022'!BM27</f>
        <v>0</v>
      </c>
      <c r="BX238" s="58">
        <f>'2022'!BN27</f>
        <v>0</v>
      </c>
      <c r="BY238" s="58">
        <f>'2022'!BO27</f>
        <v>0</v>
      </c>
      <c r="BZ238" s="57">
        <f>'2022'!BP27</f>
        <v>0</v>
      </c>
      <c r="CA238" s="57">
        <f>'2022'!BQ27</f>
        <v>3547</v>
      </c>
      <c r="CB238" s="57">
        <f>'2022'!BR27</f>
        <v>0</v>
      </c>
      <c r="CC238" s="57">
        <f>'2022'!BS27</f>
        <v>0</v>
      </c>
      <c r="CD238" s="59">
        <f>'2022'!BT27</f>
        <v>32</v>
      </c>
      <c r="CE238" s="56">
        <f>'2022'!BU27</f>
        <v>0</v>
      </c>
      <c r="CF238" s="57">
        <f>'2022'!BV27</f>
        <v>1796</v>
      </c>
      <c r="CG238" s="57">
        <f>'2022'!BW27</f>
        <v>0</v>
      </c>
      <c r="CH238" s="57">
        <f>'2022'!BX27</f>
        <v>18</v>
      </c>
      <c r="CI238" s="57">
        <f>'2022'!BY27</f>
        <v>0</v>
      </c>
      <c r="CJ238" s="57">
        <f>'2022'!BZ27</f>
        <v>0</v>
      </c>
      <c r="CK238" s="58">
        <f>'2022'!CA27</f>
        <v>0</v>
      </c>
      <c r="CL238" s="58">
        <f>'2022'!CB27</f>
        <v>0</v>
      </c>
      <c r="CM238" s="58">
        <f>'2022'!CC27</f>
        <v>0</v>
      </c>
      <c r="CN238" s="58">
        <f>'2022'!CD27</f>
        <v>0</v>
      </c>
      <c r="CO238" s="57">
        <f>'2022'!CE27</f>
        <v>0</v>
      </c>
      <c r="CP238" s="57">
        <f>'2022'!CF27</f>
        <v>2667</v>
      </c>
      <c r="CQ238" s="57">
        <f>'2022'!CG27</f>
        <v>0</v>
      </c>
      <c r="CR238" s="57">
        <f>'2022'!CH27</f>
        <v>0</v>
      </c>
      <c r="CS238" s="59">
        <f>'2022'!CI27</f>
        <v>12</v>
      </c>
      <c r="CT238" s="56">
        <f>'2022'!CJ27</f>
        <v>55</v>
      </c>
      <c r="CU238" s="57">
        <f>'2022'!CK27</f>
        <v>1679</v>
      </c>
      <c r="CV238" s="57">
        <f>'2022'!CL27</f>
        <v>0</v>
      </c>
      <c r="CW238" s="57">
        <f>'2022'!CM27</f>
        <v>21</v>
      </c>
      <c r="CX238" s="57">
        <f>'2022'!CN27</f>
        <v>16</v>
      </c>
      <c r="CY238" s="57">
        <f>'2022'!CO27</f>
        <v>3</v>
      </c>
      <c r="CZ238" s="58">
        <f>'2022'!CP27</f>
        <v>3.4</v>
      </c>
      <c r="DA238" s="58">
        <f>'2022'!CQ27</f>
        <v>47.9</v>
      </c>
      <c r="DB238" s="58">
        <f>'2022'!CR27</f>
        <v>2.88</v>
      </c>
      <c r="DC238" s="58">
        <f>'2022'!CS27</f>
        <v>38.200000000000003</v>
      </c>
      <c r="DD238" s="57">
        <f>'2022'!CT27</f>
        <v>-8</v>
      </c>
      <c r="DE238" s="57">
        <f>'2022'!CU27</f>
        <v>1872</v>
      </c>
      <c r="DF238" s="57">
        <f>'2022'!CV27</f>
        <v>2</v>
      </c>
      <c r="DG238" s="57">
        <f>'2022'!CW27</f>
        <v>0</v>
      </c>
      <c r="DH238" s="59">
        <f>'2022'!CX27</f>
        <v>8</v>
      </c>
      <c r="DI238" s="56">
        <f>'2022'!CY27</f>
        <v>557</v>
      </c>
      <c r="DJ238" s="57">
        <f>'2022'!CZ27</f>
        <v>1773</v>
      </c>
      <c r="DK238" s="57">
        <f>'2022'!DA27</f>
        <v>2</v>
      </c>
      <c r="DL238" s="57">
        <f>'2022'!DB27</f>
        <v>9</v>
      </c>
      <c r="DM238" s="57">
        <f>'2022'!DC27</f>
        <v>89</v>
      </c>
      <c r="DN238" s="57">
        <f>'2022'!DD27</f>
        <v>29</v>
      </c>
      <c r="DO238" s="58">
        <f>'2022'!DE27</f>
        <v>6.3</v>
      </c>
      <c r="DP238" s="58">
        <f>'2022'!DF27</f>
        <v>153.6</v>
      </c>
      <c r="DQ238" s="58">
        <f>'2022'!DG27</f>
        <v>4.6100000000000003</v>
      </c>
      <c r="DR238" s="58">
        <f>'2022'!DH27</f>
        <v>51.2</v>
      </c>
      <c r="DS238" s="57">
        <f>'2022'!DI27</f>
        <v>217</v>
      </c>
      <c r="DT238" s="57">
        <f>'2022'!DJ27</f>
        <v>2615</v>
      </c>
      <c r="DU238" s="57">
        <f>'2022'!DK27</f>
        <v>19</v>
      </c>
      <c r="DV238" s="57">
        <f>'2022'!DL27</f>
        <v>0</v>
      </c>
      <c r="DW238" s="59">
        <f>'2022'!DM27</f>
        <v>22</v>
      </c>
    </row>
    <row r="239" spans="1:127" ht="15.75" customHeight="1" x14ac:dyDescent="0.2">
      <c r="A239" s="33">
        <f t="shared" si="36"/>
        <v>237</v>
      </c>
      <c r="B239" s="11">
        <f>'2018'!A20</f>
        <v>18</v>
      </c>
      <c r="C239" s="11">
        <v>2018</v>
      </c>
      <c r="D239" s="34" t="str">
        <f>'2018'!B20</f>
        <v>Phillip Lindsay</v>
      </c>
      <c r="E239" s="224" t="str" cm="1">
        <f t="array" ref="E239">_xlfn.IFS(F239&gt;=13,"Cornerstone",AND(F239&gt;=12,F239&lt;13),"Elite",AND(F239&gt;=11,F239&lt;12),"Elite Upside",AND(F239&gt;=9,F239&lt;11),"Upside",AND(F239&gt;=7,F239&lt;9),"Upside Lite",AND(F239&gt;=6,F239&lt;7),"Outlier",AND(F239&gt;=5,F239&lt;6),"Outlier Lite",F239&lt;5,"Purgatory")</f>
        <v>Purgatory</v>
      </c>
      <c r="F239" s="14">
        <f>'2018'!C20</f>
        <v>4.8555555555555552</v>
      </c>
      <c r="G239" s="14">
        <f t="shared" si="41"/>
        <v>27.500000000000004</v>
      </c>
      <c r="H239" s="35">
        <f t="shared" si="37"/>
        <v>-1.3318278726073709</v>
      </c>
      <c r="I239" s="36" t="str">
        <f>'2018'!D20</f>
        <v>Colorado</v>
      </c>
      <c r="J239" s="37">
        <f>'2018'!E20</f>
        <v>5</v>
      </c>
      <c r="K239" s="38">
        <f>'2018'!F20</f>
        <v>34539</v>
      </c>
      <c r="L239" s="39">
        <f>'2018'!G20</f>
        <v>31.2</v>
      </c>
      <c r="M239" s="39" t="str">
        <f>'2018'!H20</f>
        <v>SR</v>
      </c>
      <c r="N239" s="39">
        <f>'2018'!I20</f>
        <v>23.772602739726029</v>
      </c>
      <c r="O239" s="39" t="str">
        <f t="shared" si="38"/>
        <v>JITTERBUG</v>
      </c>
      <c r="P239" s="39" t="str">
        <f t="shared" si="44"/>
        <v>+RECEIVER</v>
      </c>
      <c r="Q239" s="37">
        <f>'2018'!J20</f>
        <v>68</v>
      </c>
      <c r="R239" s="37">
        <f>'2018'!K20</f>
        <v>190</v>
      </c>
      <c r="S239" s="39">
        <f t="shared" si="40"/>
        <v>28.889081134563657</v>
      </c>
      <c r="T239" s="37">
        <f>'2018'!L20</f>
        <v>4.3899999999999997</v>
      </c>
      <c r="U239" s="40">
        <f>'2018'!M20</f>
        <v>0</v>
      </c>
      <c r="V239" s="41">
        <f>'2018'!N20</f>
        <v>0</v>
      </c>
      <c r="W239" s="42">
        <f>'2018'!O20</f>
        <v>9.5256166982922205E-2</v>
      </c>
      <c r="X239" s="42">
        <f>'2018'!P20</f>
        <v>0.16902500484590036</v>
      </c>
      <c r="Y239" s="42">
        <f>'2018'!Q20</f>
        <v>0.28186274509803921</v>
      </c>
      <c r="Z239" s="42">
        <f>'2018'!R20</f>
        <v>0.34524047096387944</v>
      </c>
      <c r="AA239" s="42">
        <f>'2018'!S20</f>
        <v>0.34524047096387944</v>
      </c>
      <c r="AB239" s="42">
        <f>'2018'!T20</f>
        <v>0.29345440031929754</v>
      </c>
      <c r="AC239" s="42">
        <f>'2018'!U20</f>
        <v>0.1378052203199551</v>
      </c>
      <c r="AD239" s="42">
        <f>'2018'!V20</f>
        <v>8.2239999999999994E-2</v>
      </c>
      <c r="AE239" s="42">
        <f>'2018'!W20</f>
        <v>0.11002261015997755</v>
      </c>
      <c r="AF239" s="43">
        <f>'2018'!X20</f>
        <v>9.3519218635980922E-2</v>
      </c>
      <c r="AG239" s="44">
        <f>'2018'!Y20</f>
        <v>21.117808219178084</v>
      </c>
      <c r="AH239" s="45">
        <f>'2018'!Z20</f>
        <v>102.3117505870963</v>
      </c>
      <c r="AI239" s="45">
        <f>'2018'!AA20</f>
        <v>28.886245674740483</v>
      </c>
      <c r="AJ239" s="45">
        <f>'2018'!AB20</f>
        <v>0.21311475409836064</v>
      </c>
      <c r="AK239" s="45">
        <f>'2018'!AC20</f>
        <v>5.0999999999999996</v>
      </c>
      <c r="AL239" s="45">
        <f t="shared" si="39"/>
        <v>9.2393162393162385</v>
      </c>
      <c r="AM239" s="45">
        <f t="shared" si="43"/>
        <v>7.0769230769230765E-2</v>
      </c>
      <c r="AN239" s="45">
        <f>'2018'!AD20</f>
        <v>75</v>
      </c>
      <c r="AO239" s="45">
        <f>'2018'!AE20</f>
        <v>3.24</v>
      </c>
      <c r="AP239" s="46">
        <f>'2018'!AF20</f>
        <v>36.299999999999997</v>
      </c>
      <c r="AQ239" s="47">
        <f>'2018'!AG20</f>
        <v>8</v>
      </c>
      <c r="AR239" s="48">
        <f>'2018'!AH20</f>
        <v>9</v>
      </c>
      <c r="AS239" s="48">
        <f>'2018'!AI20</f>
        <v>3</v>
      </c>
      <c r="AT239" s="48">
        <f>IF(AH239&gt;113.25,10,IF(AH239&gt;=107.84,9,IF(AH239&gt;=105.37,8,IF(AH239&gt;=103.25,7,IF(AH239&gt;=100.55,6,IF(AH239&gt;=98.75,5,IF(AH239&gt;=96.08,4,IF(AH239&gt;=94.39,3,IF(AH239&gt;=88.43,2,IF(AH239&gt;=85.16,1,IF(AH239&lt;85.16,0,FALSE)))))))))))</f>
        <v>6</v>
      </c>
      <c r="AU239" s="48">
        <f>'2018'!AK20</f>
        <v>4</v>
      </c>
      <c r="AV239" s="48">
        <f>'2018'!AL20</f>
        <v>1</v>
      </c>
      <c r="AW239" s="48">
        <f>'2018'!AM20</f>
        <v>2</v>
      </c>
      <c r="AX239" s="48">
        <f>'2018'!AN20</f>
        <v>1</v>
      </c>
      <c r="AY239" s="49">
        <f>IF(U239=1,10,IF(U239=2,7,IF(U239=3,6,IF(U239=4,4,IF(U239=5,3,IF(U239=6,2,IF(U239=7,1,IF(U239=0,0,"-"))))))))</f>
        <v>0</v>
      </c>
      <c r="AZ239" s="50">
        <f>'2018'!AP20</f>
        <v>0</v>
      </c>
      <c r="BA239" s="56">
        <f>'2018'!AQ20</f>
        <v>0</v>
      </c>
      <c r="BB239" s="57">
        <f>'2018'!AR20</f>
        <v>1450</v>
      </c>
      <c r="BC239" s="57">
        <f>'2018'!AS20</f>
        <v>0</v>
      </c>
      <c r="BD239" s="57">
        <f>'2018'!AT20</f>
        <v>0</v>
      </c>
      <c r="BE239" s="57">
        <f>'2018'!AU20</f>
        <v>0</v>
      </c>
      <c r="BF239" s="57">
        <f>'2018'!AV20</f>
        <v>0</v>
      </c>
      <c r="BG239" s="58">
        <f>'2018'!AW20</f>
        <v>0</v>
      </c>
      <c r="BH239" s="58">
        <f>'2018'!AX20</f>
        <v>0</v>
      </c>
      <c r="BI239" s="58">
        <f>'2018'!AY20</f>
        <v>0</v>
      </c>
      <c r="BJ239" s="58">
        <f>'2018'!AZ20</f>
        <v>0</v>
      </c>
      <c r="BK239" s="57">
        <f>'2018'!BA20</f>
        <v>0</v>
      </c>
      <c r="BL239" s="57">
        <f>'2018'!BB20</f>
        <v>2989</v>
      </c>
      <c r="BM239" s="57">
        <f>'2018'!BC20</f>
        <v>0</v>
      </c>
      <c r="BN239" s="57">
        <f>'2018'!BD20</f>
        <v>0</v>
      </c>
      <c r="BO239" s="59">
        <f>'2018'!BE20</f>
        <v>0</v>
      </c>
      <c r="BP239" s="56">
        <f>'2018'!BF20</f>
        <v>391</v>
      </c>
      <c r="BQ239" s="57">
        <f>'2018'!BG20</f>
        <v>1855</v>
      </c>
      <c r="BR239" s="57">
        <f>'2018'!BH20</f>
        <v>0</v>
      </c>
      <c r="BS239" s="57">
        <f>'2018'!BI20</f>
        <v>0</v>
      </c>
      <c r="BT239" s="57">
        <f>'2018'!BJ20</f>
        <v>79</v>
      </c>
      <c r="BU239" s="57">
        <f>'2018'!BK20</f>
        <v>15</v>
      </c>
      <c r="BV239" s="58">
        <f>'2018'!BL20</f>
        <v>4.9000000000000004</v>
      </c>
      <c r="BW239" s="58">
        <f>'2018'!BM20</f>
        <v>58.1</v>
      </c>
      <c r="BX239" s="58">
        <f>'2018'!BN20</f>
        <v>3</v>
      </c>
      <c r="BY239" s="58">
        <f>'2018'!BO20</f>
        <v>29.2</v>
      </c>
      <c r="BZ239" s="57">
        <f>'2018'!BP20</f>
        <v>111</v>
      </c>
      <c r="CA239" s="57">
        <f>'2018'!BQ20</f>
        <v>3415</v>
      </c>
      <c r="CB239" s="57">
        <f>'2018'!BR20</f>
        <v>14</v>
      </c>
      <c r="CC239" s="57">
        <f>'2018'!BS20</f>
        <v>0</v>
      </c>
      <c r="CD239" s="59">
        <f>'2018'!BT20</f>
        <v>0</v>
      </c>
      <c r="CE239" s="56">
        <f>'2018'!BU20</f>
        <v>650</v>
      </c>
      <c r="CF239" s="57">
        <f>'2018'!BV20</f>
        <v>2031</v>
      </c>
      <c r="CG239" s="57">
        <f>'2018'!BW20</f>
        <v>6</v>
      </c>
      <c r="CH239" s="57">
        <f>'2018'!BX20</f>
        <v>0</v>
      </c>
      <c r="CI239" s="57">
        <f>'2018'!BY20</f>
        <v>141</v>
      </c>
      <c r="CJ239" s="57">
        <f>'2018'!BZ20</f>
        <v>18</v>
      </c>
      <c r="CK239" s="58">
        <f>'2018'!CA20</f>
        <v>4.5999999999999996</v>
      </c>
      <c r="CL239" s="58">
        <f>'2018'!CB20</f>
        <v>39.4</v>
      </c>
      <c r="CM239" s="58">
        <f>'2018'!CC20</f>
        <v>2.19</v>
      </c>
      <c r="CN239" s="58">
        <f>'2018'!CD20</f>
        <v>36.299999999999997</v>
      </c>
      <c r="CO239" s="57">
        <f>'2018'!CE20</f>
        <v>222</v>
      </c>
      <c r="CP239" s="57">
        <f>'2018'!CF20</f>
        <v>3128</v>
      </c>
      <c r="CQ239" s="57">
        <f>'2018'!CG20</f>
        <v>26</v>
      </c>
      <c r="CR239" s="57">
        <f>'2018'!CH20</f>
        <v>0</v>
      </c>
      <c r="CS239" s="59">
        <f>'2018'!CI20</f>
        <v>0</v>
      </c>
      <c r="CT239" s="56">
        <f>'2018'!CJ20</f>
        <v>1234</v>
      </c>
      <c r="CU239" s="57">
        <f>'2018'!CK20</f>
        <v>2557</v>
      </c>
      <c r="CV239" s="57">
        <f>'2018'!CL20</f>
        <v>16</v>
      </c>
      <c r="CW239" s="57">
        <f>'2018'!CM20</f>
        <v>0</v>
      </c>
      <c r="CX239" s="57">
        <f>'2018'!CN20</f>
        <v>244</v>
      </c>
      <c r="CY239" s="57">
        <f>'2018'!CO20</f>
        <v>52</v>
      </c>
      <c r="CZ239" s="58">
        <f>'2018'!CP20</f>
        <v>5.0999999999999996</v>
      </c>
      <c r="DA239" s="58">
        <f>'2018'!CQ20</f>
        <v>75</v>
      </c>
      <c r="DB239" s="58">
        <f>'2018'!CR20</f>
        <v>3.24</v>
      </c>
      <c r="DC239" s="58">
        <f>'2018'!CS20</f>
        <v>33.5</v>
      </c>
      <c r="DD239" s="57">
        <f>'2018'!CT20</f>
        <v>491</v>
      </c>
      <c r="DE239" s="57">
        <f>'2018'!CU20</f>
        <v>3563</v>
      </c>
      <c r="DF239" s="57">
        <f>'2018'!CV20</f>
        <v>54</v>
      </c>
      <c r="DG239" s="57">
        <f>'2018'!CW20</f>
        <v>0</v>
      </c>
      <c r="DH239" s="59">
        <f>'2018'!CX20</f>
        <v>0</v>
      </c>
      <c r="DI239" s="56">
        <f>'2018'!CY20</f>
        <v>1473</v>
      </c>
      <c r="DJ239" s="57">
        <f>'2018'!CZ20</f>
        <v>1886</v>
      </c>
      <c r="DK239" s="57">
        <f>'2018'!DA20</f>
        <v>14</v>
      </c>
      <c r="DL239" s="57">
        <f>'2018'!DB20</f>
        <v>0</v>
      </c>
      <c r="DM239" s="57">
        <f>'2018'!DC20</f>
        <v>302</v>
      </c>
      <c r="DN239" s="57">
        <f>'2018'!DD20</f>
        <v>47</v>
      </c>
      <c r="DO239" s="58">
        <f>'2018'!DE20</f>
        <v>4.9000000000000004</v>
      </c>
      <c r="DP239" s="58">
        <f>'2018'!DF20</f>
        <v>42.2</v>
      </c>
      <c r="DQ239" s="58">
        <f>'2018'!DG20</f>
        <v>2.69</v>
      </c>
      <c r="DR239" s="58">
        <f>'2018'!DH20</f>
        <v>29.4</v>
      </c>
      <c r="DS239" s="57">
        <f>'2018'!DI20</f>
        <v>257</v>
      </c>
      <c r="DT239" s="57">
        <f>'2018'!DJ20</f>
        <v>3125</v>
      </c>
      <c r="DU239" s="57">
        <f>'2018'!DK20</f>
        <v>23</v>
      </c>
      <c r="DV239" s="57">
        <f>'2018'!DL20</f>
        <v>0</v>
      </c>
      <c r="DW239" s="59">
        <f>'2018'!DM20</f>
        <v>0</v>
      </c>
    </row>
    <row r="240" spans="1:127" ht="15.75" customHeight="1" x14ac:dyDescent="0.2">
      <c r="A240" s="33">
        <f t="shared" si="36"/>
        <v>238</v>
      </c>
      <c r="B240" s="11">
        <f>'2016'!A20</f>
        <v>18</v>
      </c>
      <c r="C240" s="11">
        <v>2016</v>
      </c>
      <c r="D240" s="34" t="str">
        <f>'2016'!B20</f>
        <v>Peyton Barber</v>
      </c>
      <c r="E240" s="224" t="str" cm="1">
        <f t="array" ref="E240">_xlfn.IFS(F240&gt;=13,"Cornerstone",AND(F240&gt;=12,F240&lt;13),"Elite",AND(F240&gt;=11,F240&lt;12),"Elite Upside",AND(F240&gt;=9,F240&lt;11),"Upside",AND(F240&gt;=7,F240&lt;9),"Upside Lite",AND(F240&gt;=6,F240&lt;7),"Outlier",AND(F240&gt;=5,F240&lt;6),"Outlier Lite",F240&lt;5,"Purgatory")</f>
        <v>Purgatory</v>
      </c>
      <c r="F240" s="14">
        <f>'2016'!C20</f>
        <v>4.8277777777777784</v>
      </c>
      <c r="G240" s="14">
        <f t="shared" si="41"/>
        <v>27.200000000000003</v>
      </c>
      <c r="H240" s="35">
        <f t="shared" si="37"/>
        <v>-1.3435841243918047</v>
      </c>
      <c r="I240" s="36" t="str">
        <f>'2016'!D20</f>
        <v>Auburn</v>
      </c>
      <c r="J240" s="37">
        <f>'2016'!E20</f>
        <v>1</v>
      </c>
      <c r="K240" s="38">
        <f>'2016'!F20</f>
        <v>34512</v>
      </c>
      <c r="L240" s="39">
        <f>'2016'!G20</f>
        <v>31.273972602739725</v>
      </c>
      <c r="M240" s="39" t="str">
        <f>'2016'!H20</f>
        <v>JR</v>
      </c>
      <c r="N240" s="39">
        <f>'2016'!I20</f>
        <v>21.849315068493151</v>
      </c>
      <c r="O240" s="39" t="str">
        <f t="shared" si="38"/>
        <v>BRUISER</v>
      </c>
      <c r="P240" s="39" t="str">
        <f t="shared" si="44"/>
        <v>PLODDER</v>
      </c>
      <c r="Q240" s="37">
        <f>'2016'!J20</f>
        <v>70</v>
      </c>
      <c r="R240" s="37">
        <f>'2016'!K20</f>
        <v>228</v>
      </c>
      <c r="S240" s="39">
        <f t="shared" si="40"/>
        <v>32.71423130601363</v>
      </c>
      <c r="T240" s="37">
        <f>'2016'!L20</f>
        <v>4.6399999999999997</v>
      </c>
      <c r="U240" s="55">
        <f>'2016'!M20</f>
        <v>0</v>
      </c>
      <c r="V240" s="41">
        <f>'2016'!N20</f>
        <v>0</v>
      </c>
      <c r="W240" s="42">
        <f>'2016'!O20</f>
        <v>0</v>
      </c>
      <c r="X240" s="42">
        <f>'2016'!P20</f>
        <v>0</v>
      </c>
      <c r="Y240" s="42">
        <f>'2016'!Q20</f>
        <v>3.5202086049543675E-2</v>
      </c>
      <c r="Z240" s="42">
        <f>'2016'!R20</f>
        <v>0.23457483311497906</v>
      </c>
      <c r="AA240" s="42">
        <f>'2016'!S20</f>
        <v>0.23457483311497906</v>
      </c>
      <c r="AB240" s="42">
        <f>'2016'!T20</f>
        <v>0.23457483311497906</v>
      </c>
      <c r="AC240" s="42">
        <f>'2016'!U20</f>
        <v>0</v>
      </c>
      <c r="AD240" s="42">
        <f>'2016'!V20</f>
        <v>4.9656395477721126E-2</v>
      </c>
      <c r="AE240" s="42">
        <f>'2016'!W20</f>
        <v>4.9656395477721126E-2</v>
      </c>
      <c r="AF240" s="43">
        <f>'2016'!X20</f>
        <v>4.9656395477721126E-2</v>
      </c>
      <c r="AG240" s="44">
        <f>'2016'!Y20</f>
        <v>21.194520547945206</v>
      </c>
      <c r="AH240" s="45">
        <f>'2016'!Z20</f>
        <v>98.376851809959561</v>
      </c>
      <c r="AI240" s="45">
        <f>'2016'!AA20</f>
        <v>32.711020408163265</v>
      </c>
      <c r="AJ240" s="45">
        <f>'2016'!AB20</f>
        <v>0.2</v>
      </c>
      <c r="AK240" s="45">
        <f>'2016'!AC20</f>
        <v>5.4</v>
      </c>
      <c r="AL240" s="45">
        <f t="shared" si="39"/>
        <v>10.181818181818182</v>
      </c>
      <c r="AM240" s="45">
        <f t="shared" si="43"/>
        <v>4.4354838709677422E-2</v>
      </c>
      <c r="AN240" s="45">
        <f>'2016'!AD20</f>
        <v>74</v>
      </c>
      <c r="AO240" s="45">
        <f>'2016'!AE20</f>
        <v>3.7</v>
      </c>
      <c r="AP240" s="46">
        <f>'2016'!AF20</f>
        <v>18.100000000000001</v>
      </c>
      <c r="AQ240" s="47">
        <f>'2016'!AG20</f>
        <v>5</v>
      </c>
      <c r="AR240" s="48">
        <f>'2016'!AH20</f>
        <v>5</v>
      </c>
      <c r="AS240" s="48">
        <f>'2016'!AI20</f>
        <v>2</v>
      </c>
      <c r="AT240" s="48">
        <f>'2016'!AJ20</f>
        <v>4</v>
      </c>
      <c r="AU240" s="48">
        <f>'2016'!AK20</f>
        <v>6</v>
      </c>
      <c r="AV240" s="48">
        <f>'2016'!AL20</f>
        <v>2</v>
      </c>
      <c r="AW240" s="48">
        <f>'2016'!AM20</f>
        <v>5</v>
      </c>
      <c r="AX240" s="48">
        <f>'2016'!AN20</f>
        <v>5</v>
      </c>
      <c r="AY240" s="49">
        <f>'2016'!AO20</f>
        <v>0</v>
      </c>
      <c r="AZ240" s="50">
        <f>'2016'!AP20</f>
        <v>0</v>
      </c>
      <c r="BA240" s="56">
        <f>'2016'!AQ20</f>
        <v>0</v>
      </c>
      <c r="BB240" s="57">
        <f>'2016'!AR20</f>
        <v>1</v>
      </c>
      <c r="BC240" s="57">
        <f>'2016'!AS20</f>
        <v>0</v>
      </c>
      <c r="BD240" s="57">
        <f>'2016'!AT20</f>
        <v>0</v>
      </c>
      <c r="BE240" s="57">
        <f>'2016'!AU20</f>
        <v>0</v>
      </c>
      <c r="BF240" s="57">
        <f>'2016'!AV20</f>
        <v>0</v>
      </c>
      <c r="BG240" s="58">
        <f>'2016'!AW20</f>
        <v>0</v>
      </c>
      <c r="BH240" s="58">
        <f>'2016'!AX20</f>
        <v>0</v>
      </c>
      <c r="BI240" s="58">
        <f>'2016'!AY20</f>
        <v>0</v>
      </c>
      <c r="BJ240" s="58">
        <f>'2016'!AZ20</f>
        <v>0</v>
      </c>
      <c r="BK240" s="57">
        <f>'2016'!BA20</f>
        <v>0</v>
      </c>
      <c r="BL240" s="57">
        <f>'2016'!BB20</f>
        <v>1</v>
      </c>
      <c r="BM240" s="57">
        <f>'2016'!BC20</f>
        <v>0</v>
      </c>
      <c r="BN240" s="57">
        <f>'2016'!BD20</f>
        <v>0</v>
      </c>
      <c r="BO240" s="59">
        <f>'2016'!BE20</f>
        <v>0</v>
      </c>
      <c r="BP240" s="56">
        <f>'2016'!BF20</f>
        <v>0</v>
      </c>
      <c r="BQ240" s="57">
        <f>'2016'!BG20</f>
        <v>1</v>
      </c>
      <c r="BR240" s="57">
        <f>'2016'!BH20</f>
        <v>0</v>
      </c>
      <c r="BS240" s="57">
        <f>'2016'!BI20</f>
        <v>0</v>
      </c>
      <c r="BT240" s="57">
        <f>'2016'!BJ20</f>
        <v>0</v>
      </c>
      <c r="BU240" s="57">
        <f>'2016'!BK20</f>
        <v>0</v>
      </c>
      <c r="BV240" s="58">
        <f>'2016'!BL20</f>
        <v>0</v>
      </c>
      <c r="BW240" s="58">
        <f>'2016'!BM20</f>
        <v>0</v>
      </c>
      <c r="BX240" s="58">
        <f>'2016'!BN20</f>
        <v>0</v>
      </c>
      <c r="BY240" s="58">
        <f>'2016'!BO20</f>
        <v>0</v>
      </c>
      <c r="BZ240" s="57">
        <f>'2016'!BP20</f>
        <v>0</v>
      </c>
      <c r="CA240" s="57">
        <f>'2016'!BQ20</f>
        <v>1</v>
      </c>
      <c r="CB240" s="57">
        <f>'2016'!BR20</f>
        <v>0</v>
      </c>
      <c r="CC240" s="57">
        <f>'2016'!BS20</f>
        <v>0</v>
      </c>
      <c r="CD240" s="59">
        <f>'2016'!BT20</f>
        <v>0</v>
      </c>
      <c r="CE240" s="56">
        <f>'2016'!BU20</f>
        <v>0</v>
      </c>
      <c r="CF240" s="57">
        <f>'2016'!BV20</f>
        <v>1</v>
      </c>
      <c r="CG240" s="57">
        <f>'2016'!BW20</f>
        <v>0</v>
      </c>
      <c r="CH240" s="57">
        <f>'2016'!BX20</f>
        <v>0</v>
      </c>
      <c r="CI240" s="57">
        <f>'2016'!BY20</f>
        <v>0</v>
      </c>
      <c r="CJ240" s="57">
        <f>'2016'!BZ20</f>
        <v>0</v>
      </c>
      <c r="CK240" s="58">
        <f>'2016'!CA20</f>
        <v>0</v>
      </c>
      <c r="CL240" s="58">
        <f>'2016'!CB20</f>
        <v>0</v>
      </c>
      <c r="CM240" s="58">
        <f>'2016'!CC20</f>
        <v>0</v>
      </c>
      <c r="CN240" s="58">
        <f>'2016'!CD20</f>
        <v>0</v>
      </c>
      <c r="CO240" s="57">
        <f>'2016'!CE20</f>
        <v>0</v>
      </c>
      <c r="CP240" s="57">
        <f>'2016'!CF20</f>
        <v>1</v>
      </c>
      <c r="CQ240" s="57">
        <f>'2016'!CG20</f>
        <v>0</v>
      </c>
      <c r="CR240" s="57">
        <f>'2016'!CH20</f>
        <v>0</v>
      </c>
      <c r="CS240" s="59">
        <f>'2016'!CI20</f>
        <v>0</v>
      </c>
      <c r="CT240" s="56">
        <f>'2016'!CJ20</f>
        <v>54</v>
      </c>
      <c r="CU240" s="57">
        <f>'2016'!CK20</f>
        <v>1533</v>
      </c>
      <c r="CV240" s="57">
        <f>'2016'!CL20</f>
        <v>0</v>
      </c>
      <c r="CW240" s="57">
        <f>'2016'!CM20</f>
        <v>15</v>
      </c>
      <c r="CX240" s="57">
        <f>'2016'!CN20</f>
        <v>10</v>
      </c>
      <c r="CY240" s="57">
        <f>'2016'!CO20</f>
        <v>2</v>
      </c>
      <c r="CZ240" s="58">
        <f>'2016'!CP20</f>
        <v>5.4</v>
      </c>
      <c r="DA240" s="58">
        <f>'2016'!CQ20</f>
        <v>74</v>
      </c>
      <c r="DB240" s="58">
        <f>'2016'!CR20</f>
        <v>3.7</v>
      </c>
      <c r="DC240" s="58">
        <f>'2016'!CS20</f>
        <v>0</v>
      </c>
      <c r="DD240" s="57">
        <f>'2016'!CT20</f>
        <v>0</v>
      </c>
      <c r="DE240" s="57">
        <f>'2016'!CU20</f>
        <v>1</v>
      </c>
      <c r="DF240" s="57">
        <f>'2016'!CV20</f>
        <v>0</v>
      </c>
      <c r="DG240" s="57">
        <f>'2016'!CW20</f>
        <v>0</v>
      </c>
      <c r="DH240" s="59">
        <f>'2016'!CX20</f>
        <v>10.8</v>
      </c>
      <c r="DI240" s="56">
        <f>'2016'!CY20</f>
        <v>1016</v>
      </c>
      <c r="DJ240" s="57">
        <f>'2016'!CZ20</f>
        <v>2553.2000000000003</v>
      </c>
      <c r="DK240" s="57">
        <f>'2016'!DA20</f>
        <v>13</v>
      </c>
      <c r="DL240" s="57">
        <f>'2016'!DB20</f>
        <v>28.6</v>
      </c>
      <c r="DM240" s="57">
        <f>'2016'!DC20</f>
        <v>237</v>
      </c>
      <c r="DN240" s="57">
        <f>'2016'!DD20</f>
        <v>31</v>
      </c>
      <c r="DO240" s="58">
        <f>'2016'!DE20</f>
        <v>4.2869198312236287</v>
      </c>
      <c r="DP240" s="58">
        <f>'2016'!DF20</f>
        <v>30.7</v>
      </c>
      <c r="DQ240" s="58">
        <f>'2016'!DG20</f>
        <v>2.0499999999999998</v>
      </c>
      <c r="DR240" s="58">
        <f>'2016'!DH20</f>
        <v>18.100000000000001</v>
      </c>
      <c r="DS240" s="57">
        <f>'2016'!DI20</f>
        <v>112</v>
      </c>
      <c r="DT240" s="57">
        <f>'2016'!DJ20</f>
        <v>2255.5</v>
      </c>
      <c r="DU240" s="57">
        <f>'2016'!DK20</f>
        <v>11</v>
      </c>
      <c r="DV240" s="57">
        <f>'2016'!DL20</f>
        <v>0</v>
      </c>
      <c r="DW240" s="59">
        <f>'2016'!DM20</f>
        <v>10.4</v>
      </c>
    </row>
    <row r="241" spans="1:127" ht="15.75" customHeight="1" x14ac:dyDescent="0.2">
      <c r="A241" s="33">
        <f t="shared" si="36"/>
        <v>239</v>
      </c>
      <c r="B241" s="11">
        <f>'2026 - WIP'!A18</f>
        <v>16</v>
      </c>
      <c r="C241" s="11">
        <v>2026</v>
      </c>
      <c r="D241" s="34" t="str">
        <f>'2026 - WIP'!B18</f>
        <v>Raleek Brown</v>
      </c>
      <c r="E241" s="224" t="str" cm="1">
        <f t="array" ref="E241">_xlfn.IFS(F241&gt;=13,"Cornerstone",AND(F241&gt;=12,F241&lt;13),"Elite",AND(F241&gt;=11,F241&lt;12),"Elite Upside",AND(F241&gt;=9,F241&lt;11),"Upside",AND(F241&gt;=7,F241&lt;9),"Upside Lite",AND(F241&gt;=6,F241&lt;7),"Outlier",AND(F241&gt;=5,F241&lt;6),"Outlier Lite",F241&lt;5,"Purgatory")</f>
        <v>Purgatory</v>
      </c>
      <c r="F241" s="14">
        <f>'2026 - WIP'!C18</f>
        <v>4.7666666666666666</v>
      </c>
      <c r="G241" s="14">
        <f t="shared" si="41"/>
        <v>26.900000000000002</v>
      </c>
      <c r="H241" s="35">
        <f t="shared" si="37"/>
        <v>-1.3694478783175608</v>
      </c>
      <c r="I241" s="36" t="str">
        <f>'2026 - WIP'!D18</f>
        <v>Arizona State</v>
      </c>
      <c r="J241" s="37">
        <f>'2026 - WIP'!E18</f>
        <v>3</v>
      </c>
      <c r="K241" s="38">
        <f>'2026 - WIP'!F18</f>
        <v>37835</v>
      </c>
      <c r="L241" s="39">
        <f>'2026 - WIP'!G18</f>
        <v>22.169863013698631</v>
      </c>
      <c r="M241" s="39" t="str">
        <f>'2026 - WIP'!H18</f>
        <v>SR</v>
      </c>
      <c r="N241" s="39">
        <f>'2026 - WIP'!I18</f>
        <v>22.75068493150685</v>
      </c>
      <c r="O241" s="39" t="str">
        <f t="shared" si="38"/>
        <v>DYNAMIC</v>
      </c>
      <c r="P241" s="39" t="str">
        <f>IF(OR(AND($AA241&lt;0.25,$AO241&gt;=0.133,AE241&gt;4%),(AND($O241="JITTERBUG",$AO241&gt;0.11)),(AND($O241="JITTERBUG",$AE241&gt;9.5%))),"+RECEIVER",IF(AND($AJ241&gt;=0.25,$AQ241&gt;=3.81),"3DOWN",IF($AQ241&gt;=3.81,"HORSE",IF(OR(AJ241&gt;0.28,AK241&gt;7,AR241&gt;47),"SLASHER",IF(AO241&gt;0.19,"+RECEIVER","PLODDER")))))</f>
        <v>SLASHER</v>
      </c>
      <c r="Q241" s="37">
        <f>'2026 - WIP'!J18</f>
        <v>69</v>
      </c>
      <c r="R241" s="37">
        <f>'2026 - WIP'!K18</f>
        <v>195</v>
      </c>
      <c r="S241" s="39">
        <f t="shared" si="40"/>
        <v>28.796147069294769</v>
      </c>
      <c r="T241" s="39">
        <f>'2026 - WIP'!L18</f>
        <v>4.5</v>
      </c>
      <c r="U241" s="55">
        <f>'2026 - WIP'!M18</f>
        <v>0</v>
      </c>
      <c r="V241" s="41">
        <f>'2026 - WIP'!N18</f>
        <v>0</v>
      </c>
      <c r="W241" s="42">
        <f>'2026 - WIP'!O18</f>
        <v>5.3848245852597225E-2</v>
      </c>
      <c r="X241" s="42">
        <f>'2026 - WIP'!P18</f>
        <v>3.6355859709153122E-2</v>
      </c>
      <c r="Y241" s="42">
        <f>'2026 - WIP'!Q18</f>
        <v>5.4727526781555659E-2</v>
      </c>
      <c r="Z241" s="42">
        <f>'2026 - WIP'!R18</f>
        <v>0.25429017160686429</v>
      </c>
      <c r="AA241" s="42">
        <f>'2026 - WIP'!S18</f>
        <v>0.15450884919420999</v>
      </c>
      <c r="AB241" s="42">
        <f>'2026 - WIP'!T18</f>
        <v>0.139057964274789</v>
      </c>
      <c r="AC241" s="42">
        <f>'2026 - WIP'!U18</f>
        <v>1.3071895424836602E-2</v>
      </c>
      <c r="AD241" s="42">
        <f>'2026 - WIP'!V18</f>
        <v>6.4516129032258063E-2</v>
      </c>
      <c r="AE241" s="42">
        <f>'2026 - WIP'!W18</f>
        <v>1.3071895424836602E-2</v>
      </c>
      <c r="AF241" s="43">
        <f>'2026 - WIP'!X18</f>
        <v>1.1764705882352941E-2</v>
      </c>
      <c r="AG241" s="44">
        <f>'2026 - WIP'!Y18</f>
        <v>22.098630136986301</v>
      </c>
      <c r="AH241" s="45">
        <f>'2026 - WIP'!Z18</f>
        <v>95.107453132144485</v>
      </c>
      <c r="AI241" s="45">
        <f>'2026 - WIP'!AA18</f>
        <v>28.793320730938877</v>
      </c>
      <c r="AJ241" s="45">
        <f>'2026 - WIP'!AB18</f>
        <v>0.25</v>
      </c>
      <c r="AK241" s="45">
        <f>'2026 - WIP'!AC18</f>
        <v>8.3428571428571434</v>
      </c>
      <c r="AL241" s="45">
        <f t="shared" si="39"/>
        <v>8.1071428571428577</v>
      </c>
      <c r="AM241" s="45">
        <f t="shared" si="43"/>
        <v>0.14634146341463414</v>
      </c>
      <c r="AN241" s="45">
        <f>'2026 - WIP'!AD18</f>
        <v>242.5</v>
      </c>
      <c r="AO241" s="45">
        <f>'2026 - WIP'!AE18</f>
        <v>4.1399999999999997</v>
      </c>
      <c r="AP241" s="46">
        <f>'2026 - WIP'!AF18</f>
        <v>59.6</v>
      </c>
      <c r="AQ241" s="47">
        <f>'2026 - WIP'!AG18</f>
        <v>1</v>
      </c>
      <c r="AR241" s="48">
        <f>'2026 - WIP'!AH18</f>
        <v>1</v>
      </c>
      <c r="AS241" s="48">
        <f>'2026 - WIP'!AI18</f>
        <v>1</v>
      </c>
      <c r="AT241" s="48">
        <f>'2026 - WIP'!AJ18</f>
        <v>3</v>
      </c>
      <c r="AU241" s="48">
        <f>'2026 - WIP'!AK18</f>
        <v>6</v>
      </c>
      <c r="AV241" s="48">
        <f>'2026 - WIP'!AL18</f>
        <v>9</v>
      </c>
      <c r="AW241" s="48">
        <f>'2026 - WIP'!AM18</f>
        <v>10</v>
      </c>
      <c r="AX241" s="48">
        <f>'2026 - WIP'!AN18</f>
        <v>5</v>
      </c>
      <c r="AY241" s="49">
        <f>'2026 - WIP'!AO18</f>
        <v>0</v>
      </c>
      <c r="AZ241" s="50">
        <f>'2026 - WIP'!AP18</f>
        <v>0.5</v>
      </c>
      <c r="BA241" s="56">
        <f>'2026 - WIP'!AQ18</f>
        <v>0</v>
      </c>
      <c r="BB241" s="57">
        <f>'2026 - WIP'!AR18</f>
        <v>1</v>
      </c>
      <c r="BC241" s="57">
        <f>'2026 - WIP'!AS18</f>
        <v>0</v>
      </c>
      <c r="BD241" s="57">
        <f>'2026 - WIP'!AT18</f>
        <v>0</v>
      </c>
      <c r="BE241" s="57">
        <f>'2026 - WIP'!AU18</f>
        <v>0</v>
      </c>
      <c r="BF241" s="57">
        <f>'2026 - WIP'!AV18</f>
        <v>0</v>
      </c>
      <c r="BG241" s="58">
        <f>'2026 - WIP'!AW18</f>
        <v>0</v>
      </c>
      <c r="BH241" s="58">
        <f>'2026 - WIP'!AX18</f>
        <v>0</v>
      </c>
      <c r="BI241" s="58">
        <f>'2026 - WIP'!AY18</f>
        <v>0</v>
      </c>
      <c r="BJ241" s="58">
        <f>'2026 - WIP'!AZ18</f>
        <v>0</v>
      </c>
      <c r="BK241" s="57">
        <f>'2026 - WIP'!BA18</f>
        <v>0</v>
      </c>
      <c r="BL241" s="57">
        <f>'2026 - WIP'!BB18</f>
        <v>1</v>
      </c>
      <c r="BM241" s="57">
        <f>'2026 - WIP'!BC18</f>
        <v>0</v>
      </c>
      <c r="BN241" s="57">
        <f>'2026 - WIP'!BD18</f>
        <v>0</v>
      </c>
      <c r="BO241" s="59">
        <f>'2026 - WIP'!BE18</f>
        <v>0</v>
      </c>
      <c r="BP241" s="56">
        <f>'2026 - WIP'!BF18</f>
        <v>227</v>
      </c>
      <c r="BQ241" s="57">
        <f>'2026 - WIP'!BG18</f>
        <v>2658</v>
      </c>
      <c r="BR241" s="57">
        <f>'2026 - WIP'!BH18</f>
        <v>3</v>
      </c>
      <c r="BS241" s="57">
        <f>'2026 - WIP'!BI18</f>
        <v>43</v>
      </c>
      <c r="BT241" s="57">
        <f>'2026 - WIP'!BJ18</f>
        <v>42</v>
      </c>
      <c r="BU241" s="57">
        <f>'2026 - WIP'!BK18</f>
        <v>10</v>
      </c>
      <c r="BV241" s="58">
        <f>'2026 - WIP'!BL18</f>
        <v>5.4047619047619051</v>
      </c>
      <c r="BW241" s="58">
        <f>'2026 - WIP'!BM18</f>
        <v>105.3</v>
      </c>
      <c r="BX241" s="58">
        <f>'2026 - WIP'!BN18</f>
        <v>3.21</v>
      </c>
      <c r="BY241" s="58">
        <f>'2026 - WIP'!BO18</f>
        <v>25.6</v>
      </c>
      <c r="BZ241" s="57">
        <f>'2026 - WIP'!BP18</f>
        <v>169</v>
      </c>
      <c r="CA241" s="57">
        <f>'2026 - WIP'!BQ18</f>
        <v>4696</v>
      </c>
      <c r="CB241" s="57">
        <f>'2026 - WIP'!BR18</f>
        <v>16</v>
      </c>
      <c r="CC241" s="57">
        <f>'2026 - WIP'!BS18</f>
        <v>3</v>
      </c>
      <c r="CD241" s="59">
        <f>'2026 - WIP'!BT18</f>
        <v>43</v>
      </c>
      <c r="CE241" s="56">
        <f>'2026 - WIP'!BU18</f>
        <v>16</v>
      </c>
      <c r="CF241" s="57">
        <f>'2026 - WIP'!BV18</f>
        <v>269.2</v>
      </c>
      <c r="CG241" s="57">
        <f>'2026 - WIP'!BW18</f>
        <v>1</v>
      </c>
      <c r="CH241" s="57">
        <f>'2026 - WIP'!BX18</f>
        <v>33</v>
      </c>
      <c r="CI241" s="57">
        <f>'2026 - WIP'!BY18</f>
        <v>3</v>
      </c>
      <c r="CJ241" s="57">
        <f>'2026 - WIP'!BZ18</f>
        <v>1</v>
      </c>
      <c r="CK241" s="58">
        <f>'2026 - WIP'!CA18</f>
        <v>5.333333333333333</v>
      </c>
      <c r="CL241" s="58">
        <f>'2026 - WIP'!CB18</f>
        <v>50</v>
      </c>
      <c r="CM241" s="58">
        <f>'2026 - WIP'!CC18</f>
        <v>3</v>
      </c>
      <c r="CN241" s="58">
        <f>'2026 - WIP'!CD18</f>
        <v>0</v>
      </c>
      <c r="CO241" s="57">
        <f>'2026 - WIP'!CE18</f>
        <v>18</v>
      </c>
      <c r="CP241" s="57">
        <f>'2026 - WIP'!CF18</f>
        <v>666</v>
      </c>
      <c r="CQ241" s="57">
        <f>'2026 - WIP'!CG18</f>
        <v>3</v>
      </c>
      <c r="CR241" s="57">
        <f>'2026 - WIP'!CH18</f>
        <v>0</v>
      </c>
      <c r="CS241" s="59">
        <f>'2026 - WIP'!CI18</f>
        <v>5.6</v>
      </c>
      <c r="CT241" s="56">
        <f>'2026 - WIP'!CJ18</f>
        <v>41</v>
      </c>
      <c r="CU241" s="57">
        <f>'2026 - WIP'!CK18</f>
        <v>399.8</v>
      </c>
      <c r="CV241" s="57">
        <f>'2026 - WIP'!CL18</f>
        <v>0</v>
      </c>
      <c r="CW241" s="57">
        <f>'2026 - WIP'!CM18</f>
        <v>4.2</v>
      </c>
      <c r="CX241" s="57">
        <f>'2026 - WIP'!CN18</f>
        <v>8</v>
      </c>
      <c r="CY241" s="57">
        <f>'2026 - WIP'!CO18</f>
        <v>2</v>
      </c>
      <c r="CZ241" s="58">
        <f>'2026 - WIP'!CP18</f>
        <v>5.125</v>
      </c>
      <c r="DA241" s="58">
        <f>'2026 - WIP'!CQ18</f>
        <v>70.5</v>
      </c>
      <c r="DB241" s="58">
        <f>'2026 - WIP'!CR18</f>
        <v>3.88</v>
      </c>
      <c r="DC241" s="58">
        <f>'2026 - WIP'!CS18</f>
        <v>0</v>
      </c>
      <c r="DD241" s="57">
        <f>'2026 - WIP'!CT18</f>
        <v>6</v>
      </c>
      <c r="DE241" s="57">
        <f>'2026 - WIP'!CU18</f>
        <v>459</v>
      </c>
      <c r="DF241" s="57">
        <f>'2026 - WIP'!CV18</f>
        <v>3</v>
      </c>
      <c r="DG241" s="57">
        <f>'2026 - WIP'!CW18</f>
        <v>0</v>
      </c>
      <c r="DH241" s="59">
        <f>'2026 - WIP'!CX18</f>
        <v>3.8</v>
      </c>
      <c r="DI241" s="56">
        <f>'2026 - WIP'!CY18</f>
        <v>292</v>
      </c>
      <c r="DJ241" s="57">
        <f>'2026 - WIP'!CZ18</f>
        <v>755</v>
      </c>
      <c r="DK241" s="57">
        <f>'2026 - WIP'!DA18</f>
        <v>0</v>
      </c>
      <c r="DL241" s="57">
        <f>'2026 - WIP'!DB18</f>
        <v>0</v>
      </c>
      <c r="DM241" s="57">
        <f>'2026 - WIP'!DC18</f>
        <v>35</v>
      </c>
      <c r="DN241" s="57">
        <f>'2026 - WIP'!DD18</f>
        <v>20</v>
      </c>
      <c r="DO241" s="58">
        <f>'2026 - WIP'!DE18</f>
        <v>8.3428571428571434</v>
      </c>
      <c r="DP241" s="58">
        <f>'2026 - WIP'!DF18</f>
        <v>242.5</v>
      </c>
      <c r="DQ241" s="58">
        <f>'2026 - WIP'!DG18</f>
        <v>4.1399999999999997</v>
      </c>
      <c r="DR241" s="58">
        <f>'2026 - WIP'!DH18</f>
        <v>59.6</v>
      </c>
      <c r="DS241" s="57">
        <f>'2026 - WIP'!DI18</f>
        <v>34</v>
      </c>
      <c r="DT241" s="57">
        <f>'2026 - WIP'!DJ18</f>
        <v>527</v>
      </c>
      <c r="DU241" s="57">
        <f>'2026 - WIP'!DK18</f>
        <v>6</v>
      </c>
      <c r="DV241" s="57">
        <f>'2026 - WIP'!DL18</f>
        <v>0</v>
      </c>
      <c r="DW241" s="59">
        <f>'2026 - WIP'!DM18</f>
        <v>0</v>
      </c>
    </row>
    <row r="242" spans="1:127" ht="15.75" customHeight="1" x14ac:dyDescent="0.2">
      <c r="A242" s="33">
        <f t="shared" si="36"/>
        <v>240</v>
      </c>
      <c r="B242" s="11">
        <f>'2023'!A24</f>
        <v>22</v>
      </c>
      <c r="C242" s="11">
        <v>2023</v>
      </c>
      <c r="D242" s="34" t="str">
        <f>'2023'!B24</f>
        <v>Mohamed Ibrahim</v>
      </c>
      <c r="E242" s="224" t="str" cm="1">
        <f t="array" ref="E242">_xlfn.IFS(F242&gt;=13,"Cornerstone",AND(F242&gt;=12,F242&lt;13),"Elite",AND(F242&gt;=11,F242&lt;12),"Elite Upside",AND(F242&gt;=9,F242&lt;11),"Upside",AND(F242&gt;=7,F242&lt;9),"Upside Lite",AND(F242&gt;=6,F242&lt;7),"Outlier",AND(F242&gt;=5,F242&lt;6),"Outlier Lite",F242&lt;5,"Purgatory")</f>
        <v>Purgatory</v>
      </c>
      <c r="F242" s="14">
        <f>'2023'!C24</f>
        <v>4.7611111111111111</v>
      </c>
      <c r="G242" s="14">
        <f t="shared" si="41"/>
        <v>26.200000000000003</v>
      </c>
      <c r="H242" s="35">
        <f t="shared" si="37"/>
        <v>-1.3717991286744478</v>
      </c>
      <c r="I242" s="36" t="str">
        <f>'2023'!D24</f>
        <v>Minnesota</v>
      </c>
      <c r="J242" s="37">
        <f>'2023'!E24</f>
        <v>2</v>
      </c>
      <c r="K242" s="38">
        <f>'2023'!F24</f>
        <v>36046</v>
      </c>
      <c r="L242" s="39">
        <f>'2023'!G24</f>
        <v>27.07123287671233</v>
      </c>
      <c r="M242" s="39" t="str">
        <f>'2023'!H24</f>
        <v>RS SR</v>
      </c>
      <c r="N242" s="39">
        <f>'2023'!I24</f>
        <v>24.649315068493152</v>
      </c>
      <c r="O242" s="39" t="str">
        <f t="shared" si="38"/>
        <v>BELL CALF</v>
      </c>
      <c r="P242" s="39" t="str">
        <f>IF(OR(AND($AA242&lt;0.25,$AM242&gt;=0.133,AE242&gt;4%),(AND($O242="JITTERBUG",$AM242&gt;0.11)),(AND($O242="JITTERBUG",$AE242&gt;9.5%))),"+RECEIVER",IF(AND($AJ242&gt;=0.25,$AO242&gt;=3.81),"3DOWN",IF($AO242&gt;=3.81,"HORSE",IF(OR(AJ242&gt;0.28,AK242&gt;7,AP242&gt;47),"SLASHER",IF(AM242&gt;0.19,"+RECEIVER","PLODDER")))))</f>
        <v>HORSE</v>
      </c>
      <c r="Q242" s="37">
        <f>'2023'!J24</f>
        <v>68</v>
      </c>
      <c r="R242" s="37">
        <f>'2023'!K24</f>
        <v>203</v>
      </c>
      <c r="S242" s="39">
        <f t="shared" si="40"/>
        <v>30.865702475349593</v>
      </c>
      <c r="T242" s="37">
        <f>'2023'!L24</f>
        <v>4.5199999999999996</v>
      </c>
      <c r="U242" s="40">
        <f>'2023'!M24</f>
        <v>0</v>
      </c>
      <c r="V242" s="41">
        <f>'2023'!N24</f>
        <v>0.2403242147922999</v>
      </c>
      <c r="W242" s="42">
        <f>'2023'!O24</f>
        <v>0.10986467236467236</v>
      </c>
      <c r="X242" s="42">
        <f>'2023'!P24</f>
        <v>0.41359152356594814</v>
      </c>
      <c r="Y242" s="42">
        <f>'2023'!Q24</f>
        <v>3.4821619312112799E-2</v>
      </c>
      <c r="Z242" s="42">
        <f>'2023'!R24</f>
        <v>0.3404381290704559</v>
      </c>
      <c r="AA242" s="42">
        <f>'2023'!S24</f>
        <v>0.37701482631820205</v>
      </c>
      <c r="AB242" s="42">
        <f>'2023'!T24</f>
        <v>0.37701482631820205</v>
      </c>
      <c r="AC242" s="42">
        <f>'2023'!U24</f>
        <v>0</v>
      </c>
      <c r="AD242" s="42">
        <f>'2023'!V24</f>
        <v>2.1105951878429716E-2</v>
      </c>
      <c r="AE242" s="42">
        <f>'2023'!W24</f>
        <v>2.1105951878429716E-2</v>
      </c>
      <c r="AF242" s="43">
        <f>'2023'!X24</f>
        <v>2.1105951878429716E-2</v>
      </c>
      <c r="AG242" s="44">
        <f>'2023'!Y24</f>
        <v>19.991780821917807</v>
      </c>
      <c r="AH242" s="45">
        <f>'2023'!Z24</f>
        <v>97.268516967901164</v>
      </c>
      <c r="AI242" s="45">
        <f>'2023'!AA24</f>
        <v>30.862673010380622</v>
      </c>
      <c r="AJ242" s="45">
        <f>'2023'!AB24</f>
        <v>0.21875</v>
      </c>
      <c r="AK242" s="45">
        <f>'2023'!AC24</f>
        <v>5.4</v>
      </c>
      <c r="AL242" s="45">
        <f t="shared" si="39"/>
        <v>7.4736842105263159</v>
      </c>
      <c r="AM242" s="45">
        <f t="shared" si="43"/>
        <v>2.1406727828746176E-2</v>
      </c>
      <c r="AN242" s="45">
        <f>'2023'!AD24</f>
        <v>75</v>
      </c>
      <c r="AO242" s="45">
        <f>'2023'!AE24</f>
        <v>4.9000000000000004</v>
      </c>
      <c r="AP242" s="46">
        <f>'2023'!AF24</f>
        <v>46</v>
      </c>
      <c r="AQ242" s="47">
        <f>'2023'!AG24</f>
        <v>10</v>
      </c>
      <c r="AR242" s="48">
        <f>'2023'!AH24</f>
        <v>2</v>
      </c>
      <c r="AS242" s="48">
        <f>'2023'!AI24</f>
        <v>5</v>
      </c>
      <c r="AT242" s="48">
        <f>IF(AH242&gt;113.25,10,IF(AH242&gt;=107.84,9,IF(AH242&gt;=105.37,8,IF(AH242&gt;=103.25,7,IF(AH242&gt;=100.55,6,IF(AH242&gt;=98.75,5,IF(AH242&gt;=96.08,4,IF(AH242&gt;=94.39,3,IF(AH242&gt;=88.43,2,IF(AH242&gt;=85.16,1,IF(AH242&lt;85.16,0,FALSE)))))))))))</f>
        <v>4</v>
      </c>
      <c r="AU242" s="48">
        <f>'2023'!AK24</f>
        <v>4</v>
      </c>
      <c r="AV242" s="48">
        <f>'2023'!AL24</f>
        <v>2</v>
      </c>
      <c r="AW242" s="48">
        <f>'2023'!AM24</f>
        <v>2</v>
      </c>
      <c r="AX242" s="48">
        <f>'2023'!AN24</f>
        <v>8</v>
      </c>
      <c r="AY242" s="49">
        <f>'2023'!AO24</f>
        <v>0</v>
      </c>
      <c r="AZ242" s="50">
        <f>'2023'!AP24</f>
        <v>0</v>
      </c>
      <c r="BA242" s="56">
        <f>'2023'!AQ24</f>
        <v>1160</v>
      </c>
      <c r="BB242" s="57">
        <f>'2023'!AR24</f>
        <v>2221</v>
      </c>
      <c r="BC242" s="57">
        <f>'2023'!AS24</f>
        <v>9</v>
      </c>
      <c r="BD242" s="57">
        <f>'2023'!AT24</f>
        <v>23</v>
      </c>
      <c r="BE242" s="57">
        <f>'2023'!AU24</f>
        <v>202</v>
      </c>
      <c r="BF242" s="57">
        <f>'2023'!AV24</f>
        <v>34</v>
      </c>
      <c r="BG242" s="58">
        <f>'2023'!AW24</f>
        <v>5.7</v>
      </c>
      <c r="BH242" s="58">
        <f>'2023'!AX24</f>
        <v>57.3</v>
      </c>
      <c r="BI242" s="58">
        <f>'2023'!AY24</f>
        <v>3.28</v>
      </c>
      <c r="BJ242" s="58">
        <f>'2023'!AZ24</f>
        <v>35.9</v>
      </c>
      <c r="BK242" s="57">
        <f>'2023'!BA24</f>
        <v>26</v>
      </c>
      <c r="BL242" s="57">
        <f>'2023'!BB24</f>
        <v>2714</v>
      </c>
      <c r="BM242" s="57">
        <f>'2023'!BC24</f>
        <v>2</v>
      </c>
      <c r="BN242" s="57">
        <f>'2023'!BD24</f>
        <v>0</v>
      </c>
      <c r="BO242" s="59">
        <f>'2023'!BE24</f>
        <v>20</v>
      </c>
      <c r="BP242" s="56">
        <f>'2023'!BF24</f>
        <v>604</v>
      </c>
      <c r="BQ242" s="57">
        <f>'2023'!BG24</f>
        <v>2323</v>
      </c>
      <c r="BR242" s="57">
        <f>'2023'!BH24</f>
        <v>7</v>
      </c>
      <c r="BS242" s="57">
        <f>'2023'!BI24</f>
        <v>25</v>
      </c>
      <c r="BT242" s="57">
        <f>'2023'!BJ24</f>
        <v>114</v>
      </c>
      <c r="BU242" s="57">
        <f>'2023'!BK24</f>
        <v>27</v>
      </c>
      <c r="BV242" s="58">
        <f>'2023'!BL24</f>
        <v>5.3</v>
      </c>
      <c r="BW242" s="58">
        <f>'2023'!BM24</f>
        <v>89.1</v>
      </c>
      <c r="BX242" s="58">
        <f>'2023'!BN24</f>
        <v>3.6</v>
      </c>
      <c r="BY242" s="58">
        <f>'2023'!BO24</f>
        <v>24.7</v>
      </c>
      <c r="BZ242" s="57">
        <f>'2023'!BP24</f>
        <v>13</v>
      </c>
      <c r="CA242" s="57">
        <f>'2023'!BQ24</f>
        <v>3293</v>
      </c>
      <c r="CB242" s="57">
        <f>'2023'!BR24</f>
        <v>3</v>
      </c>
      <c r="CC242" s="57">
        <f>'2023'!BS24</f>
        <v>0</v>
      </c>
      <c r="CD242" s="59">
        <f>'2023'!BT24</f>
        <v>31</v>
      </c>
      <c r="CE242" s="56">
        <f>'2023'!BU24</f>
        <v>1079</v>
      </c>
      <c r="CF242" s="57">
        <f>'2023'!BV24</f>
        <v>1343</v>
      </c>
      <c r="CG242" s="57">
        <f>'2023'!BW24</f>
        <v>15</v>
      </c>
      <c r="CH242" s="57">
        <f>'2023'!BX24</f>
        <v>19</v>
      </c>
      <c r="CI242" s="57">
        <f>'2023'!BY24</f>
        <v>202</v>
      </c>
      <c r="CJ242" s="57">
        <f>'2023'!BZ24</f>
        <v>37</v>
      </c>
      <c r="CK242" s="58">
        <f>'2023'!CA24</f>
        <v>5.3</v>
      </c>
      <c r="CL242" s="58">
        <f>'2023'!CB24</f>
        <v>60.6</v>
      </c>
      <c r="CM242" s="58">
        <f>'2023'!CC24</f>
        <v>3.33</v>
      </c>
      <c r="CN242" s="58">
        <f>'2023'!CD24</f>
        <v>38.5</v>
      </c>
      <c r="CO242" s="57">
        <f>'2023'!CE24</f>
        <v>53</v>
      </c>
      <c r="CP242" s="57">
        <f>'2023'!CF24</f>
        <v>1394</v>
      </c>
      <c r="CQ242" s="57">
        <f>'2023'!CG24</f>
        <v>7</v>
      </c>
      <c r="CR242" s="57">
        <f>'2023'!CH24</f>
        <v>0</v>
      </c>
      <c r="CS242" s="59">
        <f>'2023'!CI24</f>
        <v>7</v>
      </c>
      <c r="CT242" s="56">
        <f>'2023'!CJ24</f>
        <v>163</v>
      </c>
      <c r="CU242" s="57">
        <f>'2023'!CK24</f>
        <v>2575</v>
      </c>
      <c r="CV242" s="57">
        <f>'2023'!CL24</f>
        <v>2</v>
      </c>
      <c r="CW242" s="57">
        <f>'2023'!CM24</f>
        <v>27</v>
      </c>
      <c r="CX242" s="57">
        <f>'2023'!CN24</f>
        <v>30</v>
      </c>
      <c r="CY242" s="57">
        <f>'2023'!CO24</f>
        <v>3</v>
      </c>
      <c r="CZ242" s="58">
        <f>'2023'!CP24</f>
        <v>5.4</v>
      </c>
      <c r="DA242" s="58">
        <f>'2023'!CQ24</f>
        <v>49</v>
      </c>
      <c r="DB242" s="58">
        <f>'2023'!CR24</f>
        <v>4.9000000000000004</v>
      </c>
      <c r="DC242" s="58">
        <f>'2023'!CS24</f>
        <v>46</v>
      </c>
      <c r="DD242" s="57">
        <f>'2023'!CT24</f>
        <v>0</v>
      </c>
      <c r="DE242" s="57">
        <f>'2023'!CU24</f>
        <v>2106</v>
      </c>
      <c r="DF242" s="57">
        <f>'2023'!CV24</f>
        <v>0</v>
      </c>
      <c r="DG242" s="57">
        <f>'2023'!CW24</f>
        <v>0</v>
      </c>
      <c r="DH242" s="59">
        <f>'2023'!CX24</f>
        <v>12</v>
      </c>
      <c r="DI242" s="56">
        <f>'2023'!CY24</f>
        <v>1675</v>
      </c>
      <c r="DJ242" s="57">
        <f>'2023'!CZ24</f>
        <v>2698</v>
      </c>
      <c r="DK242" s="57">
        <f>'2023'!DA24</f>
        <v>20</v>
      </c>
      <c r="DL242" s="57">
        <f>'2023'!DB24</f>
        <v>33</v>
      </c>
      <c r="DM242" s="57">
        <f>'2023'!DC24</f>
        <v>320</v>
      </c>
      <c r="DN242" s="57">
        <f>'2023'!DD24</f>
        <v>70</v>
      </c>
      <c r="DO242" s="58">
        <f>'2023'!DE24</f>
        <v>5.2</v>
      </c>
      <c r="DP242" s="58">
        <f>'2023'!DF24</f>
        <v>75</v>
      </c>
      <c r="DQ242" s="58">
        <f>'2023'!DG24</f>
        <v>3.46</v>
      </c>
      <c r="DR242" s="58">
        <f>'2023'!DH24</f>
        <v>30.2</v>
      </c>
      <c r="DS242" s="57">
        <f>'2023'!DI24</f>
        <v>50</v>
      </c>
      <c r="DT242" s="57">
        <f>'2023'!DJ24</f>
        <v>2369</v>
      </c>
      <c r="DU242" s="57">
        <f>'2023'!DK24</f>
        <v>7</v>
      </c>
      <c r="DV242" s="57">
        <f>'2023'!DL24</f>
        <v>0</v>
      </c>
      <c r="DW242" s="59">
        <f>'2023'!DM24</f>
        <v>12</v>
      </c>
    </row>
    <row r="243" spans="1:127" ht="15.75" customHeight="1" x14ac:dyDescent="0.2">
      <c r="A243" s="33">
        <f t="shared" si="36"/>
        <v>240</v>
      </c>
      <c r="B243" s="11">
        <f>'2025'!A32</f>
        <v>30</v>
      </c>
      <c r="C243" s="11">
        <v>2025</v>
      </c>
      <c r="D243" s="34" t="str">
        <f>'2025'!B32</f>
        <v>Phil Mafah</v>
      </c>
      <c r="E243" s="224" t="str" cm="1">
        <f t="array" ref="E243">_xlfn.IFS(F243&gt;=13,"Cornerstone",AND(F243&gt;=12,F243&lt;13),"Elite",AND(F243&gt;=11,F243&lt;12),"Elite Upside",AND(F243&gt;=9,F243&lt;11),"Upside",AND(F243&gt;=7,F243&lt;9),"Upside Lite",AND(F243&gt;=6,F243&lt;7),"Outlier",AND(F243&gt;=5,F243&lt;6),"Outlier Lite",F243&lt;5,"Purgatory")</f>
        <v>Purgatory</v>
      </c>
      <c r="F243" s="14">
        <f>'2025'!C32</f>
        <v>4.7611111111111111</v>
      </c>
      <c r="G243" s="14">
        <f t="shared" si="41"/>
        <v>26.200000000000003</v>
      </c>
      <c r="H243" s="35">
        <f t="shared" si="37"/>
        <v>-1.3717991286744478</v>
      </c>
      <c r="I243" s="36" t="str">
        <f>'2025'!D32</f>
        <v>Clemson</v>
      </c>
      <c r="J243" s="37">
        <f>'2025'!E32</f>
        <v>4</v>
      </c>
      <c r="K243" s="38">
        <f>'2025'!F32</f>
        <v>37553</v>
      </c>
      <c r="L243" s="39">
        <f>'2025'!G32</f>
        <v>22.942465753424656</v>
      </c>
      <c r="M243" s="39" t="str">
        <f>'2025'!H32</f>
        <v>SR</v>
      </c>
      <c r="N243" s="39">
        <f>'2025'!I32</f>
        <v>22.523287671232875</v>
      </c>
      <c r="O243" s="39" t="str">
        <f t="shared" si="38"/>
        <v>BRUISER</v>
      </c>
      <c r="P243" s="39" t="str">
        <f>IF(OR(AND($AA243&lt;0.25,$AM243&gt;=0.133,AE243&gt;4%),(AND($O243="JITTERBUG",$AM243&gt;0.11)),(AND($O243="JITTERBUG",$AE243&gt;9.5%))),"+RECEIVER",IF(AND($AJ243&gt;=0.25,$AO243&gt;=3.81),"3DOWN",IF($AO243&gt;=3.81,"HORSE",IF(OR(AJ243&gt;0.28,AK243&gt;7,AP243&gt;47),"SLASHER",IF(AM243&gt;0.19,"+RECEIVER","PLODDER")))))</f>
        <v>PLODDER</v>
      </c>
      <c r="Q243" s="37">
        <f>'2025'!J32</f>
        <v>73</v>
      </c>
      <c r="R243" s="37">
        <f>'2025'!K32</f>
        <v>234</v>
      </c>
      <c r="S243" s="39">
        <f t="shared" si="40"/>
        <v>30.872236336328562</v>
      </c>
      <c r="T243" s="37">
        <f>'2025'!L32</f>
        <v>4.55</v>
      </c>
      <c r="U243" s="40">
        <f>'2025'!M32</f>
        <v>0</v>
      </c>
      <c r="V243" s="41">
        <f>'2025'!N32</f>
        <v>0</v>
      </c>
      <c r="W243" s="42">
        <f>'2025'!O32</f>
        <v>0.10532150776053216</v>
      </c>
      <c r="X243" s="42">
        <f>'2025'!P32</f>
        <v>9.8011907663382192E-2</v>
      </c>
      <c r="Y243" s="42">
        <f>'2025'!Q32</f>
        <v>0.20515367423735933</v>
      </c>
      <c r="Z243" s="42">
        <f>'2025'!R32</f>
        <v>0.19364527347454949</v>
      </c>
      <c r="AA243" s="42">
        <f>'2025'!S32</f>
        <v>0.19939947385595441</v>
      </c>
      <c r="AB243" s="42">
        <f>'2025'!T32</f>
        <v>0.17945952647035898</v>
      </c>
      <c r="AC243" s="42">
        <f>'2025'!U32</f>
        <v>3.637343392159504E-2</v>
      </c>
      <c r="AD243" s="42">
        <f>'2025'!V32</f>
        <v>2.641703000769428E-2</v>
      </c>
      <c r="AE243" s="42">
        <f>'2025'!W32</f>
        <v>3.1395231964644658E-2</v>
      </c>
      <c r="AF243" s="43">
        <f>'2025'!X32</f>
        <v>2.8255708768180194E-2</v>
      </c>
      <c r="AG243" s="44">
        <f>'2025'!Y32</f>
        <v>20.876712328767123</v>
      </c>
      <c r="AH243" s="45">
        <f>'2025'!Z32</f>
        <v>109.19437489727484</v>
      </c>
      <c r="AI243" s="45">
        <f>'2025'!AA32</f>
        <v>30.869206230061923</v>
      </c>
      <c r="AJ243" s="45">
        <f>'2025'!AB32</f>
        <v>0.2247191011235955</v>
      </c>
      <c r="AK243" s="45">
        <f>'2025'!AC32</f>
        <v>5.4269662921348312</v>
      </c>
      <c r="AL243" s="45">
        <f t="shared" si="39"/>
        <v>5.3275862068965516</v>
      </c>
      <c r="AM243" s="45">
        <f t="shared" ref="AM243:AM274" si="46">DU243/SUM(DM243,DU243)</f>
        <v>8.8983050847457626E-2</v>
      </c>
      <c r="AN243" s="45">
        <f>'2025'!AD32</f>
        <v>81.2</v>
      </c>
      <c r="AO243" s="45">
        <f>'2025'!AE32</f>
        <v>3.67</v>
      </c>
      <c r="AP243" s="46">
        <f>'2025'!AF32</f>
        <v>45.4</v>
      </c>
      <c r="AQ243" s="47">
        <f>'2025'!AG32</f>
        <v>3</v>
      </c>
      <c r="AR243" s="48">
        <f>'2025'!AH32</f>
        <v>3</v>
      </c>
      <c r="AS243" s="48">
        <f>'2025'!AI32</f>
        <v>3</v>
      </c>
      <c r="AT243" s="48">
        <f>'2025'!AJ32</f>
        <v>9</v>
      </c>
      <c r="AU243" s="48">
        <f>'2025'!AK32</f>
        <v>5</v>
      </c>
      <c r="AV243" s="48">
        <f>'2025'!AL32</f>
        <v>2</v>
      </c>
      <c r="AW243" s="48">
        <f>'2025'!AM32</f>
        <v>2</v>
      </c>
      <c r="AX243" s="48">
        <f>'2025'!AN32</f>
        <v>3</v>
      </c>
      <c r="AY243" s="49">
        <f>'2025'!AO32</f>
        <v>0</v>
      </c>
      <c r="AZ243" s="50">
        <f>'2025'!AP32</f>
        <v>0.75</v>
      </c>
      <c r="BA243" s="56">
        <f>'2025'!AQ32</f>
        <v>0</v>
      </c>
      <c r="BB243" s="57">
        <f>'2025'!AR32</f>
        <v>1</v>
      </c>
      <c r="BC243" s="57">
        <f>'2025'!AS32</f>
        <v>0</v>
      </c>
      <c r="BD243" s="57">
        <f>'2025'!AT32</f>
        <v>0</v>
      </c>
      <c r="BE243" s="57">
        <f>'2025'!AU32</f>
        <v>0</v>
      </c>
      <c r="BF243" s="57">
        <f>'2025'!AV32</f>
        <v>0</v>
      </c>
      <c r="BG243" s="58">
        <f>'2025'!AW32</f>
        <v>0</v>
      </c>
      <c r="BH243" s="58">
        <f>'2025'!AX32</f>
        <v>0</v>
      </c>
      <c r="BI243" s="58">
        <f>'2025'!AY32</f>
        <v>0</v>
      </c>
      <c r="BJ243" s="58">
        <f>'2025'!AZ32</f>
        <v>0</v>
      </c>
      <c r="BK243" s="57">
        <f>'2025'!BA32</f>
        <v>0</v>
      </c>
      <c r="BL243" s="57">
        <f>'2025'!BB32</f>
        <v>0</v>
      </c>
      <c r="BM243" s="57">
        <f>'2025'!BC32</f>
        <v>0</v>
      </c>
      <c r="BN243" s="57">
        <f>'2025'!BD32</f>
        <v>0</v>
      </c>
      <c r="BO243" s="59">
        <f>'2025'!BE32</f>
        <v>0</v>
      </c>
      <c r="BP243" s="56">
        <f>'2025'!BF32</f>
        <v>292</v>
      </c>
      <c r="BQ243" s="57">
        <f>'2025'!BG32</f>
        <v>1526.3999999999999</v>
      </c>
      <c r="BR243" s="57">
        <f>'2025'!BH32</f>
        <v>3</v>
      </c>
      <c r="BS243" s="57">
        <f>'2025'!BI32</f>
        <v>18</v>
      </c>
      <c r="BT243" s="57">
        <f>'2025'!BJ32</f>
        <v>68</v>
      </c>
      <c r="BU243" s="57">
        <f>'2025'!BK32</f>
        <v>16</v>
      </c>
      <c r="BV243" s="58">
        <f>'2025'!BL32</f>
        <v>4.2941176470588234</v>
      </c>
      <c r="BW243" s="58">
        <f>'2025'!BM32</f>
        <v>77.7</v>
      </c>
      <c r="BX243" s="58">
        <f>'2025'!BN32</f>
        <v>3.43</v>
      </c>
      <c r="BY243" s="58">
        <f>'2025'!BO32</f>
        <v>31.2</v>
      </c>
      <c r="BZ243" s="57">
        <f>'2025'!BP32</f>
        <v>50</v>
      </c>
      <c r="CA243" s="57">
        <f>'2025'!BQ32</f>
        <v>1720.8</v>
      </c>
      <c r="CB243" s="57">
        <f>'2025'!BR32</f>
        <v>7</v>
      </c>
      <c r="CC243" s="57">
        <f>'2025'!BS32</f>
        <v>0</v>
      </c>
      <c r="CD243" s="59">
        <f>'2025'!BT32</f>
        <v>8.1</v>
      </c>
      <c r="CE243" s="56">
        <f>'2025'!BU32</f>
        <v>515</v>
      </c>
      <c r="CF243" s="57">
        <f>'2025'!BV32</f>
        <v>2490.6</v>
      </c>
      <c r="CG243" s="57">
        <f>'2025'!BW32</f>
        <v>4</v>
      </c>
      <c r="CH243" s="57">
        <f>'2025'!BX32</f>
        <v>30.800000000000004</v>
      </c>
      <c r="CI243" s="57">
        <f>'2025'!BY32</f>
        <v>98</v>
      </c>
      <c r="CJ243" s="57">
        <f>'2025'!BZ32</f>
        <v>21</v>
      </c>
      <c r="CK243" s="58">
        <f>'2025'!CA32</f>
        <v>5.2551020408163263</v>
      </c>
      <c r="CL243" s="58">
        <f>'2025'!CB32</f>
        <v>81.5</v>
      </c>
      <c r="CM243" s="58">
        <f>'2025'!CC32</f>
        <v>3.63</v>
      </c>
      <c r="CN243" s="58">
        <f>'2025'!CD32</f>
        <v>22.1</v>
      </c>
      <c r="CO243" s="57">
        <f>'2025'!CE32</f>
        <v>48</v>
      </c>
      <c r="CP243" s="57">
        <f>'2025'!CF32</f>
        <v>3253.6</v>
      </c>
      <c r="CQ243" s="57">
        <f>'2025'!CG32</f>
        <v>9</v>
      </c>
      <c r="CR243" s="57">
        <f>'2025'!CH32</f>
        <v>0</v>
      </c>
      <c r="CS243" s="59">
        <f>'2025'!CI32</f>
        <v>23.8</v>
      </c>
      <c r="CT243" s="56">
        <f>'2025'!CJ32</f>
        <v>966</v>
      </c>
      <c r="CU243" s="57">
        <f>'2025'!CK32</f>
        <v>2265.9</v>
      </c>
      <c r="CV243" s="57">
        <f>'2025'!CL32</f>
        <v>13</v>
      </c>
      <c r="CW243" s="57">
        <f>'2025'!CM32</f>
        <v>23.400000000000002</v>
      </c>
      <c r="CX243" s="57">
        <f>'2025'!CN32</f>
        <v>178</v>
      </c>
      <c r="CY243" s="57">
        <f>'2025'!CO32</f>
        <v>40</v>
      </c>
      <c r="CZ243" s="58">
        <f>'2025'!CP32</f>
        <v>5.4269662921348312</v>
      </c>
      <c r="DA243" s="58">
        <f>'2025'!CQ32</f>
        <v>81.2</v>
      </c>
      <c r="DB243" s="58">
        <f>'2025'!CR32</f>
        <v>3.67</v>
      </c>
      <c r="DC243" s="58">
        <f>'2025'!CS32</f>
        <v>45.4</v>
      </c>
      <c r="DD243" s="57">
        <f>'2025'!CT32</f>
        <v>108</v>
      </c>
      <c r="DE243" s="57">
        <f>'2025'!CU32</f>
        <v>2969.2000000000003</v>
      </c>
      <c r="DF243" s="57">
        <f>'2025'!CV32</f>
        <v>21</v>
      </c>
      <c r="DG243" s="57">
        <f>'2025'!CW32</f>
        <v>0</v>
      </c>
      <c r="DH243" s="59">
        <f>'2025'!CX32</f>
        <v>19.5</v>
      </c>
      <c r="DI243" s="56">
        <f>'2025'!CY32</f>
        <v>1122</v>
      </c>
      <c r="DJ243" s="57">
        <f>'2025'!CZ32</f>
        <v>2427</v>
      </c>
      <c r="DK243" s="57">
        <f>'2025'!DA32</f>
        <v>8</v>
      </c>
      <c r="DL243" s="57">
        <f>'2025'!DB32</f>
        <v>22.799999999999997</v>
      </c>
      <c r="DM243" s="57">
        <f>'2025'!DC32</f>
        <v>215</v>
      </c>
      <c r="DN243" s="57">
        <f>'2025'!DD32</f>
        <v>34</v>
      </c>
      <c r="DO243" s="58">
        <f>'2025'!DE32</f>
        <v>5.2186046511627904</v>
      </c>
      <c r="DP243" s="58">
        <f>'2025'!DF32</f>
        <v>48.1</v>
      </c>
      <c r="DQ243" s="58">
        <f>'2025'!DG32</f>
        <v>3.24</v>
      </c>
      <c r="DR243" s="58">
        <f>'2025'!DH32</f>
        <v>37.4</v>
      </c>
      <c r="DS243" s="57">
        <f>'2025'!DI32</f>
        <v>103</v>
      </c>
      <c r="DT243" s="57">
        <f>'2025'!DJ32</f>
        <v>3899</v>
      </c>
      <c r="DU243" s="57">
        <f>'2025'!DK32</f>
        <v>21</v>
      </c>
      <c r="DV243" s="57">
        <f>'2025'!DL32</f>
        <v>0</v>
      </c>
      <c r="DW243" s="59">
        <f>'2025'!DM32</f>
        <v>30</v>
      </c>
    </row>
    <row r="244" spans="1:127" ht="15.75" customHeight="1" x14ac:dyDescent="0.2">
      <c r="A244" s="33">
        <f t="shared" si="36"/>
        <v>242</v>
      </c>
      <c r="B244" s="11">
        <f>'2018'!A21</f>
        <v>19</v>
      </c>
      <c r="C244" s="11">
        <v>2018</v>
      </c>
      <c r="D244" s="34" t="str">
        <f>'2018'!B21</f>
        <v>Kalen Ballage</v>
      </c>
      <c r="E244" s="224" t="str" cm="1">
        <f t="array" ref="E244">_xlfn.IFS(F244&gt;=13,"Cornerstone",AND(F244&gt;=12,F244&lt;13),"Elite",AND(F244&gt;=11,F244&lt;12),"Elite Upside",AND(F244&gt;=9,F244&lt;11),"Upside",AND(F244&gt;=7,F244&lt;9),"Upside Lite",AND(F244&gt;=6,F244&lt;7),"Outlier",AND(F244&gt;=5,F244&lt;6),"Outlier Lite",F244&lt;5,"Purgatory")</f>
        <v>Purgatory</v>
      </c>
      <c r="F244" s="14">
        <f>'2018'!C21</f>
        <v>4.75</v>
      </c>
      <c r="G244" s="14">
        <f t="shared" si="41"/>
        <v>25.900000000000002</v>
      </c>
      <c r="H244" s="35">
        <f t="shared" si="37"/>
        <v>-1.3765016293882215</v>
      </c>
      <c r="I244" s="36" t="str">
        <f>'2018'!D21</f>
        <v>Arizona State</v>
      </c>
      <c r="J244" s="37">
        <f>'2018'!E21</f>
        <v>5</v>
      </c>
      <c r="K244" s="38">
        <f>'2018'!F21</f>
        <v>35055</v>
      </c>
      <c r="L244" s="39">
        <f>'2018'!G21</f>
        <v>29.786301369863015</v>
      </c>
      <c r="M244" s="39" t="str">
        <f>'2018'!H21</f>
        <v>SR</v>
      </c>
      <c r="N244" s="39">
        <f>'2018'!I21</f>
        <v>22.358904109589041</v>
      </c>
      <c r="O244" s="39" t="str">
        <f t="shared" si="38"/>
        <v>FREAK</v>
      </c>
      <c r="P244" s="39" t="str">
        <f>IF(OR(AND($AA244&lt;0.25,$AM244&gt;=0.133,AE244&gt;4%),(AND($O244="JITTERBUG",$AM244&gt;0.11)),(AND($O244="JITTERBUG",$AE244&gt;9.5%))),"+RECEIVER",IF(AND($AJ244&gt;=0.25,$AO244&gt;=3.81),"3DOWN",IF($AO244&gt;=3.81,"HORSE",IF(OR(AJ244&gt;0.28,AK244&gt;7,AP244&gt;47),"SLASHER",IF(AM244&gt;0.19,"+RECEIVER","PLODDER")))))</f>
        <v>PLODDER</v>
      </c>
      <c r="Q244" s="37">
        <f>'2018'!J21</f>
        <v>74</v>
      </c>
      <c r="R244" s="37">
        <f>'2018'!K21</f>
        <v>228</v>
      </c>
      <c r="S244" s="39">
        <f t="shared" si="40"/>
        <v>29.273143425760921</v>
      </c>
      <c r="T244" s="37">
        <f>'2018'!L21</f>
        <v>4.46</v>
      </c>
      <c r="U244" s="40">
        <f>'2018'!M21</f>
        <v>4</v>
      </c>
      <c r="V244" s="41">
        <f>'2018'!N21</f>
        <v>0</v>
      </c>
      <c r="W244" s="42">
        <f>'2018'!O21</f>
        <v>3.3043478260869563E-2</v>
      </c>
      <c r="X244" s="42">
        <f>'2018'!P21</f>
        <v>0.11488881727360618</v>
      </c>
      <c r="Y244" s="42">
        <f>'2018'!Q21</f>
        <v>0.21198549797398167</v>
      </c>
      <c r="Z244" s="42">
        <f>'2018'!R21</f>
        <v>0.1357142857142857</v>
      </c>
      <c r="AA244" s="42">
        <f>'2018'!S21</f>
        <v>0.17384989184413369</v>
      </c>
      <c r="AB244" s="42">
        <f>'2018'!T21</f>
        <v>0.14777240806751363</v>
      </c>
      <c r="AC244" s="42">
        <f>'2018'!U21</f>
        <v>0.15075538412086145</v>
      </c>
      <c r="AD244" s="42">
        <f>'2018'!V21</f>
        <v>2.7376654632972324E-2</v>
      </c>
      <c r="AE244" s="42">
        <f>'2018'!W21</f>
        <v>8.9066019376916883E-2</v>
      </c>
      <c r="AF244" s="43">
        <f>'2018'!X21</f>
        <v>7.570611647037935E-2</v>
      </c>
      <c r="AG244" s="44">
        <f>'2018'!Y21</f>
        <v>20.706849315068492</v>
      </c>
      <c r="AH244" s="45">
        <f>'2018'!Z21</f>
        <v>115.2458798282743</v>
      </c>
      <c r="AI244" s="45">
        <f>'2018'!AA21</f>
        <v>29.27027027027027</v>
      </c>
      <c r="AJ244" s="45">
        <f>'2018'!AB21</f>
        <v>0.11811023622047244</v>
      </c>
      <c r="AK244" s="45">
        <f>'2018'!AC21</f>
        <v>4.3</v>
      </c>
      <c r="AL244" s="45">
        <f t="shared" si="39"/>
        <v>8.3902439024390247</v>
      </c>
      <c r="AM244" s="45">
        <f t="shared" si="46"/>
        <v>0.11299435028248588</v>
      </c>
      <c r="AN244" s="45">
        <f>'2018'!AD21</f>
        <v>52.9</v>
      </c>
      <c r="AO244" s="45">
        <f>'2018'!AE21</f>
        <v>2.74</v>
      </c>
      <c r="AP244" s="46">
        <f>'2018'!AF21</f>
        <v>39.799999999999997</v>
      </c>
      <c r="AQ244" s="47">
        <f>'2018'!AG21</f>
        <v>1</v>
      </c>
      <c r="AR244" s="48">
        <f>'2018'!AH21</f>
        <v>8</v>
      </c>
      <c r="AS244" s="48">
        <f>'2018'!AI21</f>
        <v>3</v>
      </c>
      <c r="AT244" s="48">
        <f>IF(AH244&gt;113.25,10,IF(AH244&gt;=107.84,9,IF(AH244&gt;=105.37,8,IF(AH244&gt;=103.25,7,IF(AH244&gt;=100.55,6,IF(AH244&gt;=98.75,5,IF(AH244&gt;=96.08,4,IF(AH244&gt;=94.39,3,IF(AH244&gt;=88.43,2,IF(AH244&gt;=85.16,1,IF(AH244&lt;85.16,0,FALSE)))))))))))</f>
        <v>10</v>
      </c>
      <c r="AU244" s="48">
        <f>'2018'!AK21</f>
        <v>0</v>
      </c>
      <c r="AV244" s="48">
        <f>'2018'!AL21</f>
        <v>0</v>
      </c>
      <c r="AW244" s="48">
        <f>'2018'!AM21</f>
        <v>0</v>
      </c>
      <c r="AX244" s="48">
        <f>'2018'!AN21</f>
        <v>0</v>
      </c>
      <c r="AY244" s="49">
        <f>IF(U244=1,10,IF(U244=2,7,IF(U244=3,6,IF(U244=4,4,IF(U244=5,3,IF(U244=6,2,IF(U244=7,1,IF(U244=0,0,"-"))))))))</f>
        <v>4</v>
      </c>
      <c r="AZ244" s="50">
        <f>'2018'!AP21</f>
        <v>0</v>
      </c>
      <c r="BA244" s="56">
        <f>'2018'!AQ21</f>
        <v>0</v>
      </c>
      <c r="BB244" s="57">
        <f>'2018'!AR21</f>
        <v>2679</v>
      </c>
      <c r="BC244" s="57">
        <f>'2018'!AS21</f>
        <v>0</v>
      </c>
      <c r="BD244" s="57">
        <f>'2018'!AT21</f>
        <v>0</v>
      </c>
      <c r="BE244" s="57">
        <f>'2018'!AU21</f>
        <v>0</v>
      </c>
      <c r="BF244" s="57">
        <f>'2018'!AV21</f>
        <v>0</v>
      </c>
      <c r="BG244" s="58">
        <f>'2018'!AW21</f>
        <v>0</v>
      </c>
      <c r="BH244" s="58">
        <f>'2018'!AX21</f>
        <v>0</v>
      </c>
      <c r="BI244" s="58">
        <f>'2018'!AY21</f>
        <v>0</v>
      </c>
      <c r="BJ244" s="58">
        <f>'2018'!AZ21</f>
        <v>0</v>
      </c>
      <c r="BK244" s="57">
        <f>'2018'!BA21</f>
        <v>0</v>
      </c>
      <c r="BL244" s="57">
        <f>'2018'!BB21</f>
        <v>3723</v>
      </c>
      <c r="BM244" s="57">
        <f>'2018'!BC21</f>
        <v>0</v>
      </c>
      <c r="BN244" s="57">
        <f>'2018'!BD21</f>
        <v>0</v>
      </c>
      <c r="BO244" s="59">
        <f>'2018'!BE21</f>
        <v>0</v>
      </c>
      <c r="BP244" s="56">
        <f>'2018'!BF21</f>
        <v>126</v>
      </c>
      <c r="BQ244" s="57">
        <f>'2018'!BG21</f>
        <v>2194</v>
      </c>
      <c r="BR244" s="57">
        <f>'2018'!BH21</f>
        <v>3</v>
      </c>
      <c r="BS244" s="57">
        <f>'2018'!BI21</f>
        <v>0</v>
      </c>
      <c r="BT244" s="57">
        <f>'2018'!BJ21</f>
        <v>41</v>
      </c>
      <c r="BU244" s="57">
        <f>'2018'!BK21</f>
        <v>4</v>
      </c>
      <c r="BV244" s="58">
        <f>'2018'!BL21</f>
        <v>3.1</v>
      </c>
      <c r="BW244" s="58">
        <f>'2018'!BM21</f>
        <v>23.1</v>
      </c>
      <c r="BX244" s="58">
        <f>'2018'!BN21</f>
        <v>2.17</v>
      </c>
      <c r="BY244" s="58">
        <f>'2018'!BO21</f>
        <v>0</v>
      </c>
      <c r="BZ244" s="57">
        <f>'2018'!BP21</f>
        <v>64</v>
      </c>
      <c r="CA244" s="57">
        <f>'2018'!BQ21</f>
        <v>3556</v>
      </c>
      <c r="CB244" s="57">
        <f>'2018'!BR21</f>
        <v>6</v>
      </c>
      <c r="CC244" s="57">
        <f>'2018'!BS21</f>
        <v>0</v>
      </c>
      <c r="CD244" s="59">
        <f>'2018'!BT21</f>
        <v>0</v>
      </c>
      <c r="CE244" s="56">
        <f>'2018'!BU21</f>
        <v>649</v>
      </c>
      <c r="CF244" s="57">
        <f>'2018'!BV21</f>
        <v>2319</v>
      </c>
      <c r="CG244" s="57">
        <f>'2018'!BW21</f>
        <v>4</v>
      </c>
      <c r="CH244" s="57">
        <f>'2018'!BX21</f>
        <v>0</v>
      </c>
      <c r="CI244" s="57">
        <f>'2018'!BY21</f>
        <v>124</v>
      </c>
      <c r="CJ244" s="57">
        <f>'2018'!BZ21</f>
        <v>16</v>
      </c>
      <c r="CK244" s="58">
        <f>'2018'!CA21</f>
        <v>5.2</v>
      </c>
      <c r="CL244" s="58">
        <f>'2018'!CB21</f>
        <v>40.200000000000003</v>
      </c>
      <c r="CM244" s="58">
        <f>'2018'!CC21</f>
        <v>3.22</v>
      </c>
      <c r="CN244" s="58">
        <f>'2018'!CD21</f>
        <v>41.6</v>
      </c>
      <c r="CO244" s="57">
        <f>'2018'!CE21</f>
        <v>64</v>
      </c>
      <c r="CP244" s="57">
        <f>'2018'!CF21</f>
        <v>3887</v>
      </c>
      <c r="CQ244" s="57">
        <f>'2018'!CG21</f>
        <v>12</v>
      </c>
      <c r="CR244" s="57">
        <f>'2018'!CH21</f>
        <v>0</v>
      </c>
      <c r="CS244" s="59">
        <f>'2018'!CI21</f>
        <v>0</v>
      </c>
      <c r="CT244" s="56">
        <f>'2018'!CJ21</f>
        <v>525</v>
      </c>
      <c r="CU244" s="57">
        <f>'2018'!CK21</f>
        <v>1578</v>
      </c>
      <c r="CV244" s="57">
        <f>'2018'!CL21</f>
        <v>14</v>
      </c>
      <c r="CW244" s="57">
        <f>'2018'!CM21</f>
        <v>0</v>
      </c>
      <c r="CX244" s="57">
        <f>'2018'!CN21</f>
        <v>127</v>
      </c>
      <c r="CY244" s="57">
        <f>'2018'!CO21</f>
        <v>15</v>
      </c>
      <c r="CZ244" s="58">
        <f>'2018'!CP21</f>
        <v>4.0999999999999996</v>
      </c>
      <c r="DA244" s="58">
        <f>'2018'!CQ21</f>
        <v>52.9</v>
      </c>
      <c r="DB244" s="58">
        <f>'2018'!CR21</f>
        <v>2.74</v>
      </c>
      <c r="DC244" s="58">
        <f>'2018'!CS21</f>
        <v>39.799999999999997</v>
      </c>
      <c r="DD244" s="57">
        <f>'2018'!CT21</f>
        <v>469</v>
      </c>
      <c r="DE244" s="57">
        <f>'2018'!CU21</f>
        <v>3111</v>
      </c>
      <c r="DF244" s="57">
        <f>'2018'!CV21</f>
        <v>44</v>
      </c>
      <c r="DG244" s="57">
        <f>'2018'!CW21</f>
        <v>0</v>
      </c>
      <c r="DH244" s="59">
        <f>'2018'!CX21</f>
        <v>0</v>
      </c>
      <c r="DI244" s="56">
        <f>'2018'!CY21</f>
        <v>669</v>
      </c>
      <c r="DJ244" s="57">
        <f>'2018'!CZ21</f>
        <v>2276</v>
      </c>
      <c r="DK244" s="57">
        <f>'2018'!DA21</f>
        <v>6</v>
      </c>
      <c r="DL244" s="57">
        <f>'2018'!DB21</f>
        <v>0</v>
      </c>
      <c r="DM244" s="57">
        <f>'2018'!DC21</f>
        <v>157</v>
      </c>
      <c r="DN244" s="57">
        <f>'2018'!DD21</f>
        <v>13</v>
      </c>
      <c r="DO244" s="58">
        <f>'2018'!DE21</f>
        <v>4.3</v>
      </c>
      <c r="DP244" s="58">
        <f>'2018'!DF21</f>
        <v>25.1</v>
      </c>
      <c r="DQ244" s="58">
        <f>'2018'!DG21</f>
        <v>2.46</v>
      </c>
      <c r="DR244" s="58">
        <f>'2018'!DH21</f>
        <v>26</v>
      </c>
      <c r="DS244" s="57">
        <f>'2018'!DI21</f>
        <v>91</v>
      </c>
      <c r="DT244" s="57">
        <f>'2018'!DJ21</f>
        <v>3324</v>
      </c>
      <c r="DU244" s="57">
        <f>'2018'!DK21</f>
        <v>20</v>
      </c>
      <c r="DV244" s="57">
        <f>'2018'!DL21</f>
        <v>0</v>
      </c>
      <c r="DW244" s="59">
        <f>'2018'!DM21</f>
        <v>0</v>
      </c>
    </row>
    <row r="245" spans="1:127" ht="15.75" customHeight="1" x14ac:dyDescent="0.2">
      <c r="A245" s="33">
        <f t="shared" si="36"/>
        <v>243</v>
      </c>
      <c r="B245" s="11">
        <f>'2021'!A19</f>
        <v>17</v>
      </c>
      <c r="C245" s="11">
        <v>2021</v>
      </c>
      <c r="D245" s="34" t="str">
        <f>'2021'!B19</f>
        <v>Demetric Felton</v>
      </c>
      <c r="E245" s="224" t="str" cm="1">
        <f t="array" ref="E245">_xlfn.IFS(F245&gt;=13,"Cornerstone",AND(F245&gt;=12,F245&lt;13),"Elite",AND(F245&gt;=11,F245&lt;12),"Elite Upside",AND(F245&gt;=9,F245&lt;11),"Upside",AND(F245&gt;=7,F245&lt;9),"Upside Lite",AND(F245&gt;=6,F245&lt;7),"Outlier",AND(F245&gt;=5,F245&lt;6),"Outlier Lite",F245&lt;5,"Purgatory")</f>
        <v>Purgatory</v>
      </c>
      <c r="F245" s="14">
        <f>'2021'!C19</f>
        <v>4.7111111111111112</v>
      </c>
      <c r="G245" s="14">
        <f t="shared" si="41"/>
        <v>25.6</v>
      </c>
      <c r="H245" s="35">
        <f t="shared" si="37"/>
        <v>-1.3929603818864296</v>
      </c>
      <c r="I245" s="36" t="str">
        <f>'2021'!D19</f>
        <v>UCLA</v>
      </c>
      <c r="J245" s="37">
        <f>'2021'!E19</f>
        <v>5</v>
      </c>
      <c r="K245" s="38">
        <f>'2021'!F19</f>
        <v>35992</v>
      </c>
      <c r="L245" s="39">
        <f>'2021'!G19</f>
        <v>27.219178082191782</v>
      </c>
      <c r="M245" s="39" t="str">
        <f>'2021'!H19</f>
        <v>SR</v>
      </c>
      <c r="N245" s="39">
        <f>'2021'!I19</f>
        <v>22.802739726027397</v>
      </c>
      <c r="O245" s="39" t="str">
        <f t="shared" si="38"/>
        <v>DYNAMIC</v>
      </c>
      <c r="P245" s="39" t="str">
        <f>IF(OR(AND($AA245&lt;0.25,$AM245&gt;=0.133,AE245&gt;4%),(AND($O245="JITTERBUG",$AM245&gt;0.11)),(AND($O245="JITTERBUG",$AE245&gt;9.5%))),"+RECEIVER",IF(AND($AJ245&gt;=0.25,$AO245&gt;=3.81),"3DOWN",IF($AO245&gt;=3.81,"HORSE",IF(OR(AJ245&gt;0.28,AK245&gt;7,AP245&gt;47),"SLASHER",IF(AM245&gt;0.19,"+RECEIVER","PLODDER")))))</f>
        <v>SLASHER</v>
      </c>
      <c r="Q245" s="37">
        <f>'2021'!J19</f>
        <v>69</v>
      </c>
      <c r="R245" s="37">
        <f>'2021'!K19</f>
        <v>189</v>
      </c>
      <c r="S245" s="39">
        <f t="shared" si="40"/>
        <v>27.910111774854929</v>
      </c>
      <c r="T245" s="37">
        <f>'2021'!L19</f>
        <v>4.59</v>
      </c>
      <c r="U245" s="40">
        <f>'2021'!M19</f>
        <v>6</v>
      </c>
      <c r="V245" s="41">
        <f>'2021'!N19</f>
        <v>0</v>
      </c>
      <c r="W245" s="42">
        <f>'2021'!O19</f>
        <v>1.2264784946236559E-2</v>
      </c>
      <c r="X245" s="42">
        <f>'2021'!P19</f>
        <v>4.9670982806198256E-2</v>
      </c>
      <c r="Y245" s="42">
        <f>'2021'!Q19</f>
        <v>0.1900164338537387</v>
      </c>
      <c r="Z245" s="42">
        <f>'2021'!R19</f>
        <v>0.25965463108320253</v>
      </c>
      <c r="AA245" s="42">
        <f>'2021'!S19</f>
        <v>0.25965463108320253</v>
      </c>
      <c r="AB245" s="42">
        <f>'2021'!T19</f>
        <v>0.22070643642072213</v>
      </c>
      <c r="AC245" s="42">
        <f>'2021'!U19</f>
        <v>0.19373776908023482</v>
      </c>
      <c r="AD245" s="42">
        <f>'2021'!V19</f>
        <v>0.10120942075111394</v>
      </c>
      <c r="AE245" s="42">
        <f>'2021'!W19</f>
        <v>0.14747359491567438</v>
      </c>
      <c r="AF245" s="43">
        <f>'2021'!X19</f>
        <v>0.12535255567832324</v>
      </c>
      <c r="AG245" s="44">
        <f>'2021'!Y19</f>
        <v>21.139726027397259</v>
      </c>
      <c r="AH245" s="45">
        <f>'2021'!Z19</f>
        <v>85.161059847711627</v>
      </c>
      <c r="AI245" s="45">
        <f>'2021'!AA19</f>
        <v>27.907372400756142</v>
      </c>
      <c r="AJ245" s="45">
        <f>'2021'!AB19</f>
        <v>0.27272727272727271</v>
      </c>
      <c r="AK245" s="45">
        <f>'2021'!AC19</f>
        <v>5.0999999999999996</v>
      </c>
      <c r="AL245" s="45">
        <f t="shared" si="39"/>
        <v>11.682926829268293</v>
      </c>
      <c r="AM245" s="45">
        <f t="shared" si="46"/>
        <v>0.14285714285714285</v>
      </c>
      <c r="AN245" s="45">
        <f>'2021'!AD19</f>
        <v>91.5</v>
      </c>
      <c r="AO245" s="45">
        <f>'2021'!AE19</f>
        <v>3.36</v>
      </c>
      <c r="AP245" s="46">
        <f>'2021'!AF19</f>
        <v>47.4</v>
      </c>
      <c r="AQ245" s="47">
        <f>'2021'!AG19</f>
        <v>4</v>
      </c>
      <c r="AR245" s="48">
        <f>'2021'!AH19</f>
        <v>9</v>
      </c>
      <c r="AS245" s="48">
        <f>'2021'!AI19</f>
        <v>3</v>
      </c>
      <c r="AT245" s="48">
        <f>IF(AH245&gt;113.25,10,IF(AH245&gt;=107.84,9,IF(AH245&gt;=105.37,8,IF(AH245&gt;=103.25,7,IF(AH245&gt;=100.55,6,IF(AH245&gt;=98.75,5,IF(AH245&gt;=96.08,4,IF(AH245&gt;=94.39,3,IF(AH245&gt;=88.43,2,IF(AH245&gt;=85.16,1,IF(AH245&lt;85.16,0,FALSE)))))))))))</f>
        <v>1</v>
      </c>
      <c r="AU245" s="48">
        <f>'2021'!AK19</f>
        <v>7</v>
      </c>
      <c r="AV245" s="48">
        <f>'2021'!AL19</f>
        <v>1</v>
      </c>
      <c r="AW245" s="48">
        <f>'2021'!AM19</f>
        <v>3</v>
      </c>
      <c r="AX245" s="48">
        <f>'2021'!AN19</f>
        <v>1</v>
      </c>
      <c r="AY245" s="49">
        <f>IF(U245=1,10,IF(U245=2,7,IF(U245=3,6,IF(U245=4,4,IF(U245=5,3,IF(U245=6,2,IF(U245=7,1,IF(U245=0,0,"-"))))))))</f>
        <v>2</v>
      </c>
      <c r="AZ245" s="50">
        <f>'2021'!AP19</f>
        <v>0</v>
      </c>
      <c r="BA245" s="56">
        <f>'2021'!AQ19</f>
        <v>0</v>
      </c>
      <c r="BB245" s="57">
        <f>'2021'!AR19</f>
        <v>1011</v>
      </c>
      <c r="BC245" s="57">
        <f>'2021'!AS19</f>
        <v>0</v>
      </c>
      <c r="BD245" s="57">
        <f>'2021'!AT19</f>
        <v>13</v>
      </c>
      <c r="BE245" s="57">
        <f>'2021'!AU19</f>
        <v>0</v>
      </c>
      <c r="BF245" s="57">
        <f>'2021'!AV19</f>
        <v>0</v>
      </c>
      <c r="BG245" s="58">
        <f>'2021'!AW19</f>
        <v>0</v>
      </c>
      <c r="BH245" s="58">
        <f>'2021'!AX19</f>
        <v>0</v>
      </c>
      <c r="BI245" s="58">
        <f>'2021'!AY19</f>
        <v>0</v>
      </c>
      <c r="BJ245" s="58">
        <f>'2021'!AZ19</f>
        <v>0</v>
      </c>
      <c r="BK245" s="57">
        <f>'2021'!BA19</f>
        <v>0</v>
      </c>
      <c r="BL245" s="57">
        <f>'2021'!BB19</f>
        <v>3547</v>
      </c>
      <c r="BM245" s="57">
        <f>'2021'!BC19</f>
        <v>0</v>
      </c>
      <c r="BN245" s="57">
        <f>'2021'!BD19</f>
        <v>0</v>
      </c>
      <c r="BO245" s="59">
        <f>'2021'!BE19</f>
        <v>22</v>
      </c>
      <c r="BP245" s="56">
        <f>'2021'!BF19</f>
        <v>75</v>
      </c>
      <c r="BQ245" s="57">
        <f>'2021'!BG19</f>
        <v>1474</v>
      </c>
      <c r="BR245" s="57">
        <f>'2021'!BH19</f>
        <v>1</v>
      </c>
      <c r="BS245" s="57">
        <f>'2021'!BI19</f>
        <v>19</v>
      </c>
      <c r="BT245" s="57">
        <f>'2021'!BJ19</f>
        <v>10</v>
      </c>
      <c r="BU245" s="57">
        <f>'2021'!BK19</f>
        <v>6</v>
      </c>
      <c r="BV245" s="58">
        <f>'2021'!BL19</f>
        <v>7.5</v>
      </c>
      <c r="BW245" s="58">
        <f>'2021'!BM19</f>
        <v>220</v>
      </c>
      <c r="BX245" s="58">
        <f>'2021'!BN19</f>
        <v>4.4000000000000004</v>
      </c>
      <c r="BY245" s="58">
        <f>'2021'!BO19</f>
        <v>60</v>
      </c>
      <c r="BZ245" s="57">
        <f>'2021'!BP19</f>
        <v>-2</v>
      </c>
      <c r="CA245" s="57">
        <f>'2021'!BQ19</f>
        <v>4478</v>
      </c>
      <c r="CB245" s="57">
        <f>'2021'!BR19</f>
        <v>2</v>
      </c>
      <c r="CC245" s="57">
        <f>'2021'!BS19</f>
        <v>0</v>
      </c>
      <c r="CD245" s="59">
        <f>'2021'!BT19</f>
        <v>31</v>
      </c>
      <c r="CE245" s="56">
        <f>'2021'!BU19</f>
        <v>27</v>
      </c>
      <c r="CF245" s="57">
        <f>'2021'!BV19</f>
        <v>1858</v>
      </c>
      <c r="CG245" s="57">
        <f>'2021'!BW19</f>
        <v>0</v>
      </c>
      <c r="CH245" s="57">
        <f>'2021'!BX19</f>
        <v>20</v>
      </c>
      <c r="CI245" s="57">
        <f>'2021'!BY19</f>
        <v>5</v>
      </c>
      <c r="CJ245" s="57">
        <f>'2021'!BZ19</f>
        <v>0</v>
      </c>
      <c r="CK245" s="58">
        <f>'2021'!CA19</f>
        <v>5.4</v>
      </c>
      <c r="CL245" s="58">
        <f>'2021'!CB19</f>
        <v>19.2</v>
      </c>
      <c r="CM245" s="58">
        <f>'2021'!CC19</f>
        <v>1.2</v>
      </c>
      <c r="CN245" s="58">
        <f>'2021'!CD19</f>
        <v>0</v>
      </c>
      <c r="CO245" s="57">
        <f>'2021'!CE19</f>
        <v>207</v>
      </c>
      <c r="CP245" s="57">
        <f>'2021'!CF19</f>
        <v>2853</v>
      </c>
      <c r="CQ245" s="57">
        <f>'2021'!CG19</f>
        <v>4</v>
      </c>
      <c r="CR245" s="57">
        <f>'2021'!CH19</f>
        <v>0</v>
      </c>
      <c r="CS245" s="59">
        <f>'2021'!CI19</f>
        <v>13</v>
      </c>
      <c r="CT245" s="56">
        <f>'2021'!CJ19</f>
        <v>331</v>
      </c>
      <c r="CU245" s="57">
        <f>'2021'!CK19</f>
        <v>1802</v>
      </c>
      <c r="CV245" s="57">
        <f>'2021'!CL19</f>
        <v>1</v>
      </c>
      <c r="CW245" s="57">
        <f>'2021'!CM19</f>
        <v>18</v>
      </c>
      <c r="CX245" s="57">
        <f>'2021'!CN19</f>
        <v>87</v>
      </c>
      <c r="CY245" s="57">
        <f>'2021'!CO19</f>
        <v>21</v>
      </c>
      <c r="CZ245" s="58">
        <f>'2021'!CP19</f>
        <v>3.8</v>
      </c>
      <c r="DA245" s="58">
        <f>'2021'!CQ19</f>
        <v>86.2</v>
      </c>
      <c r="DB245" s="58">
        <f>'2021'!CR19</f>
        <v>3.11</v>
      </c>
      <c r="DC245" s="58">
        <f>'2021'!CS19</f>
        <v>47.4</v>
      </c>
      <c r="DD245" s="57">
        <f>'2021'!CT19</f>
        <v>594</v>
      </c>
      <c r="DE245" s="57">
        <f>'2021'!CU19</f>
        <v>3066</v>
      </c>
      <c r="DF245" s="57">
        <f>'2021'!CV19</f>
        <v>54</v>
      </c>
      <c r="DG245" s="57">
        <f>'2021'!CW19</f>
        <v>0</v>
      </c>
      <c r="DH245" s="59">
        <f>'2021'!CX19</f>
        <v>22</v>
      </c>
      <c r="DI245" s="56">
        <f>'2021'!CY19</f>
        <v>668</v>
      </c>
      <c r="DJ245" s="57">
        <f>'2021'!CZ19</f>
        <v>1614</v>
      </c>
      <c r="DK245" s="57">
        <f>'2021'!DA19</f>
        <v>5</v>
      </c>
      <c r="DL245" s="57">
        <f>'2021'!DB19</f>
        <v>13</v>
      </c>
      <c r="DM245" s="57">
        <f>'2021'!DC19</f>
        <v>132</v>
      </c>
      <c r="DN245" s="57">
        <f>'2021'!DD19</f>
        <v>36</v>
      </c>
      <c r="DO245" s="58">
        <f>'2021'!DE19</f>
        <v>5.0999999999999996</v>
      </c>
      <c r="DP245" s="58">
        <f>'2021'!DF19</f>
        <v>91.5</v>
      </c>
      <c r="DQ245" s="58">
        <f>'2021'!DG19</f>
        <v>3.36</v>
      </c>
      <c r="DR245" s="58">
        <f>'2021'!DH19</f>
        <v>26.3</v>
      </c>
      <c r="DS245" s="57">
        <f>'2021'!DI19</f>
        <v>159</v>
      </c>
      <c r="DT245" s="57">
        <f>'2021'!DJ19</f>
        <v>1571</v>
      </c>
      <c r="DU245" s="57">
        <f>'2021'!DK19</f>
        <v>22</v>
      </c>
      <c r="DV245" s="57">
        <f>'2021'!DL19</f>
        <v>0</v>
      </c>
      <c r="DW245" s="59">
        <f>'2021'!DM19</f>
        <v>18</v>
      </c>
    </row>
    <row r="246" spans="1:127" ht="15.75" customHeight="1" x14ac:dyDescent="0.2">
      <c r="A246" s="33">
        <f t="shared" si="36"/>
        <v>244</v>
      </c>
      <c r="B246" s="11">
        <f>'2026 - WIP'!A19</f>
        <v>17</v>
      </c>
      <c r="C246" s="11">
        <v>2026</v>
      </c>
      <c r="D246" s="34" t="str">
        <f>'2026 - WIP'!B19</f>
        <v>Bryson Washington</v>
      </c>
      <c r="E246" s="224" t="str" cm="1">
        <f t="array" ref="E246">_xlfn.IFS(F246&gt;=13,"Cornerstone",AND(F246&gt;=12,F246&lt;13),"Elite",AND(F246&gt;=11,F246&lt;12),"Elite Upside",AND(F246&gt;=9,F246&lt;11),"Upside",AND(F246&gt;=7,F246&lt;9),"Upside Lite",AND(F246&gt;=6,F246&lt;7),"Outlier",AND(F246&gt;=5,F246&lt;6),"Outlier Lite",F246&lt;5,"Purgatory")</f>
        <v>Purgatory</v>
      </c>
      <c r="F246" s="14">
        <f>'2026 - WIP'!C19</f>
        <v>4.6888888888888891</v>
      </c>
      <c r="G246" s="14">
        <f t="shared" si="41"/>
        <v>25.3</v>
      </c>
      <c r="H246" s="35">
        <f t="shared" si="37"/>
        <v>-1.4023653833139771</v>
      </c>
      <c r="I246" s="36" t="str">
        <f>'2026 - WIP'!D19</f>
        <v>Baylor</v>
      </c>
      <c r="J246" s="37">
        <f>'2026 - WIP'!E19</f>
        <v>3</v>
      </c>
      <c r="K246" s="38">
        <f>'2026 - WIP'!F19</f>
        <v>38504</v>
      </c>
      <c r="L246" s="39">
        <f>'2026 - WIP'!G19</f>
        <v>20.336986301369862</v>
      </c>
      <c r="M246" s="39" t="str">
        <f>'2026 - WIP'!H19</f>
        <v>RS SO</v>
      </c>
      <c r="N246" s="39">
        <f>'2026 - WIP'!I19</f>
        <v>20.917808219178081</v>
      </c>
      <c r="O246" s="39" t="str">
        <f t="shared" si="38"/>
        <v>DYNAMIC</v>
      </c>
      <c r="P246" s="39" t="str">
        <f>IF(OR(AND($AA246&lt;0.25,$AO246&gt;=0.133,AE246&gt;4%),(AND($O246="JITTERBUG",$AO246&gt;0.11)),(AND($O246="JITTERBUG",$AE246&gt;9.5%))),"+RECEIVER",IF(AND($AJ246&gt;=0.25,$AQ246&gt;=3.81),"3DOWN",IF($AQ246&gt;=3.81,"HORSE",IF(OR(AJ246&gt;0.28,AK246&gt;7,AR246&gt;47),"SLASHER",IF(AO246&gt;0.19,"+RECEIVER","PLODDER")))))</f>
        <v>+RECEIVER</v>
      </c>
      <c r="Q246" s="37">
        <f>'2026 - WIP'!J19</f>
        <v>72</v>
      </c>
      <c r="R246" s="37">
        <f>'2026 - WIP'!K19</f>
        <v>203</v>
      </c>
      <c r="S246" s="39">
        <f t="shared" si="40"/>
        <v>27.531444491901333</v>
      </c>
      <c r="T246" s="39">
        <f>'2026 - WIP'!L19</f>
        <v>4.5</v>
      </c>
      <c r="U246" s="55">
        <f>'2026 - WIP'!M19</f>
        <v>0</v>
      </c>
      <c r="V246" s="41">
        <f>'2026 - WIP'!N19</f>
        <v>0</v>
      </c>
      <c r="W246" s="42">
        <f>'2026 - WIP'!O19</f>
        <v>0</v>
      </c>
      <c r="X246" s="42">
        <f>'2026 - WIP'!P19</f>
        <v>4.0585847891300507E-2</v>
      </c>
      <c r="Y246" s="42">
        <f>'2026 - WIP'!Q19</f>
        <v>0.2571729565594596</v>
      </c>
      <c r="Z246" s="42">
        <f>'2026 - WIP'!R19</f>
        <v>0.20654911838790932</v>
      </c>
      <c r="AA246" s="42">
        <f>'2026 - WIP'!S19</f>
        <v>0.23186103747368447</v>
      </c>
      <c r="AB246" s="42">
        <f>'2026 - WIP'!T19</f>
        <v>0.20867493372631604</v>
      </c>
      <c r="AC246" s="42">
        <f>'2026 - WIP'!U19</f>
        <v>7.3061267091117835E-2</v>
      </c>
      <c r="AD246" s="42">
        <f>'2026 - WIP'!V19</f>
        <v>2.1739130434782608E-2</v>
      </c>
      <c r="AE246" s="42">
        <f>'2026 - WIP'!W19</f>
        <v>4.7400198762950221E-2</v>
      </c>
      <c r="AF246" s="43">
        <f>'2026 - WIP'!X19</f>
        <v>4.2660178886655201E-2</v>
      </c>
      <c r="AG246" s="44">
        <f>'2026 - WIP'!Y19</f>
        <v>19.265753424657536</v>
      </c>
      <c r="AH246" s="45">
        <f>'2026 - WIP'!Z19</f>
        <v>99.009297363206827</v>
      </c>
      <c r="AI246" s="45">
        <f>'2026 - WIP'!AA19</f>
        <v>27.528742283950617</v>
      </c>
      <c r="AJ246" s="45">
        <f>'2026 - WIP'!AB19</f>
        <v>0.16384180790960451</v>
      </c>
      <c r="AK246" s="45">
        <f>'2026 - WIP'!AC19</f>
        <v>5.8474576271186445</v>
      </c>
      <c r="AL246" s="45">
        <f t="shared" si="39"/>
        <v>8.3928571428571423</v>
      </c>
      <c r="AM246" s="45">
        <f t="shared" si="46"/>
        <v>8.3333333333333329E-2</v>
      </c>
      <c r="AN246" s="45">
        <f>'2026 - WIP'!AD19</f>
        <v>70.5</v>
      </c>
      <c r="AO246" s="45">
        <f>'2026 - WIP'!AE19</f>
        <v>4.1100000000000003</v>
      </c>
      <c r="AP246" s="46">
        <f>'2026 - WIP'!AF19</f>
        <v>38.4</v>
      </c>
      <c r="AQ246" s="47">
        <f>'2026 - WIP'!AG19</f>
        <v>4</v>
      </c>
      <c r="AR246" s="48">
        <f>'2026 - WIP'!AH19</f>
        <v>4</v>
      </c>
      <c r="AS246" s="48">
        <f>'2026 - WIP'!AI19</f>
        <v>7</v>
      </c>
      <c r="AT246" s="48">
        <f>'2026 - WIP'!AJ19</f>
        <v>5</v>
      </c>
      <c r="AU246" s="48">
        <f>'2026 - WIP'!AK19</f>
        <v>2</v>
      </c>
      <c r="AV246" s="48">
        <f>'2026 - WIP'!AL19</f>
        <v>4</v>
      </c>
      <c r="AW246" s="48">
        <f>'2026 - WIP'!AM19</f>
        <v>1</v>
      </c>
      <c r="AX246" s="48">
        <f>'2026 - WIP'!AN19</f>
        <v>5</v>
      </c>
      <c r="AY246" s="49">
        <f>'2026 - WIP'!AO19</f>
        <v>0</v>
      </c>
      <c r="AZ246" s="50">
        <f>'2026 - WIP'!AP19</f>
        <v>0</v>
      </c>
      <c r="BA246" s="56">
        <f>'2026 - WIP'!AQ19</f>
        <v>0</v>
      </c>
      <c r="BB246" s="57">
        <f>'2026 - WIP'!AR19</f>
        <v>1</v>
      </c>
      <c r="BC246" s="57">
        <f>'2026 - WIP'!AS19</f>
        <v>0</v>
      </c>
      <c r="BD246" s="57">
        <f>'2026 - WIP'!AT19</f>
        <v>0</v>
      </c>
      <c r="BE246" s="57">
        <f>'2026 - WIP'!AU19</f>
        <v>0</v>
      </c>
      <c r="BF246" s="57">
        <f>'2026 - WIP'!AV19</f>
        <v>0</v>
      </c>
      <c r="BG246" s="58">
        <f>'2026 - WIP'!AW19</f>
        <v>0</v>
      </c>
      <c r="BH246" s="58">
        <f>'2026 - WIP'!AX19</f>
        <v>0</v>
      </c>
      <c r="BI246" s="58">
        <f>'2026 - WIP'!AY19</f>
        <v>0</v>
      </c>
      <c r="BJ246" s="58">
        <f>'2026 - WIP'!AZ19</f>
        <v>0</v>
      </c>
      <c r="BK246" s="57">
        <f>'2026 - WIP'!BA19</f>
        <v>0</v>
      </c>
      <c r="BL246" s="57">
        <f>'2026 - WIP'!BB19</f>
        <v>1</v>
      </c>
      <c r="BM246" s="57">
        <f>'2026 - WIP'!BC19</f>
        <v>0</v>
      </c>
      <c r="BN246" s="57">
        <f>'2026 - WIP'!BD19</f>
        <v>0</v>
      </c>
      <c r="BO246" s="59">
        <f>'2026 - WIP'!BE19</f>
        <v>0</v>
      </c>
      <c r="BP246" s="56">
        <f>'2026 - WIP'!BF19</f>
        <v>0</v>
      </c>
      <c r="BQ246" s="57">
        <f>'2026 - WIP'!BG19</f>
        <v>1</v>
      </c>
      <c r="BR246" s="57">
        <f>'2026 - WIP'!BH19</f>
        <v>0</v>
      </c>
      <c r="BS246" s="57">
        <f>'2026 - WIP'!BI19</f>
        <v>0</v>
      </c>
      <c r="BT246" s="57">
        <f>'2026 - WIP'!BJ19</f>
        <v>0</v>
      </c>
      <c r="BU246" s="57">
        <f>'2026 - WIP'!BK19</f>
        <v>0</v>
      </c>
      <c r="BV246" s="58">
        <f>'2026 - WIP'!BL19</f>
        <v>0</v>
      </c>
      <c r="BW246" s="58">
        <f>'2026 - WIP'!BM19</f>
        <v>0</v>
      </c>
      <c r="BX246" s="58">
        <f>'2026 - WIP'!BN19</f>
        <v>0</v>
      </c>
      <c r="BY246" s="58">
        <f>'2026 - WIP'!BO19</f>
        <v>0</v>
      </c>
      <c r="BZ246" s="57">
        <f>'2026 - WIP'!BP19</f>
        <v>0</v>
      </c>
      <c r="CA246" s="57">
        <f>'2026 - WIP'!BQ19</f>
        <v>1</v>
      </c>
      <c r="CB246" s="57">
        <f>'2026 - WIP'!BR19</f>
        <v>0</v>
      </c>
      <c r="CC246" s="57">
        <f>'2026 - WIP'!BS19</f>
        <v>0</v>
      </c>
      <c r="CD246" s="59">
        <f>'2026 - WIP'!BT19</f>
        <v>0</v>
      </c>
      <c r="CE246" s="56">
        <f>'2026 - WIP'!BU19</f>
        <v>45</v>
      </c>
      <c r="CF246" s="57">
        <f>'2026 - WIP'!BV19</f>
        <v>344.4</v>
      </c>
      <c r="CG246" s="57">
        <f>'2026 - WIP'!BW19</f>
        <v>0</v>
      </c>
      <c r="CH246" s="57">
        <f>'2026 - WIP'!BX19</f>
        <v>3.3000000000000003</v>
      </c>
      <c r="CI246" s="57">
        <f>'2026 - WIP'!BY19</f>
        <v>10</v>
      </c>
      <c r="CJ246" s="57">
        <f>'2026 - WIP'!BZ19</f>
        <v>2</v>
      </c>
      <c r="CK246" s="58">
        <f>'2026 - WIP'!CA19</f>
        <v>4.5</v>
      </c>
      <c r="CL246" s="58">
        <f>'2026 - WIP'!CB19</f>
        <v>69.099999999999994</v>
      </c>
      <c r="CM246" s="58">
        <f>'2026 - WIP'!CC19</f>
        <v>3.8</v>
      </c>
      <c r="CN246" s="58">
        <f>'2026 - WIP'!CD19</f>
        <v>0</v>
      </c>
      <c r="CO246" s="57">
        <f>'2026 - WIP'!CE19</f>
        <v>1</v>
      </c>
      <c r="CP246" s="57">
        <f>'2026 - WIP'!CF19</f>
        <v>789</v>
      </c>
      <c r="CQ246" s="57">
        <f>'2026 - WIP'!CG19</f>
        <v>1</v>
      </c>
      <c r="CR246" s="57">
        <f>'2026 - WIP'!CH19</f>
        <v>0</v>
      </c>
      <c r="CS246" s="59">
        <f>'2026 - WIP'!CI19</f>
        <v>3.9000000000000004</v>
      </c>
      <c r="CT246" s="56">
        <f>'2026 - WIP'!CJ19</f>
        <v>1035</v>
      </c>
      <c r="CU246" s="57">
        <f>'2026 - WIP'!CK19</f>
        <v>1966.8000000000002</v>
      </c>
      <c r="CV246" s="57">
        <f>'2026 - WIP'!CL19</f>
        <v>12</v>
      </c>
      <c r="CW246" s="57">
        <f>'2026 - WIP'!CM19</f>
        <v>20.9</v>
      </c>
      <c r="CX246" s="57">
        <f>'2026 - WIP'!CN19</f>
        <v>177</v>
      </c>
      <c r="CY246" s="57">
        <f>'2026 - WIP'!CO19</f>
        <v>29</v>
      </c>
      <c r="CZ246" s="58">
        <f>'2026 - WIP'!CP19</f>
        <v>5.8474576271186445</v>
      </c>
      <c r="DA246" s="58">
        <f>'2026 - WIP'!CQ19</f>
        <v>70.5</v>
      </c>
      <c r="DB246" s="58">
        <f>'2026 - WIP'!CR19</f>
        <v>4.1100000000000003</v>
      </c>
      <c r="DC246" s="58">
        <f>'2026 - WIP'!CS19</f>
        <v>38.4</v>
      </c>
      <c r="DD246" s="57">
        <f>'2026 - WIP'!CT19</f>
        <v>210</v>
      </c>
      <c r="DE246" s="57">
        <f>'2026 - WIP'!CU19</f>
        <v>2874.3</v>
      </c>
      <c r="DF246" s="57">
        <f>'2026 - WIP'!CV19</f>
        <v>21</v>
      </c>
      <c r="DG246" s="57">
        <f>'2026 - WIP'!CW19</f>
        <v>1</v>
      </c>
      <c r="DH246" s="59">
        <f>'2026 - WIP'!CX19</f>
        <v>26.4</v>
      </c>
      <c r="DI246" s="56">
        <f>'2026 - WIP'!CY19</f>
        <v>304</v>
      </c>
      <c r="DJ246" s="57">
        <f>'2026 - WIP'!CZ19</f>
        <v>484</v>
      </c>
      <c r="DK246" s="57">
        <f>'2026 - WIP'!DA19</f>
        <v>0</v>
      </c>
      <c r="DL246" s="57">
        <f>'2026 - WIP'!DB19</f>
        <v>0</v>
      </c>
      <c r="DM246" s="57">
        <f>'2026 - WIP'!DC19</f>
        <v>66</v>
      </c>
      <c r="DN246" s="57">
        <f>'2026 - WIP'!DD19</f>
        <v>9</v>
      </c>
      <c r="DO246" s="58">
        <f>'2026 - WIP'!DE19</f>
        <v>4.6060606060606064</v>
      </c>
      <c r="DP246" s="58">
        <f>'2026 - WIP'!DF19</f>
        <v>34.1</v>
      </c>
      <c r="DQ246" s="58">
        <f>'2026 - WIP'!DG19</f>
        <v>2.73</v>
      </c>
      <c r="DR246" s="58">
        <f>'2026 - WIP'!DH19</f>
        <v>28.6</v>
      </c>
      <c r="DS246" s="57">
        <f>'2026 - WIP'!DI19</f>
        <v>24</v>
      </c>
      <c r="DT246" s="57">
        <f>'2026 - WIP'!DJ19</f>
        <v>1104</v>
      </c>
      <c r="DU246" s="57">
        <f>'2026 - WIP'!DK19</f>
        <v>6</v>
      </c>
      <c r="DV246" s="57">
        <f>'2026 - WIP'!DL19</f>
        <v>0</v>
      </c>
      <c r="DW246" s="59">
        <f>'2026 - WIP'!DM19</f>
        <v>0</v>
      </c>
    </row>
    <row r="247" spans="1:127" ht="15.75" customHeight="1" x14ac:dyDescent="0.2">
      <c r="A247" s="33">
        <f t="shared" si="36"/>
        <v>245</v>
      </c>
      <c r="B247" s="11">
        <f>'2016'!A21</f>
        <v>19</v>
      </c>
      <c r="C247" s="11">
        <v>2016</v>
      </c>
      <c r="D247" s="34" t="str">
        <f>'2016'!B21</f>
        <v>Devon Johnson</v>
      </c>
      <c r="E247" s="224" t="str" cm="1">
        <f t="array" ref="E247">_xlfn.IFS(F247&gt;=13,"Cornerstone",AND(F247&gt;=12,F247&lt;13),"Elite",AND(F247&gt;=11,F247&lt;12),"Elite Upside",AND(F247&gt;=9,F247&lt;11),"Upside",AND(F247&gt;=7,F247&lt;9),"Upside Lite",AND(F247&gt;=6,F247&lt;7),"Outlier",AND(F247&gt;=5,F247&lt;6),"Outlier Lite",F247&lt;5,"Purgatory")</f>
        <v>Purgatory</v>
      </c>
      <c r="F247" s="14">
        <f>'2016'!C21</f>
        <v>4.6777777777777771</v>
      </c>
      <c r="G247" s="14">
        <f t="shared" si="41"/>
        <v>25</v>
      </c>
      <c r="H247" s="35">
        <f t="shared" si="37"/>
        <v>-1.4070678840277513</v>
      </c>
      <c r="I247" s="36" t="str">
        <f>'2016'!D21</f>
        <v>Marshall</v>
      </c>
      <c r="J247" s="37">
        <f>'2016'!E21</f>
        <v>8</v>
      </c>
      <c r="K247" s="38">
        <f>'2016'!F21</f>
        <v>34178</v>
      </c>
      <c r="L247" s="39">
        <f>'2016'!G21</f>
        <v>32.18904109589041</v>
      </c>
      <c r="M247" s="39" t="str">
        <f>'2016'!H21</f>
        <v>SR</v>
      </c>
      <c r="N247" s="39">
        <f>'2016'!I21</f>
        <v>22.764383561643836</v>
      </c>
      <c r="O247" s="39" t="str">
        <f t="shared" si="38"/>
        <v>BRUISER</v>
      </c>
      <c r="P247" s="39" t="str">
        <f t="shared" ref="P247:P252" si="47">IF(OR(AND($AA247&lt;0.25,$AM247&gt;=0.133,AE247&gt;4%),(AND($O247="JITTERBUG",$AM247&gt;0.11)),(AND($O247="JITTERBUG",$AE247&gt;9.5%))),"+RECEIVER",IF(AND($AJ247&gt;=0.25,$AO247&gt;=3.81),"3DOWN",IF($AO247&gt;=3.81,"HORSE",IF(OR(AJ247&gt;0.28,AK247&gt;7,AP247&gt;47),"SLASHER",IF(AM247&gt;0.19,"+RECEIVER","PLODDER")))))</f>
        <v>HORSE</v>
      </c>
      <c r="Q247" s="37">
        <f>'2016'!J21</f>
        <v>72</v>
      </c>
      <c r="R247" s="37">
        <f>'2016'!K21</f>
        <v>238</v>
      </c>
      <c r="S247" s="39">
        <f t="shared" si="40"/>
        <v>32.27824526636708</v>
      </c>
      <c r="T247" s="37">
        <f>'2016'!L21</f>
        <v>4.6399999999999997</v>
      </c>
      <c r="U247" s="55">
        <f>'2016'!M21</f>
        <v>0</v>
      </c>
      <c r="V247" s="41">
        <f>'2016'!N21</f>
        <v>0</v>
      </c>
      <c r="W247" s="42">
        <f>'2016'!O21</f>
        <v>5.2276517886037186E-3</v>
      </c>
      <c r="X247" s="42">
        <f>'2016'!P21</f>
        <v>3.8476913851688985E-2</v>
      </c>
      <c r="Y247" s="42">
        <f>'2016'!Q21</f>
        <v>0.25957411687025422</v>
      </c>
      <c r="Z247" s="42">
        <f>'2016'!R21</f>
        <v>0.20573176823176825</v>
      </c>
      <c r="AA247" s="42">
        <f>'2016'!S21</f>
        <v>0.23265294255101124</v>
      </c>
      <c r="AB247" s="42">
        <f>'2016'!T21</f>
        <v>0.15122441265815731</v>
      </c>
      <c r="AC247" s="42">
        <f>'2016'!U21</f>
        <v>3.1058395137754692E-2</v>
      </c>
      <c r="AD247" s="42">
        <f>'2016'!V21</f>
        <v>3.5066896849374189E-2</v>
      </c>
      <c r="AE247" s="42">
        <f>'2016'!W21</f>
        <v>3.5066896849374189E-2</v>
      </c>
      <c r="AF247" s="43">
        <f>'2016'!X21</f>
        <v>2.2793482952093224E-2</v>
      </c>
      <c r="AG247" s="44">
        <f>'2016'!Y21</f>
        <v>21.109589041095891</v>
      </c>
      <c r="AH247" s="45">
        <f>'2016'!Z21</f>
        <v>102.69162601215078</v>
      </c>
      <c r="AI247" s="45">
        <f>'2016'!AA21</f>
        <v>32.275077160493829</v>
      </c>
      <c r="AJ247" s="45">
        <f>'2016'!AB21</f>
        <v>0.24390243902439024</v>
      </c>
      <c r="AK247" s="45">
        <f>'2016'!AC21</f>
        <v>8.6390243902439021</v>
      </c>
      <c r="AL247" s="45">
        <f t="shared" si="39"/>
        <v>15.555555555555555</v>
      </c>
      <c r="AM247" s="45">
        <f t="shared" si="46"/>
        <v>0.06</v>
      </c>
      <c r="AN247" s="45">
        <f>'2016'!AD21</f>
        <v>113</v>
      </c>
      <c r="AO247" s="45">
        <f>'2016'!AE21</f>
        <v>4.67</v>
      </c>
      <c r="AP247" s="46">
        <f>'2016'!AF21</f>
        <v>56.2</v>
      </c>
      <c r="AQ247" s="47">
        <f>'2016'!AG21</f>
        <v>2</v>
      </c>
      <c r="AR247" s="48">
        <f>'2016'!AH21</f>
        <v>2</v>
      </c>
      <c r="AS247" s="48">
        <f>'2016'!AI21</f>
        <v>3</v>
      </c>
      <c r="AT247" s="48">
        <f>'2016'!AJ21</f>
        <v>6</v>
      </c>
      <c r="AU247" s="48">
        <f>'2016'!AK21</f>
        <v>8</v>
      </c>
      <c r="AV247" s="48">
        <f>'2016'!AL21</f>
        <v>10</v>
      </c>
      <c r="AW247" s="48">
        <f>'2016'!AM21</f>
        <v>9</v>
      </c>
      <c r="AX247" s="48">
        <f>'2016'!AN21</f>
        <v>8</v>
      </c>
      <c r="AY247" s="49">
        <f>'2016'!AO21</f>
        <v>0</v>
      </c>
      <c r="AZ247" s="50">
        <f>'2016'!AP21</f>
        <v>0</v>
      </c>
      <c r="BA247" s="56">
        <f>'2016'!AQ21</f>
        <v>0</v>
      </c>
      <c r="BB247" s="57">
        <f>'2016'!AR21</f>
        <v>1</v>
      </c>
      <c r="BC247" s="57">
        <f>'2016'!AS21</f>
        <v>0</v>
      </c>
      <c r="BD247" s="57">
        <f>'2016'!AT21</f>
        <v>0</v>
      </c>
      <c r="BE247" s="57">
        <f>'2016'!AU21</f>
        <v>0</v>
      </c>
      <c r="BF247" s="57">
        <f>'2016'!AV21</f>
        <v>0</v>
      </c>
      <c r="BG247" s="58">
        <f>'2016'!AW21</f>
        <v>0</v>
      </c>
      <c r="BH247" s="58">
        <f>'2016'!AX21</f>
        <v>0</v>
      </c>
      <c r="BI247" s="58">
        <f>'2016'!AY21</f>
        <v>0</v>
      </c>
      <c r="BJ247" s="58">
        <f>'2016'!AZ21</f>
        <v>0</v>
      </c>
      <c r="BK247" s="57">
        <f>'2016'!BA21</f>
        <v>0</v>
      </c>
      <c r="BL247" s="57">
        <f>'2016'!BB21</f>
        <v>1</v>
      </c>
      <c r="BM247" s="57">
        <f>'2016'!BC21</f>
        <v>0</v>
      </c>
      <c r="BN247" s="57">
        <f>'2016'!BD21</f>
        <v>0</v>
      </c>
      <c r="BO247" s="59">
        <f>'2016'!BE21</f>
        <v>0</v>
      </c>
      <c r="BP247" s="56">
        <f>'2016'!BF21</f>
        <v>0</v>
      </c>
      <c r="BQ247" s="57">
        <f>'2016'!BG21</f>
        <v>1</v>
      </c>
      <c r="BR247" s="57">
        <f>'2016'!BH21</f>
        <v>0</v>
      </c>
      <c r="BS247" s="57">
        <f>'2016'!BI21</f>
        <v>0</v>
      </c>
      <c r="BT247" s="57">
        <f>'2016'!BJ21</f>
        <v>0</v>
      </c>
      <c r="BU247" s="57">
        <f>'2016'!BK21</f>
        <v>0</v>
      </c>
      <c r="BV247" s="58">
        <f>'2016'!BL21</f>
        <v>0</v>
      </c>
      <c r="BW247" s="58">
        <f>'2016'!BM21</f>
        <v>0</v>
      </c>
      <c r="BX247" s="58">
        <f>'2016'!BN21</f>
        <v>0</v>
      </c>
      <c r="BY247" s="58">
        <f>'2016'!BO21</f>
        <v>0</v>
      </c>
      <c r="BZ247" s="57">
        <f>'2016'!BP21</f>
        <v>21</v>
      </c>
      <c r="CA247" s="57">
        <f>'2016'!BQ21</f>
        <v>4016.1000000000004</v>
      </c>
      <c r="CB247" s="57">
        <f>'2016'!BR21</f>
        <v>3</v>
      </c>
      <c r="CC247" s="57">
        <f>'2016'!BS21</f>
        <v>1</v>
      </c>
      <c r="CD247" s="59">
        <f>'2016'!BT21</f>
        <v>36.299999999999997</v>
      </c>
      <c r="CE247" s="56">
        <f>'2016'!BU21</f>
        <v>13</v>
      </c>
      <c r="CF247" s="57">
        <f>'2016'!BV21</f>
        <v>2470.8000000000002</v>
      </c>
      <c r="CG247" s="57">
        <f>'2016'!BW21</f>
        <v>3</v>
      </c>
      <c r="CH247" s="57">
        <f>'2016'!BX21</f>
        <v>28.799999999999997</v>
      </c>
      <c r="CI247" s="57">
        <f>'2016'!BY21</f>
        <v>0</v>
      </c>
      <c r="CJ247" s="57">
        <f>'2016'!BZ21</f>
        <v>0</v>
      </c>
      <c r="CK247" s="58">
        <f>'2016'!CA21</f>
        <v>0</v>
      </c>
      <c r="CL247" s="58">
        <f>'2016'!CB21</f>
        <v>0</v>
      </c>
      <c r="CM247" s="58">
        <f>'2016'!CC21</f>
        <v>0</v>
      </c>
      <c r="CN247" s="58">
        <f>'2016'!CD21</f>
        <v>0</v>
      </c>
      <c r="CO247" s="57">
        <f>'2016'!CE21</f>
        <v>218</v>
      </c>
      <c r="CP247" s="57">
        <f>'2016'!CF21</f>
        <v>3532.7999999999997</v>
      </c>
      <c r="CQ247" s="57">
        <f>'2016'!CG21</f>
        <v>12</v>
      </c>
      <c r="CR247" s="57">
        <f>'2016'!CH21</f>
        <v>2</v>
      </c>
      <c r="CS247" s="59">
        <f>'2016'!CI21</f>
        <v>36</v>
      </c>
      <c r="CT247" s="56">
        <f>'2016'!CJ21</f>
        <v>1771</v>
      </c>
      <c r="CU247" s="57">
        <f>'2016'!CK21</f>
        <v>3534.7</v>
      </c>
      <c r="CV247" s="57">
        <f>'2016'!CL21</f>
        <v>17</v>
      </c>
      <c r="CW247" s="57">
        <f>'2016'!CM21</f>
        <v>37.699999999999996</v>
      </c>
      <c r="CX247" s="57">
        <f>'2016'!CN21</f>
        <v>205</v>
      </c>
      <c r="CY247" s="57">
        <f>'2016'!CO21</f>
        <v>50</v>
      </c>
      <c r="CZ247" s="58">
        <f>'2016'!CP21</f>
        <v>8.6390243902439021</v>
      </c>
      <c r="DA247" s="58">
        <f>'2016'!CQ21</f>
        <v>113</v>
      </c>
      <c r="DB247" s="58">
        <f>'2016'!CR21</f>
        <v>4.67</v>
      </c>
      <c r="DC247" s="58">
        <f>'2016'!CS21</f>
        <v>56.2</v>
      </c>
      <c r="DD247" s="57">
        <f>'2016'!CT21</f>
        <v>116</v>
      </c>
      <c r="DE247" s="57">
        <f>'2016'!CU21</f>
        <v>3734.9</v>
      </c>
      <c r="DF247" s="57">
        <f>'2016'!CV21</f>
        <v>6</v>
      </c>
      <c r="DG247" s="57">
        <f>'2016'!CW21</f>
        <v>2</v>
      </c>
      <c r="DH247" s="59">
        <f>'2016'!CX21</f>
        <v>37.699999999999996</v>
      </c>
      <c r="DI247" s="56">
        <f>'2016'!CY21</f>
        <v>594</v>
      </c>
      <c r="DJ247" s="57">
        <f>'2016'!CZ21</f>
        <v>1349.6</v>
      </c>
      <c r="DK247" s="57">
        <f>'2016'!DA21</f>
        <v>5</v>
      </c>
      <c r="DL247" s="57">
        <f>'2016'!DB21</f>
        <v>12</v>
      </c>
      <c r="DM247" s="57">
        <f>'2016'!DC21</f>
        <v>94</v>
      </c>
      <c r="DN247" s="57">
        <f>'2016'!DD21</f>
        <v>13</v>
      </c>
      <c r="DO247" s="58">
        <f>'2016'!DE21</f>
        <v>6.3191489361702127</v>
      </c>
      <c r="DP247" s="58">
        <f>'2016'!DF21</f>
        <v>48.4</v>
      </c>
      <c r="DQ247" s="58">
        <f>'2016'!DG21</f>
        <v>3.46</v>
      </c>
      <c r="DR247" s="58">
        <f>'2016'!DH21</f>
        <v>46.5</v>
      </c>
      <c r="DS247" s="57">
        <f>'2016'!DI21</f>
        <v>65</v>
      </c>
      <c r="DT247" s="57">
        <f>'2016'!DJ21</f>
        <v>1853.6</v>
      </c>
      <c r="DU247" s="57">
        <f>'2016'!DK21</f>
        <v>6</v>
      </c>
      <c r="DV247" s="57">
        <f>'2016'!DL21</f>
        <v>1</v>
      </c>
      <c r="DW247" s="59">
        <f>'2016'!DM21</f>
        <v>15.2</v>
      </c>
    </row>
    <row r="248" spans="1:127" ht="15.75" customHeight="1" x14ac:dyDescent="0.2">
      <c r="A248" s="33">
        <f t="shared" si="36"/>
        <v>246</v>
      </c>
      <c r="B248" s="11">
        <f>'2020'!A18</f>
        <v>16</v>
      </c>
      <c r="C248" s="11">
        <v>2020</v>
      </c>
      <c r="D248" s="34" t="str">
        <f>'2020'!B18</f>
        <v>Joshua Kelley</v>
      </c>
      <c r="E248" s="224" t="str" cm="1">
        <f t="array" ref="E248">_xlfn.IFS(F248&gt;=13,"Cornerstone",AND(F248&gt;=12,F248&lt;13),"Elite",AND(F248&gt;=11,F248&lt;12),"Elite Upside",AND(F248&gt;=9,F248&lt;11),"Upside",AND(F248&gt;=7,F248&lt;9),"Upside Lite",AND(F248&gt;=6,F248&lt;7),"Outlier",AND(F248&gt;=5,F248&lt;6),"Outlier Lite",F248&lt;5,"Purgatory")</f>
        <v>Purgatory</v>
      </c>
      <c r="F248" s="14">
        <f>'2020'!C18</f>
        <v>4.6500000000000004</v>
      </c>
      <c r="G248" s="14">
        <f t="shared" si="41"/>
        <v>24.7</v>
      </c>
      <c r="H248" s="35">
        <f t="shared" si="37"/>
        <v>-1.4188241358121854</v>
      </c>
      <c r="I248" s="36" t="str">
        <f>'2020'!D18</f>
        <v>UCLA</v>
      </c>
      <c r="J248" s="37">
        <f>'2020'!E18</f>
        <v>5</v>
      </c>
      <c r="K248" s="38">
        <f>'2020'!F18</f>
        <v>35754</v>
      </c>
      <c r="L248" s="39">
        <f>'2020'!G18</f>
        <v>27.87123287671233</v>
      </c>
      <c r="M248" s="39" t="str">
        <f>'2020'!H18</f>
        <v>RS SR</v>
      </c>
      <c r="N248" s="39">
        <f>'2020'!I18</f>
        <v>22.438356164383563</v>
      </c>
      <c r="O248" s="39" t="str">
        <f t="shared" si="38"/>
        <v>DYNAMIC</v>
      </c>
      <c r="P248" s="39" t="str">
        <f t="shared" si="47"/>
        <v>PLODDER</v>
      </c>
      <c r="Q248" s="37">
        <f>'2020'!J18</f>
        <v>70</v>
      </c>
      <c r="R248" s="37">
        <f>'2020'!K18</f>
        <v>212</v>
      </c>
      <c r="S248" s="39">
        <f t="shared" si="40"/>
        <v>30.418495775767056</v>
      </c>
      <c r="T248" s="37">
        <f>'2020'!L18</f>
        <v>4.49</v>
      </c>
      <c r="U248" s="40">
        <f>'2020'!M18</f>
        <v>4</v>
      </c>
      <c r="V248" s="41">
        <f>'2020'!N18</f>
        <v>0</v>
      </c>
      <c r="W248" s="42">
        <f>'2020'!O18</f>
        <v>0</v>
      </c>
      <c r="X248" s="42">
        <f>'2020'!P18</f>
        <v>0</v>
      </c>
      <c r="Y248" s="42">
        <f>'2020'!Q18</f>
        <v>0.30418170239864145</v>
      </c>
      <c r="Z248" s="42">
        <f>'2020'!R18</f>
        <v>0.23233360723089563</v>
      </c>
      <c r="AA248" s="42">
        <f>'2020'!S18</f>
        <v>0.26825765481476854</v>
      </c>
      <c r="AB248" s="42">
        <f>'2020'!T18</f>
        <v>0.22801900659255325</v>
      </c>
      <c r="AC248" s="42">
        <f>'2020'!U18</f>
        <v>6.7648089730108663E-2</v>
      </c>
      <c r="AD248" s="42">
        <f>'2020'!V18</f>
        <v>2.3157208088714937E-2</v>
      </c>
      <c r="AE248" s="42">
        <f>'2020'!W18</f>
        <v>4.54026489094118E-2</v>
      </c>
      <c r="AF248" s="43">
        <f>'2020'!X18</f>
        <v>3.859225157300003E-2</v>
      </c>
      <c r="AG248" s="44">
        <f>'2020'!Y18</f>
        <v>20.791780821917808</v>
      </c>
      <c r="AH248" s="45">
        <f>'2020'!Z18</f>
        <v>104.32310210825561</v>
      </c>
      <c r="AI248" s="45">
        <f>'2020'!AA18</f>
        <v>30.415510204081631</v>
      </c>
      <c r="AJ248" s="45">
        <f>'2020'!AB18</f>
        <v>0.19213973799126638</v>
      </c>
      <c r="AK248" s="45">
        <f>'2020'!AC18</f>
        <v>5.5</v>
      </c>
      <c r="AL248" s="45">
        <f t="shared" si="39"/>
        <v>17.600000000000001</v>
      </c>
      <c r="AM248" s="45">
        <f t="shared" si="46"/>
        <v>4.583333333333333E-2</v>
      </c>
      <c r="AN248" s="45">
        <f>'2020'!AD18</f>
        <v>51.3</v>
      </c>
      <c r="AO248" s="45">
        <f>'2020'!AE18</f>
        <v>2.85</v>
      </c>
      <c r="AP248" s="46">
        <f>'2020'!AF18</f>
        <v>40</v>
      </c>
      <c r="AQ248" s="47">
        <f>'2020'!AG18</f>
        <v>4</v>
      </c>
      <c r="AR248" s="48">
        <f>'2020'!AH18</f>
        <v>4</v>
      </c>
      <c r="AS248" s="48">
        <f>'2020'!AI18</f>
        <v>3</v>
      </c>
      <c r="AT248" s="48">
        <f>IF(AH248&gt;113.25,10,IF(AH248&gt;=107.84,9,IF(AH248&gt;=105.37,8,IF(AH248&gt;=103.25,7,IF(AH248&gt;=100.55,6,IF(AH248&gt;=98.75,5,IF(AH248&gt;=96.08,4,IF(AH248&gt;=94.39,3,IF(AH248&gt;=88.43,2,IF(AH248&gt;=85.16,1,IF(AH248&lt;85.16,0,FALSE)))))))))))</f>
        <v>7</v>
      </c>
      <c r="AU248" s="48">
        <f>'2020'!AK18</f>
        <v>3</v>
      </c>
      <c r="AV248" s="48">
        <f>'2020'!AL18</f>
        <v>3</v>
      </c>
      <c r="AW248" s="48">
        <f>'2020'!AM18</f>
        <v>0</v>
      </c>
      <c r="AX248" s="48">
        <f>'2020'!AN18</f>
        <v>0</v>
      </c>
      <c r="AY248" s="49">
        <f>IF(U248=1,10,IF(U248=2,7,IF(U248=3,6,IF(U248=4,4,IF(U248=5,3,IF(U248=6,2,IF(U248=7,1,IF(U248=0,0,"-"))))))))</f>
        <v>4</v>
      </c>
      <c r="AZ248" s="50">
        <f>'2020'!AP18</f>
        <v>0</v>
      </c>
      <c r="BA248" s="56">
        <f>'2020'!AQ18</f>
        <v>0</v>
      </c>
      <c r="BB248" s="57">
        <f>'2020'!AR18</f>
        <v>2308</v>
      </c>
      <c r="BC248" s="57">
        <f>'2020'!AS18</f>
        <v>0</v>
      </c>
      <c r="BD248" s="57">
        <f>'2020'!AT18</f>
        <v>26</v>
      </c>
      <c r="BE248" s="57">
        <f>'2020'!AU18</f>
        <v>0</v>
      </c>
      <c r="BF248" s="57">
        <f>'2020'!AV18</f>
        <v>0</v>
      </c>
      <c r="BG248" s="58">
        <f>'2020'!AW18</f>
        <v>0</v>
      </c>
      <c r="BH248" s="58">
        <f>'2020'!AX18</f>
        <v>0</v>
      </c>
      <c r="BI248" s="58">
        <f>'2020'!AY18</f>
        <v>0</v>
      </c>
      <c r="BJ248" s="58">
        <f>'2020'!AZ18</f>
        <v>0</v>
      </c>
      <c r="BK248" s="57">
        <f>'2020'!BA18</f>
        <v>0</v>
      </c>
      <c r="BL248" s="57">
        <f>'2020'!BB18</f>
        <v>3749</v>
      </c>
      <c r="BM248" s="57">
        <f>'2020'!BC18</f>
        <v>0</v>
      </c>
      <c r="BN248" s="57">
        <f>'2020'!BD18</f>
        <v>0</v>
      </c>
      <c r="BO248" s="59">
        <f>'2020'!BE18</f>
        <v>23</v>
      </c>
      <c r="BP248" s="56">
        <f>'2020'!BF18</f>
        <v>0</v>
      </c>
      <c r="BQ248" s="57">
        <f>'2020'!BG18</f>
        <v>1011</v>
      </c>
      <c r="BR248" s="57">
        <f>'2020'!BH18</f>
        <v>0</v>
      </c>
      <c r="BS248" s="57">
        <f>'2020'!BI18</f>
        <v>13</v>
      </c>
      <c r="BT248" s="57">
        <f>'2020'!BJ18</f>
        <v>0</v>
      </c>
      <c r="BU248" s="57">
        <f>'2020'!BK18</f>
        <v>0</v>
      </c>
      <c r="BV248" s="58">
        <f>'2020'!BL18</f>
        <v>0</v>
      </c>
      <c r="BW248" s="58">
        <f>'2020'!BM18</f>
        <v>0</v>
      </c>
      <c r="BX248" s="58">
        <f>'2020'!BN18</f>
        <v>0</v>
      </c>
      <c r="BY248" s="58">
        <f>'2020'!BO18</f>
        <v>0</v>
      </c>
      <c r="BZ248" s="57">
        <f>'2020'!BP18</f>
        <v>0</v>
      </c>
      <c r="CA248" s="57">
        <f>'2020'!BQ18</f>
        <v>3547</v>
      </c>
      <c r="CB248" s="57">
        <f>'2020'!BR18</f>
        <v>0</v>
      </c>
      <c r="CC248" s="57">
        <f>'2020'!BS18</f>
        <v>0</v>
      </c>
      <c r="CD248" s="59">
        <f>'2020'!BT18</f>
        <v>22</v>
      </c>
      <c r="CE248" s="56">
        <f>'2020'!BU18</f>
        <v>0</v>
      </c>
      <c r="CF248" s="57">
        <f>'2020'!BV18</f>
        <v>1474</v>
      </c>
      <c r="CG248" s="57">
        <f>'2020'!BW18</f>
        <v>0</v>
      </c>
      <c r="CH248" s="57">
        <f>'2020'!BX18</f>
        <v>19</v>
      </c>
      <c r="CI248" s="57">
        <f>'2020'!BY18</f>
        <v>0</v>
      </c>
      <c r="CJ248" s="57">
        <f>'2020'!BZ18</f>
        <v>0</v>
      </c>
      <c r="CK248" s="58">
        <f>'2020'!CA18</f>
        <v>0</v>
      </c>
      <c r="CL248" s="58">
        <f>'2020'!CB18</f>
        <v>0</v>
      </c>
      <c r="CM248" s="58">
        <f>'2020'!CC18</f>
        <v>0</v>
      </c>
      <c r="CN248" s="58">
        <f>'2020'!CD18</f>
        <v>0</v>
      </c>
      <c r="CO248" s="57">
        <f>'2020'!CE18</f>
        <v>0</v>
      </c>
      <c r="CP248" s="57">
        <f>'2020'!CF18</f>
        <v>4478</v>
      </c>
      <c r="CQ248" s="57">
        <f>'2020'!CG18</f>
        <v>0</v>
      </c>
      <c r="CR248" s="57">
        <f>'2020'!CH18</f>
        <v>0</v>
      </c>
      <c r="CS248" s="59">
        <f>'2020'!CI18</f>
        <v>31</v>
      </c>
      <c r="CT248" s="56">
        <f>'2020'!CJ18</f>
        <v>1240</v>
      </c>
      <c r="CU248" s="57">
        <f>'2020'!CK18</f>
        <v>1858</v>
      </c>
      <c r="CV248" s="57">
        <f>'2020'!CL18</f>
        <v>12</v>
      </c>
      <c r="CW248" s="57">
        <f>'2020'!CM18</f>
        <v>20</v>
      </c>
      <c r="CX248" s="57">
        <f>'2020'!CN18</f>
        <v>225</v>
      </c>
      <c r="CY248" s="57">
        <f>'2020'!CO18</f>
        <v>34</v>
      </c>
      <c r="CZ248" s="58">
        <f>'2020'!CP18</f>
        <v>5.5</v>
      </c>
      <c r="DA248" s="58">
        <f>'2020'!CQ18</f>
        <v>43</v>
      </c>
      <c r="DB248" s="58">
        <f>'2020'!CR18</f>
        <v>2.85</v>
      </c>
      <c r="DC248" s="58">
        <f>'2020'!CS18</f>
        <v>40</v>
      </c>
      <c r="DD248" s="57">
        <f>'2020'!CT18</f>
        <v>193</v>
      </c>
      <c r="DE248" s="57">
        <f>'2020'!CU18</f>
        <v>2853</v>
      </c>
      <c r="DF248" s="57">
        <f>'2020'!CV18</f>
        <v>4</v>
      </c>
      <c r="DG248" s="57">
        <f>'2020'!CW18</f>
        <v>0</v>
      </c>
      <c r="DH248" s="59">
        <f>'2020'!CX18</f>
        <v>13</v>
      </c>
      <c r="DI248" s="56">
        <f>'2020'!CY18</f>
        <v>1060</v>
      </c>
      <c r="DJ248" s="57">
        <f>'2020'!CZ18</f>
        <v>1802</v>
      </c>
      <c r="DK248" s="57">
        <f>'2020'!DA18</f>
        <v>12</v>
      </c>
      <c r="DL248" s="57">
        <f>'2020'!DB18</f>
        <v>18</v>
      </c>
      <c r="DM248" s="57">
        <f>'2020'!DC18</f>
        <v>229</v>
      </c>
      <c r="DN248" s="57">
        <f>'2020'!DD18</f>
        <v>44</v>
      </c>
      <c r="DO248" s="58">
        <f>'2020'!DE18</f>
        <v>4.5999999999999996</v>
      </c>
      <c r="DP248" s="58">
        <f>'2020'!DF18</f>
        <v>51.3</v>
      </c>
      <c r="DQ248" s="58">
        <f>'2020'!DG18</f>
        <v>2.8</v>
      </c>
      <c r="DR248" s="58">
        <f>'2020'!DH18</f>
        <v>25.6</v>
      </c>
      <c r="DS248" s="57">
        <f>'2020'!DI18</f>
        <v>71</v>
      </c>
      <c r="DT248" s="57">
        <f>'2020'!DJ18</f>
        <v>3066</v>
      </c>
      <c r="DU248" s="57">
        <f>'2020'!DK18</f>
        <v>11</v>
      </c>
      <c r="DV248" s="57">
        <f>'2020'!DL18</f>
        <v>0</v>
      </c>
      <c r="DW248" s="59">
        <f>'2020'!DM18</f>
        <v>22</v>
      </c>
    </row>
    <row r="249" spans="1:127" ht="15.75" customHeight="1" x14ac:dyDescent="0.2">
      <c r="A249" s="33">
        <f t="shared" si="36"/>
        <v>247</v>
      </c>
      <c r="B249" s="11">
        <f>'2019'!A22</f>
        <v>20</v>
      </c>
      <c r="C249" s="11">
        <v>2019</v>
      </c>
      <c r="D249" s="34" t="str">
        <f>'2019'!B22</f>
        <v>Dexter Williams</v>
      </c>
      <c r="E249" s="224" t="str" cm="1">
        <f t="array" ref="E249">_xlfn.IFS(F249&gt;=13,"Cornerstone",AND(F249&gt;=12,F249&lt;13),"Elite",AND(F249&gt;=11,F249&lt;12),"Elite Upside",AND(F249&gt;=9,F249&lt;11),"Upside",AND(F249&gt;=7,F249&lt;9),"Upside Lite",AND(F249&gt;=6,F249&lt;7),"Outlier",AND(F249&gt;=5,F249&lt;6),"Outlier Lite",F249&lt;5,"Purgatory")</f>
        <v>Purgatory</v>
      </c>
      <c r="F249" s="14">
        <f>'2019'!C22</f>
        <v>4.5500000000000007</v>
      </c>
      <c r="G249" s="14">
        <f t="shared" si="41"/>
        <v>24.4</v>
      </c>
      <c r="H249" s="35">
        <f t="shared" si="37"/>
        <v>-1.4611466422361492</v>
      </c>
      <c r="I249" s="36" t="str">
        <f>'2019'!D22</f>
        <v>Notre Dame</v>
      </c>
      <c r="J249" s="37">
        <f>'2019'!E22</f>
        <v>2</v>
      </c>
      <c r="K249" s="38">
        <f>'2019'!F22</f>
        <v>35436</v>
      </c>
      <c r="L249" s="39">
        <f>'2019'!G22</f>
        <v>28.742465753424657</v>
      </c>
      <c r="M249" s="39" t="str">
        <f>'2019'!H22</f>
        <v>SR</v>
      </c>
      <c r="N249" s="39">
        <f>'2019'!I22</f>
        <v>22.312328767123287</v>
      </c>
      <c r="O249" s="39" t="str">
        <f t="shared" si="38"/>
        <v>BELL COW</v>
      </c>
      <c r="P249" s="39" t="str">
        <f t="shared" si="47"/>
        <v>HORSE</v>
      </c>
      <c r="Q249" s="37">
        <f>'2019'!J22</f>
        <v>71</v>
      </c>
      <c r="R249" s="37">
        <f>'2019'!K22</f>
        <v>212</v>
      </c>
      <c r="S249" s="39">
        <f t="shared" si="40"/>
        <v>29.567670958392902</v>
      </c>
      <c r="T249" s="37">
        <f>'2019'!L22</f>
        <v>4.57</v>
      </c>
      <c r="U249" s="40">
        <f>'2019'!M22</f>
        <v>6</v>
      </c>
      <c r="V249" s="41">
        <f>'2019'!N22</f>
        <v>0</v>
      </c>
      <c r="W249" s="42">
        <f>'2019'!O22</f>
        <v>1.3854527461652647E-2</v>
      </c>
      <c r="X249" s="42">
        <f>'2019'!P22</f>
        <v>4.3105168629016165E-2</v>
      </c>
      <c r="Y249" s="42">
        <f>'2019'!Q22</f>
        <v>6.4012356272524454E-2</v>
      </c>
      <c r="Z249" s="42">
        <f>'2019'!R22</f>
        <v>0.19716832721552177</v>
      </c>
      <c r="AA249" s="42">
        <f>'2019'!S22</f>
        <v>0.19716832721552177</v>
      </c>
      <c r="AB249" s="42">
        <f>'2019'!T22</f>
        <v>0.19716832721552177</v>
      </c>
      <c r="AC249" s="42">
        <f>'2019'!U22</f>
        <v>5.5889939810834051E-3</v>
      </c>
      <c r="AD249" s="42">
        <f>'2019'!V22</f>
        <v>3.9737077980280845E-2</v>
      </c>
      <c r="AE249" s="42">
        <f>'2019'!W22</f>
        <v>3.9737077980280845E-2</v>
      </c>
      <c r="AF249" s="43">
        <f>'2019'!X22</f>
        <v>3.9737077980280845E-2</v>
      </c>
      <c r="AG249" s="44">
        <f>'2019'!Y22</f>
        <v>21.663013698630138</v>
      </c>
      <c r="AH249" s="45">
        <f>'2019'!Z22</f>
        <v>97.20778701646374</v>
      </c>
      <c r="AI249" s="45">
        <f>'2019'!AA22</f>
        <v>29.564768895060503</v>
      </c>
      <c r="AJ249" s="45">
        <f>'2019'!AB22</f>
        <v>0.12658227848101267</v>
      </c>
      <c r="AK249" s="45">
        <f>'2019'!AC22</f>
        <v>9.1999999999999993</v>
      </c>
      <c r="AL249" s="45">
        <f t="shared" si="39"/>
        <v>7.3636363636363633</v>
      </c>
      <c r="AM249" s="45">
        <f t="shared" si="46"/>
        <v>9.1954022988505746E-2</v>
      </c>
      <c r="AN249" s="45">
        <f>'2019'!AD22</f>
        <v>46</v>
      </c>
      <c r="AO249" s="45">
        <f>'2019'!AE22</f>
        <v>4.92</v>
      </c>
      <c r="AP249" s="46">
        <f>'2019'!AF22</f>
        <v>51.1</v>
      </c>
      <c r="AQ249" s="47">
        <f>'2019'!AG22</f>
        <v>3</v>
      </c>
      <c r="AR249" s="48">
        <f>'2019'!AH22</f>
        <v>4</v>
      </c>
      <c r="AS249" s="48">
        <f>'2019'!AI22</f>
        <v>2</v>
      </c>
      <c r="AT249" s="48">
        <f>IF(AH249&gt;113.25,10,IF(AH249&gt;=107.84,9,IF(AH249&gt;=105.37,8,IF(AH249&gt;=103.25,7,IF(AH249&gt;=100.55,6,IF(AH249&gt;=98.75,5,IF(AH249&gt;=96.08,4,IF(AH249&gt;=94.39,3,IF(AH249&gt;=88.43,2,IF(AH249&gt;=85.16,1,IF(AH249&lt;85.16,0,FALSE)))))))))))</f>
        <v>4</v>
      </c>
      <c r="AU249" s="48">
        <f>'2019'!AK22</f>
        <v>0</v>
      </c>
      <c r="AV249" s="48">
        <f>'2019'!AL22</f>
        <v>10</v>
      </c>
      <c r="AW249" s="48">
        <f>'2019'!AM22</f>
        <v>0</v>
      </c>
      <c r="AX249" s="48">
        <f>'2019'!AN22</f>
        <v>8</v>
      </c>
      <c r="AY249" s="49">
        <f>IF(U249=1,10,IF(U249=2,7,IF(U249=3,6,IF(U249=4,4,IF(U249=5,3,IF(U249=6,2,IF(U249=7,1,IF(U249=0,0,"-"))))))))</f>
        <v>2</v>
      </c>
      <c r="AZ249" s="50">
        <f>'2019'!AP22</f>
        <v>0</v>
      </c>
      <c r="BA249" s="56">
        <f>'2019'!AQ22</f>
        <v>0</v>
      </c>
      <c r="BB249" s="57">
        <f>'2019'!AR22</f>
        <v>2073</v>
      </c>
      <c r="BC249" s="57">
        <f>'2019'!AS22</f>
        <v>0</v>
      </c>
      <c r="BD249" s="57">
        <f>'2019'!AT22</f>
        <v>24</v>
      </c>
      <c r="BE249" s="57">
        <f>'2019'!AU22</f>
        <v>0</v>
      </c>
      <c r="BF249" s="57">
        <f>'2019'!AV22</f>
        <v>0</v>
      </c>
      <c r="BG249" s="58">
        <f>'2019'!AW22</f>
        <v>0</v>
      </c>
      <c r="BH249" s="58">
        <f>'2019'!AX22</f>
        <v>0</v>
      </c>
      <c r="BI249" s="58">
        <f>'2019'!AY22</f>
        <v>0</v>
      </c>
      <c r="BJ249" s="58">
        <f>'2019'!AZ22</f>
        <v>0</v>
      </c>
      <c r="BK249" s="57">
        <f>'2019'!BA22</f>
        <v>0</v>
      </c>
      <c r="BL249" s="57">
        <f>'2019'!BB22</f>
        <v>3711</v>
      </c>
      <c r="BM249" s="57">
        <f>'2019'!BC22</f>
        <v>0</v>
      </c>
      <c r="BN249" s="57">
        <f>'2019'!BD22</f>
        <v>0</v>
      </c>
      <c r="BO249" s="59">
        <f>'2019'!BE22</f>
        <v>30</v>
      </c>
      <c r="BP249" s="56">
        <f>'2019'!BF22</f>
        <v>84</v>
      </c>
      <c r="BQ249" s="57">
        <f>'2019'!BG22</f>
        <v>2699</v>
      </c>
      <c r="BR249" s="57">
        <f>'2019'!BH22</f>
        <v>1</v>
      </c>
      <c r="BS249" s="57">
        <f>'2019'!BI22</f>
        <v>29</v>
      </c>
      <c r="BT249" s="57">
        <f>'2019'!BJ22</f>
        <v>21</v>
      </c>
      <c r="BU249" s="57">
        <f>'2019'!BK22</f>
        <v>2</v>
      </c>
      <c r="BV249" s="58">
        <f>'2019'!BL22</f>
        <v>4</v>
      </c>
      <c r="BW249" s="58">
        <f>'2019'!BM22</f>
        <v>21.3</v>
      </c>
      <c r="BX249" s="58">
        <f>'2019'!BN22</f>
        <v>2.2400000000000002</v>
      </c>
      <c r="BY249" s="58">
        <f>'2019'!BO22</f>
        <v>0</v>
      </c>
      <c r="BZ249" s="57">
        <f>'2019'!BP22</f>
        <v>0</v>
      </c>
      <c r="CA249" s="57">
        <f>'2019'!BQ22</f>
        <v>3364</v>
      </c>
      <c r="CB249" s="57">
        <f>'2019'!BR22</f>
        <v>0</v>
      </c>
      <c r="CC249" s="57">
        <f>'2019'!BS22</f>
        <v>0</v>
      </c>
      <c r="CD249" s="59">
        <f>'2019'!BT22</f>
        <v>25</v>
      </c>
      <c r="CE249" s="56">
        <f>'2019'!BU22</f>
        <v>200</v>
      </c>
      <c r="CF249" s="57">
        <f>'2019'!BV22</f>
        <v>1960</v>
      </c>
      <c r="CG249" s="57">
        <f>'2019'!BW22</f>
        <v>3</v>
      </c>
      <c r="CH249" s="57">
        <f>'2019'!BX22</f>
        <v>18</v>
      </c>
      <c r="CI249" s="57">
        <f>'2019'!BY22</f>
        <v>39</v>
      </c>
      <c r="CJ249" s="57">
        <f>'2019'!BZ22</f>
        <v>8</v>
      </c>
      <c r="CK249" s="58">
        <f>'2019'!CA22</f>
        <v>5.0999999999999996</v>
      </c>
      <c r="CL249" s="58">
        <f>'2019'!CB22</f>
        <v>53</v>
      </c>
      <c r="CM249" s="58">
        <f>'2019'!CC22</f>
        <v>2.85</v>
      </c>
      <c r="CN249" s="58">
        <f>'2019'!CD22</f>
        <v>41</v>
      </c>
      <c r="CO249" s="57">
        <f>'2019'!CE22</f>
        <v>16</v>
      </c>
      <c r="CP249" s="57">
        <f>'2019'!CF22</f>
        <v>3051</v>
      </c>
      <c r="CQ249" s="57">
        <f>'2019'!CG22</f>
        <v>4</v>
      </c>
      <c r="CR249" s="57">
        <f>'2019'!CH22</f>
        <v>0</v>
      </c>
      <c r="CS249" s="59">
        <f>'2019'!CI22</f>
        <v>27</v>
      </c>
      <c r="CT249" s="56">
        <f>'2019'!CJ22</f>
        <v>360</v>
      </c>
      <c r="CU249" s="57">
        <f>'2019'!CK22</f>
        <v>3501</v>
      </c>
      <c r="CV249" s="57">
        <f>'2019'!CL22</f>
        <v>4</v>
      </c>
      <c r="CW249" s="57">
        <f>'2019'!CM22</f>
        <v>35</v>
      </c>
      <c r="CX249" s="57">
        <f>'2019'!CN22</f>
        <v>39</v>
      </c>
      <c r="CY249" s="57">
        <f>'2019'!CO22</f>
        <v>3</v>
      </c>
      <c r="CZ249" s="58">
        <f>'2019'!CP22</f>
        <v>9.1999999999999993</v>
      </c>
      <c r="DA249" s="58">
        <f>'2019'!CQ22</f>
        <v>36</v>
      </c>
      <c r="DB249" s="58">
        <f>'2019'!CR22</f>
        <v>4.92</v>
      </c>
      <c r="DC249" s="58">
        <f>'2019'!CS22</f>
        <v>51.1</v>
      </c>
      <c r="DD249" s="57">
        <f>'2019'!CT22</f>
        <v>13</v>
      </c>
      <c r="DE249" s="57">
        <f>'2019'!CU22</f>
        <v>2326</v>
      </c>
      <c r="DF249" s="57">
        <f>'2019'!CV22</f>
        <v>2</v>
      </c>
      <c r="DG249" s="57">
        <f>'2019'!CW22</f>
        <v>0</v>
      </c>
      <c r="DH249" s="59">
        <f>'2019'!CX22</f>
        <v>20</v>
      </c>
      <c r="DI249" s="56">
        <f>'2019'!CY22</f>
        <v>995</v>
      </c>
      <c r="DJ249" s="57">
        <f>'2019'!CZ22</f>
        <v>2374</v>
      </c>
      <c r="DK249" s="57">
        <f>'2019'!DA22</f>
        <v>12</v>
      </c>
      <c r="DL249" s="57">
        <f>'2019'!DB22</f>
        <v>27</v>
      </c>
      <c r="DM249" s="57">
        <f>'2019'!DC22</f>
        <v>158</v>
      </c>
      <c r="DN249" s="57">
        <f>'2019'!DD22</f>
        <v>20</v>
      </c>
      <c r="DO249" s="58">
        <f>'2019'!DE22</f>
        <v>6.3</v>
      </c>
      <c r="DP249" s="58">
        <f>'2019'!DF22</f>
        <v>46</v>
      </c>
      <c r="DQ249" s="58">
        <f>'2019'!DG22</f>
        <v>3.48</v>
      </c>
      <c r="DR249" s="58">
        <f>'2019'!DH22</f>
        <v>49.4</v>
      </c>
      <c r="DS249" s="57">
        <f>'2019'!DI22</f>
        <v>133</v>
      </c>
      <c r="DT249" s="57">
        <f>'2019'!DJ22</f>
        <v>3347</v>
      </c>
      <c r="DU249" s="57">
        <f>'2019'!DK22</f>
        <v>16</v>
      </c>
      <c r="DV249" s="57">
        <f>'2019'!DL22</f>
        <v>0</v>
      </c>
      <c r="DW249" s="59">
        <f>'2019'!DM22</f>
        <v>23</v>
      </c>
    </row>
    <row r="250" spans="1:127" ht="15.75" customHeight="1" x14ac:dyDescent="0.2">
      <c r="A250" s="33">
        <f t="shared" si="36"/>
        <v>248</v>
      </c>
      <c r="B250" s="11">
        <f>'2022'!A28</f>
        <v>26</v>
      </c>
      <c r="C250" s="11">
        <v>2022</v>
      </c>
      <c r="D250" s="34" t="str">
        <f>'2022'!B28</f>
        <v>Kennedy Brooks</v>
      </c>
      <c r="E250" s="224" t="str" cm="1">
        <f t="array" ref="E250">_xlfn.IFS(F250&gt;=13,"Cornerstone",AND(F250&gt;=12,F250&lt;13),"Elite",AND(F250&gt;=11,F250&lt;12),"Elite Upside",AND(F250&gt;=9,F250&lt;11),"Upside",AND(F250&gt;=7,F250&lt;9),"Upside Lite",AND(F250&gt;=6,F250&lt;7),"Outlier",AND(F250&gt;=5,F250&lt;6),"Outlier Lite",F250&lt;5,"Purgatory")</f>
        <v>Purgatory</v>
      </c>
      <c r="F250" s="14">
        <f>'2022'!C28</f>
        <v>4.5333333333333332</v>
      </c>
      <c r="G250" s="14">
        <f t="shared" si="41"/>
        <v>24.099999999999998</v>
      </c>
      <c r="H250" s="35">
        <f t="shared" si="37"/>
        <v>-1.4682003933068102</v>
      </c>
      <c r="I250" s="36" t="str">
        <f>'2022'!D28</f>
        <v>Oklahoma</v>
      </c>
      <c r="J250" s="37">
        <f>'2022'!E28</f>
        <v>3</v>
      </c>
      <c r="K250" s="38">
        <f>'2022'!F28</f>
        <v>36076</v>
      </c>
      <c r="L250" s="39">
        <f>'2022'!G28</f>
        <v>26.989041095890411</v>
      </c>
      <c r="M250" s="39" t="str">
        <f>'2022'!H28</f>
        <v>RS JR</v>
      </c>
      <c r="N250" s="39">
        <f>'2022'!I28</f>
        <v>23.56986301369863</v>
      </c>
      <c r="O250" s="39" t="str">
        <f t="shared" si="38"/>
        <v>BELL COW</v>
      </c>
      <c r="P250" s="39" t="str">
        <f t="shared" si="47"/>
        <v>3DOWN</v>
      </c>
      <c r="Q250" s="37">
        <f>'2022'!J28</f>
        <v>71</v>
      </c>
      <c r="R250" s="37">
        <f>'2022'!K28</f>
        <v>209</v>
      </c>
      <c r="S250" s="39">
        <f t="shared" si="40"/>
        <v>29.149260520302434</v>
      </c>
      <c r="T250" s="37">
        <f>'2022'!L28</f>
        <v>4.59</v>
      </c>
      <c r="U250" s="40">
        <f>'2022'!M28</f>
        <v>0</v>
      </c>
      <c r="V250" s="41">
        <f>'2022'!N28</f>
        <v>0</v>
      </c>
      <c r="W250" s="42">
        <f>'2022'!O28</f>
        <v>0</v>
      </c>
      <c r="X250" s="42">
        <f>'2022'!P28</f>
        <v>0.14481201009698419</v>
      </c>
      <c r="Y250" s="42">
        <f>'2022'!Q28</f>
        <v>0</v>
      </c>
      <c r="Z250" s="42">
        <f>'2022'!R28</f>
        <v>0.22650520211495823</v>
      </c>
      <c r="AA250" s="42">
        <f>'2022'!S28</f>
        <v>0.22650520211495823</v>
      </c>
      <c r="AB250" s="42">
        <f>'2022'!T28</f>
        <v>0.2038546819034624</v>
      </c>
      <c r="AC250" s="42">
        <f>'2022'!U28</f>
        <v>0</v>
      </c>
      <c r="AD250" s="42">
        <f>'2022'!V28</f>
        <v>2.1313868613138685E-2</v>
      </c>
      <c r="AE250" s="42">
        <f>'2022'!W28</f>
        <v>2.1313868613138685E-2</v>
      </c>
      <c r="AF250" s="43">
        <f>'2022'!X28</f>
        <v>1.9182481751824819E-2</v>
      </c>
      <c r="AG250" s="44">
        <f>'2022'!Y28</f>
        <v>22.923287671232877</v>
      </c>
      <c r="AH250" s="45">
        <f>'2022'!Z28</f>
        <v>94.172812212548834</v>
      </c>
      <c r="AI250" s="45">
        <f>'2022'!AA28</f>
        <v>29.146399523903987</v>
      </c>
      <c r="AJ250" s="45">
        <f>'2022'!AB28</f>
        <v>0.30456852791878175</v>
      </c>
      <c r="AK250" s="45">
        <f>'2022'!AC28</f>
        <v>6.4</v>
      </c>
      <c r="AL250" s="45">
        <f t="shared" si="39"/>
        <v>8</v>
      </c>
      <c r="AM250" s="45">
        <f t="shared" si="46"/>
        <v>4.3689320388349516E-2</v>
      </c>
      <c r="AN250" s="45">
        <f>'2022'!AD28</f>
        <v>118.9</v>
      </c>
      <c r="AO250" s="45">
        <f>'2022'!AE28</f>
        <v>3.95</v>
      </c>
      <c r="AP250" s="46">
        <f>'2022'!AF28</f>
        <v>52.7</v>
      </c>
      <c r="AQ250" s="47">
        <f>'2022'!AG28</f>
        <v>4</v>
      </c>
      <c r="AR250" s="48">
        <f>'2022'!AH28</f>
        <v>1</v>
      </c>
      <c r="AS250" s="48">
        <f>'2022'!AI28</f>
        <v>0</v>
      </c>
      <c r="AT250" s="48">
        <f>IF(AH250&gt;113.25,10,IF(AH250&gt;=107.84,9,IF(AH250&gt;=105.37,8,IF(AH250&gt;=103.25,7,IF(AH250&gt;=100.55,6,IF(AH250&gt;=98.75,5,IF(AH250&gt;=96.08,4,IF(AH250&gt;=94.39,3,IF(AH250&gt;=88.43,2,IF(AH250&gt;=85.16,1,IF(AH250&lt;85.16,0,FALSE)))))))))))</f>
        <v>2</v>
      </c>
      <c r="AU250" s="48">
        <f>'2022'!AK28</f>
        <v>8</v>
      </c>
      <c r="AV250" s="48">
        <f>'2022'!AL28</f>
        <v>6</v>
      </c>
      <c r="AW250" s="48">
        <f>'2022'!AM28</f>
        <v>6</v>
      </c>
      <c r="AX250" s="48">
        <f>'2022'!AN28</f>
        <v>4</v>
      </c>
      <c r="AY250" s="49">
        <f>IF(U250=1,10,IF(U250=2,7,IF(U250=3,6,IF(U250=4,4,IF(U250=5,3,IF(U250=6,2,IF(U250=7,1,IF(U250=0,0,"-"))))))))</f>
        <v>0</v>
      </c>
      <c r="AZ250" s="50">
        <f>'2022'!AP28</f>
        <v>0.5</v>
      </c>
      <c r="BA250" s="56">
        <f>'2022'!AQ28</f>
        <v>0</v>
      </c>
      <c r="BB250" s="57">
        <f>'2022'!AR28</f>
        <v>2293</v>
      </c>
      <c r="BC250" s="57">
        <f>'2022'!AS28</f>
        <v>0</v>
      </c>
      <c r="BD250" s="57">
        <f>'2022'!AT28</f>
        <v>35</v>
      </c>
      <c r="BE250" s="57">
        <f>'2022'!AU28</f>
        <v>0</v>
      </c>
      <c r="BF250" s="57">
        <f>'2022'!AV28</f>
        <v>0</v>
      </c>
      <c r="BG250" s="58">
        <f>'2022'!AW28</f>
        <v>0</v>
      </c>
      <c r="BH250" s="58">
        <f>'2022'!AX28</f>
        <v>0</v>
      </c>
      <c r="BI250" s="58">
        <f>'2022'!AY28</f>
        <v>0</v>
      </c>
      <c r="BJ250" s="58">
        <f>'2022'!AZ28</f>
        <v>0</v>
      </c>
      <c r="BK250" s="57">
        <f>'2022'!BA28</f>
        <v>0</v>
      </c>
      <c r="BL250" s="57">
        <f>'2022'!BB28</f>
        <v>3580</v>
      </c>
      <c r="BM250" s="57">
        <f>'2022'!BC28</f>
        <v>0</v>
      </c>
      <c r="BN250" s="57">
        <f>'2022'!BD28</f>
        <v>0</v>
      </c>
      <c r="BO250" s="59">
        <f>'2022'!BE28</f>
        <v>17</v>
      </c>
      <c r="BP250" s="56">
        <f>'2022'!BF28</f>
        <v>0</v>
      </c>
      <c r="BQ250" s="57">
        <f>'2022'!BG28</f>
        <v>1858</v>
      </c>
      <c r="BR250" s="57">
        <f>'2022'!BH28</f>
        <v>0</v>
      </c>
      <c r="BS250" s="57">
        <f>'2022'!BI28</f>
        <v>27</v>
      </c>
      <c r="BT250" s="57">
        <f>'2022'!BJ28</f>
        <v>119</v>
      </c>
      <c r="BU250" s="57">
        <f>'2022'!BK28</f>
        <v>37</v>
      </c>
      <c r="BV250" s="58">
        <f>'2022'!BL28</f>
        <v>0</v>
      </c>
      <c r="BW250" s="58">
        <f>'2022'!BM28</f>
        <v>0</v>
      </c>
      <c r="BX250" s="58">
        <f>'2022'!BN28</f>
        <v>0</v>
      </c>
      <c r="BY250" s="58">
        <f>'2022'!BO28</f>
        <v>0</v>
      </c>
      <c r="BZ250" s="57">
        <f>'2022'!BP28</f>
        <v>0</v>
      </c>
      <c r="CA250" s="57">
        <f>'2022'!BQ28</f>
        <v>4071</v>
      </c>
      <c r="CB250" s="57">
        <f>'2022'!BR28</f>
        <v>0</v>
      </c>
      <c r="CC250" s="57">
        <f>'2022'!BS28</f>
        <v>0</v>
      </c>
      <c r="CD250" s="59">
        <f>'2022'!BT28</f>
        <v>25</v>
      </c>
      <c r="CE250" s="56">
        <f>'2022'!BU28</f>
        <v>1011</v>
      </c>
      <c r="CF250" s="57">
        <f>'2022'!BV28</f>
        <v>3363</v>
      </c>
      <c r="CG250" s="57">
        <f>'2022'!BW28</f>
        <v>6</v>
      </c>
      <c r="CH250" s="57">
        <f>'2022'!BX28</f>
        <v>15</v>
      </c>
      <c r="CI250" s="57">
        <f>'2022'!BY28</f>
        <v>155</v>
      </c>
      <c r="CJ250" s="57">
        <f>'2022'!BZ28</f>
        <v>51</v>
      </c>
      <c r="CK250" s="58">
        <f>'2022'!CA28</f>
        <v>6.5</v>
      </c>
      <c r="CL250" s="58">
        <f>'2022'!CB28</f>
        <v>118.1</v>
      </c>
      <c r="CM250" s="58">
        <f>'2022'!CC28</f>
        <v>3.54</v>
      </c>
      <c r="CN250" s="58">
        <f>'2022'!CD28</f>
        <v>39.200000000000003</v>
      </c>
      <c r="CO250" s="57">
        <f>'2022'!CE28</f>
        <v>79</v>
      </c>
      <c r="CP250" s="57">
        <f>'2022'!CF28</f>
        <v>4164</v>
      </c>
      <c r="CQ250" s="57">
        <f>'2022'!CG28</f>
        <v>10</v>
      </c>
      <c r="CR250" s="57">
        <f>'2022'!CH28</f>
        <v>0</v>
      </c>
      <c r="CS250" s="59">
        <f>'2022'!CI28</f>
        <v>15</v>
      </c>
      <c r="CT250" s="56">
        <f>'2022'!CJ28</f>
        <v>0</v>
      </c>
      <c r="CU250" s="57">
        <f>'2022'!CK28</f>
        <v>1471</v>
      </c>
      <c r="CV250" s="57">
        <f>'2022'!CL28</f>
        <v>0</v>
      </c>
      <c r="CW250" s="57">
        <f>'2022'!CM28</f>
        <v>21</v>
      </c>
      <c r="CX250" s="57">
        <f>'2022'!CN28</f>
        <v>0</v>
      </c>
      <c r="CY250" s="57">
        <f>'2022'!CO28</f>
        <v>0</v>
      </c>
      <c r="CZ250" s="58">
        <f>'2022'!CP28</f>
        <v>0</v>
      </c>
      <c r="DA250" s="58">
        <f>'2022'!CQ28</f>
        <v>0</v>
      </c>
      <c r="DB250" s="58">
        <f>'2022'!CR28</f>
        <v>0</v>
      </c>
      <c r="DC250" s="58">
        <f>'2022'!CS28</f>
        <v>0</v>
      </c>
      <c r="DD250" s="57">
        <f>'2022'!CT28</f>
        <v>0</v>
      </c>
      <c r="DE250" s="57">
        <f>'2022'!CU28</f>
        <v>3155</v>
      </c>
      <c r="DF250" s="57">
        <f>'2022'!CV28</f>
        <v>0</v>
      </c>
      <c r="DG250" s="57">
        <f>'2022'!CW28</f>
        <v>0</v>
      </c>
      <c r="DH250" s="59">
        <f>'2022'!CX28</f>
        <v>25</v>
      </c>
      <c r="DI250" s="56">
        <f>'2022'!CY28</f>
        <v>1255</v>
      </c>
      <c r="DJ250" s="57">
        <f>'2022'!CZ28</f>
        <v>2438</v>
      </c>
      <c r="DK250" s="57">
        <f>'2022'!DA28</f>
        <v>13</v>
      </c>
      <c r="DL250" s="57">
        <f>'2022'!DB28</f>
        <v>29</v>
      </c>
      <c r="DM250" s="57">
        <f>'2022'!DC28</f>
        <v>197</v>
      </c>
      <c r="DN250" s="57">
        <f>'2022'!DD28</f>
        <v>60</v>
      </c>
      <c r="DO250" s="58">
        <f>'2022'!DE28</f>
        <v>6.4</v>
      </c>
      <c r="DP250" s="58">
        <f>'2022'!DF28</f>
        <v>118.9</v>
      </c>
      <c r="DQ250" s="58">
        <f>'2022'!DG28</f>
        <v>3.95</v>
      </c>
      <c r="DR250" s="58">
        <f>'2022'!DH28</f>
        <v>52.7</v>
      </c>
      <c r="DS250" s="57">
        <f>'2022'!DI28</f>
        <v>73</v>
      </c>
      <c r="DT250" s="57">
        <f>'2022'!DJ28</f>
        <v>3425</v>
      </c>
      <c r="DU250" s="57">
        <f>'2022'!DK28</f>
        <v>9</v>
      </c>
      <c r="DV250" s="57">
        <f>'2022'!DL28</f>
        <v>0</v>
      </c>
      <c r="DW250" s="59">
        <f>'2022'!DM28</f>
        <v>32</v>
      </c>
    </row>
    <row r="251" spans="1:127" ht="15.75" customHeight="1" x14ac:dyDescent="0.2">
      <c r="A251" s="33">
        <f t="shared" si="36"/>
        <v>249</v>
      </c>
      <c r="B251" s="11">
        <f>'2018'!A22</f>
        <v>20</v>
      </c>
      <c r="C251" s="11">
        <v>2018</v>
      </c>
      <c r="D251" s="34" t="str">
        <f>'2018'!B22</f>
        <v>Boston Scott</v>
      </c>
      <c r="E251" s="224" t="str" cm="1">
        <f t="array" ref="E251">_xlfn.IFS(F251&gt;=13,"Cornerstone",AND(F251&gt;=12,F251&lt;13),"Elite",AND(F251&gt;=11,F251&lt;12),"Elite Upside",AND(F251&gt;=9,F251&lt;11),"Upside",AND(F251&gt;=7,F251&lt;9),"Upside Lite",AND(F251&gt;=6,F251&lt;7),"Outlier",AND(F251&gt;=5,F251&lt;6),"Outlier Lite",F251&lt;5,"Purgatory")</f>
        <v>Purgatory</v>
      </c>
      <c r="F251" s="14">
        <f>'2018'!C22</f>
        <v>4.5166666666666666</v>
      </c>
      <c r="G251" s="14">
        <f t="shared" si="41"/>
        <v>23.799999999999997</v>
      </c>
      <c r="H251" s="35">
        <f t="shared" si="37"/>
        <v>-1.4752541443774707</v>
      </c>
      <c r="I251" s="36" t="str">
        <f>'2018'!D22</f>
        <v>LA Tech</v>
      </c>
      <c r="J251" s="37">
        <f>'2018'!E22</f>
        <v>6</v>
      </c>
      <c r="K251" s="38">
        <f>'2018'!F22</f>
        <v>34816</v>
      </c>
      <c r="L251" s="39">
        <f>'2018'!G22</f>
        <v>30.44109589041096</v>
      </c>
      <c r="M251" s="39" t="str">
        <f>'2018'!H22</f>
        <v>RS SR</v>
      </c>
      <c r="N251" s="39">
        <f>'2018'!I22</f>
        <v>23.013698630136986</v>
      </c>
      <c r="O251" s="39" t="str">
        <f t="shared" si="38"/>
        <v>JITTERBUG</v>
      </c>
      <c r="P251" s="39" t="str">
        <f t="shared" si="47"/>
        <v>HORSE</v>
      </c>
      <c r="Q251" s="37">
        <f>'2018'!J22</f>
        <v>66</v>
      </c>
      <c r="R251" s="37">
        <f>'2018'!K22</f>
        <v>199</v>
      </c>
      <c r="S251" s="39">
        <f t="shared" si="40"/>
        <v>32.119084532016636</v>
      </c>
      <c r="T251" s="37">
        <f>'2018'!L22</f>
        <v>4.4000000000000004</v>
      </c>
      <c r="U251" s="40">
        <f>'2018'!M22</f>
        <v>6</v>
      </c>
      <c r="V251" s="41">
        <f>'2018'!N22</f>
        <v>0</v>
      </c>
      <c r="W251" s="42">
        <f>'2018'!O22</f>
        <v>5.3466405275351988E-4</v>
      </c>
      <c r="X251" s="42">
        <f>'2018'!P22</f>
        <v>4.3817718291905672E-2</v>
      </c>
      <c r="Y251" s="42">
        <f>'2018'!Q22</f>
        <v>8.812101026922009E-2</v>
      </c>
      <c r="Z251" s="42">
        <f>'2018'!R22</f>
        <v>0.23305974422599732</v>
      </c>
      <c r="AA251" s="42">
        <f>'2018'!S22</f>
        <v>0.23305974422599732</v>
      </c>
      <c r="AB251" s="42">
        <f>'2018'!T22</f>
        <v>0.16314182095819812</v>
      </c>
      <c r="AC251" s="42">
        <f>'2018'!U22</f>
        <v>2.4572439551798702E-2</v>
      </c>
      <c r="AD251" s="42">
        <f>'2018'!V22</f>
        <v>6.1061061061061059E-2</v>
      </c>
      <c r="AE251" s="42">
        <f>'2018'!W22</f>
        <v>6.1061061061061059E-2</v>
      </c>
      <c r="AF251" s="43">
        <f>'2018'!X22</f>
        <v>4.2742742742742736E-2</v>
      </c>
      <c r="AG251" s="44">
        <f>'2018'!Y22</f>
        <v>22.375342465753423</v>
      </c>
      <c r="AH251" s="45">
        <f>'2018'!Z22</f>
        <v>106.18724813878831</v>
      </c>
      <c r="AI251" s="45">
        <f>'2018'!AA22</f>
        <v>32.115932047750228</v>
      </c>
      <c r="AJ251" s="45">
        <f>'2018'!AB22</f>
        <v>0.22905027932960895</v>
      </c>
      <c r="AK251" s="45">
        <f>'2018'!AC22</f>
        <v>7.3</v>
      </c>
      <c r="AL251" s="45">
        <f t="shared" si="39"/>
        <v>9.625</v>
      </c>
      <c r="AM251" s="45">
        <f t="shared" si="46"/>
        <v>0.105</v>
      </c>
      <c r="AN251" s="45">
        <f>'2018'!AD22</f>
        <v>115.6</v>
      </c>
      <c r="AO251" s="45">
        <f>'2018'!AE22</f>
        <v>4.93</v>
      </c>
      <c r="AP251" s="46">
        <f>'2018'!AF22</f>
        <v>50</v>
      </c>
      <c r="AQ251" s="47">
        <f>'2018'!AG22</f>
        <v>2</v>
      </c>
      <c r="AR251" s="48">
        <f>'2018'!AH22</f>
        <v>4</v>
      </c>
      <c r="AS251" s="48">
        <f>'2018'!AI22</f>
        <v>1</v>
      </c>
      <c r="AT251" s="48">
        <f>IF(AH251&gt;113.25,10,IF(AH251&gt;=107.84,9,IF(AH251&gt;=105.37,8,IF(AH251&gt;=103.25,7,IF(AH251&gt;=100.55,6,IF(AH251&gt;=98.75,5,IF(AH251&gt;=96.08,4,IF(AH251&gt;=94.39,3,IF(AH251&gt;=88.43,2,IF(AH251&gt;=85.16,1,IF(AH251&lt;85.16,0,FALSE)))))))))))</f>
        <v>8</v>
      </c>
      <c r="AU251" s="48">
        <f>'2018'!AK22</f>
        <v>5</v>
      </c>
      <c r="AV251" s="48">
        <f>'2018'!AL22</f>
        <v>8</v>
      </c>
      <c r="AW251" s="48">
        <f>'2018'!AM22</f>
        <v>5</v>
      </c>
      <c r="AX251" s="48">
        <f>'2018'!AN22</f>
        <v>8</v>
      </c>
      <c r="AY251" s="49">
        <f>IF(U251=1,10,IF(U251=2,7,IF(U251=3,6,IF(U251=4,4,IF(U251=5,3,IF(U251=6,2,IF(U251=7,1,IF(U251=0,0,"-"))))))))</f>
        <v>2</v>
      </c>
      <c r="AZ251" s="50">
        <f>'2018'!AP22</f>
        <v>0</v>
      </c>
      <c r="BA251" s="56">
        <f>'2018'!AQ22</f>
        <v>0</v>
      </c>
      <c r="BB251" s="57">
        <f>'2018'!AR22</f>
        <v>1922</v>
      </c>
      <c r="BC251" s="57">
        <f>'2018'!AS22</f>
        <v>0</v>
      </c>
      <c r="BD251" s="57">
        <f>'2018'!AT22</f>
        <v>0</v>
      </c>
      <c r="BE251" s="57">
        <f>'2018'!AU22</f>
        <v>0</v>
      </c>
      <c r="BF251" s="57">
        <f>'2018'!AV22</f>
        <v>0</v>
      </c>
      <c r="BG251" s="58">
        <f>'2018'!AW22</f>
        <v>0</v>
      </c>
      <c r="BH251" s="58">
        <f>'2018'!AX22</f>
        <v>0</v>
      </c>
      <c r="BI251" s="58">
        <f>'2018'!AY22</f>
        <v>0</v>
      </c>
      <c r="BJ251" s="58">
        <f>'2018'!AZ22</f>
        <v>0</v>
      </c>
      <c r="BK251" s="57">
        <f>'2018'!BA22</f>
        <v>0</v>
      </c>
      <c r="BL251" s="57">
        <f>'2018'!BB22</f>
        <v>2472</v>
      </c>
      <c r="BM251" s="57">
        <f>'2018'!BC22</f>
        <v>0</v>
      </c>
      <c r="BN251" s="57">
        <f>'2018'!BD22</f>
        <v>0</v>
      </c>
      <c r="BO251" s="59">
        <f>'2018'!BE22</f>
        <v>0</v>
      </c>
      <c r="BP251" s="56">
        <f>'2018'!BF22</f>
        <v>3</v>
      </c>
      <c r="BQ251" s="57">
        <f>'2018'!BG22</f>
        <v>2080</v>
      </c>
      <c r="BR251" s="57">
        <f>'2018'!BH22</f>
        <v>0</v>
      </c>
      <c r="BS251" s="57">
        <f>'2018'!BI22</f>
        <v>0</v>
      </c>
      <c r="BT251" s="57">
        <f>'2018'!BJ22</f>
        <v>1</v>
      </c>
      <c r="BU251" s="57">
        <f>'2018'!BK22</f>
        <v>0</v>
      </c>
      <c r="BV251" s="58">
        <f>'2018'!BL22</f>
        <v>3</v>
      </c>
      <c r="BW251" s="58">
        <f>'2018'!BM22</f>
        <v>0</v>
      </c>
      <c r="BX251" s="58">
        <f>'2018'!BN22</f>
        <v>4</v>
      </c>
      <c r="BY251" s="58">
        <f>'2018'!BO22</f>
        <v>0</v>
      </c>
      <c r="BZ251" s="57">
        <f>'2018'!BP22</f>
        <v>0</v>
      </c>
      <c r="CA251" s="57">
        <f>'2018'!BQ22</f>
        <v>3531</v>
      </c>
      <c r="CB251" s="57">
        <f>'2018'!BR22</f>
        <v>0</v>
      </c>
      <c r="CC251" s="57">
        <f>'2018'!BS22</f>
        <v>0</v>
      </c>
      <c r="CD251" s="59">
        <f>'2018'!BT22</f>
        <v>0</v>
      </c>
      <c r="CE251" s="56">
        <f>'2018'!BU22</f>
        <v>275</v>
      </c>
      <c r="CF251" s="57">
        <f>'2018'!BV22</f>
        <v>2075</v>
      </c>
      <c r="CG251" s="57">
        <f>'2018'!BW22</f>
        <v>0</v>
      </c>
      <c r="CH251" s="57">
        <f>'2018'!BX22</f>
        <v>0</v>
      </c>
      <c r="CI251" s="57">
        <f>'2018'!BY22</f>
        <v>34</v>
      </c>
      <c r="CJ251" s="57">
        <f>'2018'!BZ22</f>
        <v>13</v>
      </c>
      <c r="CK251" s="58">
        <f>'2018'!CA22</f>
        <v>8.1</v>
      </c>
      <c r="CL251" s="58">
        <f>'2018'!CB22</f>
        <v>164.2</v>
      </c>
      <c r="CM251" s="58">
        <f>'2018'!CC22</f>
        <v>4.29</v>
      </c>
      <c r="CN251" s="58">
        <f>'2018'!CD22</f>
        <v>62.2</v>
      </c>
      <c r="CO251" s="57">
        <f>'2018'!CE22</f>
        <v>0</v>
      </c>
      <c r="CP251" s="57">
        <f>'2018'!CF22</f>
        <v>4201</v>
      </c>
      <c r="CQ251" s="57">
        <f>'2018'!CG22</f>
        <v>0</v>
      </c>
      <c r="CR251" s="57">
        <f>'2018'!CH22</f>
        <v>0</v>
      </c>
      <c r="CS251" s="59">
        <f>'2018'!CI22</f>
        <v>0</v>
      </c>
      <c r="CT251" s="56">
        <f>'2018'!CJ22</f>
        <v>510</v>
      </c>
      <c r="CU251" s="57">
        <f>'2018'!CK22</f>
        <v>2119</v>
      </c>
      <c r="CV251" s="57">
        <f>'2018'!CL22</f>
        <v>6</v>
      </c>
      <c r="CW251" s="57">
        <f>'2018'!CM22</f>
        <v>0</v>
      </c>
      <c r="CX251" s="57">
        <f>'2018'!CN22</f>
        <v>70</v>
      </c>
      <c r="CY251" s="57">
        <f>'2018'!CO22</f>
        <v>14</v>
      </c>
      <c r="CZ251" s="58">
        <f>'2018'!CP22</f>
        <v>7.3</v>
      </c>
      <c r="DA251" s="58">
        <f>'2018'!CQ22</f>
        <v>115.6</v>
      </c>
      <c r="DB251" s="58">
        <f>'2018'!CR22</f>
        <v>4.93</v>
      </c>
      <c r="DC251" s="58">
        <f>'2018'!CS22</f>
        <v>50</v>
      </c>
      <c r="DD251" s="57">
        <f>'2018'!CT22</f>
        <v>125</v>
      </c>
      <c r="DE251" s="57">
        <f>'2018'!CU22</f>
        <v>5087</v>
      </c>
      <c r="DF251" s="57">
        <f>'2018'!CV22</f>
        <v>11</v>
      </c>
      <c r="DG251" s="57">
        <f>'2018'!CW22</f>
        <v>0</v>
      </c>
      <c r="DH251" s="59">
        <f>'2018'!CX22</f>
        <v>0</v>
      </c>
      <c r="DI251" s="56">
        <f>'2018'!CY22</f>
        <v>1038</v>
      </c>
      <c r="DJ251" s="57">
        <f>'2018'!CZ22</f>
        <v>2242</v>
      </c>
      <c r="DK251" s="57">
        <f>'2018'!DA22</f>
        <v>8</v>
      </c>
      <c r="DL251" s="57">
        <f>'2018'!DB22</f>
        <v>0</v>
      </c>
      <c r="DM251" s="57">
        <f>'2018'!DC22</f>
        <v>179</v>
      </c>
      <c r="DN251" s="57">
        <f>'2018'!DD22</f>
        <v>41</v>
      </c>
      <c r="DO251" s="58">
        <f>'2018'!DE22</f>
        <v>5.8</v>
      </c>
      <c r="DP251" s="58">
        <f>'2018'!DF22</f>
        <v>101.4</v>
      </c>
      <c r="DQ251" s="58">
        <f>'2018'!DG22</f>
        <v>3.9</v>
      </c>
      <c r="DR251" s="58">
        <f>'2018'!DH22</f>
        <v>36.299999999999997</v>
      </c>
      <c r="DS251" s="57">
        <f>'2018'!DI22</f>
        <v>183</v>
      </c>
      <c r="DT251" s="57">
        <f>'2018'!DJ22</f>
        <v>2997</v>
      </c>
      <c r="DU251" s="57">
        <f>'2018'!DK22</f>
        <v>21</v>
      </c>
      <c r="DV251" s="57">
        <f>'2018'!DL22</f>
        <v>0</v>
      </c>
      <c r="DW251" s="59">
        <f>'2018'!DM22</f>
        <v>0</v>
      </c>
    </row>
    <row r="252" spans="1:127" ht="15.75" customHeight="1" x14ac:dyDescent="0.2">
      <c r="A252" s="33">
        <f t="shared" si="36"/>
        <v>250</v>
      </c>
      <c r="B252" s="11">
        <f>'2025'!A33</f>
        <v>31</v>
      </c>
      <c r="C252" s="11">
        <v>2025</v>
      </c>
      <c r="D252" s="34" t="str">
        <f>'2025'!B33</f>
        <v>Marcus Yarns</v>
      </c>
      <c r="E252" s="224" t="str" cm="1">
        <f t="array" ref="E252">_xlfn.IFS(F252&gt;=13,"Cornerstone",AND(F252&gt;=12,F252&lt;13),"Elite",AND(F252&gt;=11,F252&lt;12),"Elite Upside",AND(F252&gt;=9,F252&lt;11),"Upside",AND(F252&gt;=7,F252&lt;9),"Upside Lite",AND(F252&gt;=6,F252&lt;7),"Outlier",AND(F252&gt;=5,F252&lt;6),"Outlier Lite",F252&lt;5,"Purgatory")</f>
        <v>Purgatory</v>
      </c>
      <c r="F252" s="14">
        <f>'2025'!C33</f>
        <v>4.5</v>
      </c>
      <c r="G252" s="14">
        <f t="shared" si="41"/>
        <v>23.5</v>
      </c>
      <c r="H252" s="35">
        <f t="shared" si="37"/>
        <v>-1.4823078954481315</v>
      </c>
      <c r="I252" s="36" t="str">
        <f>'2025'!D33</f>
        <v>Delaware</v>
      </c>
      <c r="J252" s="37">
        <f>'2025'!E33</f>
        <v>11</v>
      </c>
      <c r="K252" s="38">
        <f>'2025'!F33</f>
        <v>37194</v>
      </c>
      <c r="L252" s="39">
        <f>'2025'!G33</f>
        <v>23.926027397260274</v>
      </c>
      <c r="M252" s="39" t="str">
        <f>'2025'!H33</f>
        <v>SR</v>
      </c>
      <c r="N252" s="39">
        <f>'2025'!I33</f>
        <v>23.506849315068493</v>
      </c>
      <c r="O252" s="39" t="str">
        <f t="shared" si="38"/>
        <v>JITTERBUG</v>
      </c>
      <c r="P252" s="39" t="str">
        <f t="shared" si="47"/>
        <v>+RECEIVER</v>
      </c>
      <c r="Q252" s="37">
        <f>'2025'!J33</f>
        <v>71</v>
      </c>
      <c r="R252" s="37">
        <f>'2025'!K33</f>
        <v>193</v>
      </c>
      <c r="S252" s="39">
        <f t="shared" si="40"/>
        <v>26.917738183819953</v>
      </c>
      <c r="T252" s="37">
        <f>'2025'!L33</f>
        <v>4.45</v>
      </c>
      <c r="U252" s="40">
        <f>'2025'!M33</f>
        <v>0</v>
      </c>
      <c r="V252" s="41">
        <f>'2025'!N33</f>
        <v>0</v>
      </c>
      <c r="W252" s="42">
        <f>'2025'!O33</f>
        <v>2.5773195876288658E-2</v>
      </c>
      <c r="X252" s="42">
        <f>'2025'!P33</f>
        <v>0.12965750846819721</v>
      </c>
      <c r="Y252" s="42">
        <f>'2025'!Q33</f>
        <v>0.23231571109456442</v>
      </c>
      <c r="Z252" s="42">
        <f>'2025'!R33</f>
        <v>0.2369186046511628</v>
      </c>
      <c r="AA252" s="42">
        <f>'2025'!S33</f>
        <v>0.2369186046511628</v>
      </c>
      <c r="AB252" s="42">
        <f>'2025'!T33</f>
        <v>0.13030523255813956</v>
      </c>
      <c r="AC252" s="42">
        <f>'2025'!U33</f>
        <v>9.4557616296746735E-2</v>
      </c>
      <c r="AD252" s="42">
        <f>'2025'!V33</f>
        <v>0.10648978128361419</v>
      </c>
      <c r="AE252" s="42">
        <f>'2025'!W33</f>
        <v>0.10648978128361419</v>
      </c>
      <c r="AF252" s="43">
        <f>'2025'!X33</f>
        <v>5.8569379705987808E-2</v>
      </c>
      <c r="AG252" s="44">
        <f>'2025'!Y33</f>
        <v>21.860273972602741</v>
      </c>
      <c r="AH252" s="45">
        <f>'2025'!Z33</f>
        <v>98.434482121861066</v>
      </c>
      <c r="AI252" s="45">
        <f>'2025'!AA33</f>
        <v>26.91509621106923</v>
      </c>
      <c r="AJ252" s="45">
        <f>'2025'!AB33</f>
        <v>0.24812030075187969</v>
      </c>
      <c r="AK252" s="45">
        <f>'2025'!AC33</f>
        <v>6.8897058823529411</v>
      </c>
      <c r="AL252" s="45">
        <f t="shared" si="39"/>
        <v>12.676923076923076</v>
      </c>
      <c r="AM252" s="45">
        <f t="shared" si="46"/>
        <v>0.11333333333333333</v>
      </c>
      <c r="AN252" s="45">
        <f>'2025'!AD33</f>
        <v>95.6</v>
      </c>
      <c r="AO252" s="45">
        <f>'2025'!AE33</f>
        <v>4.22</v>
      </c>
      <c r="AP252" s="46">
        <f>'2025'!AF33</f>
        <v>43.4</v>
      </c>
      <c r="AQ252" s="47">
        <f>'2025'!AG33</f>
        <v>1</v>
      </c>
      <c r="AR252" s="48">
        <f>'2025'!AH33</f>
        <v>6</v>
      </c>
      <c r="AS252" s="48">
        <f>'2025'!AI33</f>
        <v>2</v>
      </c>
      <c r="AT252" s="48">
        <f>'2025'!AJ33</f>
        <v>4</v>
      </c>
      <c r="AU252" s="48">
        <f>'2025'!AK33</f>
        <v>6</v>
      </c>
      <c r="AV252" s="48">
        <f>'2025'!AL33</f>
        <v>7</v>
      </c>
      <c r="AW252" s="48">
        <f>'2025'!AM33</f>
        <v>4</v>
      </c>
      <c r="AX252" s="48">
        <f>'2025'!AN33</f>
        <v>6</v>
      </c>
      <c r="AY252" s="49">
        <f>'2025'!AO33</f>
        <v>0</v>
      </c>
      <c r="AZ252" s="50">
        <f>'2025'!AP33</f>
        <v>0</v>
      </c>
      <c r="BA252" s="56">
        <f>'2025'!AQ33</f>
        <v>0</v>
      </c>
      <c r="BB252" s="57">
        <f>'2025'!AR33</f>
        <v>1</v>
      </c>
      <c r="BC252" s="57">
        <f>'2025'!AS33</f>
        <v>0</v>
      </c>
      <c r="BD252" s="57">
        <f>'2025'!AT33</f>
        <v>0</v>
      </c>
      <c r="BE252" s="57">
        <f>'2025'!AU33</f>
        <v>0</v>
      </c>
      <c r="BF252" s="57">
        <f>'2025'!AV33</f>
        <v>0</v>
      </c>
      <c r="BG252" s="58">
        <f>'2025'!AW33</f>
        <v>0</v>
      </c>
      <c r="BH252" s="58">
        <f>'2025'!AX33</f>
        <v>0</v>
      </c>
      <c r="BI252" s="58">
        <f>'2025'!AY33</f>
        <v>0</v>
      </c>
      <c r="BJ252" s="58">
        <f>'2025'!AZ33</f>
        <v>0</v>
      </c>
      <c r="BK252" s="57">
        <f>'2025'!BA33</f>
        <v>0</v>
      </c>
      <c r="BL252" s="57">
        <f>'2025'!BB33</f>
        <v>0</v>
      </c>
      <c r="BM252" s="57">
        <f>'2025'!BC33</f>
        <v>0</v>
      </c>
      <c r="BN252" s="57">
        <f>'2025'!BD33</f>
        <v>0</v>
      </c>
      <c r="BO252" s="59">
        <f>'2025'!BE33</f>
        <v>0</v>
      </c>
      <c r="BP252" s="56">
        <f>'2025'!BF33</f>
        <v>80</v>
      </c>
      <c r="BQ252" s="57">
        <f>'2025'!BG33</f>
        <v>1317</v>
      </c>
      <c r="BR252" s="57">
        <f>'2025'!BH33</f>
        <v>0</v>
      </c>
      <c r="BS252" s="57">
        <f>'2025'!BI33</f>
        <v>13</v>
      </c>
      <c r="BT252" s="57">
        <f>'2025'!BJ33</f>
        <v>23</v>
      </c>
      <c r="BU252" s="57">
        <f>'2025'!BK33</f>
        <v>2</v>
      </c>
      <c r="BV252" s="58">
        <f>'2025'!BL33</f>
        <v>3.4782608695652173</v>
      </c>
      <c r="BW252" s="58">
        <f>'2025'!BM33</f>
        <v>19.100000000000001</v>
      </c>
      <c r="BX252" s="58">
        <f>'2025'!BN33</f>
        <v>2.39</v>
      </c>
      <c r="BY252" s="58">
        <f>'2025'!BO33</f>
        <v>0</v>
      </c>
      <c r="BZ252" s="57">
        <f>'2025'!BP33</f>
        <v>5</v>
      </c>
      <c r="CA252" s="57">
        <f>'2025'!BQ33</f>
        <v>1981</v>
      </c>
      <c r="CB252" s="57">
        <f>'2025'!BR33</f>
        <v>2</v>
      </c>
      <c r="CC252" s="57">
        <f>'2025'!BS33</f>
        <v>0</v>
      </c>
      <c r="CD252" s="59">
        <f>'2025'!BT33</f>
        <v>12</v>
      </c>
      <c r="CE252" s="56">
        <f>'2025'!BU33</f>
        <v>478</v>
      </c>
      <c r="CF252" s="57">
        <f>'2025'!BV33</f>
        <v>1864</v>
      </c>
      <c r="CG252" s="57">
        <f>'2025'!BW33</f>
        <v>2</v>
      </c>
      <c r="CH252" s="57">
        <f>'2025'!BX33</f>
        <v>15</v>
      </c>
      <c r="CI252" s="57">
        <f>'2025'!BY33</f>
        <v>72</v>
      </c>
      <c r="CJ252" s="57">
        <f>'2025'!BZ33</f>
        <v>15</v>
      </c>
      <c r="CK252" s="58">
        <f>'2025'!CA33</f>
        <v>6.6388888888888893</v>
      </c>
      <c r="CL252" s="58">
        <f>'2025'!CB33</f>
        <v>87.3</v>
      </c>
      <c r="CM252" s="58">
        <f>'2025'!CC33</f>
        <v>4.32</v>
      </c>
      <c r="CN252" s="58">
        <f>'2025'!CD33</f>
        <v>48.7</v>
      </c>
      <c r="CO252" s="57">
        <f>'2025'!CE33</f>
        <v>211</v>
      </c>
      <c r="CP252" s="57">
        <f>'2025'!CF33</f>
        <v>3450</v>
      </c>
      <c r="CQ252" s="57">
        <f>'2025'!CG33</f>
        <v>22</v>
      </c>
      <c r="CR252" s="57">
        <f>'2025'!CH33</f>
        <v>3</v>
      </c>
      <c r="CS252" s="59">
        <f>'2025'!CI33</f>
        <v>33</v>
      </c>
      <c r="CT252" s="56">
        <f>'2025'!CJ33</f>
        <v>937</v>
      </c>
      <c r="CU252" s="57">
        <f>'2025'!CK33</f>
        <v>2083</v>
      </c>
      <c r="CV252" s="57">
        <f>'2025'!CL33</f>
        <v>15</v>
      </c>
      <c r="CW252" s="57">
        <f>'2025'!CM33</f>
        <v>25</v>
      </c>
      <c r="CX252" s="57">
        <f>'2025'!CN33</f>
        <v>136</v>
      </c>
      <c r="CY252" s="57">
        <f>'2025'!CO33</f>
        <v>30</v>
      </c>
      <c r="CZ252" s="58">
        <f>'2025'!CP33</f>
        <v>6.8897058823529411</v>
      </c>
      <c r="DA252" s="58">
        <f>'2025'!CQ33</f>
        <v>78</v>
      </c>
      <c r="DB252" s="58">
        <f>'2025'!CR33</f>
        <v>3.78</v>
      </c>
      <c r="DC252" s="58">
        <f>'2025'!CS33</f>
        <v>43.4</v>
      </c>
      <c r="DD252" s="57">
        <f>'2025'!CT33</f>
        <v>311</v>
      </c>
      <c r="DE252" s="57">
        <f>'2025'!CU33</f>
        <v>3289</v>
      </c>
      <c r="DF252" s="57">
        <f>'2025'!CV33</f>
        <v>24</v>
      </c>
      <c r="DG252" s="57">
        <f>'2025'!CW33</f>
        <v>3</v>
      </c>
      <c r="DH252" s="59">
        <f>'2025'!CX33</f>
        <v>27</v>
      </c>
      <c r="DI252" s="56">
        <f>'2025'!CY33</f>
        <v>844</v>
      </c>
      <c r="DJ252" s="57">
        <f>'2025'!CZ33</f>
        <v>2027</v>
      </c>
      <c r="DK252" s="57">
        <f>'2025'!DA33</f>
        <v>6</v>
      </c>
      <c r="DL252" s="57">
        <f>'2025'!DB33</f>
        <v>22</v>
      </c>
      <c r="DM252" s="57">
        <f>'2025'!DC33</f>
        <v>133</v>
      </c>
      <c r="DN252" s="57">
        <f>'2025'!DD33</f>
        <v>33</v>
      </c>
      <c r="DO252" s="58">
        <f>'2025'!DE33</f>
        <v>6.3458646616541357</v>
      </c>
      <c r="DP252" s="58">
        <f>'2025'!DF33</f>
        <v>95.6</v>
      </c>
      <c r="DQ252" s="58">
        <f>'2025'!DG33</f>
        <v>4.22</v>
      </c>
      <c r="DR252" s="58">
        <f>'2025'!DH33</f>
        <v>41.6</v>
      </c>
      <c r="DS252" s="57">
        <f>'2025'!DI33</f>
        <v>297</v>
      </c>
      <c r="DT252" s="57">
        <f>'2025'!DJ33</f>
        <v>2789</v>
      </c>
      <c r="DU252" s="57">
        <f>'2025'!DK33</f>
        <v>17</v>
      </c>
      <c r="DV252" s="57">
        <f>'2025'!DL33</f>
        <v>5</v>
      </c>
      <c r="DW252" s="59">
        <f>'2025'!DM33</f>
        <v>29</v>
      </c>
    </row>
    <row r="253" spans="1:127" ht="15.75" customHeight="1" x14ac:dyDescent="0.2">
      <c r="A253" s="33">
        <f t="shared" si="36"/>
        <v>251</v>
      </c>
      <c r="B253" s="11">
        <f>'2026 - WIP'!A20</f>
        <v>18</v>
      </c>
      <c r="C253" s="11">
        <v>2026</v>
      </c>
      <c r="D253" s="34" t="str">
        <f>'2026 - WIP'!B20</f>
        <v>CJ Donaldson</v>
      </c>
      <c r="E253" s="224" t="str" cm="1">
        <f t="array" ref="E253">_xlfn.IFS(F253&gt;=13,"Cornerstone",AND(F253&gt;=12,F253&lt;13),"Elite",AND(F253&gt;=11,F253&lt;12),"Elite Upside",AND(F253&gt;=9,F253&lt;11),"Upside",AND(F253&gt;=7,F253&lt;9),"Upside Lite",AND(F253&gt;=6,F253&lt;7),"Outlier",AND(F253&gt;=5,F253&lt;6),"Outlier Lite",F253&lt;5,"Purgatory")</f>
        <v>Purgatory</v>
      </c>
      <c r="F253" s="14">
        <f>'2026 - WIP'!C20</f>
        <v>4.4722222222222223</v>
      </c>
      <c r="G253" s="14">
        <f t="shared" si="41"/>
        <v>23.200000000000003</v>
      </c>
      <c r="H253" s="35">
        <f t="shared" si="37"/>
        <v>-1.4940641472325658</v>
      </c>
      <c r="I253" s="36" t="str">
        <f>'2026 - WIP'!D20</f>
        <v>Ohio State</v>
      </c>
      <c r="J253" s="37">
        <f>'2026 - WIP'!E20</f>
        <v>2</v>
      </c>
      <c r="K253" s="38">
        <f>'2026 - WIP'!F20</f>
        <v>38177</v>
      </c>
      <c r="L253" s="39">
        <f>'2026 - WIP'!G20</f>
        <v>21.232876712328768</v>
      </c>
      <c r="M253" s="39" t="str">
        <f>'2026 - WIP'!H20</f>
        <v>SR</v>
      </c>
      <c r="N253" s="39">
        <f>'2026 - WIP'!I20</f>
        <v>21.813698630136987</v>
      </c>
      <c r="O253" s="39" t="str">
        <f t="shared" si="38"/>
        <v>FREAK</v>
      </c>
      <c r="P253" s="39" t="str">
        <f>IF(OR(AND($AA253&lt;0.25,$AO253&gt;=0.133,AE253&gt;4%),(AND($O253="JITTERBUG",$AO253&gt;0.11)),(AND($O253="JITTERBUG",$AE253&gt;9.5%))),"+RECEIVER",IF(AND($AJ253&gt;=0.25,$AQ253&gt;=3.81),"3DOWN",IF($AQ253&gt;=3.81,"HORSE",IF(OR(AJ253&gt;0.28,AK253&gt;7,AR253&gt;47),"SLASHER",IF(AO253&gt;0.19,"+RECEIVER","PLODDER")))))</f>
        <v>+RECEIVER</v>
      </c>
      <c r="Q253" s="37">
        <f>'2026 - WIP'!J20</f>
        <v>74</v>
      </c>
      <c r="R253" s="37">
        <f>'2026 - WIP'!K20</f>
        <v>237</v>
      </c>
      <c r="S253" s="39">
        <f t="shared" si="40"/>
        <v>30.428662245198854</v>
      </c>
      <c r="T253" s="39">
        <f>'2026 - WIP'!L20</f>
        <v>4.5</v>
      </c>
      <c r="U253" s="55">
        <f>'2026 - WIP'!M20</f>
        <v>0</v>
      </c>
      <c r="V253" s="41">
        <f>'2026 - WIP'!N20</f>
        <v>0</v>
      </c>
      <c r="W253" s="42">
        <f>'2026 - WIP'!O20</f>
        <v>0.19799498746867167</v>
      </c>
      <c r="X253" s="42">
        <f>'2026 - WIP'!P20</f>
        <v>0.16375210921920541</v>
      </c>
      <c r="Y253" s="42">
        <f>'2026 - WIP'!Q20</f>
        <v>0.1605102817974105</v>
      </c>
      <c r="Z253" s="42">
        <f>'2026 - WIP'!R20</f>
        <v>0.12089447938504543</v>
      </c>
      <c r="AA253" s="42">
        <f>'2026 - WIP'!S20</f>
        <v>0.15944473342685855</v>
      </c>
      <c r="AB253" s="42">
        <f>'2026 - WIP'!T20</f>
        <v>0.15944473342685855</v>
      </c>
      <c r="AC253" s="42">
        <f>'2026 - WIP'!U20</f>
        <v>3.8039502560351136E-2</v>
      </c>
      <c r="AD253" s="42">
        <f>'2026 - WIP'!V20</f>
        <v>2.5882352941176471E-2</v>
      </c>
      <c r="AE253" s="42">
        <f>'2026 - WIP'!W20</f>
        <v>3.1960927750763805E-2</v>
      </c>
      <c r="AF253" s="43">
        <f>'2026 - WIP'!X20</f>
        <v>3.1960927750763805E-2</v>
      </c>
      <c r="AG253" s="44">
        <f>'2026 - WIP'!Y20</f>
        <v>18.169863013698631</v>
      </c>
      <c r="AH253" s="45">
        <f>'2026 - WIP'!Z20</f>
        <v>115.59213534522176</v>
      </c>
      <c r="AI253" s="45">
        <f>'2026 - WIP'!AA20</f>
        <v>30.425675675675674</v>
      </c>
      <c r="AJ253" s="45">
        <f>'2026 - WIP'!AB20</f>
        <v>0.17901234567901234</v>
      </c>
      <c r="AK253" s="45">
        <f>'2026 - WIP'!AC20</f>
        <v>4.7041420118343193</v>
      </c>
      <c r="AL253" s="45">
        <f t="shared" si="39"/>
        <v>6.0571428571428569</v>
      </c>
      <c r="AM253" s="45">
        <f t="shared" si="46"/>
        <v>8.3333333333333329E-2</v>
      </c>
      <c r="AN253" s="45">
        <f>'2026 - WIP'!AD20</f>
        <v>53</v>
      </c>
      <c r="AO253" s="45">
        <f>'2026 - WIP'!AE20</f>
        <v>3.15</v>
      </c>
      <c r="AP253" s="46">
        <f>'2026 - WIP'!AF20</f>
        <v>29.6</v>
      </c>
      <c r="AQ253" s="47">
        <f>'2026 - WIP'!AG20</f>
        <v>2</v>
      </c>
      <c r="AR253" s="48">
        <f>'2026 - WIP'!AH20</f>
        <v>3</v>
      </c>
      <c r="AS253" s="48">
        <f>'2026 - WIP'!AI20</f>
        <v>10</v>
      </c>
      <c r="AT253" s="48">
        <f>'2026 - WIP'!AJ20</f>
        <v>10</v>
      </c>
      <c r="AU253" s="48">
        <f>'2026 - WIP'!AK20</f>
        <v>2</v>
      </c>
      <c r="AV253" s="48">
        <f>'2026 - WIP'!AL20</f>
        <v>0</v>
      </c>
      <c r="AW253" s="48">
        <f>'2026 - WIP'!AM20</f>
        <v>0</v>
      </c>
      <c r="AX253" s="48">
        <f>'2026 - WIP'!AN20</f>
        <v>0</v>
      </c>
      <c r="AY253" s="49">
        <f>'2026 - WIP'!AO20</f>
        <v>0</v>
      </c>
      <c r="AZ253" s="50">
        <f>'2026 - WIP'!AP20</f>
        <v>0.5</v>
      </c>
      <c r="BA253" s="56">
        <f>'2026 - WIP'!AQ20</f>
        <v>0</v>
      </c>
      <c r="BB253" s="57">
        <f>'2026 - WIP'!AR20</f>
        <v>1</v>
      </c>
      <c r="BC253" s="57">
        <f>'2026 - WIP'!AS20</f>
        <v>0</v>
      </c>
      <c r="BD253" s="57">
        <f>'2026 - WIP'!AT20</f>
        <v>0</v>
      </c>
      <c r="BE253" s="57">
        <f>'2026 - WIP'!AU20</f>
        <v>0</v>
      </c>
      <c r="BF253" s="57">
        <f>'2026 - WIP'!AV20</f>
        <v>0</v>
      </c>
      <c r="BG253" s="58">
        <f>'2026 - WIP'!AW20</f>
        <v>0</v>
      </c>
      <c r="BH253" s="58">
        <f>'2026 - WIP'!AX20</f>
        <v>0</v>
      </c>
      <c r="BI253" s="58">
        <f>'2026 - WIP'!AY20</f>
        <v>0</v>
      </c>
      <c r="BJ253" s="58">
        <f>'2026 - WIP'!AZ20</f>
        <v>0</v>
      </c>
      <c r="BK253" s="57">
        <f>'2026 - WIP'!BA20</f>
        <v>0</v>
      </c>
      <c r="BL253" s="57">
        <f>'2026 - WIP'!BB20</f>
        <v>1</v>
      </c>
      <c r="BM253" s="57">
        <f>'2026 - WIP'!BC20</f>
        <v>0</v>
      </c>
      <c r="BN253" s="57">
        <f>'2026 - WIP'!BD20</f>
        <v>0</v>
      </c>
      <c r="BO253" s="59">
        <f>'2026 - WIP'!BE20</f>
        <v>0</v>
      </c>
      <c r="BP253" s="56">
        <f>'2026 - WIP'!BF20</f>
        <v>526</v>
      </c>
      <c r="BQ253" s="57">
        <f>'2026 - WIP'!BG20</f>
        <v>1200.5</v>
      </c>
      <c r="BR253" s="57">
        <f>'2026 - WIP'!BH20</f>
        <v>8</v>
      </c>
      <c r="BS253" s="57">
        <f>'2026 - WIP'!BI20</f>
        <v>14</v>
      </c>
      <c r="BT253" s="57">
        <f>'2026 - WIP'!BJ20</f>
        <v>87</v>
      </c>
      <c r="BU253" s="57">
        <f>'2026 - WIP'!BK20</f>
        <v>18</v>
      </c>
      <c r="BV253" s="58">
        <f>'2026 - WIP'!BL20</f>
        <v>6.0459770114942533</v>
      </c>
      <c r="BW253" s="58">
        <f>'2026 - WIP'!BM20</f>
        <v>91.8</v>
      </c>
      <c r="BX253" s="58">
        <f>'2026 - WIP'!BN20</f>
        <v>4.2</v>
      </c>
      <c r="BY253" s="58">
        <f>'2026 - WIP'!BO20</f>
        <v>48.9</v>
      </c>
      <c r="BZ253" s="57">
        <f>'2026 - WIP'!BP20</f>
        <v>27</v>
      </c>
      <c r="CA253" s="57">
        <f>'2026 - WIP'!BQ20</f>
        <v>1592.5</v>
      </c>
      <c r="CB253" s="57">
        <f>'2026 - WIP'!BR20</f>
        <v>9</v>
      </c>
      <c r="CC253" s="57">
        <f>'2026 - WIP'!BS20</f>
        <v>0</v>
      </c>
      <c r="CD253" s="59">
        <f>'2026 - WIP'!BT20</f>
        <v>11.9</v>
      </c>
      <c r="CE253" s="56">
        <f>'2026 - WIP'!BU20</f>
        <v>795</v>
      </c>
      <c r="CF253" s="57">
        <f>'2026 - WIP'!BV20</f>
        <v>2746.8</v>
      </c>
      <c r="CG253" s="57">
        <f>'2026 - WIP'!BW20</f>
        <v>11</v>
      </c>
      <c r="CH253" s="57">
        <f>'2026 - WIP'!BX20</f>
        <v>30</v>
      </c>
      <c r="CI253" s="57">
        <f>'2026 - WIP'!BY20</f>
        <v>169</v>
      </c>
      <c r="CJ253" s="57">
        <f>'2026 - WIP'!BZ20</f>
        <v>23</v>
      </c>
      <c r="CK253" s="58">
        <f>'2026 - WIP'!CA20</f>
        <v>4.7041420118343193</v>
      </c>
      <c r="CL253" s="58">
        <f>'2026 - WIP'!CB20</f>
        <v>39.299999999999997</v>
      </c>
      <c r="CM253" s="58">
        <f>'2026 - WIP'!CC20</f>
        <v>2.92</v>
      </c>
      <c r="CN253" s="58">
        <f>'2026 - WIP'!CD20</f>
        <v>17.899999999999999</v>
      </c>
      <c r="CO253" s="57">
        <f>'2026 - WIP'!CE20</f>
        <v>59</v>
      </c>
      <c r="CP253" s="57">
        <f>'2026 - WIP'!CF20</f>
        <v>2468.3999999999996</v>
      </c>
      <c r="CQ253" s="57">
        <f>'2026 - WIP'!CG20</f>
        <v>9</v>
      </c>
      <c r="CR253" s="57">
        <f>'2026 - WIP'!CH20</f>
        <v>0</v>
      </c>
      <c r="CS253" s="59">
        <f>'2026 - WIP'!CI20</f>
        <v>16.799999999999997</v>
      </c>
      <c r="CT253" s="56">
        <f>'2026 - WIP'!CJ20</f>
        <v>739</v>
      </c>
      <c r="CU253" s="57">
        <f>'2026 - WIP'!CK20</f>
        <v>2518</v>
      </c>
      <c r="CV253" s="57">
        <f>'2026 - WIP'!CL20</f>
        <v>11</v>
      </c>
      <c r="CW253" s="57">
        <f>'2026 - WIP'!CM20</f>
        <v>27</v>
      </c>
      <c r="CX253" s="57">
        <f>'2026 - WIP'!CN20</f>
        <v>162</v>
      </c>
      <c r="CY253" s="57">
        <f>'2026 - WIP'!CO20</f>
        <v>29</v>
      </c>
      <c r="CZ253" s="58">
        <f>'2026 - WIP'!CP20</f>
        <v>4.5617283950617287</v>
      </c>
      <c r="DA253" s="58">
        <f>'2026 - WIP'!CQ20</f>
        <v>53</v>
      </c>
      <c r="DB253" s="58">
        <f>'2026 - WIP'!CR20</f>
        <v>2.83</v>
      </c>
      <c r="DC253" s="58">
        <f>'2026 - WIP'!CS20</f>
        <v>29.6</v>
      </c>
      <c r="DD253" s="57">
        <f>'2026 - WIP'!CT20</f>
        <v>104</v>
      </c>
      <c r="DE253" s="57">
        <f>'2026 - WIP'!CU20</f>
        <v>2734</v>
      </c>
      <c r="DF253" s="57">
        <f>'2026 - WIP'!CV20</f>
        <v>14</v>
      </c>
      <c r="DG253" s="57">
        <f>'2026 - WIP'!CW20</f>
        <v>1</v>
      </c>
      <c r="DH253" s="59">
        <f>'2026 - WIP'!CX20</f>
        <v>20</v>
      </c>
      <c r="DI253" s="56">
        <f>'2026 - WIP'!CY20</f>
        <v>151</v>
      </c>
      <c r="DJ253" s="57">
        <f>'2026 - WIP'!CZ20</f>
        <v>581</v>
      </c>
      <c r="DK253" s="57">
        <f>'2026 - WIP'!DA20</f>
        <v>0</v>
      </c>
      <c r="DL253" s="57">
        <f>'2026 - WIP'!DB20</f>
        <v>0</v>
      </c>
      <c r="DM253" s="57">
        <f>'2026 - WIP'!DC20</f>
        <v>33</v>
      </c>
      <c r="DN253" s="57">
        <f>'2026 - WIP'!DD20</f>
        <v>1</v>
      </c>
      <c r="DO253" s="58">
        <f>'2026 - WIP'!DE20</f>
        <v>4.5757575757575761</v>
      </c>
      <c r="DP253" s="58">
        <f>'2026 - WIP'!DF20</f>
        <v>8.8000000000000007</v>
      </c>
      <c r="DQ253" s="58">
        <f>'2026 - WIP'!DG20</f>
        <v>3.15</v>
      </c>
      <c r="DR253" s="58">
        <f>'2026 - WIP'!DH20</f>
        <v>17.899999999999999</v>
      </c>
      <c r="DS253" s="57">
        <f>'2026 - WIP'!DI20</f>
        <v>22</v>
      </c>
      <c r="DT253" s="57">
        <f>'2026 - WIP'!DJ20</f>
        <v>850</v>
      </c>
      <c r="DU253" s="57">
        <f>'2026 - WIP'!DK20</f>
        <v>3</v>
      </c>
      <c r="DV253" s="57">
        <f>'2026 - WIP'!DL20</f>
        <v>0</v>
      </c>
      <c r="DW253" s="59">
        <f>'2026 - WIP'!DM20</f>
        <v>0</v>
      </c>
    </row>
    <row r="254" spans="1:127" ht="15.75" customHeight="1" x14ac:dyDescent="0.2">
      <c r="A254" s="33">
        <f t="shared" si="36"/>
        <v>252</v>
      </c>
      <c r="B254" s="11">
        <f>'2016'!A22</f>
        <v>20</v>
      </c>
      <c r="C254" s="11">
        <v>2016</v>
      </c>
      <c r="D254" s="34" t="str">
        <f>'2016'!B22</f>
        <v>Brandon Wilds</v>
      </c>
      <c r="E254" s="224" t="str" cm="1">
        <f t="array" ref="E254">_xlfn.IFS(F254&gt;=13,"Cornerstone",AND(F254&gt;=12,F254&lt;13),"Elite",AND(F254&gt;=11,F254&lt;12),"Elite Upside",AND(F254&gt;=9,F254&lt;11),"Upside",AND(F254&gt;=7,F254&lt;9),"Upside Lite",AND(F254&gt;=6,F254&lt;7),"Outlier",AND(F254&gt;=5,F254&lt;6),"Outlier Lite",F254&lt;5,"Purgatory")</f>
        <v>Purgatory</v>
      </c>
      <c r="F254" s="14">
        <f>'2016'!C22</f>
        <v>4.4666666666666668</v>
      </c>
      <c r="G254" s="14">
        <f t="shared" si="41"/>
        <v>22.900000000000002</v>
      </c>
      <c r="H254" s="35">
        <f t="shared" si="37"/>
        <v>-1.4964153975894527</v>
      </c>
      <c r="I254" s="36" t="str">
        <f>'2016'!D22</f>
        <v>South Carolina</v>
      </c>
      <c r="J254" s="37">
        <f>'2016'!E22</f>
        <v>1</v>
      </c>
      <c r="K254" s="38">
        <f>'2016'!F22</f>
        <v>34113</v>
      </c>
      <c r="L254" s="39">
        <f>'2016'!G22</f>
        <v>32.367123287671234</v>
      </c>
      <c r="M254" s="39" t="str">
        <f>'2016'!H22</f>
        <v>SR</v>
      </c>
      <c r="N254" s="39">
        <f>'2016'!I22</f>
        <v>22.942465753424656</v>
      </c>
      <c r="O254" s="39" t="str">
        <f t="shared" si="38"/>
        <v>BELL COW</v>
      </c>
      <c r="P254" s="39" t="str">
        <f t="shared" ref="P254:P259" si="48">IF(OR(AND($AA254&lt;0.25,$AM254&gt;=0.133,AE254&gt;4%),(AND($O254="JITTERBUG",$AM254&gt;0.11)),(AND($O254="JITTERBUG",$AE254&gt;9.5%))),"+RECEIVER",IF(AND($AJ254&gt;=0.25,$AO254&gt;=3.81),"3DOWN",IF($AO254&gt;=3.81,"HORSE",IF(OR(AJ254&gt;0.28,AK254&gt;7,AP254&gt;47),"SLASHER",IF(AM254&gt;0.19,"+RECEIVER","PLODDER")))))</f>
        <v>PLODDER</v>
      </c>
      <c r="Q254" s="37">
        <f>'2016'!J22</f>
        <v>73</v>
      </c>
      <c r="R254" s="37">
        <f>'2016'!K22</f>
        <v>220</v>
      </c>
      <c r="S254" s="39">
        <f t="shared" si="40"/>
        <v>29.025179461505484</v>
      </c>
      <c r="T254" s="37">
        <f>'2016'!L22</f>
        <v>4.54</v>
      </c>
      <c r="U254" s="55">
        <f>'2016'!M22</f>
        <v>0</v>
      </c>
      <c r="V254" s="41">
        <f>'2016'!N22</f>
        <v>0.12808896210873147</v>
      </c>
      <c r="W254" s="42">
        <f>'2016'!O22</f>
        <v>0</v>
      </c>
      <c r="X254" s="42">
        <f>'2016'!P22</f>
        <v>0.10738763778781465</v>
      </c>
      <c r="Y254" s="42">
        <f>'2016'!Q22</f>
        <v>0.13400240565328525</v>
      </c>
      <c r="Z254" s="42">
        <f>'2016'!R22</f>
        <v>0.2174980060126388</v>
      </c>
      <c r="AA254" s="42">
        <f>'2016'!S22</f>
        <v>0.2174980060126388</v>
      </c>
      <c r="AB254" s="42">
        <f>'2016'!T22</f>
        <v>0.2174980060126388</v>
      </c>
      <c r="AC254" s="42">
        <f>'2016'!U22</f>
        <v>4.2197828139754485E-2</v>
      </c>
      <c r="AD254" s="42">
        <f>'2016'!V22</f>
        <v>7.5502008032128518E-2</v>
      </c>
      <c r="AE254" s="42">
        <f>'2016'!W22</f>
        <v>7.5502008032128518E-2</v>
      </c>
      <c r="AF254" s="43">
        <f>'2016'!X22</f>
        <v>7.5502008032128518E-2</v>
      </c>
      <c r="AG254" s="44">
        <f>'2016'!Y22</f>
        <v>22.287671232876711</v>
      </c>
      <c r="AH254" s="45">
        <f>'2016'!Z22</f>
        <v>103.56887648770143</v>
      </c>
      <c r="AI254" s="45">
        <f>'2016'!AA22</f>
        <v>29.022330643647965</v>
      </c>
      <c r="AJ254" s="45">
        <f>'2016'!AB22</f>
        <v>0.16981132075471697</v>
      </c>
      <c r="AK254" s="45">
        <f>'2016'!AC22</f>
        <v>5.3773584905660377</v>
      </c>
      <c r="AL254" s="45">
        <f t="shared" si="39"/>
        <v>9.1355932203389827</v>
      </c>
      <c r="AM254" s="45">
        <f t="shared" si="46"/>
        <v>0.12142857142857143</v>
      </c>
      <c r="AN254" s="45">
        <f>'2016'!AD22</f>
        <v>50.8</v>
      </c>
      <c r="AO254" s="45">
        <f>'2016'!AE22</f>
        <v>2.63</v>
      </c>
      <c r="AP254" s="46">
        <f>'2016'!AF22</f>
        <v>38.1</v>
      </c>
      <c r="AQ254" s="47">
        <f>'2016'!AG22</f>
        <v>4</v>
      </c>
      <c r="AR254" s="48">
        <f>'2016'!AH22</f>
        <v>8</v>
      </c>
      <c r="AS254" s="48">
        <f>'2016'!AI22</f>
        <v>1</v>
      </c>
      <c r="AT254" s="48">
        <f>'2016'!AJ22</f>
        <v>7</v>
      </c>
      <c r="AU254" s="48">
        <f>'2016'!AK22</f>
        <v>4</v>
      </c>
      <c r="AV254" s="48">
        <f>'2016'!AL22</f>
        <v>2</v>
      </c>
      <c r="AW254" s="48">
        <f>'2016'!AM22</f>
        <v>3</v>
      </c>
      <c r="AX254" s="48">
        <f>'2016'!AN22</f>
        <v>1</v>
      </c>
      <c r="AY254" s="49">
        <f>'2016'!AO22</f>
        <v>0</v>
      </c>
      <c r="AZ254" s="50">
        <f>'2016'!AP22</f>
        <v>0.5</v>
      </c>
      <c r="BA254" s="56">
        <f>'2016'!AQ22</f>
        <v>486</v>
      </c>
      <c r="BB254" s="57">
        <f>'2016'!AR22</f>
        <v>2497</v>
      </c>
      <c r="BC254" s="57">
        <f>'2016'!AS22</f>
        <v>3</v>
      </c>
      <c r="BD254" s="57">
        <f>'2016'!AT22</f>
        <v>28</v>
      </c>
      <c r="BE254" s="57">
        <f>'2016'!AU22</f>
        <v>0</v>
      </c>
      <c r="BF254" s="57">
        <f>'2016'!AV22</f>
        <v>0</v>
      </c>
      <c r="BG254" s="58">
        <f>'2016'!AW22</f>
        <v>0</v>
      </c>
      <c r="BH254" s="58">
        <f>'2016'!AX22</f>
        <v>0</v>
      </c>
      <c r="BI254" s="58">
        <f>'2016'!AY22</f>
        <v>0</v>
      </c>
      <c r="BJ254" s="58">
        <f>'2016'!AZ22</f>
        <v>0</v>
      </c>
      <c r="BK254" s="57">
        <f>'2016'!BA22</f>
        <v>136</v>
      </c>
      <c r="BL254" s="57">
        <f>'2016'!BB22</f>
        <v>2359</v>
      </c>
      <c r="BM254" s="57">
        <f>'2016'!BC22</f>
        <v>15</v>
      </c>
      <c r="BN254" s="57">
        <f>'2016'!BD22</f>
        <v>0</v>
      </c>
      <c r="BO254" s="59">
        <f>'2016'!BE22</f>
        <v>19</v>
      </c>
      <c r="BP254" s="56">
        <f>'2016'!BF22</f>
        <v>0</v>
      </c>
      <c r="BQ254" s="57">
        <f>'2016'!BG22</f>
        <v>1</v>
      </c>
      <c r="BR254" s="57">
        <f>'2016'!BH22</f>
        <v>0</v>
      </c>
      <c r="BS254" s="57">
        <f>'2016'!BI22</f>
        <v>0</v>
      </c>
      <c r="BT254" s="57">
        <f>'2016'!BJ22</f>
        <v>0</v>
      </c>
      <c r="BU254" s="57">
        <f>'2016'!BK22</f>
        <v>0</v>
      </c>
      <c r="BV254" s="58">
        <f>'2016'!BL22</f>
        <v>0</v>
      </c>
      <c r="BW254" s="58">
        <f>'2016'!BM22</f>
        <v>0</v>
      </c>
      <c r="BX254" s="58">
        <f>'2016'!BN22</f>
        <v>0</v>
      </c>
      <c r="BY254" s="58">
        <f>'2016'!BO22</f>
        <v>0</v>
      </c>
      <c r="BZ254" s="57">
        <f>'2016'!BP22</f>
        <v>0</v>
      </c>
      <c r="CA254" s="57">
        <f>'2016'!BQ22</f>
        <v>1</v>
      </c>
      <c r="CB254" s="57">
        <f>'2016'!BR22</f>
        <v>0</v>
      </c>
      <c r="CC254" s="57">
        <f>'2016'!BS22</f>
        <v>0</v>
      </c>
      <c r="CD254" s="59">
        <f>'2016'!BT22</f>
        <v>0</v>
      </c>
      <c r="CE254" s="56">
        <f>'2016'!BU22</f>
        <v>221</v>
      </c>
      <c r="CF254" s="57">
        <f>'2016'!BV22</f>
        <v>1389.5</v>
      </c>
      <c r="CG254" s="57">
        <f>'2016'!BW22</f>
        <v>3</v>
      </c>
      <c r="CH254" s="57">
        <f>'2016'!BX22</f>
        <v>14.700000000000001</v>
      </c>
      <c r="CI254" s="57">
        <f>'2016'!BY22</f>
        <v>0</v>
      </c>
      <c r="CJ254" s="57">
        <f>'2016'!BZ22</f>
        <v>0</v>
      </c>
      <c r="CK254" s="58">
        <f>'2016'!CA22</f>
        <v>0</v>
      </c>
      <c r="CL254" s="58">
        <f>'2016'!CB22</f>
        <v>0</v>
      </c>
      <c r="CM254" s="58">
        <f>'2016'!CC22</f>
        <v>0</v>
      </c>
      <c r="CN254" s="58">
        <f>'2016'!CD22</f>
        <v>0</v>
      </c>
      <c r="CO254" s="57">
        <f>'2016'!CE22</f>
        <v>119</v>
      </c>
      <c r="CP254" s="57">
        <f>'2016'!CF22</f>
        <v>1776.6000000000001</v>
      </c>
      <c r="CQ254" s="57">
        <f>'2016'!CG22</f>
        <v>9</v>
      </c>
      <c r="CR254" s="57">
        <f>'2016'!CH22</f>
        <v>2</v>
      </c>
      <c r="CS254" s="59">
        <f>'2016'!CI22</f>
        <v>16.099999999999998</v>
      </c>
      <c r="CT254" s="56">
        <f>'2016'!CJ22</f>
        <v>570</v>
      </c>
      <c r="CU254" s="57">
        <f>'2016'!CK22</f>
        <v>1932</v>
      </c>
      <c r="CV254" s="57">
        <f>'2016'!CL22</f>
        <v>4</v>
      </c>
      <c r="CW254" s="57">
        <f>'2016'!CM22</f>
        <v>21.6</v>
      </c>
      <c r="CX254" s="57">
        <f>'2016'!CN22</f>
        <v>106</v>
      </c>
      <c r="CY254" s="57">
        <f>'2016'!CO22</f>
        <v>18</v>
      </c>
      <c r="CZ254" s="58">
        <f>'2016'!CP22</f>
        <v>5.3773584905660377</v>
      </c>
      <c r="DA254" s="58">
        <f>'2016'!CQ22</f>
        <v>37.9</v>
      </c>
      <c r="DB254" s="58">
        <f>'2016'!CR22</f>
        <v>2.4700000000000002</v>
      </c>
      <c r="DC254" s="58">
        <f>'2016'!CS22</f>
        <v>38.1</v>
      </c>
      <c r="DD254" s="57">
        <f>'2016'!CT22</f>
        <v>143</v>
      </c>
      <c r="DE254" s="57">
        <f>'2016'!CU22</f>
        <v>3388.7999999999997</v>
      </c>
      <c r="DF254" s="57">
        <f>'2016'!CV22</f>
        <v>18</v>
      </c>
      <c r="DG254" s="57">
        <f>'2016'!CW22</f>
        <v>1</v>
      </c>
      <c r="DH254" s="59">
        <f>'2016'!CX22</f>
        <v>26.400000000000002</v>
      </c>
      <c r="DI254" s="56">
        <f>'2016'!CY22</f>
        <v>568</v>
      </c>
      <c r="DJ254" s="57">
        <f>'2016'!CZ22</f>
        <v>1392.3</v>
      </c>
      <c r="DK254" s="57">
        <f>'2016'!DA22</f>
        <v>3</v>
      </c>
      <c r="DL254" s="57">
        <f>'2016'!DB22</f>
        <v>8.1</v>
      </c>
      <c r="DM254" s="57">
        <f>'2016'!DC22</f>
        <v>123</v>
      </c>
      <c r="DN254" s="57">
        <f>'2016'!DD22</f>
        <v>15</v>
      </c>
      <c r="DO254" s="58">
        <f>'2016'!DE22</f>
        <v>4.6178861788617889</v>
      </c>
      <c r="DP254" s="58">
        <f>'2016'!DF22</f>
        <v>50.8</v>
      </c>
      <c r="DQ254" s="58">
        <f>'2016'!DG22</f>
        <v>2.63</v>
      </c>
      <c r="DR254" s="58">
        <f>'2016'!DH22</f>
        <v>28.9</v>
      </c>
      <c r="DS254" s="57">
        <f>'2016'!DI22</f>
        <v>141</v>
      </c>
      <c r="DT254" s="57">
        <f>'2016'!DJ22</f>
        <v>1867.5</v>
      </c>
      <c r="DU254" s="57">
        <f>'2016'!DK22</f>
        <v>17</v>
      </c>
      <c r="DV254" s="57">
        <f>'2016'!DL22</f>
        <v>0</v>
      </c>
      <c r="DW254" s="59">
        <f>'2016'!DM22</f>
        <v>12.6</v>
      </c>
    </row>
    <row r="255" spans="1:127" ht="15.75" customHeight="1" x14ac:dyDescent="0.2">
      <c r="A255" s="33">
        <f t="shared" si="36"/>
        <v>253</v>
      </c>
      <c r="B255" s="11">
        <f>'2017'!A24</f>
        <v>22</v>
      </c>
      <c r="C255" s="11">
        <v>2017</v>
      </c>
      <c r="D255" s="34" t="str">
        <f>'2017'!B24</f>
        <v>Devante Mays</v>
      </c>
      <c r="E255" s="224" t="str" cm="1">
        <f t="array" ref="E255">_xlfn.IFS(F255&gt;=13,"Cornerstone",AND(F255&gt;=12,F255&lt;13),"Elite",AND(F255&gt;=11,F255&lt;12),"Elite Upside",AND(F255&gt;=9,F255&lt;11),"Upside",AND(F255&gt;=7,F255&lt;9),"Upside Lite",AND(F255&gt;=6,F255&lt;7),"Outlier",AND(F255&gt;=5,F255&lt;6),"Outlier Lite",F255&lt;5,"Purgatory")</f>
        <v>Purgatory</v>
      </c>
      <c r="F255" s="14">
        <f>'2017'!C24</f>
        <v>4.4555555555555557</v>
      </c>
      <c r="G255" s="14">
        <f t="shared" si="41"/>
        <v>22.6</v>
      </c>
      <c r="H255" s="35">
        <f t="shared" si="37"/>
        <v>-1.5011178983032265</v>
      </c>
      <c r="I255" s="36" t="str">
        <f>'2017'!D24</f>
        <v>Utah State</v>
      </c>
      <c r="J255" s="37">
        <f>'2017'!E24</f>
        <v>7</v>
      </c>
      <c r="K255" s="38">
        <f>'2017'!F24</f>
        <v>34480</v>
      </c>
      <c r="L255" s="39">
        <f>'2017'!G24</f>
        <v>31.361643835616437</v>
      </c>
      <c r="M255" s="39" t="str">
        <f>'2017'!H24</f>
        <v>SR</v>
      </c>
      <c r="N255" s="39">
        <f>'2017'!I24</f>
        <v>22.936986301369863</v>
      </c>
      <c r="O255" s="39" t="str">
        <f t="shared" si="38"/>
        <v>FREAK</v>
      </c>
      <c r="P255" s="39" t="str">
        <f t="shared" si="48"/>
        <v>HORSE</v>
      </c>
      <c r="Q255" s="37">
        <f>'2017'!J24</f>
        <v>71</v>
      </c>
      <c r="R255" s="37">
        <f>'2017'!K24</f>
        <v>230</v>
      </c>
      <c r="S255" s="39">
        <f t="shared" si="40"/>
        <v>32.078133586935699</v>
      </c>
      <c r="T255" s="37">
        <f>'2017'!L24</f>
        <v>4.3899999999999997</v>
      </c>
      <c r="U255" s="55">
        <f>'2017'!M24</f>
        <v>7</v>
      </c>
      <c r="V255" s="41">
        <f>'2017'!N24</f>
        <v>0</v>
      </c>
      <c r="W255" s="42">
        <f>'2017'!O24</f>
        <v>0</v>
      </c>
      <c r="X255" s="42">
        <f>'2017'!P24</f>
        <v>0</v>
      </c>
      <c r="Y255" s="42">
        <f>'2017'!Q24</f>
        <v>0.20547945205479451</v>
      </c>
      <c r="Z255" s="42">
        <f>'2017'!R24</f>
        <v>5.9136212624584718E-2</v>
      </c>
      <c r="AA255" s="42">
        <f>'2017'!S24</f>
        <v>0.13230783233968962</v>
      </c>
      <c r="AB255" s="42">
        <f>'2017'!T24</f>
        <v>8.6000091020798253E-2</v>
      </c>
      <c r="AC255" s="42">
        <f>'2017'!U24</f>
        <v>3.3682634730538923E-3</v>
      </c>
      <c r="AD255" s="42">
        <f>'2017'!V24</f>
        <v>3.2401782098015392E-3</v>
      </c>
      <c r="AE255" s="42">
        <f>'2017'!W24</f>
        <v>3.3042208414277158E-3</v>
      </c>
      <c r="AF255" s="43">
        <f>'2017'!X24</f>
        <v>2.1477435469280152E-3</v>
      </c>
      <c r="AG255" s="44">
        <f>'2017'!Y24</f>
        <v>21.279452054794522</v>
      </c>
      <c r="AH255" s="45">
        <f>'2017'!Z24</f>
        <v>123.85106650016921</v>
      </c>
      <c r="AI255" s="45">
        <f>'2017'!AA24</f>
        <v>32.074985121999603</v>
      </c>
      <c r="AJ255" s="45">
        <f>'2017'!AB24</f>
        <v>0.24324324324324326</v>
      </c>
      <c r="AK255" s="45">
        <f>'2017'!AC24</f>
        <v>7</v>
      </c>
      <c r="AL255" s="45">
        <f t="shared" si="39"/>
        <v>8.5</v>
      </c>
      <c r="AM255" s="45">
        <f t="shared" si="46"/>
        <v>2.6315789473684209E-2</v>
      </c>
      <c r="AN255" s="45">
        <f>'2017'!AD24</f>
        <v>122.3</v>
      </c>
      <c r="AO255" s="45">
        <f>'2017'!AE24</f>
        <v>5.16</v>
      </c>
      <c r="AP255" s="46">
        <f>'2017'!AF24</f>
        <v>53.3</v>
      </c>
      <c r="AQ255" s="47">
        <f>'2017'!AG24</f>
        <v>0</v>
      </c>
      <c r="AR255" s="48">
        <f>'2017'!AH24</f>
        <v>0</v>
      </c>
      <c r="AS255" s="48">
        <f>'2017'!AI24</f>
        <v>2</v>
      </c>
      <c r="AT255" s="48">
        <f>IF(AH255&gt;113.25,10,IF(AH255&gt;=107.84,9,IF(AH255&gt;=105.37,8,IF(AH255&gt;=103.25,7,IF(AH255&gt;=100.55,6,IF(AH255&gt;=98.75,5,IF(AH255&gt;=96.08,4,IF(AH255&gt;=94.39,3,IF(AH255&gt;=88.43,2,IF(AH255&gt;=85.16,1,IF(AH255&lt;85.16,0,FALSE)))))))))))</f>
        <v>10</v>
      </c>
      <c r="AU255" s="48">
        <f>'2017'!AK24</f>
        <v>6</v>
      </c>
      <c r="AV255" s="48">
        <f>'2017'!AL24</f>
        <v>8</v>
      </c>
      <c r="AW255" s="48">
        <f>'2017'!AM24</f>
        <v>8</v>
      </c>
      <c r="AX255" s="48">
        <f>'2017'!AN24</f>
        <v>10</v>
      </c>
      <c r="AY255" s="49">
        <f>IF(U255=1,10,IF(U255=2,7,IF(U255=3,6,IF(U255=4,4,IF(U255=5,3,IF(U255=6,2,IF(U255=7,1,IF(U255=0,0,"-"))))))))</f>
        <v>1</v>
      </c>
      <c r="AZ255" s="50">
        <f>'2017'!AP24</f>
        <v>0</v>
      </c>
      <c r="BA255" s="56">
        <f>'2017'!AQ24</f>
        <v>0</v>
      </c>
      <c r="BB255" s="57">
        <f>'2017'!AR24</f>
        <v>2653</v>
      </c>
      <c r="BC255" s="57">
        <f>'2017'!AS24</f>
        <v>0</v>
      </c>
      <c r="BD255" s="57">
        <f>'2017'!AT24</f>
        <v>0</v>
      </c>
      <c r="BE255" s="57">
        <f>'2017'!AU24</f>
        <v>0</v>
      </c>
      <c r="BF255" s="57">
        <f>'2017'!AV24</f>
        <v>0</v>
      </c>
      <c r="BG255" s="58">
        <f>'2017'!AW24</f>
        <v>0</v>
      </c>
      <c r="BH255" s="58">
        <f>'2017'!AX24</f>
        <v>0</v>
      </c>
      <c r="BI255" s="58">
        <f>'2017'!AY24</f>
        <v>0</v>
      </c>
      <c r="BJ255" s="58">
        <f>'2017'!AZ24</f>
        <v>0</v>
      </c>
      <c r="BK255" s="57">
        <f>'2017'!BA24</f>
        <v>0</v>
      </c>
      <c r="BL255" s="57">
        <f>'2017'!BB24</f>
        <v>3445</v>
      </c>
      <c r="BM255" s="57">
        <f>'2017'!BC24</f>
        <v>0</v>
      </c>
      <c r="BN255" s="57">
        <f>'2017'!BD24</f>
        <v>0</v>
      </c>
      <c r="BO255" s="59">
        <f>'2017'!BE24</f>
        <v>0</v>
      </c>
      <c r="BP255" s="56">
        <f>'2017'!BF24</f>
        <v>0</v>
      </c>
      <c r="BQ255" s="57">
        <f>'2017'!BG24</f>
        <v>2493</v>
      </c>
      <c r="BR255" s="57">
        <f>'2017'!BH24</f>
        <v>0</v>
      </c>
      <c r="BS255" s="57">
        <f>'2017'!BI24</f>
        <v>0</v>
      </c>
      <c r="BT255" s="57">
        <f>'2017'!BJ24</f>
        <v>0</v>
      </c>
      <c r="BU255" s="57">
        <f>'2017'!BK24</f>
        <v>0</v>
      </c>
      <c r="BV255" s="58">
        <f>'2017'!BL24</f>
        <v>0</v>
      </c>
      <c r="BW255" s="58">
        <f>'2017'!BM24</f>
        <v>0</v>
      </c>
      <c r="BX255" s="58">
        <f>'2017'!BN24</f>
        <v>0</v>
      </c>
      <c r="BY255" s="58">
        <f>'2017'!BO24</f>
        <v>0</v>
      </c>
      <c r="BZ255" s="57">
        <f>'2017'!BP24</f>
        <v>0</v>
      </c>
      <c r="CA255" s="57">
        <f>'2017'!BQ24</f>
        <v>3268</v>
      </c>
      <c r="CB255" s="57">
        <f>'2017'!BR24</f>
        <v>0</v>
      </c>
      <c r="CC255" s="57">
        <f>'2017'!BS24</f>
        <v>0</v>
      </c>
      <c r="CD255" s="59">
        <f>'2017'!BT24</f>
        <v>0</v>
      </c>
      <c r="CE255" s="56">
        <f>'2017'!BU24</f>
        <v>0</v>
      </c>
      <c r="CF255" s="57">
        <f>'2017'!BV24</f>
        <v>2521</v>
      </c>
      <c r="CG255" s="57">
        <f>'2017'!BW24</f>
        <v>0</v>
      </c>
      <c r="CH255" s="57">
        <f>'2017'!BX24</f>
        <v>0</v>
      </c>
      <c r="CI255" s="57">
        <f>'2017'!BY24</f>
        <v>0</v>
      </c>
      <c r="CJ255" s="57">
        <f>'2017'!BZ24</f>
        <v>0</v>
      </c>
      <c r="CK255" s="58">
        <f>'2017'!CA24</f>
        <v>0</v>
      </c>
      <c r="CL255" s="58">
        <f>'2017'!CB24</f>
        <v>0</v>
      </c>
      <c r="CM255" s="58">
        <f>'2017'!CC24</f>
        <v>0</v>
      </c>
      <c r="CN255" s="58">
        <f>'2017'!CD24</f>
        <v>0</v>
      </c>
      <c r="CO255" s="57">
        <f>'2017'!CE24</f>
        <v>0</v>
      </c>
      <c r="CP255" s="57">
        <f>'2017'!CF24</f>
        <v>2782</v>
      </c>
      <c r="CQ255" s="57">
        <f>'2017'!CG24</f>
        <v>0</v>
      </c>
      <c r="CR255" s="57">
        <f>'2017'!CH24</f>
        <v>0</v>
      </c>
      <c r="CS255" s="59">
        <f>'2017'!CI24</f>
        <v>0</v>
      </c>
      <c r="CT255" s="56">
        <f>'2017'!CJ24</f>
        <v>981</v>
      </c>
      <c r="CU255" s="57">
        <f>'2017'!CK24</f>
        <v>2146</v>
      </c>
      <c r="CV255" s="57">
        <f>'2017'!CL24</f>
        <v>9</v>
      </c>
      <c r="CW255" s="57">
        <f>'2017'!CM24</f>
        <v>0</v>
      </c>
      <c r="CX255" s="57">
        <f>'2017'!CN24</f>
        <v>165</v>
      </c>
      <c r="CY255" s="57">
        <f>'2017'!CO24</f>
        <v>24</v>
      </c>
      <c r="CZ255" s="58">
        <f>'2017'!CP24</f>
        <v>5.9</v>
      </c>
      <c r="DA255" s="58">
        <f>'2017'!CQ24</f>
        <v>41.2</v>
      </c>
      <c r="DB255" s="58">
        <f>'2017'!CR24</f>
        <v>2.85</v>
      </c>
      <c r="DC255" s="58">
        <f>'2017'!CS24</f>
        <v>40.9</v>
      </c>
      <c r="DD255" s="57">
        <f>'2017'!CT24</f>
        <v>9</v>
      </c>
      <c r="DE255" s="57">
        <f>'2017'!CU24</f>
        <v>2672</v>
      </c>
      <c r="DF255" s="57">
        <f>'2017'!CV24</f>
        <v>1</v>
      </c>
      <c r="DG255" s="57">
        <f>'2017'!CW24</f>
        <v>0</v>
      </c>
      <c r="DH255" s="59">
        <f>'2017'!CX24</f>
        <v>0</v>
      </c>
      <c r="DI255" s="56">
        <f>'2017'!CY24</f>
        <v>259</v>
      </c>
      <c r="DJ255" s="57">
        <f>'2017'!CZ24</f>
        <v>2046</v>
      </c>
      <c r="DK255" s="57">
        <f>'2017'!DA24</f>
        <v>3</v>
      </c>
      <c r="DL255" s="57">
        <f>'2017'!DB24</f>
        <v>0</v>
      </c>
      <c r="DM255" s="57">
        <f>'2017'!DC24</f>
        <v>37</v>
      </c>
      <c r="DN255" s="57">
        <f>'2017'!DD24</f>
        <v>9</v>
      </c>
      <c r="DO255" s="58">
        <f>'2017'!DE24</f>
        <v>7</v>
      </c>
      <c r="DP255" s="58">
        <f>'2017'!DF24</f>
        <v>122.3</v>
      </c>
      <c r="DQ255" s="58">
        <f>'2017'!DG24</f>
        <v>5.16</v>
      </c>
      <c r="DR255" s="58">
        <f>'2017'!DH24</f>
        <v>53.3</v>
      </c>
      <c r="DS255" s="57">
        <f>'2017'!DI24</f>
        <v>8</v>
      </c>
      <c r="DT255" s="57">
        <f>'2017'!DJ24</f>
        <v>2469</v>
      </c>
      <c r="DU255" s="57">
        <f>'2017'!DK24</f>
        <v>1</v>
      </c>
      <c r="DV255" s="57">
        <f>'2017'!DL24</f>
        <v>0</v>
      </c>
      <c r="DW255" s="59">
        <f>'2017'!DM24</f>
        <v>0</v>
      </c>
    </row>
    <row r="256" spans="1:127" ht="15.75" customHeight="1" x14ac:dyDescent="0.2">
      <c r="A256" s="33">
        <f t="shared" si="36"/>
        <v>254</v>
      </c>
      <c r="B256" s="11">
        <f>'2021'!A20</f>
        <v>18</v>
      </c>
      <c r="C256" s="11">
        <v>2021</v>
      </c>
      <c r="D256" s="34" t="str">
        <f>'2021'!B20</f>
        <v>Deon Jackson</v>
      </c>
      <c r="E256" s="224" t="str" cm="1">
        <f t="array" ref="E256">_xlfn.IFS(F256&gt;=13,"Cornerstone",AND(F256&gt;=12,F256&lt;13),"Elite",AND(F256&gt;=11,F256&lt;12),"Elite Upside",AND(F256&gt;=9,F256&lt;11),"Upside",AND(F256&gt;=7,F256&lt;9),"Upside Lite",AND(F256&gt;=6,F256&lt;7),"Outlier",AND(F256&gt;=5,F256&lt;6),"Outlier Lite",F256&lt;5,"Purgatory")</f>
        <v>Purgatory</v>
      </c>
      <c r="F256" s="14">
        <f>'2021'!C20</f>
        <v>4.4388888888888891</v>
      </c>
      <c r="G256" s="14">
        <f t="shared" si="41"/>
        <v>22.3</v>
      </c>
      <c r="H256" s="35">
        <f t="shared" si="37"/>
        <v>-1.508171649373887</v>
      </c>
      <c r="I256" s="36" t="str">
        <f>'2021'!D20</f>
        <v>Duke</v>
      </c>
      <c r="J256" s="37">
        <f>'2021'!E20</f>
        <v>4</v>
      </c>
      <c r="K256" s="38">
        <f>'2021'!F20</f>
        <v>36209</v>
      </c>
      <c r="L256" s="39">
        <f>'2021'!G20</f>
        <v>26.624657534246577</v>
      </c>
      <c r="M256" s="39" t="str">
        <f>'2021'!H20</f>
        <v>SR</v>
      </c>
      <c r="N256" s="39">
        <f>'2021'!I20</f>
        <v>22.208219178082192</v>
      </c>
      <c r="O256" s="39" t="str">
        <f t="shared" si="38"/>
        <v>FREAK</v>
      </c>
      <c r="P256" s="39" t="str">
        <f t="shared" si="48"/>
        <v>PLODDER</v>
      </c>
      <c r="Q256" s="37">
        <f>'2021'!J20</f>
        <v>71</v>
      </c>
      <c r="R256" s="37">
        <f>'2021'!K20</f>
        <v>218</v>
      </c>
      <c r="S256" s="39">
        <f t="shared" si="40"/>
        <v>30.404491834573832</v>
      </c>
      <c r="T256" s="37">
        <f>'2021'!L20</f>
        <v>4.42</v>
      </c>
      <c r="U256" s="40">
        <f>'2021'!M20</f>
        <v>0</v>
      </c>
      <c r="V256" s="41">
        <f>'2021'!N20</f>
        <v>0</v>
      </c>
      <c r="W256" s="42">
        <f>'2021'!O20</f>
        <v>2.0191923230707717E-2</v>
      </c>
      <c r="X256" s="42">
        <f>'2021'!P20</f>
        <v>0.20743268866135761</v>
      </c>
      <c r="Y256" s="42">
        <f>'2021'!Q20</f>
        <v>0.21284125379170879</v>
      </c>
      <c r="Z256" s="42">
        <f>'2021'!R20</f>
        <v>0.18092499400910617</v>
      </c>
      <c r="AA256" s="42">
        <f>'2021'!S20</f>
        <v>0.19688312390040746</v>
      </c>
      <c r="AB256" s="42">
        <f>'2021'!T20</f>
        <v>0.17719481151036673</v>
      </c>
      <c r="AC256" s="42">
        <f>'2021'!U20</f>
        <v>9.0148698884758363E-2</v>
      </c>
      <c r="AD256" s="42">
        <f>'2021'!V20</f>
        <v>3.3074724377296853E-2</v>
      </c>
      <c r="AE256" s="42">
        <f>'2021'!W20</f>
        <v>6.1611711631027605E-2</v>
      </c>
      <c r="AF256" s="43">
        <f>'2021'!X20</f>
        <v>5.5450540467924844E-2</v>
      </c>
      <c r="AG256" s="44">
        <f>'2021'!Y20</f>
        <v>19.547945205479451</v>
      </c>
      <c r="AH256" s="45">
        <f>'2021'!Z20</f>
        <v>114.23453333410025</v>
      </c>
      <c r="AI256" s="45">
        <f>'2021'!AA20</f>
        <v>30.401507637373538</v>
      </c>
      <c r="AJ256" s="45">
        <f>'2021'!AB20</f>
        <v>0.21604938271604937</v>
      </c>
      <c r="AK256" s="45">
        <f>'2021'!AC20</f>
        <v>4.2</v>
      </c>
      <c r="AL256" s="45">
        <f t="shared" si="39"/>
        <v>13.538461538461538</v>
      </c>
      <c r="AM256" s="45">
        <f t="shared" si="46"/>
        <v>5.2631578947368418E-2</v>
      </c>
      <c r="AN256" s="45">
        <f>'2021'!AD20</f>
        <v>72.8</v>
      </c>
      <c r="AO256" s="45">
        <f>'2021'!AE20</f>
        <v>3.7</v>
      </c>
      <c r="AP256" s="46">
        <f>'2021'!AF20</f>
        <v>42</v>
      </c>
      <c r="AQ256" s="47">
        <f>'2021'!AG20</f>
        <v>3</v>
      </c>
      <c r="AR256" s="48">
        <f>'2021'!AH20</f>
        <v>6</v>
      </c>
      <c r="AS256" s="48">
        <f>'2021'!AI20</f>
        <v>6</v>
      </c>
      <c r="AT256" s="48">
        <f>IF(AH256&gt;113.25,10,IF(AH256&gt;=107.84,9,IF(AH256&gt;=105.37,8,IF(AH256&gt;=103.25,7,IF(AH256&gt;=100.55,6,IF(AH256&gt;=98.75,5,IF(AH256&gt;=96.08,4,IF(AH256&gt;=94.39,3,IF(AH256&gt;=88.43,2,IF(AH256&gt;=85.16,1,IF(AH256&lt;85.16,0,FALSE)))))))))))</f>
        <v>10</v>
      </c>
      <c r="AU256" s="48">
        <f>'2021'!AK20</f>
        <v>4</v>
      </c>
      <c r="AV256" s="48">
        <f>'2021'!AL20</f>
        <v>0</v>
      </c>
      <c r="AW256" s="48">
        <f>'2021'!AM20</f>
        <v>1</v>
      </c>
      <c r="AX256" s="48">
        <f>'2021'!AN20</f>
        <v>3</v>
      </c>
      <c r="AY256" s="49">
        <f>IF(U256=1,10,IF(U256=2,7,IF(U256=3,6,IF(U256=4,4,IF(U256=5,3,IF(U256=6,2,IF(U256=7,1,IF(U256=0,0,"-"))))))))</f>
        <v>0</v>
      </c>
      <c r="AZ256" s="50">
        <f>'2021'!AP20</f>
        <v>0</v>
      </c>
      <c r="BA256" s="56">
        <f>'2021'!AQ20</f>
        <v>0</v>
      </c>
      <c r="BB256" s="57">
        <f>'2021'!AR20</f>
        <v>1843</v>
      </c>
      <c r="BC256" s="57">
        <f>'2021'!AS20</f>
        <v>0</v>
      </c>
      <c r="BD256" s="57">
        <f>'2021'!AT20</f>
        <v>19</v>
      </c>
      <c r="BE256" s="57">
        <f>'2021'!AU20</f>
        <v>0</v>
      </c>
      <c r="BF256" s="57">
        <f>'2021'!AV20</f>
        <v>0</v>
      </c>
      <c r="BG256" s="58">
        <f>'2021'!AW20</f>
        <v>0</v>
      </c>
      <c r="BH256" s="58">
        <f>'2021'!AX20</f>
        <v>0</v>
      </c>
      <c r="BI256" s="58">
        <f>'2021'!AY20</f>
        <v>0</v>
      </c>
      <c r="BJ256" s="58">
        <f>'2021'!AZ20</f>
        <v>0</v>
      </c>
      <c r="BK256" s="57">
        <f>'2021'!BA20</f>
        <v>0</v>
      </c>
      <c r="BL256" s="57">
        <f>'2021'!BB20</f>
        <v>2877</v>
      </c>
      <c r="BM256" s="57">
        <f>'2021'!BC20</f>
        <v>0</v>
      </c>
      <c r="BN256" s="57">
        <f>'2021'!BD20</f>
        <v>0</v>
      </c>
      <c r="BO256" s="59">
        <f>'2021'!BE20</f>
        <v>18</v>
      </c>
      <c r="BP256" s="56">
        <f>'2021'!BF20</f>
        <v>97</v>
      </c>
      <c r="BQ256" s="57">
        <f>'2021'!BG20</f>
        <v>2228</v>
      </c>
      <c r="BR256" s="57">
        <f>'2021'!BH20</f>
        <v>0</v>
      </c>
      <c r="BS256" s="57">
        <f>'2021'!BI20</f>
        <v>22</v>
      </c>
      <c r="BT256" s="57">
        <f>'2021'!BJ20</f>
        <v>32</v>
      </c>
      <c r="BU256" s="57">
        <f>'2021'!BK20</f>
        <v>4</v>
      </c>
      <c r="BV256" s="58">
        <f>'2021'!BL20</f>
        <v>3</v>
      </c>
      <c r="BW256" s="58">
        <f>'2021'!BM20</f>
        <v>24.3</v>
      </c>
      <c r="BX256" s="58">
        <f>'2021'!BN20</f>
        <v>2.19</v>
      </c>
      <c r="BY256" s="58">
        <f>'2021'!BO20</f>
        <v>0</v>
      </c>
      <c r="BZ256" s="57">
        <f>'2021'!BP20</f>
        <v>4</v>
      </c>
      <c r="CA256" s="57">
        <f>'2021'!BQ20</f>
        <v>2774</v>
      </c>
      <c r="CB256" s="57">
        <f>'2021'!BR20</f>
        <v>4</v>
      </c>
      <c r="CC256" s="57">
        <f>'2021'!BS20</f>
        <v>0</v>
      </c>
      <c r="CD256" s="59">
        <f>'2021'!BT20</f>
        <v>16</v>
      </c>
      <c r="CE256" s="56">
        <f>'2021'!BU20</f>
        <v>845</v>
      </c>
      <c r="CF256" s="57">
        <f>'2021'!BV20</f>
        <v>2075</v>
      </c>
      <c r="CG256" s="57">
        <f>'2021'!BW20</f>
        <v>7</v>
      </c>
      <c r="CH256" s="57">
        <f>'2021'!BX20</f>
        <v>19</v>
      </c>
      <c r="CI256" s="57">
        <f>'2021'!BY20</f>
        <v>160</v>
      </c>
      <c r="CJ256" s="57">
        <f>'2021'!BZ20</f>
        <v>28</v>
      </c>
      <c r="CK256" s="58">
        <f>'2021'!CA20</f>
        <v>5.3</v>
      </c>
      <c r="CL256" s="58">
        <f>'2021'!CB20</f>
        <v>66</v>
      </c>
      <c r="CM256" s="58">
        <f>'2021'!CC20</f>
        <v>3.7</v>
      </c>
      <c r="CN256" s="58">
        <f>'2021'!CD20</f>
        <v>42</v>
      </c>
      <c r="CO256" s="57">
        <f>'2021'!CE20</f>
        <v>249</v>
      </c>
      <c r="CP256" s="57">
        <f>'2021'!CF20</f>
        <v>3199</v>
      </c>
      <c r="CQ256" s="57">
        <f>'2021'!CG20</f>
        <v>5</v>
      </c>
      <c r="CR256" s="57">
        <f>'2021'!CH20</f>
        <v>0</v>
      </c>
      <c r="CS256" s="59">
        <f>'2021'!CI20</f>
        <v>31</v>
      </c>
      <c r="CT256" s="56">
        <f>'2021'!CJ20</f>
        <v>648</v>
      </c>
      <c r="CU256" s="57">
        <f>'2021'!CK20</f>
        <v>1804</v>
      </c>
      <c r="CV256" s="57">
        <f>'2021'!CL20</f>
        <v>6</v>
      </c>
      <c r="CW256" s="57">
        <f>'2021'!CM20</f>
        <v>16</v>
      </c>
      <c r="CX256" s="57">
        <f>'2021'!CN20</f>
        <v>170</v>
      </c>
      <c r="CY256" s="57">
        <f>'2021'!CO20</f>
        <v>32</v>
      </c>
      <c r="CZ256" s="58">
        <f>'2021'!CP20</f>
        <v>3.8</v>
      </c>
      <c r="DA256" s="58">
        <f>'2021'!CQ20</f>
        <v>52</v>
      </c>
      <c r="DB256" s="58">
        <f>'2021'!CR20</f>
        <v>2.84</v>
      </c>
      <c r="DC256" s="58">
        <f>'2021'!CS20</f>
        <v>15</v>
      </c>
      <c r="DD256" s="57">
        <f>'2021'!CT20</f>
        <v>194</v>
      </c>
      <c r="DE256" s="57">
        <f>'2021'!CU20</f>
        <v>2152</v>
      </c>
      <c r="DF256" s="57">
        <f>'2021'!CV20</f>
        <v>21</v>
      </c>
      <c r="DG256" s="57">
        <f>'2021'!CW20</f>
        <v>0</v>
      </c>
      <c r="DH256" s="59">
        <f>'2021'!CX20</f>
        <v>18</v>
      </c>
      <c r="DI256" s="56">
        <f>'2021'!CY20</f>
        <v>674</v>
      </c>
      <c r="DJ256" s="57">
        <f>'2021'!CZ20</f>
        <v>1724</v>
      </c>
      <c r="DK256" s="57">
        <f>'2021'!DA20</f>
        <v>5</v>
      </c>
      <c r="DL256" s="57">
        <f>'2021'!DB20</f>
        <v>19</v>
      </c>
      <c r="DM256" s="57">
        <f>'2021'!DC20</f>
        <v>162</v>
      </c>
      <c r="DN256" s="57">
        <f>'2021'!DD20</f>
        <v>35</v>
      </c>
      <c r="DO256" s="58">
        <f>'2021'!DE20</f>
        <v>4.2</v>
      </c>
      <c r="DP256" s="58">
        <f>'2021'!DF20</f>
        <v>72.8</v>
      </c>
      <c r="DQ256" s="58">
        <f>'2021'!DG20</f>
        <v>3.28</v>
      </c>
      <c r="DR256" s="58">
        <f>'2021'!DH20</f>
        <v>41.1</v>
      </c>
      <c r="DS256" s="57">
        <f>'2021'!DI20</f>
        <v>81</v>
      </c>
      <c r="DT256" s="57">
        <f>'2021'!DJ20</f>
        <v>2449</v>
      </c>
      <c r="DU256" s="57">
        <f>'2021'!DK20</f>
        <v>9</v>
      </c>
      <c r="DV256" s="57">
        <f>'2021'!DL20</f>
        <v>0</v>
      </c>
      <c r="DW256" s="59">
        <f>'2021'!DM20</f>
        <v>11</v>
      </c>
    </row>
    <row r="257" spans="1:127" ht="15.75" customHeight="1" x14ac:dyDescent="0.2">
      <c r="A257" s="33">
        <f t="shared" si="36"/>
        <v>255</v>
      </c>
      <c r="B257" s="11">
        <f>'2025'!A34</f>
        <v>32</v>
      </c>
      <c r="C257" s="11">
        <v>2025</v>
      </c>
      <c r="D257" s="34" t="str">
        <f>'2025'!B34</f>
        <v>Kyle Monangai</v>
      </c>
      <c r="E257" s="224" t="str" cm="1">
        <f t="array" ref="E257">_xlfn.IFS(F257&gt;=13,"Cornerstone",AND(F257&gt;=12,F257&lt;13),"Elite",AND(F257&gt;=11,F257&lt;12),"Elite Upside",AND(F257&gt;=9,F257&lt;11),"Upside",AND(F257&gt;=7,F257&lt;9),"Upside Lite",AND(F257&gt;=6,F257&lt;7),"Outlier",AND(F257&gt;=5,F257&lt;6),"Outlier Lite",F257&lt;5,"Purgatory")</f>
        <v>Purgatory</v>
      </c>
      <c r="F257" s="14">
        <f>'2025'!C34</f>
        <v>4.427777777777778</v>
      </c>
      <c r="G257" s="14">
        <f t="shared" si="41"/>
        <v>22</v>
      </c>
      <c r="H257" s="35">
        <f t="shared" si="37"/>
        <v>-1.5128741500876608</v>
      </c>
      <c r="I257" s="36" t="str">
        <f>'2025'!D34</f>
        <v>Rutgers</v>
      </c>
      <c r="J257" s="37">
        <f>'2025'!E34</f>
        <v>2</v>
      </c>
      <c r="K257" s="38">
        <f>'2025'!F34</f>
        <v>37330</v>
      </c>
      <c r="L257" s="39">
        <f>'2025'!G34</f>
        <v>23.553424657534247</v>
      </c>
      <c r="M257" s="39" t="str">
        <f>'2025'!H34</f>
        <v>RS SR</v>
      </c>
      <c r="N257" s="39">
        <f>'2025'!I34</f>
        <v>23.134246575342466</v>
      </c>
      <c r="O257" s="39" t="str">
        <f t="shared" si="38"/>
        <v>BELL CALF</v>
      </c>
      <c r="P257" s="39" t="str">
        <f t="shared" si="48"/>
        <v>SLASHER</v>
      </c>
      <c r="Q257" s="37">
        <f>'2025'!J34</f>
        <v>68</v>
      </c>
      <c r="R257" s="37">
        <f>'2025'!K34</f>
        <v>211</v>
      </c>
      <c r="S257" s="39">
        <f t="shared" si="40"/>
        <v>32.08208483891017</v>
      </c>
      <c r="T257" s="37">
        <f>'2025'!L34</f>
        <v>4.5999999999999996</v>
      </c>
      <c r="U257" s="40">
        <f>'2025'!M34</f>
        <v>7</v>
      </c>
      <c r="V257" s="41">
        <f>'2025'!N34</f>
        <v>0</v>
      </c>
      <c r="W257" s="42">
        <f>'2025'!O34</f>
        <v>8.6287586287586288E-2</v>
      </c>
      <c r="X257" s="42">
        <f>'2025'!P34</f>
        <v>0.14081173825582771</v>
      </c>
      <c r="Y257" s="42">
        <f>'2025'!Q34</f>
        <v>0.33688388685122844</v>
      </c>
      <c r="Z257" s="42">
        <f>'2025'!R34</f>
        <v>0.32163812148134063</v>
      </c>
      <c r="AA257" s="42">
        <f>'2025'!S34</f>
        <v>0.32926100416628457</v>
      </c>
      <c r="AB257" s="42">
        <f>'2025'!T34</f>
        <v>0.32926100416628457</v>
      </c>
      <c r="AC257" s="42">
        <f>'2025'!U34</f>
        <v>4.363636363636364E-2</v>
      </c>
      <c r="AD257" s="42">
        <f>'2025'!V34</f>
        <v>3.2874550714473566E-2</v>
      </c>
      <c r="AE257" s="42">
        <f>'2025'!W34</f>
        <v>3.8255457175418603E-2</v>
      </c>
      <c r="AF257" s="43">
        <f>'2025'!X34</f>
        <v>3.8255457175418603E-2</v>
      </c>
      <c r="AG257" s="44">
        <f>'2025'!Y34</f>
        <v>21.487671232876714</v>
      </c>
      <c r="AH257" s="45">
        <f>'2025'!Z34</f>
        <v>94.249949078226592</v>
      </c>
      <c r="AI257" s="45">
        <f>'2025'!AA34</f>
        <v>32.078935986159166</v>
      </c>
      <c r="AJ257" s="45">
        <f>'2025'!AB34</f>
        <v>0.30165289256198347</v>
      </c>
      <c r="AK257" s="45">
        <f>'2025'!AC34</f>
        <v>5.2190082644628095</v>
      </c>
      <c r="AL257" s="45">
        <f t="shared" si="39"/>
        <v>6.6944444444444446</v>
      </c>
      <c r="AM257" s="45">
        <f t="shared" si="46"/>
        <v>5.185185185185185E-2</v>
      </c>
      <c r="AN257" s="45">
        <f>'2025'!AD34</f>
        <v>113.6</v>
      </c>
      <c r="AO257" s="45">
        <f>'2025'!AE34</f>
        <v>3.64</v>
      </c>
      <c r="AP257" s="46">
        <f>'2025'!AF34</f>
        <v>36.9</v>
      </c>
      <c r="AQ257" s="47">
        <f>'2025'!AG34</f>
        <v>8</v>
      </c>
      <c r="AR257" s="48">
        <f>'2025'!AH34</f>
        <v>4</v>
      </c>
      <c r="AS257" s="48">
        <f>'2025'!AI34</f>
        <v>2</v>
      </c>
      <c r="AT257" s="48">
        <f>'2025'!AJ34</f>
        <v>2</v>
      </c>
      <c r="AU257" s="48">
        <f>'2025'!AK34</f>
        <v>8</v>
      </c>
      <c r="AV257" s="48">
        <f>'2025'!AL34</f>
        <v>1</v>
      </c>
      <c r="AW257" s="48">
        <f>'2025'!AM34</f>
        <v>5</v>
      </c>
      <c r="AX257" s="48">
        <f>'2025'!AN34</f>
        <v>2</v>
      </c>
      <c r="AY257" s="49">
        <f>'2025'!AO34</f>
        <v>1</v>
      </c>
      <c r="AZ257" s="50">
        <f>'2025'!AP34</f>
        <v>0</v>
      </c>
      <c r="BA257" s="56">
        <f>'2025'!AQ34</f>
        <v>0</v>
      </c>
      <c r="BB257" s="57">
        <f>'2025'!AR34</f>
        <v>1</v>
      </c>
      <c r="BC257" s="57">
        <f>'2025'!AS34</f>
        <v>0</v>
      </c>
      <c r="BD257" s="57">
        <f>'2025'!AT34</f>
        <v>0</v>
      </c>
      <c r="BE257" s="57">
        <f>'2025'!AU34</f>
        <v>0</v>
      </c>
      <c r="BF257" s="57">
        <f>'2025'!AV34</f>
        <v>0</v>
      </c>
      <c r="BG257" s="58">
        <f>'2025'!AW34</f>
        <v>0</v>
      </c>
      <c r="BH257" s="58">
        <f>'2025'!AX34</f>
        <v>0</v>
      </c>
      <c r="BI257" s="58">
        <f>'2025'!AY34</f>
        <v>0</v>
      </c>
      <c r="BJ257" s="58">
        <f>'2025'!AZ34</f>
        <v>0</v>
      </c>
      <c r="BK257" s="57">
        <f>'2025'!BA34</f>
        <v>0</v>
      </c>
      <c r="BL257" s="57">
        <f>'2025'!BB34</f>
        <v>1</v>
      </c>
      <c r="BM257" s="57">
        <f>'2025'!BC34</f>
        <v>0</v>
      </c>
      <c r="BN257" s="57">
        <f>'2025'!BD34</f>
        <v>0</v>
      </c>
      <c r="BO257" s="59">
        <f>'2025'!BE34</f>
        <v>0</v>
      </c>
      <c r="BP257" s="56">
        <f>'2025'!BF34</f>
        <v>238</v>
      </c>
      <c r="BQ257" s="57">
        <f>'2025'!BG34</f>
        <v>1524.6</v>
      </c>
      <c r="BR257" s="57">
        <f>'2025'!BH34</f>
        <v>4</v>
      </c>
      <c r="BS257" s="57">
        <f>'2025'!BI34</f>
        <v>0</v>
      </c>
      <c r="BT257" s="57">
        <f>'2025'!BJ34</f>
        <v>63</v>
      </c>
      <c r="BU257" s="57">
        <f>'2025'!BK34</f>
        <v>9</v>
      </c>
      <c r="BV257" s="58">
        <f>'2025'!BL34</f>
        <v>0</v>
      </c>
      <c r="BW257" s="58">
        <f>'2025'!BM34</f>
        <v>47.5</v>
      </c>
      <c r="BX257" s="58">
        <f>'2025'!BN34</f>
        <v>2.81</v>
      </c>
      <c r="BY257" s="58">
        <f>'2025'!BO34</f>
        <v>8.4</v>
      </c>
      <c r="BZ257" s="57">
        <f>'2025'!BP34</f>
        <v>57</v>
      </c>
      <c r="CA257" s="57">
        <f>'2025'!BQ34</f>
        <v>1894.1999999999998</v>
      </c>
      <c r="CB257" s="57">
        <f>'2025'!BR34</f>
        <v>8</v>
      </c>
      <c r="CC257" s="57">
        <f>'2025'!BS34</f>
        <v>0</v>
      </c>
      <c r="CD257" s="59">
        <f>'2025'!BT34</f>
        <v>0</v>
      </c>
      <c r="CE257" s="56">
        <f>'2025'!BU34</f>
        <v>445</v>
      </c>
      <c r="CF257" s="57">
        <f>'2025'!BV34</f>
        <v>1533.6</v>
      </c>
      <c r="CG257" s="57">
        <f>'2025'!BW34</f>
        <v>2</v>
      </c>
      <c r="CH257" s="57">
        <f>'2025'!BX34</f>
        <v>0</v>
      </c>
      <c r="CI257" s="57">
        <f>'2025'!BY34</f>
        <v>109</v>
      </c>
      <c r="CJ257" s="57">
        <f>'2025'!BZ34</f>
        <v>25</v>
      </c>
      <c r="CK257" s="58">
        <f>'2025'!CA34</f>
        <v>0</v>
      </c>
      <c r="CL257" s="58">
        <f>'2025'!CB34</f>
        <v>63.9</v>
      </c>
      <c r="CM257" s="58">
        <f>'2025'!CC34</f>
        <v>2.83</v>
      </c>
      <c r="CN257" s="58">
        <f>'2025'!CD34</f>
        <v>16.899999999999999</v>
      </c>
      <c r="CO257" s="57">
        <f>'2025'!CE34</f>
        <v>31</v>
      </c>
      <c r="CP257" s="57">
        <f>'2025'!CF34</f>
        <v>1846.8000000000002</v>
      </c>
      <c r="CQ257" s="57">
        <f>'2025'!CG34</f>
        <v>6</v>
      </c>
      <c r="CR257" s="57">
        <f>'2025'!CH34</f>
        <v>0</v>
      </c>
      <c r="CS257" s="59">
        <f>'2025'!CI34</f>
        <v>0</v>
      </c>
      <c r="CT257" s="56">
        <f>'2025'!CJ34</f>
        <v>1263</v>
      </c>
      <c r="CU257" s="57">
        <f>'2025'!CK34</f>
        <v>2193.1</v>
      </c>
      <c r="CV257" s="57">
        <f>'2025'!CL34</f>
        <v>8</v>
      </c>
      <c r="CW257" s="57">
        <f>'2025'!CM34</f>
        <v>0</v>
      </c>
      <c r="CX257" s="57">
        <f>'2025'!CN34</f>
        <v>242</v>
      </c>
      <c r="CY257" s="57">
        <f>'2025'!CO34</f>
        <v>73</v>
      </c>
      <c r="CZ257" s="58">
        <f>'2025'!CP34</f>
        <v>5.2190082644628095</v>
      </c>
      <c r="DA257" s="58">
        <f>'2025'!CQ34</f>
        <v>113.6</v>
      </c>
      <c r="DB257" s="58">
        <f>'2025'!CR34</f>
        <v>3.64</v>
      </c>
      <c r="DC257" s="58">
        <f>'2025'!CS34</f>
        <v>30.6</v>
      </c>
      <c r="DD257" s="57">
        <f>'2025'!CT34</f>
        <v>78</v>
      </c>
      <c r="DE257" s="57">
        <f>'2025'!CU34</f>
        <v>1787.5</v>
      </c>
      <c r="DF257" s="57">
        <f>'2025'!CV34</f>
        <v>8</v>
      </c>
      <c r="DG257" s="57">
        <f>'2025'!CW34</f>
        <v>0</v>
      </c>
      <c r="DH257" s="59">
        <f>'2025'!CX34</f>
        <v>0</v>
      </c>
      <c r="DI257" s="56">
        <f>'2025'!CY34</f>
        <v>1279</v>
      </c>
      <c r="DJ257" s="57">
        <f>'2025'!CZ34</f>
        <v>1928.3000000000002</v>
      </c>
      <c r="DK257" s="57">
        <f>'2025'!DA34</f>
        <v>13</v>
      </c>
      <c r="DL257" s="57">
        <f>'2025'!DB34</f>
        <v>22</v>
      </c>
      <c r="DM257" s="57">
        <f>'2025'!DC34</f>
        <v>256</v>
      </c>
      <c r="DN257" s="57">
        <f>'2025'!DD34</f>
        <v>66</v>
      </c>
      <c r="DO257" s="58">
        <f>'2025'!DE34</f>
        <v>4.99609375</v>
      </c>
      <c r="DP257" s="58">
        <f>'2025'!DF34</f>
        <v>84.8</v>
      </c>
      <c r="DQ257" s="58">
        <f>'2025'!DG34</f>
        <v>3.37</v>
      </c>
      <c r="DR257" s="58">
        <f>'2025'!DH34</f>
        <v>36.9</v>
      </c>
      <c r="DS257" s="57">
        <f>'2025'!DI34</f>
        <v>75</v>
      </c>
      <c r="DT257" s="57">
        <f>'2025'!DJ34</f>
        <v>2281.4</v>
      </c>
      <c r="DU257" s="57">
        <f>'2025'!DK34</f>
        <v>14</v>
      </c>
      <c r="DV257" s="57">
        <f>'2025'!DL34</f>
        <v>1</v>
      </c>
      <c r="DW257" s="59">
        <f>'2025'!DM34</f>
        <v>15.399999999999999</v>
      </c>
    </row>
    <row r="258" spans="1:127" ht="15.75" customHeight="1" x14ac:dyDescent="0.2">
      <c r="A258" s="33">
        <f t="shared" si="36"/>
        <v>256</v>
      </c>
      <c r="B258" s="11">
        <f>'2024'!A27</f>
        <v>25</v>
      </c>
      <c r="C258" s="11">
        <v>2024</v>
      </c>
      <c r="D258" s="34" t="str">
        <f>'2024'!B27</f>
        <v>Kendall Milton</v>
      </c>
      <c r="E258" s="224" t="str" cm="1">
        <f t="array" ref="E258">_xlfn.IFS(F258&gt;=13,"Cornerstone",AND(F258&gt;=12,F258&lt;13),"Elite",AND(F258&gt;=11,F258&lt;12),"Elite Upside",AND(F258&gt;=9,F258&lt;11),"Upside",AND(F258&gt;=7,F258&lt;9),"Upside Lite",AND(F258&gt;=6,F258&lt;7),"Outlier",AND(F258&gt;=5,F258&lt;6),"Outlier Lite",F258&lt;5,"Purgatory")</f>
        <v>Purgatory</v>
      </c>
      <c r="F258" s="14">
        <f>'2024'!C27</f>
        <v>4.3666666666666663</v>
      </c>
      <c r="G258" s="14">
        <f t="shared" si="41"/>
        <v>21.7</v>
      </c>
      <c r="H258" s="35">
        <f t="shared" si="37"/>
        <v>-1.5387379040134168</v>
      </c>
      <c r="I258" s="36" t="str">
        <f>'2024'!D27</f>
        <v>Georgia</v>
      </c>
      <c r="J258" s="37">
        <f>'2024'!E27</f>
        <v>1</v>
      </c>
      <c r="K258" s="38">
        <f>'2024'!F27</f>
        <v>37297</v>
      </c>
      <c r="L258" s="39">
        <f>'2024'!G27</f>
        <v>23.643835616438356</v>
      </c>
      <c r="M258" s="39" t="str">
        <f>'2024'!H27</f>
        <v>SR</v>
      </c>
      <c r="N258" s="39">
        <f>'2024'!I27</f>
        <v>22.224657534246575</v>
      </c>
      <c r="O258" s="39" t="str">
        <f t="shared" si="38"/>
        <v>BRUISER</v>
      </c>
      <c r="P258" s="39" t="str">
        <f t="shared" si="48"/>
        <v>HORSE</v>
      </c>
      <c r="Q258" s="37">
        <f>'2024'!J27</f>
        <v>73</v>
      </c>
      <c r="R258" s="37">
        <f>'2024'!K27</f>
        <v>225</v>
      </c>
      <c r="S258" s="39">
        <f t="shared" si="40"/>
        <v>29.684842631085154</v>
      </c>
      <c r="T258" s="37">
        <f>'2024'!L27</f>
        <v>4.62</v>
      </c>
      <c r="U258" s="40">
        <f>'2024'!M27</f>
        <v>0</v>
      </c>
      <c r="V258" s="41">
        <f>'2024'!N27</f>
        <v>0</v>
      </c>
      <c r="W258" s="42">
        <f>'2024'!O27</f>
        <v>7.0738033482669188E-2</v>
      </c>
      <c r="X258" s="42">
        <f>'2024'!P27</f>
        <v>8.6081826095367062E-2</v>
      </c>
      <c r="Y258" s="42">
        <f>'2024'!Q27</f>
        <v>9.8225796549818889E-2</v>
      </c>
      <c r="Z258" s="42">
        <f>'2024'!R27</f>
        <v>0.12626849484855526</v>
      </c>
      <c r="AA258" s="42">
        <f>'2024'!S27</f>
        <v>0.12626849484855526</v>
      </c>
      <c r="AB258" s="42">
        <f>'2024'!T27</f>
        <v>0.12626849484855526</v>
      </c>
      <c r="AC258" s="42">
        <f>'2024'!U27</f>
        <v>1.19583019211272E-2</v>
      </c>
      <c r="AD258" s="42">
        <f>'2024'!V27</f>
        <v>6.2989745269470127E-3</v>
      </c>
      <c r="AE258" s="42">
        <f>'2024'!W27</f>
        <v>9.1286382240371063E-3</v>
      </c>
      <c r="AF258" s="43">
        <f>'2024'!X27</f>
        <v>9.1286382240371063E-3</v>
      </c>
      <c r="AG258" s="44" t="str">
        <f>'2024'!Y27</f>
        <v>N/A</v>
      </c>
      <c r="AH258" s="45">
        <f>'2024'!Z27</f>
        <v>98.774448054784855</v>
      </c>
      <c r="AI258" s="45">
        <f>'2024'!AA27</f>
        <v>29.681929067367236</v>
      </c>
      <c r="AJ258" s="45">
        <f>'2024'!AB27</f>
        <v>0.24793388429752067</v>
      </c>
      <c r="AK258" s="45">
        <f>'2024'!AC27</f>
        <v>6.9069767441860463</v>
      </c>
      <c r="AL258" s="45">
        <f t="shared" si="39"/>
        <v>8.9090909090909083</v>
      </c>
      <c r="AM258" s="45">
        <f t="shared" si="46"/>
        <v>3.2000000000000001E-2</v>
      </c>
      <c r="AN258" s="45">
        <f>'2024'!AD27</f>
        <v>105.4</v>
      </c>
      <c r="AO258" s="45">
        <f>'2024'!AE27</f>
        <v>4.12</v>
      </c>
      <c r="AP258" s="46">
        <f>'2024'!AF27</f>
        <v>47.5</v>
      </c>
      <c r="AQ258" s="47">
        <f>'2024'!AG27</f>
        <v>1</v>
      </c>
      <c r="AR258" s="48">
        <f>'2024'!AH27</f>
        <v>1</v>
      </c>
      <c r="AS258" s="48">
        <f>'2024'!AI27</f>
        <v>0</v>
      </c>
      <c r="AT258" s="48">
        <f>'2024'!AJ27</f>
        <v>5</v>
      </c>
      <c r="AU258" s="48">
        <f>'2024'!AK27</f>
        <v>6</v>
      </c>
      <c r="AV258" s="48">
        <f>'2024'!AL27</f>
        <v>7</v>
      </c>
      <c r="AW258" s="48">
        <f>'2024'!AM27</f>
        <v>4</v>
      </c>
      <c r="AX258" s="48">
        <f>'2024'!AN27</f>
        <v>5</v>
      </c>
      <c r="AY258" s="49">
        <f>'2024'!AO27</f>
        <v>0</v>
      </c>
      <c r="AZ258" s="50">
        <f>'2024'!AP27</f>
        <v>1</v>
      </c>
      <c r="BA258" s="56">
        <f>'2024'!AQ27</f>
        <v>0</v>
      </c>
      <c r="BB258" s="57">
        <f>'2024'!AR27</f>
        <v>1</v>
      </c>
      <c r="BC258" s="57">
        <f>'2024'!AS27</f>
        <v>0</v>
      </c>
      <c r="BD258" s="57">
        <f>'2024'!AT27</f>
        <v>0</v>
      </c>
      <c r="BE258" s="57">
        <f>'2024'!AU27</f>
        <v>0</v>
      </c>
      <c r="BF258" s="57">
        <f>'2024'!AV27</f>
        <v>0</v>
      </c>
      <c r="BG258" s="58">
        <f>'2024'!AW27</f>
        <v>0</v>
      </c>
      <c r="BH258" s="58">
        <f>'2024'!AX27</f>
        <v>0</v>
      </c>
      <c r="BI258" s="58">
        <f>'2024'!AY27</f>
        <v>0</v>
      </c>
      <c r="BJ258" s="58">
        <f>'2024'!AZ27</f>
        <v>0</v>
      </c>
      <c r="BK258" s="57">
        <f>'2024'!BA27</f>
        <v>0</v>
      </c>
      <c r="BL258" s="57">
        <f>'2024'!BB27</f>
        <v>1</v>
      </c>
      <c r="BM258" s="57">
        <f>'2024'!BC27</f>
        <v>0</v>
      </c>
      <c r="BN258" s="57">
        <f>'2024'!BD27</f>
        <v>0</v>
      </c>
      <c r="BO258" s="59">
        <f>'2024'!BE27</f>
        <v>0</v>
      </c>
      <c r="BP258" s="56">
        <f>'2024'!BF27</f>
        <v>188</v>
      </c>
      <c r="BQ258" s="57">
        <f>'2024'!BG27</f>
        <v>1219.3999999999999</v>
      </c>
      <c r="BR258" s="57">
        <f>'2024'!BH27</f>
        <v>0</v>
      </c>
      <c r="BS258" s="57">
        <f>'2024'!BI27</f>
        <v>12.6</v>
      </c>
      <c r="BT258" s="57">
        <f>'2024'!BJ27</f>
        <v>35</v>
      </c>
      <c r="BU258" s="57">
        <f>'2024'!BK27</f>
        <v>11</v>
      </c>
      <c r="BV258" s="58">
        <f>'2024'!BL27</f>
        <v>5.371428571428571</v>
      </c>
      <c r="BW258" s="58">
        <f>'2024'!BM27</f>
        <v>117.1</v>
      </c>
      <c r="BX258" s="58">
        <f>'2024'!BN27</f>
        <v>3.51</v>
      </c>
      <c r="BY258" s="58">
        <f>'2024'!BO27</f>
        <v>21.8</v>
      </c>
      <c r="BZ258" s="57">
        <f>'2024'!BP27</f>
        <v>22</v>
      </c>
      <c r="CA258" s="57">
        <f>'2024'!BQ27</f>
        <v>1749.3</v>
      </c>
      <c r="CB258" s="57">
        <f>'2024'!BR27</f>
        <v>1</v>
      </c>
      <c r="CC258" s="57">
        <f>'2024'!BS27</f>
        <v>0</v>
      </c>
      <c r="CD258" s="59">
        <f>'2024'!BT27</f>
        <v>13.299999999999999</v>
      </c>
      <c r="CE258" s="56">
        <f>'2024'!BU27</f>
        <v>262</v>
      </c>
      <c r="CF258" s="57">
        <f>'2024'!BV27</f>
        <v>1338.3999999999999</v>
      </c>
      <c r="CG258" s="57">
        <f>'2024'!BW27</f>
        <v>1</v>
      </c>
      <c r="CH258" s="57">
        <f>'2024'!BX27</f>
        <v>13.299999999999999</v>
      </c>
      <c r="CI258" s="57">
        <f>'2024'!BY27</f>
        <v>56</v>
      </c>
      <c r="CJ258" s="57">
        <f>'2024'!BZ27</f>
        <v>13</v>
      </c>
      <c r="CK258" s="58">
        <f>'2024'!CA27</f>
        <v>4.6785714285714288</v>
      </c>
      <c r="CL258" s="58">
        <f>'2024'!CB27</f>
        <v>77.599999999999994</v>
      </c>
      <c r="CM258" s="58">
        <f>'2024'!CC27</f>
        <v>3.46</v>
      </c>
      <c r="CN258" s="58">
        <f>'2024'!CD27</f>
        <v>21.8</v>
      </c>
      <c r="CO258" s="57">
        <f>'2024'!CE27</f>
        <v>5</v>
      </c>
      <c r="CP258" s="57">
        <f>'2024'!CF27</f>
        <v>1763.3</v>
      </c>
      <c r="CQ258" s="57">
        <f>'2024'!CG27</f>
        <v>2</v>
      </c>
      <c r="CR258" s="57">
        <f>'2024'!CH27</f>
        <v>0</v>
      </c>
      <c r="CS258" s="59">
        <f>'2024'!CI27</f>
        <v>18.2</v>
      </c>
      <c r="CT258" s="56">
        <f>'2024'!CJ27</f>
        <v>594</v>
      </c>
      <c r="CU258" s="57">
        <f>'2024'!CK27</f>
        <v>2668.9</v>
      </c>
      <c r="CV258" s="57">
        <f>'2024'!CL27</f>
        <v>9</v>
      </c>
      <c r="CW258" s="57">
        <f>'2024'!CM27</f>
        <v>37.699999999999996</v>
      </c>
      <c r="CX258" s="57">
        <f>'2024'!CN27</f>
        <v>86</v>
      </c>
      <c r="CY258" s="57">
        <f>'2024'!CO27</f>
        <v>19</v>
      </c>
      <c r="CZ258" s="58">
        <f>'2024'!CP27</f>
        <v>6.9069767441860463</v>
      </c>
      <c r="DA258" s="58">
        <f>'2024'!CQ27</f>
        <v>84</v>
      </c>
      <c r="DB258" s="58">
        <f>'2024'!CR27</f>
        <v>3.98</v>
      </c>
      <c r="DC258" s="58">
        <f>'2024'!CS27</f>
        <v>47.5</v>
      </c>
      <c r="DD258" s="57">
        <f>'2024'!CT27</f>
        <v>46</v>
      </c>
      <c r="DE258" s="57">
        <f>'2024'!CU27</f>
        <v>3846.7</v>
      </c>
      <c r="DF258" s="57">
        <f>'2024'!CV27</f>
        <v>4</v>
      </c>
      <c r="DG258" s="57">
        <f>'2024'!CW27</f>
        <v>0</v>
      </c>
      <c r="DH258" s="59">
        <f>'2024'!CX27</f>
        <v>27.3</v>
      </c>
      <c r="DI258" s="56">
        <f>'2024'!CY27</f>
        <v>790</v>
      </c>
      <c r="DJ258" s="57">
        <f>'2024'!CZ27</f>
        <v>2485.6</v>
      </c>
      <c r="DK258" s="57">
        <f>'2024'!DA27</f>
        <v>14</v>
      </c>
      <c r="DL258" s="57">
        <f>'2024'!DB27</f>
        <v>37.699999999999996</v>
      </c>
      <c r="DM258" s="57">
        <f>'2024'!DC27</f>
        <v>121</v>
      </c>
      <c r="DN258" s="57">
        <f>'2024'!DD27</f>
        <v>30</v>
      </c>
      <c r="DO258" s="58">
        <f>'2024'!DE27</f>
        <v>6.5</v>
      </c>
      <c r="DP258" s="58">
        <f>'2024'!DF27</f>
        <v>105.4</v>
      </c>
      <c r="DQ258" s="58">
        <f>'2024'!DG27</f>
        <v>4.12</v>
      </c>
      <c r="DR258" s="58">
        <f>'2024'!DH27</f>
        <v>47</v>
      </c>
      <c r="DS258" s="57">
        <f>'2024'!DI27</f>
        <v>25</v>
      </c>
      <c r="DT258" s="57">
        <f>'2024'!DJ27</f>
        <v>3968.9</v>
      </c>
      <c r="DU258" s="57">
        <f>'2024'!DK27</f>
        <v>4</v>
      </c>
      <c r="DV258" s="57">
        <f>'2024'!DL27</f>
        <v>0</v>
      </c>
      <c r="DW258" s="59">
        <f>'2024'!DM27</f>
        <v>27.3</v>
      </c>
    </row>
    <row r="259" spans="1:127" ht="15.75" customHeight="1" x14ac:dyDescent="0.2">
      <c r="A259" s="33">
        <f t="shared" ref="A259:A322" si="49">_xlfn.RANK.EQ(F259,F$3:F$328)</f>
        <v>257</v>
      </c>
      <c r="B259" s="11">
        <f>'2018'!A23</f>
        <v>21</v>
      </c>
      <c r="C259" s="11">
        <v>2018</v>
      </c>
      <c r="D259" s="34" t="str">
        <f>'2018'!B23</f>
        <v>Gus Edwards</v>
      </c>
      <c r="E259" s="224" t="str" cm="1">
        <f t="array" ref="E259">_xlfn.IFS(F259&gt;=13,"Cornerstone",AND(F259&gt;=12,F259&lt;13),"Elite",AND(F259&gt;=11,F259&lt;12),"Elite Upside",AND(F259&gt;=9,F259&lt;11),"Upside",AND(F259&gt;=7,F259&lt;9),"Upside Lite",AND(F259&gt;=6,F259&lt;7),"Outlier",AND(F259&gt;=5,F259&lt;6),"Outlier Lite",F259&lt;5,"Purgatory")</f>
        <v>Purgatory</v>
      </c>
      <c r="F259" s="14">
        <f>'2018'!C23</f>
        <v>4.3555555555555561</v>
      </c>
      <c r="G259" s="14">
        <f t="shared" si="41"/>
        <v>21.4</v>
      </c>
      <c r="H259" s="35">
        <f t="shared" ref="H259:H322" si="50">STANDARDIZE(F259,(AVERAGE($F$3:$F$244)),(_xlfn.STDEV.P($F$3:$F$244)))</f>
        <v>-1.5434404047271901</v>
      </c>
      <c r="I259" s="36" t="str">
        <f>'2018'!D23</f>
        <v>Rutgers</v>
      </c>
      <c r="J259" s="37">
        <f>'2018'!E23</f>
        <v>1</v>
      </c>
      <c r="K259" s="38">
        <f>'2018'!F23</f>
        <v>34802</v>
      </c>
      <c r="L259" s="39">
        <f>'2018'!G23</f>
        <v>30.479452054794521</v>
      </c>
      <c r="M259" s="39" t="str">
        <f>'2018'!H23</f>
        <v>SR</v>
      </c>
      <c r="N259" s="39">
        <f>'2018'!I23</f>
        <v>23.052054794520547</v>
      </c>
      <c r="O259" s="39" t="str">
        <f t="shared" ref="O259:O322" si="51">IF(AND(R259&gt;=225,T259&gt;=4.51),"BRUISER",IF(AND(R259&gt;=215,T259&lt;=4.51),"FREAK",IF(AND(R259&gt;=200,T259&gt;=4.51,Q259&gt;70),"BELL COW",IF(AND(R259&gt;=200,T259&gt;=4.51,Q259&lt;=70),"BELL CALF",IF(OR(AND(R259&lt;200,T259&lt;4.5),AND(R259&gt;=200,T259&lt;=4.35)),"JITTERBUG","DYNAMIC")))))</f>
        <v>BRUISER</v>
      </c>
      <c r="P259" s="39" t="str">
        <f t="shared" si="48"/>
        <v>PLODDER</v>
      </c>
      <c r="Q259" s="37">
        <f>'2018'!J23</f>
        <v>73</v>
      </c>
      <c r="R259" s="37">
        <f>'2018'!K23</f>
        <v>238</v>
      </c>
      <c r="S259" s="39">
        <f t="shared" si="40"/>
        <v>31.399966871992298</v>
      </c>
      <c r="T259" s="37">
        <f>'2018'!L23</f>
        <v>4.5199999999999996</v>
      </c>
      <c r="U259" s="40">
        <f>'2018'!M23</f>
        <v>0</v>
      </c>
      <c r="V259" s="41">
        <f>'2018'!N23</f>
        <v>8.8199989562131417E-2</v>
      </c>
      <c r="W259" s="42">
        <f>'2018'!O23</f>
        <v>9.1331629095979555E-2</v>
      </c>
      <c r="X259" s="42">
        <f>'2018'!P23</f>
        <v>0</v>
      </c>
      <c r="Y259" s="42">
        <f>'2018'!Q23</f>
        <v>7.0187793427230041E-2</v>
      </c>
      <c r="Z259" s="42">
        <f>'2018'!R23</f>
        <v>0.25738077214231647</v>
      </c>
      <c r="AA259" s="42">
        <f>'2018'!S23</f>
        <v>0.25738077214231647</v>
      </c>
      <c r="AB259" s="42">
        <f>'2018'!T23</f>
        <v>0.25738077214231647</v>
      </c>
      <c r="AC259" s="42">
        <f>'2018'!U23</f>
        <v>3.2822757111597373E-3</v>
      </c>
      <c r="AD259" s="42">
        <f>'2018'!V23</f>
        <v>7.425028835063438E-2</v>
      </c>
      <c r="AE259" s="42">
        <f>'2018'!W23</f>
        <v>7.425028835063438E-2</v>
      </c>
      <c r="AF259" s="43">
        <f>'2018'!X23</f>
        <v>7.425028835063438E-2</v>
      </c>
      <c r="AG259" s="44">
        <f>'2018'!Y23</f>
        <v>22.413698630136988</v>
      </c>
      <c r="AH259" s="45">
        <f>'2018'!Z23</f>
        <v>114.03895092788413</v>
      </c>
      <c r="AI259" s="45">
        <f>'2018'!AA23</f>
        <v>31.396884969037345</v>
      </c>
      <c r="AJ259" s="45">
        <f>'2018'!AB23</f>
        <v>0.20121951219512196</v>
      </c>
      <c r="AK259" s="45">
        <f>'2018'!AC23</f>
        <v>4.9000000000000004</v>
      </c>
      <c r="AL259" s="45">
        <f t="shared" ref="AL259:AL322" si="52">SUM(BK259,BZ259,CO259,DD259,DS259)/SUM(BM259,CB259,CQ259,DF259,DU259)</f>
        <v>9.75</v>
      </c>
      <c r="AM259" s="45">
        <f t="shared" si="46"/>
        <v>7.3446327683615822E-2</v>
      </c>
      <c r="AN259" s="45">
        <f>'2018'!AD23</f>
        <v>69.2</v>
      </c>
      <c r="AO259" s="45">
        <f>'2018'!AE23</f>
        <v>3.5</v>
      </c>
      <c r="AP259" s="46">
        <f>'2018'!AF23</f>
        <v>30.7</v>
      </c>
      <c r="AQ259" s="47">
        <f>'2018'!AG23</f>
        <v>6</v>
      </c>
      <c r="AR259" s="48">
        <f>'2018'!AH23</f>
        <v>7</v>
      </c>
      <c r="AS259" s="48">
        <f>'2018'!AI23</f>
        <v>1</v>
      </c>
      <c r="AT259" s="48">
        <f>IF(AH259&gt;113.25,10,IF(AH259&gt;=107.84,9,IF(AH259&gt;=105.37,8,IF(AH259&gt;=103.25,7,IF(AH259&gt;=100.55,6,IF(AH259&gt;=98.75,5,IF(AH259&gt;=96.08,4,IF(AH259&gt;=94.39,3,IF(AH259&gt;=88.43,2,IF(AH259&gt;=85.16,1,IF(AH259&lt;85.16,0,FALSE)))))))))))</f>
        <v>10</v>
      </c>
      <c r="AU259" s="48">
        <f>'2018'!AK23</f>
        <v>4</v>
      </c>
      <c r="AV259" s="48">
        <f>'2018'!AL23</f>
        <v>1</v>
      </c>
      <c r="AW259" s="48">
        <f>'2018'!AM23</f>
        <v>1</v>
      </c>
      <c r="AX259" s="48">
        <f>'2018'!AN23</f>
        <v>2</v>
      </c>
      <c r="AY259" s="49">
        <f>IF(U259=1,10,IF(U259=2,7,IF(U259=3,6,IF(U259=4,4,IF(U259=5,3,IF(U259=6,2,IF(U259=7,1,IF(U259=0,0,"-"))))))))</f>
        <v>0</v>
      </c>
      <c r="AZ259" s="50">
        <f>'2018'!AP23</f>
        <v>0</v>
      </c>
      <c r="BA259" s="56">
        <f>'2018'!AQ23</f>
        <v>338</v>
      </c>
      <c r="BB259" s="57">
        <f>'2018'!AR23</f>
        <v>1442.7</v>
      </c>
      <c r="BC259" s="57">
        <f>'2018'!AS23</f>
        <v>0</v>
      </c>
      <c r="BD259" s="57">
        <f>'2018'!AT23</f>
        <v>0</v>
      </c>
      <c r="BE259" s="57">
        <f>'2018'!AU23</f>
        <v>0</v>
      </c>
      <c r="BF259" s="57">
        <f>'2018'!AV23</f>
        <v>0</v>
      </c>
      <c r="BG259" s="58">
        <f>'2018'!AW23</f>
        <v>0</v>
      </c>
      <c r="BH259" s="58">
        <f>'2018'!AX23</f>
        <v>0</v>
      </c>
      <c r="BI259" s="58">
        <f>'2018'!AY23</f>
        <v>0</v>
      </c>
      <c r="BJ259" s="58">
        <f>'2018'!AZ23</f>
        <v>0</v>
      </c>
      <c r="BK259" s="57">
        <f>'2018'!BA23</f>
        <v>0</v>
      </c>
      <c r="BL259" s="57">
        <f>'2018'!BB23</f>
        <v>2389.5</v>
      </c>
      <c r="BM259" s="57">
        <f>'2018'!BC23</f>
        <v>0</v>
      </c>
      <c r="BN259" s="57">
        <f>'2018'!BD23</f>
        <v>0</v>
      </c>
      <c r="BO259" s="59">
        <f>'2018'!BE23</f>
        <v>0</v>
      </c>
      <c r="BP259" s="56">
        <f>'2018'!BF23</f>
        <v>349</v>
      </c>
      <c r="BQ259" s="57">
        <f>'2018'!BG23</f>
        <v>1804</v>
      </c>
      <c r="BR259" s="57">
        <f>'2018'!BH23</f>
        <v>6</v>
      </c>
      <c r="BS259" s="57">
        <f>'2018'!BI23</f>
        <v>0</v>
      </c>
      <c r="BT259" s="57">
        <f>'2018'!BJ23</f>
        <v>61</v>
      </c>
      <c r="BU259" s="57">
        <f>'2018'!BK23</f>
        <v>15</v>
      </c>
      <c r="BV259" s="58">
        <f>'2018'!BL23</f>
        <v>5.7</v>
      </c>
      <c r="BW259" s="58">
        <f>'2018'!BM23</f>
        <v>92.4</v>
      </c>
      <c r="BX259" s="58">
        <f>'2018'!BN23</f>
        <v>3.64</v>
      </c>
      <c r="BY259" s="58">
        <f>'2018'!BO23</f>
        <v>39.200000000000003</v>
      </c>
      <c r="BZ259" s="57">
        <f>'2018'!BP23</f>
        <v>44</v>
      </c>
      <c r="CA259" s="57">
        <f>'2018'!BQ23</f>
        <v>2499</v>
      </c>
      <c r="CB259" s="57">
        <f>'2018'!BR23</f>
        <v>2</v>
      </c>
      <c r="CC259" s="57">
        <f>'2018'!BS23</f>
        <v>0</v>
      </c>
      <c r="CD259" s="59">
        <f>'2018'!BT23</f>
        <v>0</v>
      </c>
      <c r="CE259" s="56">
        <f>'2018'!BU23</f>
        <v>0</v>
      </c>
      <c r="CF259" s="57">
        <f>'2018'!BV23</f>
        <v>1</v>
      </c>
      <c r="CG259" s="57">
        <f>'2018'!BW23</f>
        <v>0</v>
      </c>
      <c r="CH259" s="57">
        <f>'2018'!BX23</f>
        <v>0</v>
      </c>
      <c r="CI259" s="57">
        <f>'2018'!BY23</f>
        <v>0</v>
      </c>
      <c r="CJ259" s="57">
        <f>'2018'!BZ23</f>
        <v>0</v>
      </c>
      <c r="CK259" s="58">
        <f>'2018'!CA23</f>
        <v>0</v>
      </c>
      <c r="CL259" s="58">
        <f>'2018'!CB23</f>
        <v>0</v>
      </c>
      <c r="CM259" s="58">
        <f>'2018'!CC23</f>
        <v>0</v>
      </c>
      <c r="CN259" s="58">
        <f>'2018'!CD23</f>
        <v>0</v>
      </c>
      <c r="CO259" s="57">
        <f>'2018'!CE23</f>
        <v>0</v>
      </c>
      <c r="CP259" s="57">
        <f>'2018'!CF23</f>
        <v>1</v>
      </c>
      <c r="CQ259" s="57">
        <f>'2018'!CG23</f>
        <v>0</v>
      </c>
      <c r="CR259" s="57">
        <f>'2018'!CH23</f>
        <v>0</v>
      </c>
      <c r="CS259" s="59">
        <f>'2018'!CI23</f>
        <v>0</v>
      </c>
      <c r="CT259" s="56">
        <f>'2018'!CJ23</f>
        <v>290</v>
      </c>
      <c r="CU259" s="57">
        <f>'2018'!CK23</f>
        <v>1518</v>
      </c>
      <c r="CV259" s="57">
        <f>'2018'!CL23</f>
        <v>1</v>
      </c>
      <c r="CW259" s="57">
        <f>'2018'!CM23</f>
        <v>0</v>
      </c>
      <c r="CX259" s="57">
        <f>'2018'!CN23</f>
        <v>59</v>
      </c>
      <c r="CY259" s="57">
        <f>'2018'!CO23</f>
        <v>10</v>
      </c>
      <c r="CZ259" s="58">
        <f>'2018'!CP23</f>
        <v>4.9000000000000004</v>
      </c>
      <c r="DA259" s="58">
        <f>'2018'!CQ23</f>
        <v>48.6</v>
      </c>
      <c r="DB259" s="58">
        <f>'2018'!CR23</f>
        <v>2.92</v>
      </c>
      <c r="DC259" s="58">
        <f>'2018'!CS23</f>
        <v>30.7</v>
      </c>
      <c r="DD259" s="57">
        <f>'2018'!CT23</f>
        <v>9</v>
      </c>
      <c r="DE259" s="57">
        <f>'2018'!CU23</f>
        <v>2742</v>
      </c>
      <c r="DF259" s="57">
        <f>'2018'!CV23</f>
        <v>1</v>
      </c>
      <c r="DG259" s="57">
        <f>'2018'!CW23</f>
        <v>0</v>
      </c>
      <c r="DH259" s="59">
        <f>'2018'!CX23</f>
        <v>0</v>
      </c>
      <c r="DI259" s="56">
        <f>'2018'!CY23</f>
        <v>713</v>
      </c>
      <c r="DJ259" s="57">
        <f>'2018'!CZ23</f>
        <v>1783.1999999999998</v>
      </c>
      <c r="DK259" s="57">
        <f>'2018'!DA23</f>
        <v>6</v>
      </c>
      <c r="DL259" s="57">
        <f>'2018'!DB23</f>
        <v>0</v>
      </c>
      <c r="DM259" s="57">
        <f>'2018'!DC23</f>
        <v>164</v>
      </c>
      <c r="DN259" s="57">
        <f>'2018'!DD23</f>
        <v>33</v>
      </c>
      <c r="DO259" s="58">
        <f>'2018'!DE23</f>
        <v>4.3475609756097562</v>
      </c>
      <c r="DP259" s="58">
        <f>'2018'!DF23</f>
        <v>69.2</v>
      </c>
      <c r="DQ259" s="58">
        <f>'2018'!DG23</f>
        <v>3.5</v>
      </c>
      <c r="DR259" s="58">
        <f>'2018'!DH23</f>
        <v>26.9</v>
      </c>
      <c r="DS259" s="57">
        <f>'2018'!DI23</f>
        <v>103</v>
      </c>
      <c r="DT259" s="57">
        <f>'2018'!DJ23</f>
        <v>1387.1999999999998</v>
      </c>
      <c r="DU259" s="57">
        <f>'2018'!DK23</f>
        <v>13</v>
      </c>
      <c r="DV259" s="57">
        <f>'2018'!DL23</f>
        <v>0</v>
      </c>
      <c r="DW259" s="59">
        <f>'2018'!DM23</f>
        <v>0</v>
      </c>
    </row>
    <row r="260" spans="1:127" ht="15.75" customHeight="1" x14ac:dyDescent="0.2">
      <c r="A260" s="33">
        <f t="shared" si="49"/>
        <v>258</v>
      </c>
      <c r="B260" s="11">
        <f>'2026 - WIP'!A21</f>
        <v>19</v>
      </c>
      <c r="C260" s="11">
        <v>2026</v>
      </c>
      <c r="D260" s="34" t="str">
        <f>'2026 - WIP'!B21</f>
        <v>Dylan Edwards</v>
      </c>
      <c r="E260" s="224" t="str" cm="1">
        <f t="array" ref="E260">_xlfn.IFS(F260&gt;=13,"Cornerstone",AND(F260&gt;=12,F260&lt;13),"Elite",AND(F260&gt;=11,F260&lt;12),"Elite Upside",AND(F260&gt;=9,F260&lt;11),"Upside",AND(F260&gt;=7,F260&lt;9),"Upside Lite",AND(F260&gt;=6,F260&lt;7),"Outlier",AND(F260&gt;=5,F260&lt;6),"Outlier Lite",F260&lt;5,"Purgatory")</f>
        <v>Purgatory</v>
      </c>
      <c r="F260" s="14">
        <f>'2026 - WIP'!C21</f>
        <v>4.3388888888888886</v>
      </c>
      <c r="G260" s="14">
        <f t="shared" si="41"/>
        <v>21.099999999999998</v>
      </c>
      <c r="H260" s="35">
        <f t="shared" si="50"/>
        <v>-1.5504941557978513</v>
      </c>
      <c r="I260" s="36" t="str">
        <f>'2026 - WIP'!D21</f>
        <v>Kansas State</v>
      </c>
      <c r="J260" s="37">
        <f>'2026 - WIP'!E21</f>
        <v>3</v>
      </c>
      <c r="K260" s="38">
        <f>'2026 - WIP'!F21</f>
        <v>38252</v>
      </c>
      <c r="L260" s="39">
        <f>'2026 - WIP'!G21</f>
        <v>21.027397260273972</v>
      </c>
      <c r="M260" s="39" t="str">
        <f>'2026 - WIP'!H21</f>
        <v>JR</v>
      </c>
      <c r="N260" s="39">
        <f>'2026 - WIP'!I21</f>
        <v>21.608219178082191</v>
      </c>
      <c r="O260" s="39" t="str">
        <f t="shared" si="51"/>
        <v>JITTERBUG</v>
      </c>
      <c r="P260" s="39" t="str">
        <f>IF(OR(AND($AA260&lt;0.25,$AO260&gt;=0.133,AE260&gt;4%),(AND($O260="JITTERBUG",$AO260&gt;0.11)),(AND($O260="JITTERBUG",$AE260&gt;9.5%))),"+RECEIVER",IF(AND($AJ260&gt;=0.25,$AQ260&gt;=3.81),"3DOWN",IF($AQ260&gt;=3.81,"HORSE",IF(OR(AJ260&gt;0.28,AK260&gt;7,AR260&gt;47),"SLASHER",IF(AO260&gt;0.19,"+RECEIVER","PLODDER")))))</f>
        <v>+RECEIVER</v>
      </c>
      <c r="Q260" s="37">
        <f>'2026 - WIP'!J21</f>
        <v>69</v>
      </c>
      <c r="R260" s="37">
        <f>'2026 - WIP'!K21</f>
        <v>167</v>
      </c>
      <c r="S260" s="39">
        <f t="shared" ref="S260:S323" si="53">R260*0.453592/(Q260*0.0254)^2</f>
        <v>24.661315695242187</v>
      </c>
      <c r="T260" s="39">
        <f>'2026 - WIP'!L21</f>
        <v>4.3499999999999996</v>
      </c>
      <c r="U260" s="55">
        <f>'2026 - WIP'!M21</f>
        <v>0</v>
      </c>
      <c r="V260" s="41">
        <f>'2026 - WIP'!N21</f>
        <v>0</v>
      </c>
      <c r="W260" s="42">
        <f>'2026 - WIP'!O21</f>
        <v>0</v>
      </c>
      <c r="X260" s="42">
        <f>'2026 - WIP'!P21</f>
        <v>0.14279165711666283</v>
      </c>
      <c r="Y260" s="42">
        <f>'2026 - WIP'!Q21</f>
        <v>0.13254470211603028</v>
      </c>
      <c r="Z260" s="42">
        <f>'2026 - WIP'!R21</f>
        <v>0</v>
      </c>
      <c r="AA260" s="42">
        <f>'2026 - WIP'!S21</f>
        <v>0.13766817961634656</v>
      </c>
      <c r="AB260" s="42">
        <f>'2026 - WIP'!T21</f>
        <v>0.12390136165471191</v>
      </c>
      <c r="AC260" s="42">
        <f>'2026 - WIP'!U21</f>
        <v>5.2428256070640174E-2</v>
      </c>
      <c r="AD260" s="42">
        <f>'2026 - WIP'!V21</f>
        <v>0</v>
      </c>
      <c r="AE260" s="42">
        <f>'2026 - WIP'!W21</f>
        <v>5.2428256070640174E-2</v>
      </c>
      <c r="AF260" s="43">
        <f>'2026 - WIP'!X21</f>
        <v>4.7185430463576157E-2</v>
      </c>
      <c r="AG260" s="44" t="str">
        <f>'2026 - WIP'!Y21</f>
        <v>N/A</v>
      </c>
      <c r="AH260" s="45">
        <f>'2026 - WIP'!Z21</f>
        <v>93.280193645772101</v>
      </c>
      <c r="AI260" s="45">
        <f>'2026 - WIP'!AA21</f>
        <v>24.658895190086113</v>
      </c>
      <c r="AJ260" s="45">
        <f>'2026 - WIP'!AB21</f>
        <v>0.27027027027027029</v>
      </c>
      <c r="AK260" s="45">
        <f>'2026 - WIP'!AC21</f>
        <v>7.3783783783783781</v>
      </c>
      <c r="AL260" s="45">
        <f t="shared" si="52"/>
        <v>7.8545454545454545</v>
      </c>
      <c r="AM260" s="45" t="e">
        <f t="shared" si="46"/>
        <v>#DIV/0!</v>
      </c>
      <c r="AN260" s="45">
        <f>'2026 - WIP'!AD21</f>
        <v>120.4</v>
      </c>
      <c r="AO260" s="45">
        <f>'2026 - WIP'!AE21</f>
        <v>4.1500000000000004</v>
      </c>
      <c r="AP260" s="46">
        <f>'2026 - WIP'!AF21</f>
        <v>51.3</v>
      </c>
      <c r="AQ260" s="47">
        <f>'2026 - WIP'!AG21</f>
        <v>1</v>
      </c>
      <c r="AR260" s="48">
        <f>'2026 - WIP'!AH21</f>
        <v>5</v>
      </c>
      <c r="AS260" s="48">
        <f>'2026 - WIP'!AI21</f>
        <v>0</v>
      </c>
      <c r="AT260" s="48">
        <f>'2026 - WIP'!AJ21</f>
        <v>2</v>
      </c>
      <c r="AU260" s="48">
        <f>'2026 - WIP'!AK21</f>
        <v>7</v>
      </c>
      <c r="AV260" s="48">
        <f>'2026 - WIP'!AL21</f>
        <v>8</v>
      </c>
      <c r="AW260" s="48">
        <f>'2026 - WIP'!AM21</f>
        <v>6</v>
      </c>
      <c r="AX260" s="48">
        <f>'2026 - WIP'!AN21</f>
        <v>5</v>
      </c>
      <c r="AY260" s="49">
        <f>'2026 - WIP'!AO21</f>
        <v>0</v>
      </c>
      <c r="AZ260" s="50">
        <f>'2026 - WIP'!AP21</f>
        <v>0</v>
      </c>
      <c r="BA260" s="56">
        <f>'2026 - WIP'!AQ21</f>
        <v>0</v>
      </c>
      <c r="BB260" s="57">
        <f>'2026 - WIP'!AR21</f>
        <v>1</v>
      </c>
      <c r="BC260" s="57">
        <f>'2026 - WIP'!AS21</f>
        <v>0</v>
      </c>
      <c r="BD260" s="57">
        <f>'2026 - WIP'!AT21</f>
        <v>0</v>
      </c>
      <c r="BE260" s="57">
        <f>'2026 - WIP'!AU21</f>
        <v>0</v>
      </c>
      <c r="BF260" s="57">
        <f>'2026 - WIP'!AV21</f>
        <v>0</v>
      </c>
      <c r="BG260" s="58">
        <f>'2026 - WIP'!AW21</f>
        <v>0</v>
      </c>
      <c r="BH260" s="58">
        <f>'2026 - WIP'!AX21</f>
        <v>0</v>
      </c>
      <c r="BI260" s="58">
        <f>'2026 - WIP'!AY21</f>
        <v>0</v>
      </c>
      <c r="BJ260" s="58">
        <f>'2026 - WIP'!AZ21</f>
        <v>0</v>
      </c>
      <c r="BK260" s="57">
        <f>'2026 - WIP'!BA21</f>
        <v>0</v>
      </c>
      <c r="BL260" s="57">
        <f>'2026 - WIP'!BB21</f>
        <v>1</v>
      </c>
      <c r="BM260" s="57">
        <f>'2026 - WIP'!BC21</f>
        <v>0</v>
      </c>
      <c r="BN260" s="57">
        <f>'2026 - WIP'!BD21</f>
        <v>0</v>
      </c>
      <c r="BO260" s="59">
        <f>'2026 - WIP'!BE21</f>
        <v>0</v>
      </c>
      <c r="BP260" s="56">
        <f>'2026 - WIP'!BF21</f>
        <v>0</v>
      </c>
      <c r="BQ260" s="57">
        <f>'2026 - WIP'!BG21</f>
        <v>1</v>
      </c>
      <c r="BR260" s="57">
        <f>'2026 - WIP'!BH21</f>
        <v>0</v>
      </c>
      <c r="BS260" s="57">
        <f>'2026 - WIP'!BI21</f>
        <v>0</v>
      </c>
      <c r="BT260" s="57">
        <f>'2026 - WIP'!BJ21</f>
        <v>0</v>
      </c>
      <c r="BU260" s="57">
        <f>'2026 - WIP'!BK21</f>
        <v>0</v>
      </c>
      <c r="BV260" s="58">
        <f>'2026 - WIP'!BL21</f>
        <v>0</v>
      </c>
      <c r="BW260" s="58">
        <f>'2026 - WIP'!BM21</f>
        <v>0</v>
      </c>
      <c r="BX260" s="58">
        <f>'2026 - WIP'!BN21</f>
        <v>0</v>
      </c>
      <c r="BY260" s="58">
        <f>'2026 - WIP'!BO21</f>
        <v>0</v>
      </c>
      <c r="BZ260" s="57">
        <f>'2026 - WIP'!BP21</f>
        <v>0</v>
      </c>
      <c r="CA260" s="57">
        <f>'2026 - WIP'!BQ21</f>
        <v>1</v>
      </c>
      <c r="CB260" s="57">
        <f>'2026 - WIP'!BR21</f>
        <v>0</v>
      </c>
      <c r="CC260" s="57">
        <f>'2026 - WIP'!BS21</f>
        <v>0</v>
      </c>
      <c r="CD260" s="59">
        <f>'2026 - WIP'!BT21</f>
        <v>0</v>
      </c>
      <c r="CE260" s="56">
        <f>'2026 - WIP'!BU21</f>
        <v>324</v>
      </c>
      <c r="CF260" s="57">
        <f>'2026 - WIP'!BV21</f>
        <v>827</v>
      </c>
      <c r="CG260" s="57">
        <f>'2026 - WIP'!BW21</f>
        <v>1</v>
      </c>
      <c r="CH260" s="57">
        <f>'2026 - WIP'!BX21</f>
        <v>12</v>
      </c>
      <c r="CI260" s="57">
        <f>'2026 - WIP'!BY21</f>
        <v>74</v>
      </c>
      <c r="CJ260" s="57">
        <f>'2026 - WIP'!BZ21</f>
        <v>20</v>
      </c>
      <c r="CK260" s="58">
        <f>'2026 - WIP'!CA21</f>
        <v>4.3783783783783781</v>
      </c>
      <c r="CL260" s="58">
        <f>'2026 - WIP'!CB21</f>
        <v>62</v>
      </c>
      <c r="CM260" s="58">
        <f>'2026 - WIP'!CC21</f>
        <v>2.5299999999999998</v>
      </c>
      <c r="CN260" s="58">
        <f>'2026 - WIP'!CD21</f>
        <v>33.6</v>
      </c>
      <c r="CO260" s="57">
        <f>'2026 - WIP'!CE21</f>
        <v>299</v>
      </c>
      <c r="CP260" s="57">
        <f>'2026 - WIP'!CF21</f>
        <v>3536</v>
      </c>
      <c r="CQ260" s="57">
        <f>'2026 - WIP'!CG21</f>
        <v>36</v>
      </c>
      <c r="CR260" s="57">
        <f>'2026 - WIP'!CH21</f>
        <v>4</v>
      </c>
      <c r="CS260" s="59">
        <f>'2026 - WIP'!CI21</f>
        <v>29</v>
      </c>
      <c r="CT260" s="56">
        <f>'2026 - WIP'!CJ21</f>
        <v>546</v>
      </c>
      <c r="CU260" s="57">
        <f>'2026 - WIP'!CK21</f>
        <v>2586</v>
      </c>
      <c r="CV260" s="57">
        <f>'2026 - WIP'!CL21</f>
        <v>5</v>
      </c>
      <c r="CW260" s="57">
        <f>'2026 - WIP'!CM21</f>
        <v>19.200000000000003</v>
      </c>
      <c r="CX260" s="57">
        <f>'2026 - WIP'!CN21</f>
        <v>74</v>
      </c>
      <c r="CY260" s="57">
        <f>'2026 - WIP'!CO21</f>
        <v>20</v>
      </c>
      <c r="CZ260" s="58">
        <f>'2026 - WIP'!CP21</f>
        <v>7.3783783783783781</v>
      </c>
      <c r="DA260" s="58">
        <f>'2026 - WIP'!CQ21</f>
        <v>120.4</v>
      </c>
      <c r="DB260" s="58">
        <f>'2026 - WIP'!CR21</f>
        <v>4.1500000000000004</v>
      </c>
      <c r="DC260" s="58">
        <f>'2026 - WIP'!CS21</f>
        <v>51.3</v>
      </c>
      <c r="DD260" s="57">
        <f>'2026 - WIP'!CT21</f>
        <v>133</v>
      </c>
      <c r="DE260" s="57">
        <f>'2026 - WIP'!CU21</f>
        <v>2536.8000000000002</v>
      </c>
      <c r="DF260" s="57">
        <f>'2026 - WIP'!CV21</f>
        <v>19</v>
      </c>
      <c r="DG260" s="57">
        <f>'2026 - WIP'!CW21</f>
        <v>2</v>
      </c>
      <c r="DH260" s="59">
        <f>'2026 - WIP'!CX21</f>
        <v>22.799999999999997</v>
      </c>
      <c r="DI260" s="56">
        <f>'2026 - WIP'!CY21</f>
        <v>0</v>
      </c>
      <c r="DJ260" s="57">
        <f>'2026 - WIP'!CZ21</f>
        <v>1</v>
      </c>
      <c r="DK260" s="57">
        <f>'2026 - WIP'!DA21</f>
        <v>0</v>
      </c>
      <c r="DL260" s="57">
        <f>'2026 - WIP'!DB21</f>
        <v>0</v>
      </c>
      <c r="DM260" s="57">
        <f>'2026 - WIP'!DC21</f>
        <v>0</v>
      </c>
      <c r="DN260" s="57">
        <f>'2026 - WIP'!DD21</f>
        <v>0</v>
      </c>
      <c r="DO260" s="58">
        <f>'2026 - WIP'!DE21</f>
        <v>0</v>
      </c>
      <c r="DP260" s="58">
        <f>'2026 - WIP'!DF21</f>
        <v>0</v>
      </c>
      <c r="DQ260" s="58">
        <f>'2026 - WIP'!DG21</f>
        <v>0</v>
      </c>
      <c r="DR260" s="58">
        <f>'2026 - WIP'!DH21</f>
        <v>0</v>
      </c>
      <c r="DS260" s="57">
        <f>'2026 - WIP'!DI21</f>
        <v>0</v>
      </c>
      <c r="DT260" s="57">
        <f>'2026 - WIP'!DJ21</f>
        <v>1</v>
      </c>
      <c r="DU260" s="57">
        <f>'2026 - WIP'!DK21</f>
        <v>0</v>
      </c>
      <c r="DV260" s="57">
        <f>'2026 - WIP'!DL21</f>
        <v>0</v>
      </c>
      <c r="DW260" s="59">
        <f>'2026 - WIP'!DM21</f>
        <v>0</v>
      </c>
    </row>
    <row r="261" spans="1:127" ht="15.75" customHeight="1" x14ac:dyDescent="0.2">
      <c r="A261" s="33">
        <f t="shared" si="49"/>
        <v>259</v>
      </c>
      <c r="B261" s="11">
        <f>'2021'!A21</f>
        <v>19</v>
      </c>
      <c r="C261" s="11">
        <v>2021</v>
      </c>
      <c r="D261" s="34" t="str">
        <f>'2021'!B21</f>
        <v>Chris Evans</v>
      </c>
      <c r="E261" s="224" t="str" cm="1">
        <f t="array" ref="E261">_xlfn.IFS(F261&gt;=13,"Cornerstone",AND(F261&gt;=12,F261&lt;13),"Elite",AND(F261&gt;=11,F261&lt;12),"Elite Upside",AND(F261&gt;=9,F261&lt;11),"Upside",AND(F261&gt;=7,F261&lt;9),"Upside Lite",AND(F261&gt;=6,F261&lt;7),"Outlier",AND(F261&gt;=5,F261&lt;6),"Outlier Lite",F261&lt;5,"Purgatory")</f>
        <v>Purgatory</v>
      </c>
      <c r="F261" s="14">
        <f>'2021'!C21</f>
        <v>4.3055555555555554</v>
      </c>
      <c r="G261" s="14">
        <f t="shared" si="41"/>
        <v>20.7</v>
      </c>
      <c r="H261" s="35">
        <f t="shared" si="50"/>
        <v>-1.5646016579391726</v>
      </c>
      <c r="I261" s="36" t="str">
        <f>'2021'!D21</f>
        <v>Michigan</v>
      </c>
      <c r="J261" s="37">
        <f>'2021'!E21</f>
        <v>2</v>
      </c>
      <c r="K261" s="38">
        <f>'2021'!F21</f>
        <v>35708</v>
      </c>
      <c r="L261" s="39">
        <f>'2021'!G21</f>
        <v>27.997260273972604</v>
      </c>
      <c r="M261" s="39" t="str">
        <f>'2021'!H21</f>
        <v>SR</v>
      </c>
      <c r="N261" s="39">
        <f>'2021'!I21</f>
        <v>23.580821917808219</v>
      </c>
      <c r="O261" s="39" t="str">
        <f t="shared" si="51"/>
        <v>BELL COW</v>
      </c>
      <c r="P261" s="39" t="str">
        <f>IF(OR(AND($AA261&lt;0.25,$AM261&gt;=0.133,AE261&gt;4%),(AND($O261="JITTERBUG",$AM261&gt;0.11)),(AND($O261="JITTERBUG",$AE261&gt;9.5%))),"+RECEIVER",IF(AND($AJ261&gt;=0.25,$AO261&gt;=3.81),"3DOWN",IF($AO261&gt;=3.81,"HORSE",IF(OR(AJ261&gt;0.28,AK261&gt;7,AP261&gt;47),"SLASHER",IF(AM261&gt;0.19,"+RECEIVER","PLODDER")))))</f>
        <v>+RECEIVER</v>
      </c>
      <c r="Q261" s="37">
        <f>'2021'!J21</f>
        <v>71</v>
      </c>
      <c r="R261" s="37">
        <f>'2021'!K21</f>
        <v>211</v>
      </c>
      <c r="S261" s="39">
        <f t="shared" si="53"/>
        <v>29.428200812362746</v>
      </c>
      <c r="T261" s="37">
        <f>'2021'!L21</f>
        <v>4.5199999999999996</v>
      </c>
      <c r="U261" s="40">
        <f>'2021'!M21</f>
        <v>6</v>
      </c>
      <c r="V261" s="41">
        <f>'2021'!N21</f>
        <v>0.12690079652425779</v>
      </c>
      <c r="W261" s="42">
        <f>'2021'!O21</f>
        <v>0.17522974101921471</v>
      </c>
      <c r="X261" s="42">
        <f>'2021'!P21</f>
        <v>0.10471300201723822</v>
      </c>
      <c r="Y261" s="42">
        <f>'2021'!Q21</f>
        <v>0</v>
      </c>
      <c r="Z261" s="42">
        <f>'2021'!R21</f>
        <v>6.9838498472282851E-2</v>
      </c>
      <c r="AA261" s="42">
        <f>'2021'!S21</f>
        <v>0.12253411974574878</v>
      </c>
      <c r="AB261" s="42">
        <f>'2021'!T21</f>
        <v>0.12253411974574878</v>
      </c>
      <c r="AC261" s="42">
        <f>'2021'!U21</f>
        <v>0</v>
      </c>
      <c r="AD261" s="42">
        <f>'2021'!V21</f>
        <v>5.7922769640479363E-2</v>
      </c>
      <c r="AE261" s="42">
        <f>'2021'!W21</f>
        <v>5.7922769640479363E-2</v>
      </c>
      <c r="AF261" s="43">
        <f>'2021'!X21</f>
        <v>5.7922769640479363E-2</v>
      </c>
      <c r="AG261" s="44">
        <f>'2021'!Y21</f>
        <v>19.917808219178081</v>
      </c>
      <c r="AH261" s="45">
        <f>'2021'!Z21</f>
        <v>101.10175901589727</v>
      </c>
      <c r="AI261" s="45">
        <f>'2021'!AA21</f>
        <v>29.425312438008334</v>
      </c>
      <c r="AJ261" s="45">
        <f>'2021'!AB21</f>
        <v>0.3125</v>
      </c>
      <c r="AK261" s="45">
        <f>'2021'!AC21</f>
        <v>4.5999999999999996</v>
      </c>
      <c r="AL261" s="45">
        <f t="shared" si="52"/>
        <v>12.605263157894736</v>
      </c>
      <c r="AM261" s="45">
        <f t="shared" si="46"/>
        <v>0.36</v>
      </c>
      <c r="AN261" s="45">
        <f>'2021'!AD21</f>
        <v>68.3</v>
      </c>
      <c r="AO261" s="45">
        <f>'2021'!AE21</f>
        <v>2.44</v>
      </c>
      <c r="AP261" s="46">
        <f>'2021'!AF21</f>
        <v>21.9</v>
      </c>
      <c r="AQ261" s="47">
        <f>'2021'!AG21</f>
        <v>1</v>
      </c>
      <c r="AR261" s="48">
        <f>'2021'!AH21</f>
        <v>6</v>
      </c>
      <c r="AS261" s="48">
        <f>'2021'!AI21</f>
        <v>5</v>
      </c>
      <c r="AT261" s="48">
        <f>IF(AH261&gt;113.25,10,IF(AH261&gt;=107.84,9,IF(AH261&gt;=105.37,8,IF(AH261&gt;=103.25,7,IF(AH261&gt;=100.55,6,IF(AH261&gt;=98.75,5,IF(AH261&gt;=96.08,4,IF(AH261&gt;=94.39,3,IF(AH261&gt;=88.43,2,IF(AH261&gt;=85.16,1,IF(AH261&lt;85.16,0,FALSE)))))))))))</f>
        <v>6</v>
      </c>
      <c r="AU261" s="48">
        <f>'2021'!AK21</f>
        <v>8</v>
      </c>
      <c r="AV261" s="48">
        <f>'2021'!AL21</f>
        <v>0</v>
      </c>
      <c r="AW261" s="48">
        <f>'2021'!AM21</f>
        <v>1</v>
      </c>
      <c r="AX261" s="48">
        <f>'2021'!AN21</f>
        <v>0</v>
      </c>
      <c r="AY261" s="49">
        <f>IF(U261=1,10,IF(U261=2,7,IF(U261=3,6,IF(U261=4,4,IF(U261=5,3,IF(U261=6,2,IF(U261=7,1,IF(U261=0,0,"-"))))))))</f>
        <v>2</v>
      </c>
      <c r="AZ261" s="50">
        <f>'2021'!AP21</f>
        <v>0</v>
      </c>
      <c r="BA261" s="56">
        <f>'2021'!AQ21</f>
        <v>614</v>
      </c>
      <c r="BB261" s="57">
        <f>'2021'!AR21</f>
        <v>2768</v>
      </c>
      <c r="BC261" s="57">
        <f>'2021'!AS21</f>
        <v>4</v>
      </c>
      <c r="BD261" s="57">
        <f>'2021'!AT21</f>
        <v>41</v>
      </c>
      <c r="BE261" s="57">
        <f>'2021'!AU21</f>
        <v>88</v>
      </c>
      <c r="BF261" s="57">
        <f>'2021'!AV21</f>
        <v>28</v>
      </c>
      <c r="BG261" s="58">
        <f>'2021'!AW21</f>
        <v>7</v>
      </c>
      <c r="BH261" s="58">
        <f>'2021'!AX21</f>
        <v>132.4</v>
      </c>
      <c r="BI261" s="58">
        <f>'2021'!AY21</f>
        <v>4.1500000000000004</v>
      </c>
      <c r="BJ261" s="58">
        <f>'2021'!AZ21</f>
        <v>52.1</v>
      </c>
      <c r="BK261" s="57">
        <f>'2021'!BA21</f>
        <v>87</v>
      </c>
      <c r="BL261" s="57">
        <f>'2021'!BB21</f>
        <v>2756</v>
      </c>
      <c r="BM261" s="57">
        <f>'2021'!BC21</f>
        <v>6</v>
      </c>
      <c r="BN261" s="57">
        <f>'2021'!BD21</f>
        <v>0</v>
      </c>
      <c r="BO261" s="59">
        <f>'2021'!BE21</f>
        <v>20</v>
      </c>
      <c r="BP261" s="56">
        <f>'2021'!BF21</f>
        <v>682</v>
      </c>
      <c r="BQ261" s="57">
        <f>'2021'!BG21</f>
        <v>2562</v>
      </c>
      <c r="BR261" s="57">
        <f>'2021'!BH21</f>
        <v>6</v>
      </c>
      <c r="BS261" s="57">
        <f>'2021'!BI21</f>
        <v>33</v>
      </c>
      <c r="BT261" s="57">
        <f>'2021'!BJ21</f>
        <v>135</v>
      </c>
      <c r="BU261" s="57">
        <f>'2021'!BK21</f>
        <v>34</v>
      </c>
      <c r="BV261" s="58">
        <f>'2021'!BL21</f>
        <v>5.0999999999999996</v>
      </c>
      <c r="BW261" s="58">
        <f>'2021'!BM21</f>
        <v>92.2</v>
      </c>
      <c r="BX261" s="58">
        <f>'2021'!BN21</f>
        <v>3.57</v>
      </c>
      <c r="BY261" s="58">
        <f>'2021'!BO21</f>
        <v>43.7</v>
      </c>
      <c r="BZ261" s="57">
        <f>'2021'!BP21</f>
        <v>157</v>
      </c>
      <c r="CA261" s="57">
        <f>'2021'!BQ21</f>
        <v>2226</v>
      </c>
      <c r="CB261" s="57">
        <f>'2021'!BR21</f>
        <v>16</v>
      </c>
      <c r="CC261" s="57">
        <f>'2021'!BS21</f>
        <v>0</v>
      </c>
      <c r="CD261" s="59">
        <f>'2021'!BT21</f>
        <v>9</v>
      </c>
      <c r="CE261" s="56">
        <f>'2021'!BU21</f>
        <v>423</v>
      </c>
      <c r="CF261" s="57">
        <f>'2021'!BV21</f>
        <v>2649</v>
      </c>
      <c r="CG261" s="57">
        <f>'2021'!BW21</f>
        <v>4</v>
      </c>
      <c r="CH261" s="57">
        <f>'2021'!BX21</f>
        <v>26</v>
      </c>
      <c r="CI261" s="57">
        <f>'2021'!BY21</f>
        <v>81</v>
      </c>
      <c r="CJ261" s="57">
        <f>'2021'!BZ21</f>
        <v>15</v>
      </c>
      <c r="CK261" s="58">
        <f>'2021'!CA21</f>
        <v>5.2</v>
      </c>
      <c r="CL261" s="58">
        <f>'2021'!CB21</f>
        <v>85.6</v>
      </c>
      <c r="CM261" s="58">
        <f>'2021'!CC21</f>
        <v>3.85</v>
      </c>
      <c r="CN261" s="58">
        <f>'2021'!CD21</f>
        <v>47.3</v>
      </c>
      <c r="CO261" s="57">
        <f>'2021'!CE21</f>
        <v>148</v>
      </c>
      <c r="CP261" s="57">
        <f>'2021'!CF21</f>
        <v>2804</v>
      </c>
      <c r="CQ261" s="57">
        <f>'2021'!CG21</f>
        <v>7</v>
      </c>
      <c r="CR261" s="57">
        <f>'2021'!CH21</f>
        <v>0</v>
      </c>
      <c r="CS261" s="59">
        <f>'2021'!CI21</f>
        <v>24</v>
      </c>
      <c r="CT261" s="56">
        <f>'2021'!CJ21</f>
        <v>0</v>
      </c>
      <c r="CU261" s="57">
        <f>'2021'!CK21</f>
        <v>1959</v>
      </c>
      <c r="CV261" s="57">
        <f>'2021'!CL21</f>
        <v>0</v>
      </c>
      <c r="CW261" s="57">
        <f>'2021'!CM21</f>
        <v>26</v>
      </c>
      <c r="CX261" s="57">
        <f>'2021'!CN21</f>
        <v>0</v>
      </c>
      <c r="CY261" s="57">
        <f>'2021'!CO21</f>
        <v>0</v>
      </c>
      <c r="CZ261" s="58">
        <f>'2021'!CP21</f>
        <v>0</v>
      </c>
      <c r="DA261" s="58">
        <f>'2021'!CQ21</f>
        <v>0</v>
      </c>
      <c r="DB261" s="58">
        <f>'2021'!CR21</f>
        <v>0</v>
      </c>
      <c r="DC261" s="58">
        <f>'2021'!CS21</f>
        <v>0</v>
      </c>
      <c r="DD261" s="57">
        <f>'2021'!CT21</f>
        <v>0</v>
      </c>
      <c r="DE261" s="57">
        <f>'2021'!CU21</f>
        <v>3261</v>
      </c>
      <c r="DF261" s="57">
        <f>'2021'!CV21</f>
        <v>0</v>
      </c>
      <c r="DG261" s="57">
        <f>'2021'!CW21</f>
        <v>0</v>
      </c>
      <c r="DH261" s="59">
        <f>'2021'!CX21</f>
        <v>25</v>
      </c>
      <c r="DI261" s="56">
        <f>'2021'!CY21</f>
        <v>73</v>
      </c>
      <c r="DJ261" s="57">
        <f>'2021'!CZ21</f>
        <v>789</v>
      </c>
      <c r="DK261" s="57">
        <f>'2021'!DA21</f>
        <v>1</v>
      </c>
      <c r="DL261" s="57">
        <f>'2021'!DB21</f>
        <v>12</v>
      </c>
      <c r="DM261" s="57">
        <f>'2021'!DC21</f>
        <v>16</v>
      </c>
      <c r="DN261" s="57">
        <f>'2021'!DD21</f>
        <v>5</v>
      </c>
      <c r="DO261" s="58">
        <f>'2021'!DE21</f>
        <v>4.5999999999999996</v>
      </c>
      <c r="DP261" s="58">
        <f>'2021'!DF21</f>
        <v>68.3</v>
      </c>
      <c r="DQ261" s="58">
        <f>'2021'!DG21</f>
        <v>2.44</v>
      </c>
      <c r="DR261" s="58">
        <f>'2021'!DH21</f>
        <v>21.9</v>
      </c>
      <c r="DS261" s="57">
        <f>'2021'!DI21</f>
        <v>87</v>
      </c>
      <c r="DT261" s="57">
        <f>'2021'!DJ21</f>
        <v>1502</v>
      </c>
      <c r="DU261" s="57">
        <f>'2021'!DK21</f>
        <v>9</v>
      </c>
      <c r="DV261" s="57">
        <f>'2021'!DL21</f>
        <v>0</v>
      </c>
      <c r="DW261" s="59">
        <f>'2021'!DM21</f>
        <v>9</v>
      </c>
    </row>
    <row r="262" spans="1:127" ht="15.75" customHeight="1" x14ac:dyDescent="0.2">
      <c r="A262" s="33">
        <f t="shared" si="49"/>
        <v>260</v>
      </c>
      <c r="B262" s="11">
        <f>'2019'!A23</f>
        <v>21</v>
      </c>
      <c r="C262" s="11">
        <v>2019</v>
      </c>
      <c r="D262" s="34" t="str">
        <f>'2019'!B23</f>
        <v>Kerrith Whyte Jr.</v>
      </c>
      <c r="E262" s="224" t="str" cm="1">
        <f t="array" ref="E262">_xlfn.IFS(F262&gt;=13,"Cornerstone",AND(F262&gt;=12,F262&lt;13),"Elite",AND(F262&gt;=11,F262&lt;12),"Elite Upside",AND(F262&gt;=9,F262&lt;11),"Upside",AND(F262&gt;=7,F262&lt;9),"Upside Lite",AND(F262&gt;=6,F262&lt;7),"Outlier",AND(F262&gt;=5,F262&lt;6),"Outlier Lite",F262&lt;5,"Purgatory")</f>
        <v>Purgatory</v>
      </c>
      <c r="F262" s="14">
        <f>'2019'!C23</f>
        <v>4.2555555555555564</v>
      </c>
      <c r="G262" s="14">
        <f t="shared" si="41"/>
        <v>20.399999999999999</v>
      </c>
      <c r="H262" s="35">
        <f t="shared" si="50"/>
        <v>-1.585762911151154</v>
      </c>
      <c r="I262" s="36" t="str">
        <f>'2019'!D23</f>
        <v>FAU</v>
      </c>
      <c r="J262" s="37">
        <f>'2019'!E23</f>
        <v>10</v>
      </c>
      <c r="K262" s="38">
        <f>'2019'!F23</f>
        <v>35369</v>
      </c>
      <c r="L262" s="39">
        <f>'2019'!G23</f>
        <v>28.926027397260274</v>
      </c>
      <c r="M262" s="39" t="str">
        <f>'2019'!H23</f>
        <v>RS JR</v>
      </c>
      <c r="N262" s="39">
        <f>'2019'!I23</f>
        <v>22.495890410958904</v>
      </c>
      <c r="O262" s="39" t="str">
        <f t="shared" si="51"/>
        <v>DYNAMIC</v>
      </c>
      <c r="P262" s="39" t="str">
        <f>IF(OR(AND($AA262&lt;0.25,$AM262&gt;=0.133,AE262&gt;4%),(AND($O262="JITTERBUG",$AM262&gt;0.11)),(AND($O262="JITTERBUG",$AE262&gt;9.5%))),"+RECEIVER",IF(AND($AJ262&gt;=0.25,$AO262&gt;=3.81),"3DOWN",IF($AO262&gt;=3.81,"HORSE",IF(OR(AJ262&gt;0.28,AK262&gt;7,AP262&gt;47),"SLASHER",IF(AM262&gt;0.19,"+RECEIVER","PLODDER")))))</f>
        <v>HORSE</v>
      </c>
      <c r="Q262" s="37">
        <f>'2019'!J23</f>
        <v>70</v>
      </c>
      <c r="R262" s="37">
        <f>'2019'!K23</f>
        <v>204</v>
      </c>
      <c r="S262" s="39">
        <f t="shared" si="53"/>
        <v>29.270628010643776</v>
      </c>
      <c r="T262" s="37">
        <f>'2019'!L23</f>
        <v>4.37</v>
      </c>
      <c r="U262" s="40">
        <f>'2019'!M23</f>
        <v>7</v>
      </c>
      <c r="V262" s="41">
        <f>'2019'!N23</f>
        <v>0</v>
      </c>
      <c r="W262" s="42">
        <f>'2019'!O23</f>
        <v>0</v>
      </c>
      <c r="X262" s="42">
        <f>'2019'!P23</f>
        <v>3.4735300272023435E-2</v>
      </c>
      <c r="Y262" s="42">
        <f>'2019'!Q23</f>
        <v>5.8047871578042136E-2</v>
      </c>
      <c r="Z262" s="42">
        <f>'2019'!R23</f>
        <v>0.1771667246780369</v>
      </c>
      <c r="AA262" s="42">
        <f>'2019'!S23</f>
        <v>0.1771667246780369</v>
      </c>
      <c r="AB262" s="42">
        <f>'2019'!T23</f>
        <v>0.10630003480682214</v>
      </c>
      <c r="AC262" s="42">
        <f>'2019'!U23</f>
        <v>2.0113979215554811E-2</v>
      </c>
      <c r="AD262" s="42">
        <f>'2019'!V23</f>
        <v>5.8368495077355836E-2</v>
      </c>
      <c r="AE262" s="42">
        <f>'2019'!W23</f>
        <v>5.8368495077355836E-2</v>
      </c>
      <c r="AF262" s="43">
        <f>'2019'!X23</f>
        <v>3.5021097046413499E-2</v>
      </c>
      <c r="AG262" s="44">
        <f>'2019'!Y23</f>
        <v>21.846575342465755</v>
      </c>
      <c r="AH262" s="45">
        <f>'2019'!Z23</f>
        <v>111.8753521122639</v>
      </c>
      <c r="AI262" s="45">
        <f>'2019'!AA23</f>
        <v>29.267755102040816</v>
      </c>
      <c r="AJ262" s="45">
        <f>'2019'!AB23</f>
        <v>0.24812030075187969</v>
      </c>
      <c r="AK262" s="45">
        <f>'2019'!AC23</f>
        <v>6.4</v>
      </c>
      <c r="AL262" s="45">
        <f t="shared" si="52"/>
        <v>10.291666666666666</v>
      </c>
      <c r="AM262" s="45">
        <f t="shared" si="46"/>
        <v>7.6388888888888895E-2</v>
      </c>
      <c r="AN262" s="45">
        <f>'2019'!AD23</f>
        <v>92.7</v>
      </c>
      <c r="AO262" s="45">
        <f>'2019'!AE23</f>
        <v>3.92</v>
      </c>
      <c r="AP262" s="46">
        <f>'2019'!AF23</f>
        <v>46.5</v>
      </c>
      <c r="AQ262" s="47">
        <f>'2019'!AG23</f>
        <v>0</v>
      </c>
      <c r="AR262" s="48">
        <f>'2019'!AH23</f>
        <v>3</v>
      </c>
      <c r="AS262" s="48">
        <f>'2019'!AI23</f>
        <v>2</v>
      </c>
      <c r="AT262" s="48">
        <f>IF(AH262&gt;113.25,10,IF(AH262&gt;=107.84,9,IF(AH262&gt;=105.37,8,IF(AH262&gt;=103.25,7,IF(AH262&gt;=100.55,6,IF(AH262&gt;=98.75,5,IF(AH262&gt;=96.08,4,IF(AH262&gt;=94.39,3,IF(AH262&gt;=88.43,2,IF(AH262&gt;=85.16,1,IF(AH262&lt;85.16,0,FALSE)))))))))))</f>
        <v>9</v>
      </c>
      <c r="AU262" s="48">
        <f>'2019'!AK23</f>
        <v>6</v>
      </c>
      <c r="AV262" s="48">
        <f>'2019'!AL23</f>
        <v>6</v>
      </c>
      <c r="AW262" s="48">
        <f>'2019'!AM23</f>
        <v>3</v>
      </c>
      <c r="AX262" s="48">
        <f>'2019'!AN23</f>
        <v>4</v>
      </c>
      <c r="AY262" s="49">
        <f>IF(U262=1,10,IF(U262=2,7,IF(U262=3,6,IF(U262=4,4,IF(U262=5,3,IF(U262=6,2,IF(U262=7,1,IF(U262=0,0,"-"))))))))</f>
        <v>1</v>
      </c>
      <c r="AZ262" s="50">
        <f>'2019'!AP23</f>
        <v>0.5</v>
      </c>
      <c r="BA262" s="56">
        <f>'2019'!AQ23</f>
        <v>0</v>
      </c>
      <c r="BB262" s="57">
        <f>'2019'!AR23</f>
        <v>1963</v>
      </c>
      <c r="BC262" s="57">
        <f>'2019'!AS23</f>
        <v>0</v>
      </c>
      <c r="BD262" s="57">
        <f>'2019'!AT23</f>
        <v>14</v>
      </c>
      <c r="BE262" s="57">
        <f>'2019'!AU23</f>
        <v>0</v>
      </c>
      <c r="BF262" s="57">
        <f>'2019'!AV23</f>
        <v>0</v>
      </c>
      <c r="BG262" s="58">
        <f>'2019'!AW23</f>
        <v>0</v>
      </c>
      <c r="BH262" s="58">
        <f>'2019'!AX23</f>
        <v>0</v>
      </c>
      <c r="BI262" s="58">
        <f>'2019'!AY23</f>
        <v>0</v>
      </c>
      <c r="BJ262" s="58">
        <f>'2019'!AZ23</f>
        <v>0</v>
      </c>
      <c r="BK262" s="57">
        <f>'2019'!BA23</f>
        <v>0</v>
      </c>
      <c r="BL262" s="57">
        <f>'2019'!BB23</f>
        <v>2394</v>
      </c>
      <c r="BM262" s="57">
        <f>'2019'!BC23</f>
        <v>0</v>
      </c>
      <c r="BN262" s="57">
        <f>'2019'!BD23</f>
        <v>0</v>
      </c>
      <c r="BO262" s="59">
        <f>'2019'!BE23</f>
        <v>18</v>
      </c>
      <c r="BP262" s="56">
        <f>'2019'!BF23</f>
        <v>0</v>
      </c>
      <c r="BQ262" s="57">
        <f>'2019'!BG23</f>
        <v>1961</v>
      </c>
      <c r="BR262" s="57">
        <f>'2019'!BH23</f>
        <v>0</v>
      </c>
      <c r="BS262" s="57">
        <f>'2019'!BI23</f>
        <v>15</v>
      </c>
      <c r="BT262" s="57">
        <f>'2019'!BJ23</f>
        <v>0</v>
      </c>
      <c r="BU262" s="57">
        <f>'2019'!BK23</f>
        <v>0</v>
      </c>
      <c r="BV262" s="58">
        <f>'2019'!BL23</f>
        <v>0</v>
      </c>
      <c r="BW262" s="58">
        <f>'2019'!BM23</f>
        <v>0</v>
      </c>
      <c r="BX262" s="58">
        <f>'2019'!BN23</f>
        <v>0</v>
      </c>
      <c r="BY262" s="58">
        <f>'2019'!BO23</f>
        <v>0</v>
      </c>
      <c r="BZ262" s="57">
        <f>'2019'!BP23</f>
        <v>0</v>
      </c>
      <c r="CA262" s="57">
        <f>'2019'!BQ23</f>
        <v>2557</v>
      </c>
      <c r="CB262" s="57">
        <f>'2019'!BR23</f>
        <v>0</v>
      </c>
      <c r="CC262" s="57">
        <f>'2019'!BS23</f>
        <v>0</v>
      </c>
      <c r="CD262" s="59">
        <f>'2019'!BT23</f>
        <v>12</v>
      </c>
      <c r="CE262" s="56">
        <f>'2019'!BU23</f>
        <v>145</v>
      </c>
      <c r="CF262" s="57">
        <f>'2019'!BV23</f>
        <v>2258</v>
      </c>
      <c r="CG262" s="57">
        <f>'2019'!BW23</f>
        <v>1</v>
      </c>
      <c r="CH262" s="57">
        <f>'2019'!BX23</f>
        <v>31</v>
      </c>
      <c r="CI262" s="57">
        <f>'2019'!BY23</f>
        <v>42</v>
      </c>
      <c r="CJ262" s="57">
        <f>'2019'!BZ23</f>
        <v>5</v>
      </c>
      <c r="CK262" s="58">
        <f>'2019'!CA23</f>
        <v>3.5</v>
      </c>
      <c r="CL262" s="58">
        <f>'2019'!CB23</f>
        <v>50.3</v>
      </c>
      <c r="CM262" s="58">
        <f>'2019'!CC23</f>
        <v>2.95</v>
      </c>
      <c r="CN262" s="58">
        <f>'2019'!CD23</f>
        <v>15.2</v>
      </c>
      <c r="CO262" s="57">
        <f>'2019'!CE23</f>
        <v>21</v>
      </c>
      <c r="CP262" s="57">
        <f>'2019'!CF23</f>
        <v>2521</v>
      </c>
      <c r="CQ262" s="57">
        <f>'2019'!CG23</f>
        <v>5</v>
      </c>
      <c r="CR262" s="57">
        <f>'2019'!CH23</f>
        <v>0</v>
      </c>
      <c r="CS262" s="59">
        <f>'2019'!CI23</f>
        <v>9</v>
      </c>
      <c r="CT262" s="56">
        <f>'2019'!CJ23</f>
        <v>345</v>
      </c>
      <c r="CU262" s="57">
        <f>'2019'!CK23</f>
        <v>3994</v>
      </c>
      <c r="CV262" s="57">
        <f>'2019'!CL23</f>
        <v>2</v>
      </c>
      <c r="CW262" s="57">
        <f>'2019'!CM23</f>
        <v>52</v>
      </c>
      <c r="CX262" s="57">
        <f>'2019'!CN23</f>
        <v>56</v>
      </c>
      <c r="CY262" s="57">
        <f>'2019'!CO23</f>
        <v>6</v>
      </c>
      <c r="CZ262" s="58">
        <f>'2019'!CP23</f>
        <v>6.2</v>
      </c>
      <c r="DA262" s="58">
        <f>'2019'!CQ23</f>
        <v>27.7</v>
      </c>
      <c r="DB262" s="58">
        <f>'2019'!CR23</f>
        <v>2.54</v>
      </c>
      <c r="DC262" s="58">
        <f>'2019'!CS23</f>
        <v>41.2</v>
      </c>
      <c r="DD262" s="57">
        <f>'2019'!CT23</f>
        <v>60</v>
      </c>
      <c r="DE262" s="57">
        <f>'2019'!CU23</f>
        <v>2983</v>
      </c>
      <c r="DF262" s="57">
        <f>'2019'!CV23</f>
        <v>8</v>
      </c>
      <c r="DG262" s="57">
        <f>'2019'!CW23</f>
        <v>0</v>
      </c>
      <c r="DH262" s="59">
        <f>'2019'!CX23</f>
        <v>21</v>
      </c>
      <c r="DI262" s="56">
        <f>'2019'!CY23</f>
        <v>852</v>
      </c>
      <c r="DJ262" s="57">
        <f>'2019'!CZ23</f>
        <v>2902</v>
      </c>
      <c r="DK262" s="57">
        <f>'2019'!DA23</f>
        <v>8</v>
      </c>
      <c r="DL262" s="57">
        <f>'2019'!DB23</f>
        <v>35</v>
      </c>
      <c r="DM262" s="57">
        <f>'2019'!DC23</f>
        <v>133</v>
      </c>
      <c r="DN262" s="57">
        <f>'2019'!DD23</f>
        <v>33</v>
      </c>
      <c r="DO262" s="58">
        <f>'2019'!DE23</f>
        <v>6.4</v>
      </c>
      <c r="DP262" s="58">
        <f>'2019'!DF23</f>
        <v>92.7</v>
      </c>
      <c r="DQ262" s="58">
        <f>'2019'!DG23</f>
        <v>3.92</v>
      </c>
      <c r="DR262" s="58">
        <f>'2019'!DH23</f>
        <v>46.5</v>
      </c>
      <c r="DS262" s="57">
        <f>'2019'!DI23</f>
        <v>166</v>
      </c>
      <c r="DT262" s="57">
        <f>'2019'!DJ23</f>
        <v>2844</v>
      </c>
      <c r="DU262" s="57">
        <f>'2019'!DK23</f>
        <v>11</v>
      </c>
      <c r="DV262" s="57">
        <f>'2019'!DL23</f>
        <v>0</v>
      </c>
      <c r="DW262" s="59">
        <f>'2019'!DM23</f>
        <v>14</v>
      </c>
    </row>
    <row r="263" spans="1:127" ht="15.75" customHeight="1" x14ac:dyDescent="0.2">
      <c r="A263" s="33">
        <f t="shared" si="49"/>
        <v>261</v>
      </c>
      <c r="B263" s="11">
        <f>'2024'!A28</f>
        <v>26</v>
      </c>
      <c r="C263" s="11">
        <v>2024</v>
      </c>
      <c r="D263" s="34" t="str">
        <f>'2024'!B28</f>
        <v>Daijun Edwards</v>
      </c>
      <c r="E263" s="224" t="str" cm="1">
        <f t="array" ref="E263">_xlfn.IFS(F263&gt;=13,"Cornerstone",AND(F263&gt;=12,F263&lt;13),"Elite",AND(F263&gt;=11,F263&lt;12),"Elite Upside",AND(F263&gt;=9,F263&lt;11),"Upside",AND(F263&gt;=7,F263&lt;9),"Upside Lite",AND(F263&gt;=6,F263&lt;7),"Outlier",AND(F263&gt;=5,F263&lt;6),"Outlier Lite",F263&lt;5,"Purgatory")</f>
        <v>Purgatory</v>
      </c>
      <c r="F263" s="14">
        <f>'2024'!C28</f>
        <v>4.2333333333333334</v>
      </c>
      <c r="G263" s="14">
        <f t="shared" ref="G263:G326" si="54">(_xlfn.PERCENTRANK.EXC($F$3:$F$328,F263)*100)</f>
        <v>20.100000000000001</v>
      </c>
      <c r="H263" s="35">
        <f t="shared" si="50"/>
        <v>-1.5951679125787019</v>
      </c>
      <c r="I263" s="36" t="str">
        <f>'2024'!D28</f>
        <v>Georgia</v>
      </c>
      <c r="J263" s="37">
        <f>'2024'!E28</f>
        <v>1</v>
      </c>
      <c r="K263" s="38">
        <f>'2024'!F28</f>
        <v>36992</v>
      </c>
      <c r="L263" s="39">
        <f>'2024'!G28</f>
        <v>24.479452054794521</v>
      </c>
      <c r="M263" s="39" t="str">
        <f>'2024'!H28</f>
        <v>SR</v>
      </c>
      <c r="N263" s="39">
        <f>'2024'!I28</f>
        <v>23.06027397260274</v>
      </c>
      <c r="O263" s="39" t="str">
        <f t="shared" si="51"/>
        <v>BELL CALF</v>
      </c>
      <c r="P263" s="39" t="str">
        <f>IF(OR(AND($AA263&lt;0.25,$AM263&gt;=0.133,AE263&gt;4%),(AND($O263="JITTERBUG",$AM263&gt;0.11)),(AND($O263="JITTERBUG",$AE263&gt;9.5%))),"+RECEIVER",IF(AND($AJ263&gt;=0.25,$AO263&gt;=3.81),"3DOWN",IF($AO263&gt;=3.81,"HORSE",IF(OR(AJ263&gt;0.28,AK263&gt;7,AP263&gt;47),"SLASHER",IF(AM263&gt;0.19,"+RECEIVER","PLODDER")))))</f>
        <v>PLODDER</v>
      </c>
      <c r="Q263" s="37">
        <f>'2024'!J28</f>
        <v>70</v>
      </c>
      <c r="R263" s="37">
        <f>'2024'!K28</f>
        <v>207</v>
      </c>
      <c r="S263" s="39">
        <f t="shared" si="53"/>
        <v>29.701078422565008</v>
      </c>
      <c r="T263" s="37">
        <f>'2024'!L28</f>
        <v>4.55</v>
      </c>
      <c r="U263" s="40">
        <f>'2024'!M28</f>
        <v>6</v>
      </c>
      <c r="V263" s="41">
        <f>'2024'!N28</f>
        <v>0</v>
      </c>
      <c r="W263" s="42">
        <f>'2024'!O28</f>
        <v>8.6850585553721604E-2</v>
      </c>
      <c r="X263" s="42">
        <f>'2024'!P28</f>
        <v>5.8000451365380276E-2</v>
      </c>
      <c r="Y263" s="42">
        <f>'2024'!Q28</f>
        <v>4.2032455440276673E-2</v>
      </c>
      <c r="Z263" s="42">
        <f>'2024'!R28</f>
        <v>0.18059751594494797</v>
      </c>
      <c r="AA263" s="42">
        <f>'2024'!S28</f>
        <v>0.18059751594494797</v>
      </c>
      <c r="AB263" s="42">
        <f>'2024'!T28</f>
        <v>0.18059751594494797</v>
      </c>
      <c r="AC263" s="42">
        <f>'2024'!U28</f>
        <v>2.2755435394840599E-2</v>
      </c>
      <c r="AD263" s="42">
        <f>'2024'!V28</f>
        <v>5.3772245878370997E-2</v>
      </c>
      <c r="AE263" s="42">
        <f>'2024'!W28</f>
        <v>5.3772245878370997E-2</v>
      </c>
      <c r="AF263" s="43">
        <f>'2024'!X28</f>
        <v>5.3772245878370997E-2</v>
      </c>
      <c r="AG263" s="44">
        <f>'2024'!Y28</f>
        <v>22.413698630136988</v>
      </c>
      <c r="AH263" s="45">
        <f>'2024'!Z28</f>
        <v>96.595023947589283</v>
      </c>
      <c r="AI263" s="45">
        <f>'2024'!AA28</f>
        <v>29.698163265306121</v>
      </c>
      <c r="AJ263" s="45">
        <f>'2024'!AB28</f>
        <v>0.25</v>
      </c>
      <c r="AK263" s="45">
        <f>'2024'!AC28</f>
        <v>5.6</v>
      </c>
      <c r="AL263" s="45">
        <f t="shared" si="52"/>
        <v>9.2702702702702702</v>
      </c>
      <c r="AM263" s="45">
        <f t="shared" si="46"/>
        <v>0.10869565217391304</v>
      </c>
      <c r="AN263" s="45">
        <f>'2024'!AD28</f>
        <v>77.7</v>
      </c>
      <c r="AO263" s="45">
        <f>'2024'!AE28</f>
        <v>3.06</v>
      </c>
      <c r="AP263" s="46">
        <f>'2024'!AF28</f>
        <v>39.9</v>
      </c>
      <c r="AQ263" s="47">
        <f>'2024'!AG28</f>
        <v>3</v>
      </c>
      <c r="AR263" s="48">
        <f>'2024'!AH28</f>
        <v>6</v>
      </c>
      <c r="AS263" s="48">
        <f>'2024'!AI28</f>
        <v>1</v>
      </c>
      <c r="AT263" s="48">
        <f>'2024'!AJ28</f>
        <v>4</v>
      </c>
      <c r="AU263" s="48">
        <f>'2024'!AK28</f>
        <v>6</v>
      </c>
      <c r="AV263" s="48">
        <f>'2024'!AL28</f>
        <v>3</v>
      </c>
      <c r="AW263" s="48">
        <f>'2024'!AM28</f>
        <v>2</v>
      </c>
      <c r="AX263" s="48">
        <f>'2024'!AN28</f>
        <v>0</v>
      </c>
      <c r="AY263" s="49">
        <f>'2024'!AO28</f>
        <v>2</v>
      </c>
      <c r="AZ263" s="50">
        <f>'2024'!AP28</f>
        <v>0</v>
      </c>
      <c r="BA263" s="56">
        <f>'2024'!AQ28</f>
        <v>0</v>
      </c>
      <c r="BB263" s="57">
        <f>'2024'!AR28</f>
        <v>1</v>
      </c>
      <c r="BC263" s="57">
        <f>'2024'!AS28</f>
        <v>0</v>
      </c>
      <c r="BD263" s="57">
        <f>'2024'!AT28</f>
        <v>0</v>
      </c>
      <c r="BE263" s="57">
        <f>'2024'!AU28</f>
        <v>0</v>
      </c>
      <c r="BF263" s="57">
        <f>'2024'!AV28</f>
        <v>0</v>
      </c>
      <c r="BG263" s="58">
        <f>'2024'!AW28</f>
        <v>0</v>
      </c>
      <c r="BH263" s="58">
        <f>'2024'!AX28</f>
        <v>0</v>
      </c>
      <c r="BI263" s="58">
        <f>'2024'!AY28</f>
        <v>0</v>
      </c>
      <c r="BJ263" s="58">
        <f>'2024'!AZ28</f>
        <v>0</v>
      </c>
      <c r="BK263" s="57">
        <f>'2024'!BA28</f>
        <v>0</v>
      </c>
      <c r="BL263" s="57">
        <f>'2024'!BB28</f>
        <v>1</v>
      </c>
      <c r="BM263" s="57">
        <f>'2024'!BC28</f>
        <v>0</v>
      </c>
      <c r="BN263" s="57">
        <f>'2024'!BD28</f>
        <v>0</v>
      </c>
      <c r="BO263" s="59">
        <f>'2024'!BE28</f>
        <v>0</v>
      </c>
      <c r="BP263" s="56">
        <f>'2024'!BF28</f>
        <v>218</v>
      </c>
      <c r="BQ263" s="57">
        <f>'2024'!BG28</f>
        <v>1045.1999999999998</v>
      </c>
      <c r="BR263" s="57">
        <f>'2024'!BH28</f>
        <v>1</v>
      </c>
      <c r="BS263" s="57">
        <f>'2024'!BI28</f>
        <v>10.8</v>
      </c>
      <c r="BT263" s="57">
        <f>'2024'!BJ28</f>
        <v>37</v>
      </c>
      <c r="BU263" s="57">
        <f>'2024'!BK28</f>
        <v>13</v>
      </c>
      <c r="BV263" s="58">
        <f>'2024'!BL28</f>
        <v>5.9</v>
      </c>
      <c r="BW263" s="58">
        <f>'2024'!BM28</f>
        <v>147</v>
      </c>
      <c r="BX263" s="58">
        <f>'2024'!BN28</f>
        <v>4.3</v>
      </c>
      <c r="BY263" s="58">
        <f>'2024'!BO28</f>
        <v>33</v>
      </c>
      <c r="BZ263" s="57">
        <f>'2024'!BP28</f>
        <v>3</v>
      </c>
      <c r="CA263" s="57">
        <f>'2024'!BQ28</f>
        <v>1499.4</v>
      </c>
      <c r="CB263" s="57">
        <f>'2024'!BR28</f>
        <v>1</v>
      </c>
      <c r="CC263" s="57">
        <f>'2024'!BS28</f>
        <v>0</v>
      </c>
      <c r="CD263" s="59">
        <f>'2024'!BT28</f>
        <v>11.399999999999999</v>
      </c>
      <c r="CE263" s="56">
        <f>'2024'!BU28</f>
        <v>215</v>
      </c>
      <c r="CF263" s="57">
        <f>'2024'!BV28</f>
        <v>1912</v>
      </c>
      <c r="CG263" s="57">
        <f>'2024'!BW28</f>
        <v>3</v>
      </c>
      <c r="CH263" s="57">
        <f>'2024'!BX28</f>
        <v>19</v>
      </c>
      <c r="CI263" s="57">
        <f>'2024'!BY28</f>
        <v>49</v>
      </c>
      <c r="CJ263" s="57">
        <f>'2024'!BZ28</f>
        <v>17</v>
      </c>
      <c r="CK263" s="58">
        <f>'2024'!CA28</f>
        <v>4.4000000000000004</v>
      </c>
      <c r="CL263" s="58">
        <f>'2024'!CB28</f>
        <v>114.3</v>
      </c>
      <c r="CM263" s="58">
        <f>'2024'!CC28</f>
        <v>3.43</v>
      </c>
      <c r="CN263" s="58">
        <f>'2024'!CD28</f>
        <v>47.4</v>
      </c>
      <c r="CO263" s="57">
        <f>'2024'!CE28</f>
        <v>42</v>
      </c>
      <c r="CP263" s="57">
        <f>'2024'!CF28</f>
        <v>2519</v>
      </c>
      <c r="CQ263" s="57">
        <f>'2024'!CG28</f>
        <v>2</v>
      </c>
      <c r="CR263" s="57">
        <f>'2024'!CH28</f>
        <v>0</v>
      </c>
      <c r="CS263" s="59">
        <f>'2024'!CI28</f>
        <v>26</v>
      </c>
      <c r="CT263" s="56">
        <f>'2024'!CJ28</f>
        <v>215</v>
      </c>
      <c r="CU263" s="57">
        <f>'2024'!CK28</f>
        <v>3079.5</v>
      </c>
      <c r="CV263" s="57">
        <f>'2024'!CL28</f>
        <v>7</v>
      </c>
      <c r="CW263" s="57">
        <f>'2024'!CM28</f>
        <v>43.5</v>
      </c>
      <c r="CX263" s="57">
        <f>'2024'!CN28</f>
        <v>140</v>
      </c>
      <c r="CY263" s="57">
        <f>'2024'!CO28</f>
        <v>35</v>
      </c>
      <c r="CZ263" s="58">
        <f>'2024'!CP28</f>
        <v>5.6</v>
      </c>
      <c r="DA263" s="58">
        <f>'2024'!CQ28</f>
        <v>75.599999999999994</v>
      </c>
      <c r="DB263" s="58">
        <f>'2024'!CR28</f>
        <v>3.06</v>
      </c>
      <c r="DC263" s="58">
        <f>'2024'!CS28</f>
        <v>38.6</v>
      </c>
      <c r="DD263" s="57">
        <f>'2024'!CT28</f>
        <v>101</v>
      </c>
      <c r="DE263" s="57">
        <f>'2024'!CU28</f>
        <v>4438.5</v>
      </c>
      <c r="DF263" s="57">
        <f>'2024'!CV28</f>
        <v>14</v>
      </c>
      <c r="DG263" s="57">
        <f>'2024'!CW28</f>
        <v>0</v>
      </c>
      <c r="DH263" s="59">
        <f>'2024'!CX28</f>
        <v>31.5</v>
      </c>
      <c r="DI263" s="56">
        <f>'2024'!CY28</f>
        <v>879</v>
      </c>
      <c r="DJ263" s="57">
        <f>'2024'!CZ28</f>
        <v>2294.3999999999996</v>
      </c>
      <c r="DK263" s="57">
        <f>'2024'!DA28</f>
        <v>13</v>
      </c>
      <c r="DL263" s="57">
        <f>'2024'!DB28</f>
        <v>34.799999999999997</v>
      </c>
      <c r="DM263" s="57">
        <f>'2024'!DC28</f>
        <v>164</v>
      </c>
      <c r="DN263" s="57">
        <f>'2024'!DD28</f>
        <v>38</v>
      </c>
      <c r="DO263" s="58">
        <f>'2024'!DE28</f>
        <v>5.4</v>
      </c>
      <c r="DP263" s="58">
        <f>'2024'!DF28</f>
        <v>77.7</v>
      </c>
      <c r="DQ263" s="58">
        <f>'2024'!DG28</f>
        <v>3.04</v>
      </c>
      <c r="DR263" s="58">
        <f>'2024'!DH28</f>
        <v>39.9</v>
      </c>
      <c r="DS263" s="57">
        <f>'2024'!DI28</f>
        <v>197</v>
      </c>
      <c r="DT263" s="57">
        <f>'2024'!DJ28</f>
        <v>3663.6000000000004</v>
      </c>
      <c r="DU263" s="57">
        <f>'2024'!DK28</f>
        <v>20</v>
      </c>
      <c r="DV263" s="57">
        <f>'2024'!DL28</f>
        <v>0</v>
      </c>
      <c r="DW263" s="59">
        <f>'2024'!DM28</f>
        <v>25.200000000000003</v>
      </c>
    </row>
    <row r="264" spans="1:127" ht="15.75" customHeight="1" x14ac:dyDescent="0.2">
      <c r="A264" s="33">
        <f t="shared" si="49"/>
        <v>262</v>
      </c>
      <c r="B264" s="11">
        <f>'2019'!A24</f>
        <v>22</v>
      </c>
      <c r="C264" s="11">
        <v>2019</v>
      </c>
      <c r="D264" s="34" t="str">
        <f>'2019'!B24</f>
        <v>Rodney Anderson</v>
      </c>
      <c r="E264" s="224" t="str" cm="1">
        <f t="array" ref="E264">_xlfn.IFS(F264&gt;=13,"Cornerstone",AND(F264&gt;=12,F264&lt;13),"Elite",AND(F264&gt;=11,F264&lt;12),"Elite Upside",AND(F264&gt;=9,F264&lt;11),"Upside",AND(F264&gt;=7,F264&lt;9),"Upside Lite",AND(F264&gt;=6,F264&lt;7),"Outlier",AND(F264&gt;=5,F264&lt;6),"Outlier Lite",F264&lt;5,"Purgatory")</f>
        <v>Purgatory</v>
      </c>
      <c r="F264" s="14">
        <f>'2019'!C24</f>
        <v>4.2222222222222223</v>
      </c>
      <c r="G264" s="14">
        <f t="shared" si="54"/>
        <v>19.8</v>
      </c>
      <c r="H264" s="35">
        <f t="shared" si="50"/>
        <v>-1.5998704132924757</v>
      </c>
      <c r="I264" s="36" t="str">
        <f>'2019'!D24</f>
        <v>Oklahoma</v>
      </c>
      <c r="J264" s="37">
        <f>'2019'!E24</f>
        <v>3</v>
      </c>
      <c r="K264" s="38">
        <f>'2019'!F24</f>
        <v>35320</v>
      </c>
      <c r="L264" s="39">
        <f>'2019'!G24</f>
        <v>29.06027397260274</v>
      </c>
      <c r="M264" s="39" t="str">
        <f>'2019'!H24</f>
        <v>JR</v>
      </c>
      <c r="N264" s="39">
        <f>'2019'!I24</f>
        <v>22.63013698630137</v>
      </c>
      <c r="O264" s="39" t="str">
        <f t="shared" si="51"/>
        <v>BELL COW</v>
      </c>
      <c r="P264" s="39" t="str">
        <f>IF(OR(AND($AA264&lt;0.25,$AM264&gt;=0.133,AE264&gt;4%),(AND($O264="JITTERBUG",$AM264&gt;0.11)),(AND($O264="JITTERBUG",$AE264&gt;9.5%))),"+RECEIVER",IF(AND($AJ264&gt;=0.25,$AO264&gt;=3.81),"3DOWN",IF($AO264&gt;=3.81,"HORSE",IF(OR(AJ264&gt;0.28,AK264&gt;7,AP264&gt;47),"SLASHER",IF(AM264&gt;0.19,"+RECEIVER","PLODDER")))))</f>
        <v>HORSE</v>
      </c>
      <c r="Q264" s="37">
        <f>'2019'!J24</f>
        <v>72</v>
      </c>
      <c r="R264" s="37">
        <f>'2019'!K24</f>
        <v>224</v>
      </c>
      <c r="S264" s="39">
        <f t="shared" si="53"/>
        <v>30.379524956580777</v>
      </c>
      <c r="T264" s="37">
        <f>'2019'!L24</f>
        <v>4.59</v>
      </c>
      <c r="U264" s="40">
        <f>'2019'!M24</f>
        <v>6</v>
      </c>
      <c r="V264" s="41">
        <f>'2019'!N24</f>
        <v>0</v>
      </c>
      <c r="W264" s="42">
        <f>'2019'!O24</f>
        <v>7.2537356738720446E-4</v>
      </c>
      <c r="X264" s="42">
        <f>'2019'!P24</f>
        <v>0</v>
      </c>
      <c r="Y264" s="42">
        <f>'2019'!Q24</f>
        <v>0.17771752526497411</v>
      </c>
      <c r="Z264" s="42">
        <f>'2019'!R24</f>
        <v>1.4904809619238476E-2</v>
      </c>
      <c r="AA264" s="42">
        <f>'2019'!S24</f>
        <v>0.17771752526497411</v>
      </c>
      <c r="AB264" s="42">
        <f>'2019'!T24</f>
        <v>0.15994577273847671</v>
      </c>
      <c r="AC264" s="42">
        <f>'2019'!U24</f>
        <v>5.5478775913129316E-2</v>
      </c>
      <c r="AD264" s="42">
        <f>'2019'!V24</f>
        <v>0</v>
      </c>
      <c r="AE264" s="42">
        <f>'2019'!W24</f>
        <v>2.7739387956564658E-2</v>
      </c>
      <c r="AF264" s="43">
        <f>'2019'!X24</f>
        <v>2.4965449160908194E-2</v>
      </c>
      <c r="AG264" s="44">
        <f>'2019'!Y24</f>
        <v>20.980821917808218</v>
      </c>
      <c r="AH264" s="45">
        <f>'2019'!Z24</f>
        <v>100.93162648617674</v>
      </c>
      <c r="AI264" s="45">
        <f>'2019'!AA24</f>
        <v>30.376543209876541</v>
      </c>
      <c r="AJ264" s="45">
        <f>'2019'!AB24</f>
        <v>0.15957446808510639</v>
      </c>
      <c r="AK264" s="45">
        <f>'2019'!AC24</f>
        <v>6.2</v>
      </c>
      <c r="AL264" s="45">
        <f t="shared" si="52"/>
        <v>16.529411764705884</v>
      </c>
      <c r="AM264" s="45">
        <f t="shared" si="46"/>
        <v>0</v>
      </c>
      <c r="AN264" s="45">
        <f>'2019'!AD24</f>
        <v>66.400000000000006</v>
      </c>
      <c r="AO264" s="45">
        <f>'2019'!AE24</f>
        <v>3.89</v>
      </c>
      <c r="AP264" s="46">
        <f>'2019'!AF24</f>
        <v>46.1</v>
      </c>
      <c r="AQ264" s="47">
        <f>'2019'!AG24</f>
        <v>2</v>
      </c>
      <c r="AR264" s="48">
        <f>'2019'!AH24</f>
        <v>2</v>
      </c>
      <c r="AS264" s="48">
        <f>'2019'!AI24</f>
        <v>3</v>
      </c>
      <c r="AT264" s="48">
        <f>IF(AH264&gt;113.25,10,IF(AH264&gt;=107.84,9,IF(AH264&gt;=105.37,8,IF(AH264&gt;=103.25,7,IF(AH264&gt;=100.55,6,IF(AH264&gt;=98.75,5,IF(AH264&gt;=96.08,4,IF(AH264&gt;=94.39,3,IF(AH264&gt;=88.43,2,IF(AH264&gt;=85.16,1,IF(AH264&lt;85.16,0,FALSE)))))))))))</f>
        <v>6</v>
      </c>
      <c r="AU264" s="48">
        <f>'2019'!AK24</f>
        <v>1</v>
      </c>
      <c r="AV264" s="48">
        <f>'2019'!AL24</f>
        <v>5</v>
      </c>
      <c r="AW264" s="48">
        <f>'2019'!AM24</f>
        <v>1</v>
      </c>
      <c r="AX264" s="48">
        <f>'2019'!AN24</f>
        <v>4</v>
      </c>
      <c r="AY264" s="49">
        <f>IF(U264=1,10,IF(U264=2,7,IF(U264=3,6,IF(U264=4,4,IF(U264=5,3,IF(U264=6,2,IF(U264=7,1,IF(U264=0,0,"-"))))))))</f>
        <v>2</v>
      </c>
      <c r="AZ264" s="50">
        <f>'2019'!AP24</f>
        <v>0</v>
      </c>
      <c r="BA264" s="56">
        <f>'2019'!AQ24</f>
        <v>0</v>
      </c>
      <c r="BB264" s="57">
        <f>'2019'!AR24</f>
        <v>3395</v>
      </c>
      <c r="BC264" s="57">
        <f>'2019'!AS24</f>
        <v>0</v>
      </c>
      <c r="BD264" s="57">
        <f>'2019'!AT24</f>
        <v>40</v>
      </c>
      <c r="BE264" s="57">
        <f>'2019'!AU24</f>
        <v>0</v>
      </c>
      <c r="BF264" s="57">
        <f>'2019'!AV24</f>
        <v>0</v>
      </c>
      <c r="BG264" s="58">
        <f>'2019'!AW24</f>
        <v>0</v>
      </c>
      <c r="BH264" s="58">
        <f>'2019'!AX24</f>
        <v>0</v>
      </c>
      <c r="BI264" s="58">
        <f>'2019'!AY24</f>
        <v>0</v>
      </c>
      <c r="BJ264" s="58">
        <f>'2019'!AZ24</f>
        <v>0</v>
      </c>
      <c r="BK264" s="57">
        <f>'2019'!BA24</f>
        <v>0</v>
      </c>
      <c r="BL264" s="57">
        <f>'2019'!BB24</f>
        <v>2646</v>
      </c>
      <c r="BM264" s="57">
        <f>'2019'!BC24</f>
        <v>0</v>
      </c>
      <c r="BN264" s="57">
        <f>'2019'!BD24</f>
        <v>0</v>
      </c>
      <c r="BO264" s="59">
        <f>'2019'!BE24</f>
        <v>17</v>
      </c>
      <c r="BP264" s="56">
        <f>'2019'!BF24</f>
        <v>5</v>
      </c>
      <c r="BQ264" s="57">
        <f>'2019'!BG24</f>
        <v>2887</v>
      </c>
      <c r="BR264" s="57">
        <f>'2019'!BH24</f>
        <v>0</v>
      </c>
      <c r="BS264" s="57">
        <f>'2019'!BI24</f>
        <v>32</v>
      </c>
      <c r="BT264" s="57">
        <f>'2019'!BJ24</f>
        <v>1</v>
      </c>
      <c r="BU264" s="57">
        <f>'2019'!BK24</f>
        <v>0</v>
      </c>
      <c r="BV264" s="58">
        <f>'2019'!BL24</f>
        <v>5</v>
      </c>
      <c r="BW264" s="58">
        <f>'2019'!BM24</f>
        <v>0</v>
      </c>
      <c r="BX264" s="58">
        <f>'2019'!BN24</f>
        <v>2</v>
      </c>
      <c r="BY264" s="58">
        <f>'2019'!BO24</f>
        <v>0</v>
      </c>
      <c r="BZ264" s="57">
        <f>'2019'!BP24</f>
        <v>0</v>
      </c>
      <c r="CA264" s="57">
        <f>'2019'!BQ24</f>
        <v>4006</v>
      </c>
      <c r="CB264" s="57">
        <f>'2019'!BR24</f>
        <v>0</v>
      </c>
      <c r="CC264" s="57">
        <f>'2019'!BS24</f>
        <v>0</v>
      </c>
      <c r="CD264" s="59">
        <f>'2019'!BT24</f>
        <v>38</v>
      </c>
      <c r="CE264" s="56">
        <f>'2019'!BU24</f>
        <v>0</v>
      </c>
      <c r="CF264" s="57">
        <f>'2019'!BV24</f>
        <v>3078</v>
      </c>
      <c r="CG264" s="57">
        <f>'2019'!BW24</f>
        <v>0</v>
      </c>
      <c r="CH264" s="57">
        <f>'2019'!BX24</f>
        <v>30</v>
      </c>
      <c r="CI264" s="57">
        <f>'2019'!BY24</f>
        <v>0</v>
      </c>
      <c r="CJ264" s="57">
        <f>'2019'!BZ24</f>
        <v>0</v>
      </c>
      <c r="CK264" s="58">
        <f>'2019'!CA24</f>
        <v>0</v>
      </c>
      <c r="CL264" s="58">
        <f>'2019'!CB24</f>
        <v>0</v>
      </c>
      <c r="CM264" s="58">
        <f>'2019'!CC24</f>
        <v>0</v>
      </c>
      <c r="CN264" s="58">
        <f>'2019'!CD24</f>
        <v>0</v>
      </c>
      <c r="CO264" s="57">
        <f>'2019'!CE24</f>
        <v>0</v>
      </c>
      <c r="CP264" s="57">
        <f>'2019'!CF24</f>
        <v>4134</v>
      </c>
      <c r="CQ264" s="57">
        <f>'2019'!CG24</f>
        <v>0</v>
      </c>
      <c r="CR264" s="57">
        <f>'2019'!CH24</f>
        <v>0</v>
      </c>
      <c r="CS264" s="59">
        <f>'2019'!CI24</f>
        <v>43</v>
      </c>
      <c r="CT264" s="56">
        <f>'2019'!CJ24</f>
        <v>1161</v>
      </c>
      <c r="CU264" s="57">
        <f>'2019'!CK24</f>
        <v>3049</v>
      </c>
      <c r="CV264" s="57">
        <f>'2019'!CL24</f>
        <v>13</v>
      </c>
      <c r="CW264" s="57">
        <f>'2019'!CM24</f>
        <v>33</v>
      </c>
      <c r="CX264" s="57">
        <f>'2019'!CN24</f>
        <v>188</v>
      </c>
      <c r="CY264" s="57">
        <f>'2019'!CO24</f>
        <v>30</v>
      </c>
      <c r="CZ264" s="58">
        <f>'2019'!CP24</f>
        <v>6.2</v>
      </c>
      <c r="DA264" s="58">
        <f>'2019'!CQ24</f>
        <v>66.400000000000006</v>
      </c>
      <c r="DB264" s="58">
        <f>'2019'!CR24</f>
        <v>3.89</v>
      </c>
      <c r="DC264" s="58">
        <f>'2019'!CS24</f>
        <v>46.1</v>
      </c>
      <c r="DD264" s="57">
        <f>'2019'!CT24</f>
        <v>281</v>
      </c>
      <c r="DE264" s="57">
        <f>'2019'!CU24</f>
        <v>5065</v>
      </c>
      <c r="DF264" s="57">
        <f>'2019'!CV24</f>
        <v>17</v>
      </c>
      <c r="DG264" s="57">
        <f>'2019'!CW24</f>
        <v>0</v>
      </c>
      <c r="DH264" s="59">
        <f>'2019'!CX24</f>
        <v>47</v>
      </c>
      <c r="DI264" s="56">
        <f>'2019'!CY24</f>
        <v>119</v>
      </c>
      <c r="DJ264" s="57">
        <f>'2019'!CZ24</f>
        <v>3464</v>
      </c>
      <c r="DK264" s="57">
        <f>'2019'!DA24</f>
        <v>3</v>
      </c>
      <c r="DL264" s="57">
        <f>'2019'!DB24</f>
        <v>42</v>
      </c>
      <c r="DM264" s="57">
        <f>'2019'!DC24</f>
        <v>11</v>
      </c>
      <c r="DN264" s="57">
        <f>'2019'!DD24</f>
        <v>5</v>
      </c>
      <c r="DO264" s="58">
        <f>'2019'!DE24</f>
        <v>10.8</v>
      </c>
      <c r="DP264" s="58">
        <f>'2019'!DF24</f>
        <v>285.10000000000002</v>
      </c>
      <c r="DQ264" s="58">
        <f>'2019'!DG24</f>
        <v>6.27</v>
      </c>
      <c r="DR264" s="58">
        <f>'2019'!DH24</f>
        <v>79.8</v>
      </c>
      <c r="DS264" s="57">
        <f>'2019'!DI24</f>
        <v>0</v>
      </c>
      <c r="DT264" s="57">
        <f>'2019'!DJ24</f>
        <v>4520</v>
      </c>
      <c r="DU264" s="57">
        <f>'2019'!DK24</f>
        <v>0</v>
      </c>
      <c r="DV264" s="57">
        <f>'2019'!DL24</f>
        <v>0</v>
      </c>
      <c r="DW264" s="59">
        <f>'2019'!DM24</f>
        <v>43</v>
      </c>
    </row>
    <row r="265" spans="1:127" ht="15.75" customHeight="1" x14ac:dyDescent="0.2">
      <c r="A265" s="33">
        <f t="shared" si="49"/>
        <v>263</v>
      </c>
      <c r="B265" s="11">
        <f>'2026 - WIP'!A22</f>
        <v>20</v>
      </c>
      <c r="C265" s="11">
        <v>2026</v>
      </c>
      <c r="D265" s="34" t="str">
        <f>'2026 - WIP'!B22</f>
        <v>LJ Martin</v>
      </c>
      <c r="E265" s="224" t="str" cm="1">
        <f t="array" ref="E265">_xlfn.IFS(F265&gt;=13,"Cornerstone",AND(F265&gt;=12,F265&lt;13),"Elite",AND(F265&gt;=11,F265&lt;12),"Elite Upside",AND(F265&gt;=9,F265&lt;11),"Upside",AND(F265&gt;=7,F265&lt;9),"Upside Lite",AND(F265&gt;=6,F265&lt;7),"Outlier",AND(F265&gt;=5,F265&lt;6),"Outlier Lite",F265&lt;5,"Purgatory")</f>
        <v>Purgatory</v>
      </c>
      <c r="F265" s="14">
        <f>'2026 - WIP'!C22</f>
        <v>4.166666666666667</v>
      </c>
      <c r="G265" s="14">
        <f t="shared" si="54"/>
        <v>19.5</v>
      </c>
      <c r="H265" s="35">
        <f t="shared" si="50"/>
        <v>-1.6233829168613445</v>
      </c>
      <c r="I265" s="36" t="str">
        <f>'2026 - WIP'!D22</f>
        <v>BYU</v>
      </c>
      <c r="J265" s="37">
        <f>'2026 - WIP'!E22</f>
        <v>3</v>
      </c>
      <c r="K265" s="38">
        <f>'2026 - WIP'!F22</f>
        <v>38251</v>
      </c>
      <c r="L265" s="39">
        <f>'2026 - WIP'!G22</f>
        <v>21.030136986301368</v>
      </c>
      <c r="M265" s="39" t="str">
        <f>'2026 - WIP'!H22</f>
        <v>JR</v>
      </c>
      <c r="N265" s="39">
        <f>'2026 - WIP'!I22</f>
        <v>21.610958904109587</v>
      </c>
      <c r="O265" s="39" t="str">
        <f t="shared" si="51"/>
        <v>FREAK</v>
      </c>
      <c r="P265" s="39" t="str">
        <f>IF(OR(AND($AA265&lt;0.25,$AO265&gt;=0.133,AE265&gt;4%),(AND($O265="JITTERBUG",$AO265&gt;0.11)),(AND($O265="JITTERBUG",$AE265&gt;9.5%))),"+RECEIVER",IF(AND($AJ265&gt;=0.25,$AQ265&gt;=3.81),"3DOWN",IF($AQ265&gt;=3.81,"HORSE",IF(OR(AJ265&gt;0.28,AK265&gt;7,AR265&gt;47),"SLASHER",IF(AO265&gt;0.19,"+RECEIVER","PLODDER")))))</f>
        <v>+RECEIVER</v>
      </c>
      <c r="Q265" s="37">
        <f>'2026 - WIP'!J22</f>
        <v>74</v>
      </c>
      <c r="R265" s="37">
        <f>'2026 - WIP'!K22</f>
        <v>220</v>
      </c>
      <c r="S265" s="39">
        <f t="shared" si="53"/>
        <v>28.246015586260537</v>
      </c>
      <c r="T265" s="39">
        <f>'2026 - WIP'!L22</f>
        <v>4.5</v>
      </c>
      <c r="U265" s="55">
        <f>'2026 - WIP'!M22</f>
        <v>0</v>
      </c>
      <c r="V265" s="41">
        <f>'2026 - WIP'!N22</f>
        <v>0</v>
      </c>
      <c r="W265" s="42">
        <f>'2026 - WIP'!O22</f>
        <v>0</v>
      </c>
      <c r="X265" s="42">
        <f>'2026 - WIP'!P22</f>
        <v>0.18146593477558928</v>
      </c>
      <c r="Y265" s="42">
        <f>'2026 - WIP'!Q22</f>
        <v>0.20876879938822329</v>
      </c>
      <c r="Z265" s="42">
        <f>'2026 - WIP'!R22</f>
        <v>0</v>
      </c>
      <c r="AA265" s="42">
        <f>'2026 - WIP'!S22</f>
        <v>0.10438439969411165</v>
      </c>
      <c r="AB265" s="42">
        <f>'2026 - WIP'!T22</f>
        <v>9.394595972470049E-2</v>
      </c>
      <c r="AC265" s="42">
        <f>'2026 - WIP'!U22</f>
        <v>4.2369217466493733E-2</v>
      </c>
      <c r="AD265" s="42">
        <f>'2026 - WIP'!V22</f>
        <v>0</v>
      </c>
      <c r="AE265" s="42">
        <f>'2026 - WIP'!W22</f>
        <v>2.1184608733246867E-2</v>
      </c>
      <c r="AF265" s="43">
        <f>'2026 - WIP'!X22</f>
        <v>1.9066147859922181E-2</v>
      </c>
      <c r="AG265" s="44">
        <f>'2026 - WIP'!Y22</f>
        <v>18.964383561643835</v>
      </c>
      <c r="AH265" s="45">
        <f>'2026 - WIP'!Z22</f>
        <v>107.3007163542143</v>
      </c>
      <c r="AI265" s="45">
        <f>'2026 - WIP'!AA22</f>
        <v>28.243243243243246</v>
      </c>
      <c r="AJ265" s="45">
        <f>'2026 - WIP'!AB22</f>
        <v>0.27737226277372262</v>
      </c>
      <c r="AK265" s="45">
        <f>'2026 - WIP'!AC22</f>
        <v>5.2627737226277373</v>
      </c>
      <c r="AL265" s="45">
        <f t="shared" si="52"/>
        <v>6.8095238095238093</v>
      </c>
      <c r="AM265" s="45" t="e">
        <f t="shared" si="46"/>
        <v>#DIV/0!</v>
      </c>
      <c r="AN265" s="45">
        <f>'2026 - WIP'!AD22</f>
        <v>93</v>
      </c>
      <c r="AO265" s="45">
        <f>'2026 - WIP'!AE22</f>
        <v>3.42</v>
      </c>
      <c r="AP265" s="46">
        <f>'2026 - WIP'!AF22</f>
        <v>42.4</v>
      </c>
      <c r="AQ265" s="47">
        <f>'2026 - WIP'!AG22</f>
        <v>0</v>
      </c>
      <c r="AR265" s="48">
        <f>'2026 - WIP'!AH22</f>
        <v>1</v>
      </c>
      <c r="AS265" s="48">
        <f>'2026 - WIP'!AI22</f>
        <v>8</v>
      </c>
      <c r="AT265" s="48">
        <f>'2026 - WIP'!AJ22</f>
        <v>8</v>
      </c>
      <c r="AU265" s="48">
        <f>'2026 - WIP'!AK22</f>
        <v>7</v>
      </c>
      <c r="AV265" s="48">
        <f>'2026 - WIP'!AL22</f>
        <v>2</v>
      </c>
      <c r="AW265" s="48">
        <f>'2026 - WIP'!AM22</f>
        <v>3</v>
      </c>
      <c r="AX265" s="48">
        <f>'2026 - WIP'!AN22</f>
        <v>1</v>
      </c>
      <c r="AY265" s="49">
        <f>'2026 - WIP'!AO22</f>
        <v>0</v>
      </c>
      <c r="AZ265" s="50">
        <f>'2026 - WIP'!AP22</f>
        <v>0</v>
      </c>
      <c r="BA265" s="56">
        <f>'2026 - WIP'!AQ22</f>
        <v>0</v>
      </c>
      <c r="BB265" s="57">
        <f>'2026 - WIP'!AR22</f>
        <v>1</v>
      </c>
      <c r="BC265" s="57">
        <f>'2026 - WIP'!AS22</f>
        <v>0</v>
      </c>
      <c r="BD265" s="57">
        <f>'2026 - WIP'!AT22</f>
        <v>0</v>
      </c>
      <c r="BE265" s="57">
        <f>'2026 - WIP'!AU22</f>
        <v>0</v>
      </c>
      <c r="BF265" s="57">
        <f>'2026 - WIP'!AV22</f>
        <v>0</v>
      </c>
      <c r="BG265" s="58">
        <f>'2026 - WIP'!AW22</f>
        <v>0</v>
      </c>
      <c r="BH265" s="58">
        <f>'2026 - WIP'!AX22</f>
        <v>0</v>
      </c>
      <c r="BI265" s="58">
        <f>'2026 - WIP'!AY22</f>
        <v>0</v>
      </c>
      <c r="BJ265" s="58">
        <f>'2026 - WIP'!AZ22</f>
        <v>0</v>
      </c>
      <c r="BK265" s="57">
        <f>'2026 - WIP'!BA22</f>
        <v>0</v>
      </c>
      <c r="BL265" s="57">
        <f>'2026 - WIP'!BB22</f>
        <v>1</v>
      </c>
      <c r="BM265" s="57">
        <f>'2026 - WIP'!BC22</f>
        <v>0</v>
      </c>
      <c r="BN265" s="57">
        <f>'2026 - WIP'!BD22</f>
        <v>0</v>
      </c>
      <c r="BO265" s="59">
        <f>'2026 - WIP'!BE22</f>
        <v>0</v>
      </c>
      <c r="BP265" s="56">
        <f>'2026 - WIP'!BF22</f>
        <v>0</v>
      </c>
      <c r="BQ265" s="57">
        <f>'2026 - WIP'!BG22</f>
        <v>1</v>
      </c>
      <c r="BR265" s="57">
        <f>'2026 - WIP'!BH22</f>
        <v>0</v>
      </c>
      <c r="BS265" s="57">
        <f>'2026 - WIP'!BI22</f>
        <v>0</v>
      </c>
      <c r="BT265" s="57">
        <f>'2026 - WIP'!BJ22</f>
        <v>0</v>
      </c>
      <c r="BU265" s="57">
        <f>'2026 - WIP'!BK22</f>
        <v>0</v>
      </c>
      <c r="BV265" s="58">
        <f>'2026 - WIP'!BL22</f>
        <v>0</v>
      </c>
      <c r="BW265" s="58">
        <f>'2026 - WIP'!BM22</f>
        <v>0</v>
      </c>
      <c r="BX265" s="58">
        <f>'2026 - WIP'!BN22</f>
        <v>0</v>
      </c>
      <c r="BY265" s="58">
        <f>'2026 - WIP'!BO22</f>
        <v>0</v>
      </c>
      <c r="BZ265" s="57">
        <f>'2026 - WIP'!BP22</f>
        <v>0</v>
      </c>
      <c r="CA265" s="57">
        <f>'2026 - WIP'!BQ22</f>
        <v>1</v>
      </c>
      <c r="CB265" s="57">
        <f>'2026 - WIP'!BR22</f>
        <v>0</v>
      </c>
      <c r="CC265" s="57">
        <f>'2026 - WIP'!BS22</f>
        <v>0</v>
      </c>
      <c r="CD265" s="59">
        <f>'2026 - WIP'!BT22</f>
        <v>0</v>
      </c>
      <c r="CE265" s="56">
        <f>'2026 - WIP'!BU22</f>
        <v>517</v>
      </c>
      <c r="CF265" s="57">
        <f>'2026 - WIP'!BV22</f>
        <v>1043</v>
      </c>
      <c r="CG265" s="57">
        <f>'2026 - WIP'!BW22</f>
        <v>4</v>
      </c>
      <c r="CH265" s="57">
        <f>'2026 - WIP'!BX22</f>
        <v>13</v>
      </c>
      <c r="CI265" s="57">
        <f>'2026 - WIP'!BY22</f>
        <v>108</v>
      </c>
      <c r="CJ265" s="57">
        <f>'2026 - WIP'!BZ22</f>
        <v>27</v>
      </c>
      <c r="CK265" s="58">
        <f>'2026 - WIP'!CA22</f>
        <v>4.7870370370370372</v>
      </c>
      <c r="CL265" s="58">
        <f>'2026 - WIP'!CB22</f>
        <v>81</v>
      </c>
      <c r="CM265" s="58">
        <f>'2026 - WIP'!CC22</f>
        <v>3.32</v>
      </c>
      <c r="CN265" s="58">
        <f>'2026 - WIP'!CD22</f>
        <v>42.4</v>
      </c>
      <c r="CO265" s="57">
        <f>'2026 - WIP'!CE22</f>
        <v>45</v>
      </c>
      <c r="CP265" s="57">
        <f>'2026 - WIP'!CF22</f>
        <v>2054</v>
      </c>
      <c r="CQ265" s="57">
        <f>'2026 - WIP'!CG22</f>
        <v>11</v>
      </c>
      <c r="CR265" s="57">
        <f>'2026 - WIP'!CH22</f>
        <v>1</v>
      </c>
      <c r="CS265" s="59">
        <f>'2026 - WIP'!CI22</f>
        <v>14</v>
      </c>
      <c r="CT265" s="56">
        <f>'2026 - WIP'!CJ22</f>
        <v>721</v>
      </c>
      <c r="CU265" s="57">
        <f>'2026 - WIP'!CK22</f>
        <v>1610</v>
      </c>
      <c r="CV265" s="57">
        <f>'2026 - WIP'!CL22</f>
        <v>7</v>
      </c>
      <c r="CW265" s="57">
        <f>'2026 - WIP'!CM22</f>
        <v>15</v>
      </c>
      <c r="CX265" s="57">
        <f>'2026 - WIP'!CN22</f>
        <v>137</v>
      </c>
      <c r="CY265" s="57">
        <f>'2026 - WIP'!CO22</f>
        <v>38</v>
      </c>
      <c r="CZ265" s="58">
        <f>'2026 - WIP'!CP22</f>
        <v>5.2627737226277373</v>
      </c>
      <c r="DA265" s="58">
        <f>'2026 - WIP'!CQ22</f>
        <v>93</v>
      </c>
      <c r="DB265" s="58">
        <f>'2026 - WIP'!CR22</f>
        <v>3.42</v>
      </c>
      <c r="DC265" s="58">
        <f>'2026 - WIP'!CS22</f>
        <v>25.9</v>
      </c>
      <c r="DD265" s="57">
        <f>'2026 - WIP'!CT22</f>
        <v>98</v>
      </c>
      <c r="DE265" s="57">
        <f>'2026 - WIP'!CU22</f>
        <v>2313</v>
      </c>
      <c r="DF265" s="57">
        <f>'2026 - WIP'!CV22</f>
        <v>10</v>
      </c>
      <c r="DG265" s="57">
        <f>'2026 - WIP'!CW22</f>
        <v>2</v>
      </c>
      <c r="DH265" s="59">
        <f>'2026 - WIP'!CX22</f>
        <v>16</v>
      </c>
      <c r="DI265" s="56">
        <f>'2026 - WIP'!CY22</f>
        <v>0</v>
      </c>
      <c r="DJ265" s="57">
        <f>'2026 - WIP'!CZ22</f>
        <v>1</v>
      </c>
      <c r="DK265" s="57">
        <f>'2026 - WIP'!DA22</f>
        <v>0</v>
      </c>
      <c r="DL265" s="57">
        <f>'2026 - WIP'!DB22</f>
        <v>0</v>
      </c>
      <c r="DM265" s="57">
        <f>'2026 - WIP'!DC22</f>
        <v>0</v>
      </c>
      <c r="DN265" s="57">
        <f>'2026 - WIP'!DD22</f>
        <v>0</v>
      </c>
      <c r="DO265" s="58">
        <f>'2026 - WIP'!DE22</f>
        <v>0</v>
      </c>
      <c r="DP265" s="58">
        <f>'2026 - WIP'!DF22</f>
        <v>0</v>
      </c>
      <c r="DQ265" s="58">
        <f>'2026 - WIP'!DG22</f>
        <v>0</v>
      </c>
      <c r="DR265" s="58">
        <f>'2026 - WIP'!DH22</f>
        <v>0</v>
      </c>
      <c r="DS265" s="57">
        <f>'2026 - WIP'!DI22</f>
        <v>0</v>
      </c>
      <c r="DT265" s="57">
        <f>'2026 - WIP'!DJ22</f>
        <v>1</v>
      </c>
      <c r="DU265" s="57">
        <f>'2026 - WIP'!DK22</f>
        <v>0</v>
      </c>
      <c r="DV265" s="57">
        <f>'2026 - WIP'!DL22</f>
        <v>0</v>
      </c>
      <c r="DW265" s="59">
        <f>'2026 - WIP'!DM22</f>
        <v>0</v>
      </c>
    </row>
    <row r="266" spans="1:127" ht="15.75" customHeight="1" x14ac:dyDescent="0.2">
      <c r="A266" s="33">
        <f t="shared" si="49"/>
        <v>264</v>
      </c>
      <c r="B266" s="11">
        <f>'2020'!A19</f>
        <v>17</v>
      </c>
      <c r="C266" s="11">
        <v>2020</v>
      </c>
      <c r="D266" s="34" t="str">
        <f>'2020'!B19</f>
        <v>J.J. Taylor</v>
      </c>
      <c r="E266" s="224" t="str" cm="1">
        <f t="array" ref="E266">_xlfn.IFS(F266&gt;=13,"Cornerstone",AND(F266&gt;=12,F266&lt;13),"Elite",AND(F266&gt;=11,F266&lt;12),"Elite Upside",AND(F266&gt;=9,F266&lt;11),"Upside",AND(F266&gt;=7,F266&lt;9),"Upside Lite",AND(F266&gt;=6,F266&lt;7),"Outlier",AND(F266&gt;=5,F266&lt;6),"Outlier Lite",F266&lt;5,"Purgatory")</f>
        <v>Purgatory</v>
      </c>
      <c r="F266" s="14">
        <f>'2020'!C19</f>
        <v>4.1222222222222227</v>
      </c>
      <c r="G266" s="14">
        <f t="shared" si="54"/>
        <v>19.2</v>
      </c>
      <c r="H266" s="35">
        <f t="shared" si="50"/>
        <v>-1.6421929197164395</v>
      </c>
      <c r="I266" s="36" t="str">
        <f>'2020'!D19</f>
        <v>Arizona</v>
      </c>
      <c r="J266" s="37">
        <f>'2020'!E19</f>
        <v>4</v>
      </c>
      <c r="K266" s="38">
        <f>'2020'!F19</f>
        <v>35799</v>
      </c>
      <c r="L266" s="39">
        <f>'2020'!G19</f>
        <v>27.747945205479454</v>
      </c>
      <c r="M266" s="39" t="str">
        <f>'2020'!H19</f>
        <v>RS JR</v>
      </c>
      <c r="N266" s="39">
        <f>'2020'!I19</f>
        <v>22.315068493150687</v>
      </c>
      <c r="O266" s="39" t="str">
        <f t="shared" si="51"/>
        <v>DYNAMIC</v>
      </c>
      <c r="P266" s="39" t="str">
        <f>IF(OR(AND($AA266&lt;0.25,$AM266&gt;=0.133,AE266&gt;4%),(AND($O266="JITTERBUG",$AM266&gt;0.11)),(AND($O266="JITTERBUG",$AE266&gt;9.5%))),"+RECEIVER",IF(AND($AJ266&gt;=0.25,$AO266&gt;=3.81),"3DOWN",IF($AO266&gt;=3.81,"HORSE",IF(OR(AJ266&gt;0.28,AK266&gt;7,AP266&gt;47),"SLASHER",IF(AM266&gt;0.19,"+RECEIVER","PLODDER")))))</f>
        <v>+RECEIVER</v>
      </c>
      <c r="Q266" s="37">
        <f>'2020'!J19</f>
        <v>65</v>
      </c>
      <c r="R266" s="37">
        <f>'2020'!K19</f>
        <v>185</v>
      </c>
      <c r="S266" s="39">
        <f t="shared" si="53"/>
        <v>30.78527009125024</v>
      </c>
      <c r="T266" s="37">
        <f>'2020'!L19</f>
        <v>4.6100000000000003</v>
      </c>
      <c r="U266" s="40">
        <f>'2020'!M19</f>
        <v>0</v>
      </c>
      <c r="V266" s="41">
        <f>'2020'!N19</f>
        <v>0</v>
      </c>
      <c r="W266" s="42">
        <f>'2020'!O19</f>
        <v>5.5880572927173695E-2</v>
      </c>
      <c r="X266" s="42">
        <f>'2020'!P19</f>
        <v>0.13843494657448147</v>
      </c>
      <c r="Y266" s="42">
        <f>'2020'!Q19</f>
        <v>0.28386744355426075</v>
      </c>
      <c r="Z266" s="42">
        <f>'2020'!R19</f>
        <v>0.191441014959288</v>
      </c>
      <c r="AA266" s="42">
        <f>'2020'!S19</f>
        <v>0.23765422925677437</v>
      </c>
      <c r="AB266" s="42">
        <f>'2020'!T19</f>
        <v>0.21388880633109694</v>
      </c>
      <c r="AC266" s="42">
        <f>'2020'!U19</f>
        <v>4.3421482206986613E-2</v>
      </c>
      <c r="AD266" s="42">
        <f>'2020'!V19</f>
        <v>9.1450046977763863E-2</v>
      </c>
      <c r="AE266" s="42">
        <f>'2020'!W19</f>
        <v>9.1450046977763863E-2</v>
      </c>
      <c r="AF266" s="43">
        <f>'2020'!X19</f>
        <v>8.2305042279987473E-2</v>
      </c>
      <c r="AG266" s="44">
        <f>'2020'!Y19</f>
        <v>20.668493150684931</v>
      </c>
      <c r="AH266" s="45">
        <f>'2020'!Z19</f>
        <v>81.921523914666722</v>
      </c>
      <c r="AI266" s="45">
        <f>'2020'!AA19</f>
        <v>30.782248520710063</v>
      </c>
      <c r="AJ266" s="45">
        <f>'2020'!AB19</f>
        <v>0.25850340136054423</v>
      </c>
      <c r="AK266" s="45">
        <f>'2020'!AC19</f>
        <v>5.6</v>
      </c>
      <c r="AL266" s="45">
        <f t="shared" si="52"/>
        <v>9.9183673469387763</v>
      </c>
      <c r="AM266" s="45">
        <f t="shared" si="46"/>
        <v>0.18333333333333332</v>
      </c>
      <c r="AN266" s="45">
        <f>'2020'!AD19</f>
        <v>88</v>
      </c>
      <c r="AO266" s="45">
        <f>'2020'!AE19</f>
        <v>3.3</v>
      </c>
      <c r="AP266" s="46">
        <f>'2020'!AF19</f>
        <v>36.9</v>
      </c>
      <c r="AQ266" s="47">
        <f>'2020'!AG19</f>
        <v>4</v>
      </c>
      <c r="AR266" s="48">
        <f>'2020'!AH19</f>
        <v>8</v>
      </c>
      <c r="AS266" s="48">
        <f>'2020'!AI19</f>
        <v>3</v>
      </c>
      <c r="AT266" s="48">
        <f>IF(AH266&gt;113.25,10,IF(AH266&gt;=107.84,9,IF(AH266&gt;=105.37,8,IF(AH266&gt;=103.25,7,IF(AH266&gt;=100.55,6,IF(AH266&gt;=98.75,5,IF(AH266&gt;=96.08,4,IF(AH266&gt;=94.39,3,IF(AH266&gt;=88.43,2,IF(AH266&gt;=85.16,1,IF(AH266&lt;85.16,0,FALSE)))))))))))</f>
        <v>0</v>
      </c>
      <c r="AU266" s="48">
        <f>'2020'!AK19</f>
        <v>6</v>
      </c>
      <c r="AV266" s="48">
        <f>'2020'!AL19</f>
        <v>3</v>
      </c>
      <c r="AW266" s="48">
        <f>'2020'!AM19</f>
        <v>3</v>
      </c>
      <c r="AX266" s="48">
        <f>'2020'!AN19</f>
        <v>1</v>
      </c>
      <c r="AY266" s="49">
        <f>IF(U266=1,10,IF(U266=2,7,IF(U266=3,6,IF(U266=4,4,IF(U266=5,3,IF(U266=6,2,IF(U266=7,1,IF(U266=0,0,"-"))))))))</f>
        <v>0</v>
      </c>
      <c r="AZ266" s="50">
        <f>'2020'!AP19</f>
        <v>0</v>
      </c>
      <c r="BA266" s="56">
        <f>'2020'!AQ19</f>
        <v>0</v>
      </c>
      <c r="BB266" s="57">
        <f>'2020'!AR19</f>
        <v>2886</v>
      </c>
      <c r="BC266" s="57">
        <f>'2020'!AS19</f>
        <v>0</v>
      </c>
      <c r="BD266" s="57">
        <f>'2020'!AT19</f>
        <v>31</v>
      </c>
      <c r="BE266" s="57">
        <f>'2020'!AU19</f>
        <v>0</v>
      </c>
      <c r="BF266" s="57">
        <f>'2020'!AV19</f>
        <v>0</v>
      </c>
      <c r="BG266" s="58">
        <f>'2020'!AW19</f>
        <v>0</v>
      </c>
      <c r="BH266" s="58">
        <f>'2020'!AX19</f>
        <v>0</v>
      </c>
      <c r="BI266" s="58">
        <f>'2020'!AY19</f>
        <v>0</v>
      </c>
      <c r="BJ266" s="58">
        <f>'2020'!AZ19</f>
        <v>0</v>
      </c>
      <c r="BK266" s="57">
        <f>'2020'!BA19</f>
        <v>0</v>
      </c>
      <c r="BL266" s="57">
        <f>'2020'!BB19</f>
        <v>3548</v>
      </c>
      <c r="BM266" s="57">
        <f>'2020'!BC19</f>
        <v>0</v>
      </c>
      <c r="BN266" s="57">
        <f>'2020'!BD19</f>
        <v>0</v>
      </c>
      <c r="BO266" s="59">
        <f>'2020'!BE19</f>
        <v>27</v>
      </c>
      <c r="BP266" s="56">
        <f>'2020'!BF19</f>
        <v>261</v>
      </c>
      <c r="BQ266" s="57">
        <f>'2020'!BG19</f>
        <v>2820</v>
      </c>
      <c r="BR266" s="57">
        <f>'2020'!BH19</f>
        <v>2</v>
      </c>
      <c r="BS266" s="57">
        <f>'2020'!BI19</f>
        <v>26</v>
      </c>
      <c r="BT266" s="57">
        <f>'2020'!BJ19</f>
        <v>38</v>
      </c>
      <c r="BU266" s="57">
        <f>'2020'!BK19</f>
        <v>11</v>
      </c>
      <c r="BV266" s="58">
        <f>'2020'!BL19</f>
        <v>6.9</v>
      </c>
      <c r="BW266" s="58">
        <f>'2020'!BM19</f>
        <v>152.19999999999999</v>
      </c>
      <c r="BX266" s="58">
        <f>'2020'!BN19</f>
        <v>4.68</v>
      </c>
      <c r="BY266" s="58">
        <f>'2020'!BO19</f>
        <v>64</v>
      </c>
      <c r="BZ266" s="57">
        <f>'2020'!BP19</f>
        <v>16</v>
      </c>
      <c r="CA266" s="57">
        <f>'2020'!BQ19</f>
        <v>2137</v>
      </c>
      <c r="CB266" s="57">
        <f>'2020'!BR19</f>
        <v>2</v>
      </c>
      <c r="CC266" s="57">
        <f>'2020'!BS19</f>
        <v>0</v>
      </c>
      <c r="CD266" s="59">
        <f>'2020'!BT19</f>
        <v>13</v>
      </c>
      <c r="CE266" s="56">
        <f>'2020'!BU19</f>
        <v>836</v>
      </c>
      <c r="CF266" s="57">
        <f>'2020'!BV19</f>
        <v>4021</v>
      </c>
      <c r="CG266" s="57">
        <f>'2020'!BW19</f>
        <v>5</v>
      </c>
      <c r="CH266" s="57">
        <f>'2020'!BX19</f>
        <v>48</v>
      </c>
      <c r="CI266" s="57">
        <f>'2020'!BY19</f>
        <v>145</v>
      </c>
      <c r="CJ266" s="57">
        <f>'2020'!BZ19</f>
        <v>32</v>
      </c>
      <c r="CK266" s="58">
        <f>'2020'!CA19</f>
        <v>5.8</v>
      </c>
      <c r="CL266" s="58">
        <f>'2020'!CB19</f>
        <v>63.9</v>
      </c>
      <c r="CM266" s="58">
        <f>'2020'!CC19</f>
        <v>2.71</v>
      </c>
      <c r="CN266" s="58">
        <f>'2020'!CD19</f>
        <v>45.8</v>
      </c>
      <c r="CO266" s="57">
        <f>'2020'!CE19</f>
        <v>45</v>
      </c>
      <c r="CP266" s="57">
        <f>'2020'!CF19</f>
        <v>2343</v>
      </c>
      <c r="CQ266" s="57">
        <f>'2020'!CG19</f>
        <v>12</v>
      </c>
      <c r="CR266" s="57">
        <f>'2020'!CH19</f>
        <v>0</v>
      </c>
      <c r="CS266" s="59">
        <f>'2020'!CI19</f>
        <v>19</v>
      </c>
      <c r="CT266" s="56">
        <f>'2020'!CJ19</f>
        <v>1426</v>
      </c>
      <c r="CU266" s="57">
        <f>'2020'!CK19</f>
        <v>2429</v>
      </c>
      <c r="CV266" s="57">
        <f>'2020'!CL19</f>
        <v>6</v>
      </c>
      <c r="CW266" s="57">
        <f>'2020'!CM19</f>
        <v>14</v>
      </c>
      <c r="CX266" s="57">
        <f>'2020'!CN19</f>
        <v>254</v>
      </c>
      <c r="CY266" s="57">
        <f>'2020'!CO19</f>
        <v>46</v>
      </c>
      <c r="CZ266" s="58">
        <f>'2020'!CP19</f>
        <v>5.6</v>
      </c>
      <c r="DA266" s="58">
        <f>'2020'!CQ19</f>
        <v>44.2</v>
      </c>
      <c r="DB266" s="58">
        <f>'2020'!CR19</f>
        <v>2.48</v>
      </c>
      <c r="DC266" s="58">
        <f>'2020'!CS19</f>
        <v>36.9</v>
      </c>
      <c r="DD266" s="57">
        <f>'2020'!CT19</f>
        <v>133</v>
      </c>
      <c r="DE266" s="57">
        <f>'2020'!CU19</f>
        <v>3063</v>
      </c>
      <c r="DF266" s="57">
        <f>'2020'!CV19</f>
        <v>2</v>
      </c>
      <c r="DG266" s="57">
        <f>'2020'!CW19</f>
        <v>0</v>
      </c>
      <c r="DH266" s="59">
        <f>'2020'!CX19</f>
        <v>29</v>
      </c>
      <c r="DI266" s="56">
        <f>'2020'!CY19</f>
        <v>719</v>
      </c>
      <c r="DJ266" s="57">
        <f>'2020'!CZ19</f>
        <v>2088</v>
      </c>
      <c r="DK266" s="57">
        <f>'2020'!DA19</f>
        <v>5</v>
      </c>
      <c r="DL266" s="57">
        <f>'2020'!DB19</f>
        <v>19</v>
      </c>
      <c r="DM266" s="57">
        <f>'2020'!DC19</f>
        <v>147</v>
      </c>
      <c r="DN266" s="57">
        <f>'2020'!DD19</f>
        <v>38</v>
      </c>
      <c r="DO266" s="58">
        <f>'2020'!DE19</f>
        <v>4.9000000000000004</v>
      </c>
      <c r="DP266" s="58">
        <f>'2020'!DF19</f>
        <v>88</v>
      </c>
      <c r="DQ266" s="58">
        <f>'2020'!DG19</f>
        <v>3.3</v>
      </c>
      <c r="DR266" s="58">
        <f>'2020'!DH19</f>
        <v>21.4</v>
      </c>
      <c r="DS266" s="57">
        <f>'2020'!DI19</f>
        <v>292</v>
      </c>
      <c r="DT266" s="57">
        <f>'2020'!DJ19</f>
        <v>3193</v>
      </c>
      <c r="DU266" s="57">
        <f>'2020'!DK19</f>
        <v>33</v>
      </c>
      <c r="DV266" s="57">
        <f>'2020'!DL19</f>
        <v>0</v>
      </c>
      <c r="DW266" s="59">
        <f>'2020'!DM19</f>
        <v>23</v>
      </c>
    </row>
    <row r="267" spans="1:127" ht="15.75" customHeight="1" x14ac:dyDescent="0.2">
      <c r="A267" s="33">
        <f t="shared" si="49"/>
        <v>265</v>
      </c>
      <c r="B267" s="11">
        <f>'2025'!A35</f>
        <v>33</v>
      </c>
      <c r="C267" s="11">
        <v>2025</v>
      </c>
      <c r="D267" s="34" t="str">
        <f>'2025'!B35</f>
        <v>Ja'Quinden Jackson</v>
      </c>
      <c r="E267" s="224" t="str" cm="1">
        <f t="array" ref="E267">_xlfn.IFS(F267&gt;=13,"Cornerstone",AND(F267&gt;=12,F267&lt;13),"Elite",AND(F267&gt;=11,F267&lt;12),"Elite Upside",AND(F267&gt;=9,F267&lt;11),"Upside",AND(F267&gt;=7,F267&lt;9),"Upside Lite",AND(F267&gt;=6,F267&lt;7),"Outlier",AND(F267&gt;=5,F267&lt;6),"Outlier Lite",F267&lt;5,"Purgatory")</f>
        <v>Purgatory</v>
      </c>
      <c r="F267" s="14">
        <f>'2025'!C35</f>
        <v>4.1055555555555552</v>
      </c>
      <c r="G267" s="14">
        <f t="shared" si="54"/>
        <v>18.899999999999999</v>
      </c>
      <c r="H267" s="35">
        <f t="shared" si="50"/>
        <v>-1.6492466707871005</v>
      </c>
      <c r="I267" s="36" t="str">
        <f>'2025'!D35</f>
        <v>Arkansas</v>
      </c>
      <c r="J267" s="37">
        <f>'2025'!E35</f>
        <v>1</v>
      </c>
      <c r="K267" s="38">
        <f>'2025'!F35</f>
        <v>37146</v>
      </c>
      <c r="L267" s="39">
        <f>'2025'!G35</f>
        <v>24.057534246575344</v>
      </c>
      <c r="M267" s="39" t="str">
        <f>'2025'!H35</f>
        <v>RS SR</v>
      </c>
      <c r="N267" s="39">
        <f>'2025'!I35</f>
        <v>23.638356164383563</v>
      </c>
      <c r="O267" s="39" t="str">
        <f t="shared" si="51"/>
        <v>BRUISER</v>
      </c>
      <c r="P267" s="39" t="str">
        <f>IF(OR(AND($AA267&lt;0.25,$AM267&gt;=0.133,AE267&gt;4%),(AND($O267="JITTERBUG",$AM267&gt;0.11)),(AND($O267="JITTERBUG",$AE267&gt;9.5%))),"+RECEIVER",IF(AND($AJ267&gt;=0.25,$AO267&gt;=3.81),"3DOWN",IF($AO267&gt;=3.81,"HORSE",IF(OR(AJ267&gt;0.28,AK267&gt;7,AP267&gt;47),"SLASHER",IF(AM267&gt;0.19,"+RECEIVER","PLODDER")))))</f>
        <v>PLODDER</v>
      </c>
      <c r="Q267" s="37">
        <f>'2025'!J35</f>
        <v>73</v>
      </c>
      <c r="R267" s="37">
        <f>'2025'!K35</f>
        <v>229</v>
      </c>
      <c r="S267" s="39">
        <f t="shared" si="53"/>
        <v>30.212573166748893</v>
      </c>
      <c r="T267" s="37">
        <f>'2025'!L35</f>
        <v>4.55</v>
      </c>
      <c r="U267" s="40">
        <f>'2025'!M35</f>
        <v>0</v>
      </c>
      <c r="V267" s="41">
        <f>'2025'!N35</f>
        <v>0</v>
      </c>
      <c r="W267" s="42">
        <f>'2025'!O35</f>
        <v>4.5016077170418008E-2</v>
      </c>
      <c r="X267" s="42">
        <f>'2025'!P35</f>
        <v>9.605427602213891E-2</v>
      </c>
      <c r="Y267" s="42">
        <f>'2025'!Q35</f>
        <v>0.20454545454545456</v>
      </c>
      <c r="Z267" s="42">
        <f>'2025'!R35</f>
        <v>0.20435255712731229</v>
      </c>
      <c r="AA267" s="42">
        <f>'2025'!S35</f>
        <v>0.20444900583638342</v>
      </c>
      <c r="AB267" s="42">
        <f>'2025'!T35</f>
        <v>0.20444900583638342</v>
      </c>
      <c r="AC267" s="42">
        <f>'2025'!U35</f>
        <v>2.6633165829145728E-2</v>
      </c>
      <c r="AD267" s="42">
        <f>'2025'!V35</f>
        <v>5.0600655260283948E-2</v>
      </c>
      <c r="AE267" s="42">
        <f>'2025'!W35</f>
        <v>5.0600655260283948E-2</v>
      </c>
      <c r="AF267" s="43">
        <f>'2025'!X35</f>
        <v>5.0600655260283948E-2</v>
      </c>
      <c r="AG267" s="44">
        <f>'2025'!Y35</f>
        <v>21.991780821917807</v>
      </c>
      <c r="AH267" s="45">
        <f>'2025'!Z35</f>
        <v>106.86116175844418</v>
      </c>
      <c r="AI267" s="45">
        <f>'2025'!AA35</f>
        <v>30.209607806342653</v>
      </c>
      <c r="AJ267" s="45">
        <f>'2025'!AB35</f>
        <v>0.27516778523489932</v>
      </c>
      <c r="AK267" s="45">
        <f>'2025'!AC35</f>
        <v>5.3691275167785237</v>
      </c>
      <c r="AL267" s="45">
        <f t="shared" si="52"/>
        <v>8.695652173913043</v>
      </c>
      <c r="AM267" s="45">
        <f t="shared" si="46"/>
        <v>8.0246913580246909E-2</v>
      </c>
      <c r="AN267" s="45">
        <f>'2025'!AD35</f>
        <v>97.3</v>
      </c>
      <c r="AO267" s="45">
        <f>'2025'!AE35</f>
        <v>3.5</v>
      </c>
      <c r="AP267" s="46">
        <f>'2025'!AF35</f>
        <v>28</v>
      </c>
      <c r="AQ267" s="47">
        <f>'2025'!AG35</f>
        <v>4</v>
      </c>
      <c r="AR267" s="48">
        <f>'2025'!AH35</f>
        <v>5</v>
      </c>
      <c r="AS267" s="48">
        <f>'2025'!AI35</f>
        <v>2</v>
      </c>
      <c r="AT267" s="48">
        <f>'2025'!AJ35</f>
        <v>8</v>
      </c>
      <c r="AU267" s="48">
        <f>'2025'!AK35</f>
        <v>7</v>
      </c>
      <c r="AV267" s="48">
        <f>'2025'!AL35</f>
        <v>2</v>
      </c>
      <c r="AW267" s="48">
        <f>'2025'!AM35</f>
        <v>4</v>
      </c>
      <c r="AX267" s="48">
        <f>'2025'!AN35</f>
        <v>2</v>
      </c>
      <c r="AY267" s="49">
        <f>'2025'!AO35</f>
        <v>0</v>
      </c>
      <c r="AZ267" s="50">
        <f>'2025'!AP35</f>
        <v>0</v>
      </c>
      <c r="BA267" s="56">
        <f>'2025'!AQ35</f>
        <v>0</v>
      </c>
      <c r="BB267" s="57">
        <f>'2025'!AR35</f>
        <v>1</v>
      </c>
      <c r="BC267" s="57">
        <f>'2025'!AS35</f>
        <v>0</v>
      </c>
      <c r="BD267" s="57">
        <f>'2025'!AT35</f>
        <v>0</v>
      </c>
      <c r="BE267" s="57">
        <f>'2025'!AU35</f>
        <v>0</v>
      </c>
      <c r="BF267" s="57">
        <f>'2025'!AV35</f>
        <v>0</v>
      </c>
      <c r="BG267" s="58">
        <f>'2025'!AW35</f>
        <v>0</v>
      </c>
      <c r="BH267" s="58">
        <f>'2025'!AX35</f>
        <v>0</v>
      </c>
      <c r="BI267" s="58">
        <f>'2025'!AY35</f>
        <v>0</v>
      </c>
      <c r="BJ267" s="58">
        <f>'2025'!AZ35</f>
        <v>0</v>
      </c>
      <c r="BK267" s="57">
        <f>'2025'!BA35</f>
        <v>0</v>
      </c>
      <c r="BL267" s="57">
        <f>'2025'!BB35</f>
        <v>0</v>
      </c>
      <c r="BM267" s="57">
        <f>'2025'!BC35</f>
        <v>0</v>
      </c>
      <c r="BN267" s="57">
        <f>'2025'!BD35</f>
        <v>0</v>
      </c>
      <c r="BO267" s="59">
        <f>'2025'!BE35</f>
        <v>0</v>
      </c>
      <c r="BP267" s="56">
        <f>'2025'!BF35</f>
        <v>28</v>
      </c>
      <c r="BQ267" s="57">
        <f>'2025'!BG35</f>
        <v>621</v>
      </c>
      <c r="BR267" s="57">
        <f>'2025'!BH35</f>
        <v>1</v>
      </c>
      <c r="BS267" s="57">
        <f>'2025'!BI35</f>
        <v>8</v>
      </c>
      <c r="BT267" s="57">
        <f>'2025'!BJ35</f>
        <v>6</v>
      </c>
      <c r="BU267" s="57">
        <f>'2025'!BK35</f>
        <v>4</v>
      </c>
      <c r="BV267" s="58">
        <f>'2025'!BL35</f>
        <v>4.666666666666667</v>
      </c>
      <c r="BW267" s="58">
        <f>'2025'!BM35</f>
        <v>322</v>
      </c>
      <c r="BX267" s="58">
        <f>'2025'!BN35</f>
        <v>4.83</v>
      </c>
      <c r="BY267" s="58">
        <f>'2025'!BO35</f>
        <v>0</v>
      </c>
      <c r="BZ267" s="57">
        <f>'2025'!BP35</f>
        <v>0</v>
      </c>
      <c r="CA267" s="57">
        <f>'2025'!BQ35</f>
        <v>1</v>
      </c>
      <c r="CB267" s="57">
        <f>'2025'!BR35</f>
        <v>0</v>
      </c>
      <c r="CC267" s="57">
        <f>'2025'!BS35</f>
        <v>0</v>
      </c>
      <c r="CD267" s="59">
        <f>'2025'!BT35</f>
        <v>0</v>
      </c>
      <c r="CE267" s="56">
        <f>'2025'!BU35</f>
        <v>530</v>
      </c>
      <c r="CF267" s="57">
        <f>'2025'!BV35</f>
        <v>2611</v>
      </c>
      <c r="CG267" s="57">
        <f>'2025'!BW35</f>
        <v>9</v>
      </c>
      <c r="CH267" s="57">
        <f>'2025'!BX35</f>
        <v>32</v>
      </c>
      <c r="CI267" s="57">
        <f>'2025'!BY35</f>
        <v>79</v>
      </c>
      <c r="CJ267" s="57">
        <f>'2025'!BZ35</f>
        <v>30</v>
      </c>
      <c r="CK267" s="58">
        <f>'2025'!CA35</f>
        <v>6.7088607594936711</v>
      </c>
      <c r="CL267" s="58">
        <f>'2025'!CB35</f>
        <v>44</v>
      </c>
      <c r="CM267" s="58">
        <f>'2025'!CC35</f>
        <v>4.22</v>
      </c>
      <c r="CN267" s="58">
        <f>'2025'!CD35</f>
        <v>46</v>
      </c>
      <c r="CO267" s="57">
        <f>'2025'!CE35</f>
        <v>8</v>
      </c>
      <c r="CP267" s="57">
        <f>'2025'!CF35</f>
        <v>2990</v>
      </c>
      <c r="CQ267" s="57">
        <f>'2025'!CG35</f>
        <v>1</v>
      </c>
      <c r="CR267" s="57">
        <f>'2025'!CH35</f>
        <v>0</v>
      </c>
      <c r="CS267" s="59">
        <f>'2025'!CI35</f>
        <v>26</v>
      </c>
      <c r="CT267" s="56">
        <f>'2025'!CJ35</f>
        <v>802</v>
      </c>
      <c r="CU267" s="57">
        <f>'2025'!CK35</f>
        <v>2190</v>
      </c>
      <c r="CV267" s="57">
        <f>'2025'!CL35</f>
        <v>4</v>
      </c>
      <c r="CW267" s="57">
        <f>'2025'!CM35</f>
        <v>18</v>
      </c>
      <c r="CX267" s="57">
        <f>'2025'!CN35</f>
        <v>160</v>
      </c>
      <c r="CY267" s="57">
        <f>'2025'!CO35</f>
        <v>33</v>
      </c>
      <c r="CZ267" s="58">
        <f>'2025'!CP35</f>
        <v>5.0125000000000002</v>
      </c>
      <c r="DA267" s="58">
        <f>'2025'!CQ35</f>
        <v>73.099999999999994</v>
      </c>
      <c r="DB267" s="58">
        <f>'2025'!CR35</f>
        <v>3.34</v>
      </c>
      <c r="DC267" s="58">
        <f>'2025'!CS35</f>
        <v>26.9</v>
      </c>
      <c r="DD267" s="57">
        <f>'2025'!CT35</f>
        <v>53</v>
      </c>
      <c r="DE267" s="57">
        <f>'2025'!CU35</f>
        <v>1990</v>
      </c>
      <c r="DF267" s="57">
        <f>'2025'!CV35</f>
        <v>9</v>
      </c>
      <c r="DG267" s="57">
        <f>'2025'!CW35</f>
        <v>0</v>
      </c>
      <c r="DH267" s="59">
        <f>'2025'!CX35</f>
        <v>14</v>
      </c>
      <c r="DI267" s="56">
        <f>'2025'!CY35</f>
        <v>800</v>
      </c>
      <c r="DJ267" s="57">
        <f>'2025'!CZ35</f>
        <v>1848</v>
      </c>
      <c r="DK267" s="57">
        <f>'2025'!DA35</f>
        <v>15</v>
      </c>
      <c r="DL267" s="57">
        <f>'2025'!DB35</f>
        <v>26</v>
      </c>
      <c r="DM267" s="57">
        <f>'2025'!DC35</f>
        <v>149</v>
      </c>
      <c r="DN267" s="57">
        <f>'2025'!DD35</f>
        <v>41</v>
      </c>
      <c r="DO267" s="58">
        <f>'2025'!DE35</f>
        <v>5.3691275167785237</v>
      </c>
      <c r="DP267" s="58">
        <f>'2025'!DF35</f>
        <v>97.3</v>
      </c>
      <c r="DQ267" s="58">
        <f>'2025'!DG35</f>
        <v>3.5</v>
      </c>
      <c r="DR267" s="58">
        <f>'2025'!DH35</f>
        <v>28</v>
      </c>
      <c r="DS267" s="57">
        <f>'2025'!DI35</f>
        <v>139</v>
      </c>
      <c r="DT267" s="57">
        <f>'2025'!DJ35</f>
        <v>2747</v>
      </c>
      <c r="DU267" s="57">
        <f>'2025'!DK35</f>
        <v>13</v>
      </c>
      <c r="DV267" s="57">
        <f>'2025'!DL35</f>
        <v>0</v>
      </c>
      <c r="DW267" s="59">
        <f>'2025'!DM35</f>
        <v>12</v>
      </c>
    </row>
    <row r="268" spans="1:127" ht="15.75" customHeight="1" x14ac:dyDescent="0.2">
      <c r="A268" s="33">
        <f t="shared" si="49"/>
        <v>266</v>
      </c>
      <c r="B268" s="11">
        <f>'2017'!A25</f>
        <v>23</v>
      </c>
      <c r="C268" s="11">
        <v>2017</v>
      </c>
      <c r="D268" s="34" t="str">
        <f>'2017'!B25</f>
        <v>Matt Dayes</v>
      </c>
      <c r="E268" s="224" t="str" cm="1">
        <f t="array" ref="E268">_xlfn.IFS(F268&gt;=13,"Cornerstone",AND(F268&gt;=12,F268&lt;13),"Elite",AND(F268&gt;=11,F268&lt;12),"Elite Upside",AND(F268&gt;=9,F268&lt;11),"Upside",AND(F268&gt;=7,F268&lt;9),"Upside Lite",AND(F268&gt;=6,F268&lt;7),"Outlier",AND(F268&gt;=5,F268&lt;6),"Outlier Lite",F268&lt;5,"Purgatory")</f>
        <v>Purgatory</v>
      </c>
      <c r="F268" s="14">
        <f>'2017'!C25</f>
        <v>4.0611111111111109</v>
      </c>
      <c r="G268" s="14">
        <f t="shared" si="54"/>
        <v>18.600000000000001</v>
      </c>
      <c r="H268" s="35">
        <f t="shared" si="50"/>
        <v>-1.6680566736421956</v>
      </c>
      <c r="I268" s="36" t="str">
        <f>'2017'!D25</f>
        <v>NC State</v>
      </c>
      <c r="J268" s="37">
        <f>'2017'!E25</f>
        <v>4</v>
      </c>
      <c r="K268" s="38">
        <f>'2017'!F25</f>
        <v>34580</v>
      </c>
      <c r="L268" s="39">
        <f>'2017'!G25</f>
        <v>31.087671232876712</v>
      </c>
      <c r="M268" s="39" t="str">
        <f>'2017'!H25</f>
        <v>SR</v>
      </c>
      <c r="N268" s="39">
        <f>'2017'!I25</f>
        <v>22.663013698630138</v>
      </c>
      <c r="O268" s="39" t="str">
        <f t="shared" si="51"/>
        <v>BELL CALF</v>
      </c>
      <c r="P268" s="39" t="str">
        <f>IF(OR(AND($AA268&lt;0.25,$AM268&gt;=0.133,AE268&gt;4%),(AND($O268="JITTERBUG",$AM268&gt;0.11)),(AND($O268="JITTERBUG",$AE268&gt;9.5%))),"+RECEIVER",IF(AND($AJ268&gt;=0.25,$AO268&gt;=3.81),"3DOWN",IF($AO268&gt;=3.81,"HORSE",IF(OR(AJ268&gt;0.28,AK268&gt;7,AP268&gt;47),"SLASHER",IF(AM268&gt;0.19,"+RECEIVER","PLODDER")))))</f>
        <v>PLODDER</v>
      </c>
      <c r="Q268" s="37">
        <f>'2017'!J25</f>
        <v>68</v>
      </c>
      <c r="R268" s="37">
        <f>'2017'!K25</f>
        <v>207</v>
      </c>
      <c r="S268" s="39">
        <f t="shared" si="53"/>
        <v>31.473893657129882</v>
      </c>
      <c r="T268" s="37">
        <f>'2017'!L25</f>
        <v>4.66</v>
      </c>
      <c r="U268" s="55">
        <f>'2017'!M25</f>
        <v>7</v>
      </c>
      <c r="V268" s="41">
        <f>'2017'!N25</f>
        <v>0</v>
      </c>
      <c r="W268" s="42">
        <f>'2017'!O25</f>
        <v>8.7773647253201151E-2</v>
      </c>
      <c r="X268" s="42">
        <f>'2017'!P25</f>
        <v>0.16814159292035399</v>
      </c>
      <c r="Y268" s="42">
        <f>'2017'!Q25</f>
        <v>0.19396310788149804</v>
      </c>
      <c r="Z268" s="42">
        <f>'2017'!R25</f>
        <v>0.26362460742656568</v>
      </c>
      <c r="AA268" s="42">
        <f>'2017'!S25</f>
        <v>0.26362460742656568</v>
      </c>
      <c r="AB268" s="42">
        <f>'2017'!T25</f>
        <v>0.23726214668390913</v>
      </c>
      <c r="AC268" s="42">
        <f>'2017'!U25</f>
        <v>6.3138686131386859E-2</v>
      </c>
      <c r="AD268" s="42">
        <f>'2017'!V25</f>
        <v>7.6263671297664801E-2</v>
      </c>
      <c r="AE268" s="42">
        <f>'2017'!W25</f>
        <v>7.6263671297664801E-2</v>
      </c>
      <c r="AF268" s="43">
        <f>'2017'!X25</f>
        <v>6.8637304167898316E-2</v>
      </c>
      <c r="AG268" s="44">
        <f>'2017'!Y25</f>
        <v>20.008219178082193</v>
      </c>
      <c r="AH268" s="45">
        <f>'2017'!Z25</f>
        <v>87.792350022710849</v>
      </c>
      <c r="AI268" s="45">
        <f>'2017'!AA25</f>
        <v>31.470804498269896</v>
      </c>
      <c r="AJ268" s="45">
        <f>'2017'!AB25</f>
        <v>0.16935483870967741</v>
      </c>
      <c r="AK268" s="45">
        <f>'2017'!AC25</f>
        <v>6.5</v>
      </c>
      <c r="AL268" s="45">
        <f t="shared" si="52"/>
        <v>9.536082474226804</v>
      </c>
      <c r="AM268" s="45">
        <f t="shared" si="46"/>
        <v>0.11428571428571428</v>
      </c>
      <c r="AN268" s="45">
        <f>'2017'!AD25</f>
        <v>48.9</v>
      </c>
      <c r="AO268" s="45">
        <f>'2017'!AE25</f>
        <v>2.97</v>
      </c>
      <c r="AP268" s="46">
        <f>'2017'!AF25</f>
        <v>46.7</v>
      </c>
      <c r="AQ268" s="47">
        <f>'2017'!AG25</f>
        <v>5</v>
      </c>
      <c r="AR268" s="48">
        <f>'2017'!AH25</f>
        <v>7</v>
      </c>
      <c r="AS268" s="48">
        <f>'2017'!AI25</f>
        <v>5</v>
      </c>
      <c r="AT268" s="48">
        <f>IF(AH268&gt;113.25,10,IF(AH268&gt;=107.84,9,IF(AH268&gt;=105.37,8,IF(AH268&gt;=103.25,7,IF(AH268&gt;=100.55,6,IF(AH268&gt;=98.75,5,IF(AH268&gt;=96.08,4,IF(AH268&gt;=94.39,3,IF(AH268&gt;=88.43,2,IF(AH268&gt;=85.16,1,IF(AH268&lt;85.16,0,FALSE)))))))))))</f>
        <v>1</v>
      </c>
      <c r="AU268" s="48">
        <f>'2017'!AK25</f>
        <v>2</v>
      </c>
      <c r="AV268" s="48">
        <f>'2017'!AL25</f>
        <v>6</v>
      </c>
      <c r="AW268" s="48">
        <f>'2017'!AM25</f>
        <v>0</v>
      </c>
      <c r="AX268" s="48">
        <f>'2017'!AN25</f>
        <v>1</v>
      </c>
      <c r="AY268" s="49">
        <f>IF(U268=1,10,IF(U268=2,7,IF(U268=3,6,IF(U268=4,4,IF(U268=5,3,IF(U268=6,2,IF(U268=7,1,IF(U268=0,0,"-"))))))))</f>
        <v>1</v>
      </c>
      <c r="AZ268" s="50">
        <f>'2017'!AP25</f>
        <v>0</v>
      </c>
      <c r="BA268" s="56">
        <f>'2017'!AQ25</f>
        <v>0</v>
      </c>
      <c r="BB268" s="57">
        <f>'2017'!AR25</f>
        <v>1444</v>
      </c>
      <c r="BC268" s="57">
        <f>'2017'!AS25</f>
        <v>0</v>
      </c>
      <c r="BD268" s="57">
        <f>'2017'!AT25</f>
        <v>0</v>
      </c>
      <c r="BE268" s="57">
        <f>'2017'!AU25</f>
        <v>0</v>
      </c>
      <c r="BF268" s="57">
        <f>'2017'!AV25</f>
        <v>0</v>
      </c>
      <c r="BG268" s="58">
        <f>'2017'!AW25</f>
        <v>0</v>
      </c>
      <c r="BH268" s="58">
        <f>'2017'!AX25</f>
        <v>0</v>
      </c>
      <c r="BI268" s="58">
        <f>'2017'!AY25</f>
        <v>0</v>
      </c>
      <c r="BJ268" s="58">
        <f>'2017'!AZ25</f>
        <v>0</v>
      </c>
      <c r="BK268" s="57">
        <f>'2017'!BA25</f>
        <v>0</v>
      </c>
      <c r="BL268" s="57">
        <f>'2017'!BB25</f>
        <v>4031</v>
      </c>
      <c r="BM268" s="57">
        <f>'2017'!BC25</f>
        <v>0</v>
      </c>
      <c r="BN268" s="57">
        <f>'2017'!BD25</f>
        <v>0</v>
      </c>
      <c r="BO268" s="59">
        <f>'2017'!BE25</f>
        <v>0</v>
      </c>
      <c r="BP268" s="56">
        <f>'2017'!BF25</f>
        <v>252</v>
      </c>
      <c r="BQ268" s="57">
        <f>'2017'!BG25</f>
        <v>1952</v>
      </c>
      <c r="BR268" s="57">
        <f>'2017'!BH25</f>
        <v>0</v>
      </c>
      <c r="BS268" s="57">
        <f>'2017'!BI25</f>
        <v>0</v>
      </c>
      <c r="BT268" s="57">
        <f>'2017'!BJ25</f>
        <v>0</v>
      </c>
      <c r="BU268" s="57">
        <f>'2017'!BK25</f>
        <v>0</v>
      </c>
      <c r="BV268" s="58">
        <f>'2017'!BL25</f>
        <v>0</v>
      </c>
      <c r="BW268" s="58">
        <f>'2017'!BM25</f>
        <v>0</v>
      </c>
      <c r="BX268" s="58">
        <f>'2017'!BN25</f>
        <v>0</v>
      </c>
      <c r="BY268" s="58">
        <f>'2017'!BO25</f>
        <v>0</v>
      </c>
      <c r="BZ268" s="57">
        <f>'2017'!BP25</f>
        <v>173</v>
      </c>
      <c r="CA268" s="57">
        <f>'2017'!BQ25</f>
        <v>2890</v>
      </c>
      <c r="CB268" s="57">
        <f>'2017'!BR25</f>
        <v>10</v>
      </c>
      <c r="CC268" s="57">
        <f>'2017'!BS25</f>
        <v>0</v>
      </c>
      <c r="CD268" s="59">
        <f>'2017'!BT25</f>
        <v>0</v>
      </c>
      <c r="CE268" s="56">
        <f>'2017'!BU25</f>
        <v>572</v>
      </c>
      <c r="CF268" s="57">
        <f>'2017'!BV25</f>
        <v>2659</v>
      </c>
      <c r="CG268" s="57">
        <f>'2017'!BW25</f>
        <v>8</v>
      </c>
      <c r="CH268" s="57">
        <f>'2017'!BX25</f>
        <v>0</v>
      </c>
      <c r="CI268" s="57">
        <f>'2017'!BY25</f>
        <v>105</v>
      </c>
      <c r="CJ268" s="57">
        <f>'2017'!BZ25</f>
        <v>6</v>
      </c>
      <c r="CK268" s="58">
        <f>'2017'!CA25</f>
        <v>5.4</v>
      </c>
      <c r="CL268" s="58">
        <f>'2017'!CB25</f>
        <v>14.8</v>
      </c>
      <c r="CM268" s="58">
        <f>'2017'!CC25</f>
        <v>2.0099999999999998</v>
      </c>
      <c r="CN268" s="58">
        <f>'2017'!CD25</f>
        <v>41.4</v>
      </c>
      <c r="CO268" s="57">
        <f>'2017'!CE25</f>
        <v>321</v>
      </c>
      <c r="CP268" s="57">
        <f>'2017'!CF25</f>
        <v>2652</v>
      </c>
      <c r="CQ268" s="57">
        <f>'2017'!CG25</f>
        <v>31</v>
      </c>
      <c r="CR268" s="57">
        <f>'2017'!CH25</f>
        <v>0</v>
      </c>
      <c r="CS268" s="59">
        <f>'2017'!CI25</f>
        <v>0</v>
      </c>
      <c r="CT268" s="56">
        <f>'2017'!CJ25</f>
        <v>868</v>
      </c>
      <c r="CU268" s="57">
        <f>'2017'!CK25</f>
        <v>2627</v>
      </c>
      <c r="CV268" s="57">
        <f>'2017'!CL25</f>
        <v>12</v>
      </c>
      <c r="CW268" s="57">
        <f>'2017'!CM25</f>
        <v>0</v>
      </c>
      <c r="CX268" s="57">
        <f>'2017'!CN25</f>
        <v>134</v>
      </c>
      <c r="CY268" s="57">
        <f>'2017'!CO25</f>
        <v>18</v>
      </c>
      <c r="CZ268" s="58">
        <f>'2017'!CP25</f>
        <v>6.5</v>
      </c>
      <c r="DA268" s="58">
        <f>'2017'!CQ25</f>
        <v>48.9</v>
      </c>
      <c r="DB268" s="58">
        <f>'2017'!CR25</f>
        <v>2.97</v>
      </c>
      <c r="DC268" s="58">
        <f>'2017'!CS25</f>
        <v>46.7</v>
      </c>
      <c r="DD268" s="57">
        <f>'2017'!CT25</f>
        <v>173</v>
      </c>
      <c r="DE268" s="57">
        <f>'2017'!CU25</f>
        <v>2740</v>
      </c>
      <c r="DF268" s="57">
        <f>'2017'!CV25</f>
        <v>24</v>
      </c>
      <c r="DG268" s="57">
        <f>'2017'!CW25</f>
        <v>0</v>
      </c>
      <c r="DH268" s="59">
        <f>'2017'!CX25</f>
        <v>0</v>
      </c>
      <c r="DI268" s="56">
        <f>'2017'!CY25</f>
        <v>1169</v>
      </c>
      <c r="DJ268" s="57">
        <f>'2017'!CZ25</f>
        <v>2030</v>
      </c>
      <c r="DK268" s="57">
        <f>'2017'!DA25</f>
        <v>10</v>
      </c>
      <c r="DL268" s="57">
        <f>'2017'!DB25</f>
        <v>0</v>
      </c>
      <c r="DM268" s="57">
        <f>'2017'!DC25</f>
        <v>248</v>
      </c>
      <c r="DN268" s="57">
        <f>'2017'!DD25</f>
        <v>42</v>
      </c>
      <c r="DO268" s="58">
        <f>'2017'!DE25</f>
        <v>4.7</v>
      </c>
      <c r="DP268" s="58">
        <f>'2017'!DF25</f>
        <v>46.1</v>
      </c>
      <c r="DQ268" s="58">
        <f>'2017'!DG25</f>
        <v>2.63</v>
      </c>
      <c r="DR268" s="58">
        <f>'2017'!DH25</f>
        <v>29.9</v>
      </c>
      <c r="DS268" s="57">
        <f>'2017'!DI25</f>
        <v>258</v>
      </c>
      <c r="DT268" s="57">
        <f>'2017'!DJ25</f>
        <v>3383</v>
      </c>
      <c r="DU268" s="57">
        <f>'2017'!DK25</f>
        <v>32</v>
      </c>
      <c r="DV268" s="57">
        <f>'2017'!DL25</f>
        <v>0</v>
      </c>
      <c r="DW268" s="59">
        <f>'2017'!DM25</f>
        <v>0</v>
      </c>
    </row>
    <row r="269" spans="1:127" ht="15.75" customHeight="1" x14ac:dyDescent="0.2">
      <c r="A269" s="33">
        <f t="shared" si="49"/>
        <v>267</v>
      </c>
      <c r="B269" s="11">
        <f>'2022'!A29</f>
        <v>27</v>
      </c>
      <c r="C269" s="11">
        <v>2022</v>
      </c>
      <c r="D269" s="34" t="str">
        <f>'2022'!B29</f>
        <v>Isiah Pacheco</v>
      </c>
      <c r="E269" s="224" t="str" cm="1">
        <f t="array" ref="E269">_xlfn.IFS(F269&gt;=13,"Cornerstone",AND(F269&gt;=12,F269&lt;13),"Elite",AND(F269&gt;=11,F269&lt;12),"Elite Upside",AND(F269&gt;=9,F269&lt;11),"Upside",AND(F269&gt;=7,F269&lt;9),"Upside Lite",AND(F269&gt;=6,F269&lt;7),"Outlier",AND(F269&gt;=5,F269&lt;6),"Outlier Lite",F269&lt;5,"Purgatory")</f>
        <v>Purgatory</v>
      </c>
      <c r="F269" s="14">
        <f>'2022'!C29</f>
        <v>4.0555555555555554</v>
      </c>
      <c r="G269" s="14">
        <f t="shared" si="54"/>
        <v>18</v>
      </c>
      <c r="H269" s="35">
        <f t="shared" si="50"/>
        <v>-1.6704079239990823</v>
      </c>
      <c r="I269" s="36" t="str">
        <f>'2022'!D29</f>
        <v>Rutgers</v>
      </c>
      <c r="J269" s="37">
        <f>'2022'!E29</f>
        <v>2</v>
      </c>
      <c r="K269" s="38">
        <f>'2022'!F29</f>
        <v>36221</v>
      </c>
      <c r="L269" s="39">
        <f>'2022'!G29</f>
        <v>26.591780821917808</v>
      </c>
      <c r="M269" s="39" t="str">
        <f>'2022'!H29</f>
        <v>SR</v>
      </c>
      <c r="N269" s="39">
        <f>'2022'!I29</f>
        <v>23.172602739726027</v>
      </c>
      <c r="O269" s="39" t="str">
        <f t="shared" si="51"/>
        <v>FREAK</v>
      </c>
      <c r="P269" s="39" t="str">
        <f>IF(OR(AND($AA269&lt;0.25,$AM269&gt;=0.133,AE269&gt;4%),(AND($O269="JITTERBUG",$AM269&gt;0.11)),(AND($O269="JITTERBUG",$AE269&gt;9.5%))),"+RECEIVER",IF(AND($AJ269&gt;=0.25,$AO269&gt;=3.81),"3DOWN",IF($AO269&gt;=3.81,"HORSE",IF(OR(AJ269&gt;0.28,AK269&gt;7,AP269&gt;47),"SLASHER",IF(AM269&gt;0.19,"+RECEIVER","PLODDER")))))</f>
        <v>PLODDER</v>
      </c>
      <c r="Q269" s="37">
        <f>'2022'!J29</f>
        <v>70</v>
      </c>
      <c r="R269" s="37">
        <f>'2022'!K29</f>
        <v>216</v>
      </c>
      <c r="S269" s="39">
        <f t="shared" si="53"/>
        <v>30.9924296583287</v>
      </c>
      <c r="T269" s="37">
        <f>'2022'!L29</f>
        <v>4.37</v>
      </c>
      <c r="U269" s="40">
        <f>'2022'!M29</f>
        <v>7</v>
      </c>
      <c r="V269" s="41">
        <f>'2022'!N29</f>
        <v>0</v>
      </c>
      <c r="W269" s="42">
        <f>'2022'!O29</f>
        <v>0.17464788732394365</v>
      </c>
      <c r="X269" s="42">
        <f>'2022'!P29</f>
        <v>0.24778761061946902</v>
      </c>
      <c r="Y269" s="42">
        <f>'2022'!Q29</f>
        <v>0.21264744429882046</v>
      </c>
      <c r="Z269" s="42">
        <f>'2022'!R29</f>
        <v>0.1685700099304866</v>
      </c>
      <c r="AA269" s="42">
        <f>'2022'!S29</f>
        <v>0.20817881027497781</v>
      </c>
      <c r="AB269" s="42">
        <f>'2022'!T29</f>
        <v>0.20817881027497781</v>
      </c>
      <c r="AC269" s="42">
        <f>'2022'!U29</f>
        <v>7.3225265511458915E-2</v>
      </c>
      <c r="AD269" s="42">
        <f>'2022'!V29</f>
        <v>1.1215791834903545E-2</v>
      </c>
      <c r="AE269" s="42">
        <f>'2022'!W29</f>
        <v>4.2220528673181226E-2</v>
      </c>
      <c r="AF269" s="43">
        <f>'2022'!X29</f>
        <v>4.2220528673181226E-2</v>
      </c>
      <c r="AG269" s="44">
        <f>'2022'!Y29</f>
        <v>19.515068493150686</v>
      </c>
      <c r="AH269" s="45">
        <f>'2022'!Z29</f>
        <v>118.45625517769119</v>
      </c>
      <c r="AI269" s="45">
        <f>'2022'!AA29</f>
        <v>30.98938775510204</v>
      </c>
      <c r="AJ269" s="45">
        <f>'2022'!AB29</f>
        <v>0.15517241379310345</v>
      </c>
      <c r="AK269" s="45">
        <f>'2022'!AC29</f>
        <v>4.5</v>
      </c>
      <c r="AL269" s="45">
        <f t="shared" si="52"/>
        <v>5.4666666666666668</v>
      </c>
      <c r="AM269" s="45">
        <f t="shared" si="46"/>
        <v>7.2625698324022353E-2</v>
      </c>
      <c r="AN269" s="45">
        <f>'2022'!AD29</f>
        <v>47.3</v>
      </c>
      <c r="AO269" s="45">
        <f>'2022'!AE29</f>
        <v>3.31</v>
      </c>
      <c r="AP269" s="46">
        <f>'2022'!AF29</f>
        <v>44</v>
      </c>
      <c r="AQ269" s="47">
        <f>'2022'!AG29</f>
        <v>4</v>
      </c>
      <c r="AR269" s="48">
        <f>'2022'!AH29</f>
        <v>4</v>
      </c>
      <c r="AS269" s="48">
        <f>'2022'!AI29</f>
        <v>6</v>
      </c>
      <c r="AT269" s="48">
        <f>IF(AH269&gt;113.25,10,IF(AH269&gt;=107.84,9,IF(AH269&gt;=105.37,8,IF(AH269&gt;=103.25,7,IF(AH269&gt;=100.55,6,IF(AH269&gt;=98.75,5,IF(AH269&gt;=96.08,4,IF(AH269&gt;=94.39,3,IF(AH269&gt;=88.43,2,IF(AH269&gt;=85.16,1,IF(AH269&lt;85.16,0,FALSE)))))))))))</f>
        <v>10</v>
      </c>
      <c r="AU269" s="48">
        <f>'2022'!AK29</f>
        <v>1</v>
      </c>
      <c r="AV269" s="48">
        <f>'2022'!AL29</f>
        <v>0</v>
      </c>
      <c r="AW269" s="48">
        <f>'2022'!AM29</f>
        <v>0</v>
      </c>
      <c r="AX269" s="48">
        <f>'2022'!AN29</f>
        <v>1</v>
      </c>
      <c r="AY269" s="49">
        <f>IF(U269=1,10,IF(U269=2,7,IF(U269=3,6,IF(U269=4,4,IF(U269=5,3,IF(U269=6,2,IF(U269=7,1,IF(U269=0,0,"-"))))))))</f>
        <v>1</v>
      </c>
      <c r="AZ269" s="50">
        <f>'2022'!AP29</f>
        <v>0</v>
      </c>
      <c r="BA269" s="56">
        <f>'2022'!AQ29</f>
        <v>0</v>
      </c>
      <c r="BB269" s="57">
        <f>'2022'!AR29</f>
        <v>1765</v>
      </c>
      <c r="BC269" s="57">
        <f>'2022'!AS29</f>
        <v>0</v>
      </c>
      <c r="BD269" s="57">
        <f>'2022'!AT29</f>
        <v>19</v>
      </c>
      <c r="BE269" s="57">
        <f>'2022'!AU29</f>
        <v>0</v>
      </c>
      <c r="BF269" s="57">
        <f>'2022'!AV29</f>
        <v>0</v>
      </c>
      <c r="BG269" s="58">
        <f>'2022'!AW29</f>
        <v>0</v>
      </c>
      <c r="BH269" s="58">
        <f>'2022'!AX29</f>
        <v>0</v>
      </c>
      <c r="BI269" s="58">
        <f>'2022'!AY29</f>
        <v>0</v>
      </c>
      <c r="BJ269" s="58">
        <f>'2022'!AZ29</f>
        <v>0</v>
      </c>
      <c r="BK269" s="57">
        <f>'2022'!BA29</f>
        <v>0</v>
      </c>
      <c r="BL269" s="57">
        <f>'2022'!BB29</f>
        <v>1387</v>
      </c>
      <c r="BM269" s="57">
        <f>'2022'!BC29</f>
        <v>0</v>
      </c>
      <c r="BN269" s="57">
        <f>'2022'!BD29</f>
        <v>0</v>
      </c>
      <c r="BO269" s="59">
        <f>'2022'!BE29</f>
        <v>7</v>
      </c>
      <c r="BP269" s="56">
        <f>'2022'!BF29</f>
        <v>551</v>
      </c>
      <c r="BQ269" s="57">
        <f>'2022'!BG29</f>
        <v>1609</v>
      </c>
      <c r="BR269" s="57">
        <f>'2022'!BH29</f>
        <v>3</v>
      </c>
      <c r="BS269" s="57">
        <f>'2022'!BI29</f>
        <v>12</v>
      </c>
      <c r="BT269" s="57">
        <f>'2022'!BJ29</f>
        <v>111</v>
      </c>
      <c r="BU269" s="57">
        <f>'2022'!BK29</f>
        <v>10</v>
      </c>
      <c r="BV269" s="58">
        <f>'2022'!BL29</f>
        <v>5</v>
      </c>
      <c r="BW269" s="58">
        <f>'2022'!BM29</f>
        <v>24.4</v>
      </c>
      <c r="BX269" s="58">
        <f>'2022'!BN29</f>
        <v>2.73</v>
      </c>
      <c r="BY269" s="58">
        <f>'2022'!BO29</f>
        <v>31.4</v>
      </c>
      <c r="BZ269" s="57">
        <f>'2022'!BP29</f>
        <v>7</v>
      </c>
      <c r="CA269" s="57">
        <f>'2022'!BQ29</f>
        <v>1586</v>
      </c>
      <c r="CB269" s="57">
        <f>'2022'!BR29</f>
        <v>0</v>
      </c>
      <c r="CC269" s="57">
        <f>'2022'!BS29</f>
        <v>0</v>
      </c>
      <c r="CD269" s="59">
        <f>'2022'!BT29</f>
        <v>5</v>
      </c>
      <c r="CE269" s="56">
        <f>'2022'!BU29</f>
        <v>729</v>
      </c>
      <c r="CF269" s="57">
        <f>'2022'!BV29</f>
        <v>1605</v>
      </c>
      <c r="CG269" s="57">
        <f>'2022'!BW29</f>
        <v>7</v>
      </c>
      <c r="CH269" s="57">
        <f>'2022'!BX29</f>
        <v>11</v>
      </c>
      <c r="CI269" s="57">
        <f>'2022'!BY29</f>
        <v>169</v>
      </c>
      <c r="CJ269" s="57">
        <f>'2022'!BZ29</f>
        <v>24</v>
      </c>
      <c r="CK269" s="58">
        <f>'2022'!CA29</f>
        <v>4.3</v>
      </c>
      <c r="CL269" s="58">
        <f>'2022'!CB29</f>
        <v>47.3</v>
      </c>
      <c r="CM269" s="58">
        <f>'2022'!CC29</f>
        <v>3.31</v>
      </c>
      <c r="CN269" s="58">
        <f>'2022'!CD29</f>
        <v>29.4</v>
      </c>
      <c r="CO269" s="57">
        <f>'2022'!CE29</f>
        <v>83</v>
      </c>
      <c r="CP269" s="57">
        <f>'2022'!CF29</f>
        <v>1672</v>
      </c>
      <c r="CQ269" s="57">
        <f>'2022'!CG29</f>
        <v>13</v>
      </c>
      <c r="CR269" s="57">
        <f>'2022'!CH29</f>
        <v>0</v>
      </c>
      <c r="CS269" s="59">
        <f>'2022'!CI29</f>
        <v>7</v>
      </c>
      <c r="CT269" s="56">
        <f>'2022'!CJ29</f>
        <v>518</v>
      </c>
      <c r="CU269" s="57">
        <f>'2022'!CK29</f>
        <v>1263</v>
      </c>
      <c r="CV269" s="57">
        <f>'2022'!CL29</f>
        <v>3</v>
      </c>
      <c r="CW269" s="57">
        <f>'2022'!CM29</f>
        <v>13</v>
      </c>
      <c r="CX269" s="57">
        <f>'2022'!CN29</f>
        <v>116</v>
      </c>
      <c r="CY269" s="57">
        <f>'2022'!CO29</f>
        <v>18</v>
      </c>
      <c r="CZ269" s="58">
        <f>'2022'!CP29</f>
        <v>4.5</v>
      </c>
      <c r="DA269" s="58">
        <f>'2022'!CQ29</f>
        <v>44.3</v>
      </c>
      <c r="DB269" s="58">
        <f>'2022'!CR29</f>
        <v>2.99</v>
      </c>
      <c r="DC269" s="58">
        <f>'2022'!CS29</f>
        <v>44</v>
      </c>
      <c r="DD269" s="57">
        <f>'2022'!CT29</f>
        <v>131</v>
      </c>
      <c r="DE269" s="57">
        <f>'2022'!CU29</f>
        <v>1789</v>
      </c>
      <c r="DF269" s="57">
        <f>'2022'!CV29</f>
        <v>19</v>
      </c>
      <c r="DG269" s="57">
        <f>'2022'!CW29</f>
        <v>0</v>
      </c>
      <c r="DH269" s="59">
        <f>'2022'!CX29</f>
        <v>14</v>
      </c>
      <c r="DI269" s="56">
        <f>'2022'!CY29</f>
        <v>654</v>
      </c>
      <c r="DJ269" s="57">
        <f>'2022'!CZ29</f>
        <v>1799</v>
      </c>
      <c r="DK269" s="57">
        <f>'2022'!DA29</f>
        <v>5</v>
      </c>
      <c r="DL269" s="57">
        <f>'2022'!DB29</f>
        <v>20</v>
      </c>
      <c r="DM269" s="57">
        <f>'2022'!DC29</f>
        <v>166</v>
      </c>
      <c r="DN269" s="57">
        <f>'2022'!DD29</f>
        <v>12</v>
      </c>
      <c r="DO269" s="58">
        <f>'2022'!DE29</f>
        <v>3.9</v>
      </c>
      <c r="DP269" s="58">
        <f>'2022'!DF29</f>
        <v>24</v>
      </c>
      <c r="DQ269" s="58">
        <f>'2022'!DG29</f>
        <v>2.87</v>
      </c>
      <c r="DR269" s="58">
        <f>'2022'!DH29</f>
        <v>24.6</v>
      </c>
      <c r="DS269" s="57">
        <f>'2022'!DI29</f>
        <v>25</v>
      </c>
      <c r="DT269" s="57">
        <f>'2022'!DJ29</f>
        <v>2229</v>
      </c>
      <c r="DU269" s="57">
        <f>'2022'!DK29</f>
        <v>13</v>
      </c>
      <c r="DV269" s="57">
        <f>'2022'!DL29</f>
        <v>0</v>
      </c>
      <c r="DW269" s="59">
        <f>'2022'!DM29</f>
        <v>9</v>
      </c>
    </row>
    <row r="270" spans="1:127" ht="15.75" customHeight="1" x14ac:dyDescent="0.2">
      <c r="A270" s="33">
        <f t="shared" si="49"/>
        <v>267</v>
      </c>
      <c r="B270" s="11">
        <f>'2026 - WIP'!A23</f>
        <v>21</v>
      </c>
      <c r="C270" s="11">
        <v>2026</v>
      </c>
      <c r="D270" s="34" t="str">
        <f>'2026 - WIP'!B23</f>
        <v>Noah Whittington</v>
      </c>
      <c r="E270" s="224" t="str" cm="1">
        <f t="array" ref="E270">_xlfn.IFS(F270&gt;=13,"Cornerstone",AND(F270&gt;=12,F270&lt;13),"Elite",AND(F270&gt;=11,F270&lt;12),"Elite Upside",AND(F270&gt;=9,F270&lt;11),"Upside",AND(F270&gt;=7,F270&lt;9),"Upside Lite",AND(F270&gt;=6,F270&lt;7),"Outlier",AND(F270&gt;=5,F270&lt;6),"Outlier Lite",F270&lt;5,"Purgatory")</f>
        <v>Purgatory</v>
      </c>
      <c r="F270" s="14">
        <f>'2026 - WIP'!C23</f>
        <v>4.0555555555555554</v>
      </c>
      <c r="G270" s="14">
        <f t="shared" si="54"/>
        <v>18</v>
      </c>
      <c r="H270" s="35">
        <f t="shared" si="50"/>
        <v>-1.6704079239990823</v>
      </c>
      <c r="I270" s="36" t="str">
        <f>'2026 - WIP'!D23</f>
        <v>Oregon</v>
      </c>
      <c r="J270" s="37">
        <f>'2026 - WIP'!E23</f>
        <v>2</v>
      </c>
      <c r="K270" s="38">
        <f>'2026 - WIP'!F23</f>
        <v>37043</v>
      </c>
      <c r="L270" s="39">
        <f>'2026 - WIP'!G23</f>
        <v>24.339726027397262</v>
      </c>
      <c r="M270" s="39" t="str">
        <f>'2026 - WIP'!H23</f>
        <v>RS SR</v>
      </c>
      <c r="N270" s="39">
        <f>'2026 - WIP'!I23</f>
        <v>24.920547945205481</v>
      </c>
      <c r="O270" s="39" t="str">
        <f t="shared" si="51"/>
        <v>DYNAMIC</v>
      </c>
      <c r="P270" s="39" t="str">
        <f>IF(OR(AND($AA270&lt;0.25,$AO270&gt;=0.133,AE270&gt;4%),(AND($O270="JITTERBUG",$AO270&gt;0.11)),(AND($O270="JITTERBUG",$AE270&gt;9.5%))),"+RECEIVER",IF(AND($AJ270&gt;=0.25,$AQ270&gt;=3.81),"3DOWN",IF($AQ270&gt;=3.81,"HORSE",IF(OR(AJ270&gt;0.28,AK270&gt;7,AR270&gt;47),"SLASHER",IF(AO270&gt;0.19,"+RECEIVER","PLODDER")))))</f>
        <v>SLASHER</v>
      </c>
      <c r="Q270" s="37">
        <f>'2026 - WIP'!J23</f>
        <v>68</v>
      </c>
      <c r="R270" s="37">
        <f>'2026 - WIP'!K23</f>
        <v>200</v>
      </c>
      <c r="S270" s="39">
        <f t="shared" si="53"/>
        <v>30.40955908901438</v>
      </c>
      <c r="T270" s="39">
        <f>'2026 - WIP'!L23</f>
        <v>4.5</v>
      </c>
      <c r="U270" s="55">
        <f>'2026 - WIP'!M23</f>
        <v>0</v>
      </c>
      <c r="V270" s="41">
        <f>'2026 - WIP'!N23</f>
        <v>0.10515688101894999</v>
      </c>
      <c r="W270" s="42">
        <f>'2026 - WIP'!O23</f>
        <v>0.14538189641924082</v>
      </c>
      <c r="X270" s="42">
        <f>'2026 - WIP'!P23</f>
        <v>0.10538200978547234</v>
      </c>
      <c r="Y270" s="42">
        <f>'2026 - WIP'!Q23</f>
        <v>0.11038536903984324</v>
      </c>
      <c r="Z270" s="42">
        <f>'2026 - WIP'!R23</f>
        <v>0.10515873015873016</v>
      </c>
      <c r="AA270" s="42">
        <f>'2026 - WIP'!S23</f>
        <v>0.1252703132889855</v>
      </c>
      <c r="AB270" s="42">
        <f>'2026 - WIP'!T23</f>
        <v>0.1252703132889855</v>
      </c>
      <c r="AC270" s="42">
        <f>'2026 - WIP'!U23</f>
        <v>3.4755941732685917E-2</v>
      </c>
      <c r="AD270" s="42">
        <f>'2026 - WIP'!V23</f>
        <v>0</v>
      </c>
      <c r="AE270" s="42">
        <f>'2026 - WIP'!W23</f>
        <v>1.7377970866342959E-2</v>
      </c>
      <c r="AF270" s="43">
        <f>'2026 - WIP'!X23</f>
        <v>1.7377970866342959E-2</v>
      </c>
      <c r="AG270" s="44" t="str">
        <f>'2026 - WIP'!Y23</f>
        <v>N/A</v>
      </c>
      <c r="AH270" s="45">
        <f>'2026 - WIP'!Z23</f>
        <v>97.546105776558448</v>
      </c>
      <c r="AI270" s="45">
        <f>'2026 - WIP'!AA23</f>
        <v>30.406574394463664</v>
      </c>
      <c r="AJ270" s="45">
        <f>'2026 - WIP'!AB23</f>
        <v>0.21186440677966101</v>
      </c>
      <c r="AK270" s="45">
        <f>'2026 - WIP'!AC23</f>
        <v>11.357142857142858</v>
      </c>
      <c r="AL270" s="45">
        <f t="shared" si="52"/>
        <v>6.1363636363636367</v>
      </c>
      <c r="AM270" s="45">
        <f t="shared" si="46"/>
        <v>0</v>
      </c>
      <c r="AN270" s="45">
        <f>'2026 - WIP'!AD23</f>
        <v>101</v>
      </c>
      <c r="AO270" s="45">
        <f>'2026 - WIP'!AE23</f>
        <v>4.71</v>
      </c>
      <c r="AP270" s="46">
        <f>'2026 - WIP'!AF23</f>
        <v>59.1</v>
      </c>
      <c r="AQ270" s="47">
        <f>'2026 - WIP'!AG23</f>
        <v>1</v>
      </c>
      <c r="AR270" s="48">
        <f>'2026 - WIP'!AH23</f>
        <v>1</v>
      </c>
      <c r="AS270" s="48">
        <f>'2026 - WIP'!AI23</f>
        <v>0</v>
      </c>
      <c r="AT270" s="48">
        <f>'2026 - WIP'!AJ23</f>
        <v>4</v>
      </c>
      <c r="AU270" s="48">
        <f>'2026 - WIP'!AK23</f>
        <v>4</v>
      </c>
      <c r="AV270" s="48">
        <f>'2026 - WIP'!AL23</f>
        <v>10</v>
      </c>
      <c r="AW270" s="48">
        <f>'2026 - WIP'!AM23</f>
        <v>4</v>
      </c>
      <c r="AX270" s="48">
        <f>'2026 - WIP'!AN23</f>
        <v>7</v>
      </c>
      <c r="AY270" s="49">
        <f>'2026 - WIP'!AO23</f>
        <v>0</v>
      </c>
      <c r="AZ270" s="50">
        <f>'2026 - WIP'!AP23</f>
        <v>1</v>
      </c>
      <c r="BA270" s="56">
        <f>'2026 - WIP'!AQ23</f>
        <v>619</v>
      </c>
      <c r="BB270" s="57">
        <f>'2026 - WIP'!AR23</f>
        <v>1233.5999999999999</v>
      </c>
      <c r="BC270" s="57">
        <f>'2026 - WIP'!AS23</f>
        <v>2</v>
      </c>
      <c r="BD270" s="57">
        <f>'2026 - WIP'!AT23</f>
        <v>10.8</v>
      </c>
      <c r="BE270" s="57">
        <f>'2026 - WIP'!AU23</f>
        <v>102</v>
      </c>
      <c r="BF270" s="57">
        <f>'2026 - WIP'!AV23</f>
        <v>13</v>
      </c>
      <c r="BG270" s="58">
        <f>'2026 - WIP'!AW23</f>
        <v>6.0686274509803919</v>
      </c>
      <c r="BH270" s="58">
        <f>'2026 - WIP'!AX23</f>
        <v>38.6</v>
      </c>
      <c r="BI270" s="58">
        <f>'2026 - WIP'!AY23</f>
        <v>2.93</v>
      </c>
      <c r="BJ270" s="58">
        <f>'2026 - WIP'!AZ23</f>
        <v>26.8</v>
      </c>
      <c r="BK270" s="57">
        <f>'2026 - WIP'!BA23</f>
        <v>58</v>
      </c>
      <c r="BL270" s="57">
        <f>'2026 - WIP'!BB23</f>
        <v>5204.3999999999996</v>
      </c>
      <c r="BM270" s="57">
        <f>'2026 - WIP'!BC23</f>
        <v>12</v>
      </c>
      <c r="BN270" s="57">
        <f>'2026 - WIP'!BD23</f>
        <v>0</v>
      </c>
      <c r="BO270" s="59">
        <f>'2026 - WIP'!BE23</f>
        <v>54</v>
      </c>
      <c r="BP270" s="56">
        <f>'2026 - WIP'!BF23</f>
        <v>777</v>
      </c>
      <c r="BQ270" s="57">
        <f>'2026 - WIP'!BG23</f>
        <v>2805</v>
      </c>
      <c r="BR270" s="57">
        <f>'2026 - WIP'!BH23</f>
        <v>5</v>
      </c>
      <c r="BS270" s="57">
        <f>'2026 - WIP'!BI23</f>
        <v>34</v>
      </c>
      <c r="BT270" s="57">
        <f>'2026 - WIP'!BJ23</f>
        <v>140</v>
      </c>
      <c r="BU270" s="57">
        <f>'2026 - WIP'!BK23</f>
        <v>25</v>
      </c>
      <c r="BV270" s="58">
        <f>'2026 - WIP'!BL23</f>
        <v>5.55</v>
      </c>
      <c r="BW270" s="58">
        <f>'2026 - WIP'!BM23</f>
        <v>54.9</v>
      </c>
      <c r="BX270" s="58">
        <f>'2026 - WIP'!BN23</f>
        <v>3.18</v>
      </c>
      <c r="BY270" s="58">
        <f>'2026 - WIP'!BO23</f>
        <v>23.9</v>
      </c>
      <c r="BZ270" s="57">
        <f>'2026 - WIP'!BP23</f>
        <v>169</v>
      </c>
      <c r="CA270" s="57">
        <f>'2026 - WIP'!BQ23</f>
        <v>3702</v>
      </c>
      <c r="CB270" s="57">
        <f>'2026 - WIP'!BR23</f>
        <v>22</v>
      </c>
      <c r="CC270" s="57">
        <f>'2026 - WIP'!BS23</f>
        <v>1</v>
      </c>
      <c r="CD270" s="59">
        <f>'2026 - WIP'!BT23</f>
        <v>30</v>
      </c>
      <c r="CE270" s="56">
        <f>'2026 - WIP'!BU23</f>
        <v>182</v>
      </c>
      <c r="CF270" s="57">
        <f>'2026 - WIP'!BV23</f>
        <v>738</v>
      </c>
      <c r="CG270" s="57">
        <f>'2026 - WIP'!BW23</f>
        <v>2</v>
      </c>
      <c r="CH270" s="57">
        <f>'2026 - WIP'!BX23</f>
        <v>9.6</v>
      </c>
      <c r="CI270" s="57">
        <f>'2026 - WIP'!BY23</f>
        <v>22</v>
      </c>
      <c r="CJ270" s="57">
        <f>'2026 - WIP'!BZ23</f>
        <v>2</v>
      </c>
      <c r="CK270" s="58">
        <f>'2026 - WIP'!CA23</f>
        <v>8.2727272727272734</v>
      </c>
      <c r="CL270" s="58">
        <f>'2026 - WIP'!CB23</f>
        <v>77.3</v>
      </c>
      <c r="CM270" s="58">
        <f>'2026 - WIP'!CC23</f>
        <v>3.86</v>
      </c>
      <c r="CN270" s="58">
        <f>'2026 - WIP'!CD23</f>
        <v>75.3</v>
      </c>
      <c r="CO270" s="57">
        <f>'2026 - WIP'!CE23</f>
        <v>42</v>
      </c>
      <c r="CP270" s="57">
        <f>'2026 - WIP'!CF23</f>
        <v>1387.6</v>
      </c>
      <c r="CQ270" s="57">
        <f>'2026 - WIP'!CG23</f>
        <v>8</v>
      </c>
      <c r="CR270" s="57">
        <f>'2026 - WIP'!CH23</f>
        <v>0</v>
      </c>
      <c r="CS270" s="59">
        <f>'2026 - WIP'!CI23</f>
        <v>14</v>
      </c>
      <c r="CT270" s="56">
        <f>'2026 - WIP'!CJ23</f>
        <v>540</v>
      </c>
      <c r="CU270" s="57">
        <f>'2026 - WIP'!CK23</f>
        <v>2211</v>
      </c>
      <c r="CV270" s="57">
        <f>'2026 - WIP'!CL23</f>
        <v>6</v>
      </c>
      <c r="CW270" s="57">
        <f>'2026 - WIP'!CM23</f>
        <v>30</v>
      </c>
      <c r="CX270" s="57">
        <f>'2026 - WIP'!CN23</f>
        <v>118</v>
      </c>
      <c r="CY270" s="57">
        <f>'2026 - WIP'!CO23</f>
        <v>25</v>
      </c>
      <c r="CZ270" s="58">
        <f>'2026 - WIP'!CP23</f>
        <v>4.5762711864406782</v>
      </c>
      <c r="DA270" s="58">
        <f>'2026 - WIP'!CQ23</f>
        <v>68.7</v>
      </c>
      <c r="DB270" s="58">
        <f>'2026 - WIP'!CR23</f>
        <v>2.96</v>
      </c>
      <c r="DC270" s="58">
        <f>'2026 - WIP'!CS23</f>
        <v>41.5</v>
      </c>
      <c r="DD270" s="57">
        <f>'2026 - WIP'!CT23</f>
        <v>136</v>
      </c>
      <c r="DE270" s="57">
        <f>'2026 - WIP'!CU23</f>
        <v>3913</v>
      </c>
      <c r="DF270" s="57">
        <f>'2026 - WIP'!CV23</f>
        <v>24</v>
      </c>
      <c r="DG270" s="57">
        <f>'2026 - WIP'!CW23</f>
        <v>2</v>
      </c>
      <c r="DH270" s="59">
        <f>'2026 - WIP'!CX23</f>
        <v>30</v>
      </c>
      <c r="DI270" s="56">
        <f>'2026 - WIP'!CY23</f>
        <v>159</v>
      </c>
      <c r="DJ270" s="57">
        <f>'2026 - WIP'!CZ23</f>
        <v>743</v>
      </c>
      <c r="DK270" s="57">
        <f>'2026 - WIP'!DA23</f>
        <v>0</v>
      </c>
      <c r="DL270" s="57">
        <f>'2026 - WIP'!DB23</f>
        <v>0</v>
      </c>
      <c r="DM270" s="57">
        <f>'2026 - WIP'!DC23</f>
        <v>14</v>
      </c>
      <c r="DN270" s="57">
        <f>'2026 - WIP'!DD23</f>
        <v>3</v>
      </c>
      <c r="DO270" s="58">
        <f>'2026 - WIP'!DE23</f>
        <v>11.357142857142858</v>
      </c>
      <c r="DP270" s="58">
        <f>'2026 - WIP'!DF23</f>
        <v>101</v>
      </c>
      <c r="DQ270" s="58">
        <f>'2026 - WIP'!DG23</f>
        <v>4.71</v>
      </c>
      <c r="DR270" s="58">
        <f>'2026 - WIP'!DH23</f>
        <v>59.1</v>
      </c>
      <c r="DS270" s="57">
        <f>'2026 - WIP'!DI23</f>
        <v>0</v>
      </c>
      <c r="DT270" s="57">
        <f>'2026 - WIP'!DJ23</f>
        <v>769</v>
      </c>
      <c r="DU270" s="57">
        <f>'2026 - WIP'!DK23</f>
        <v>0</v>
      </c>
      <c r="DV270" s="57">
        <f>'2026 - WIP'!DL23</f>
        <v>0</v>
      </c>
      <c r="DW270" s="59">
        <f>'2026 - WIP'!DM23</f>
        <v>0</v>
      </c>
    </row>
    <row r="271" spans="1:127" ht="15.75" customHeight="1" x14ac:dyDescent="0.2">
      <c r="A271" s="33">
        <f t="shared" si="49"/>
        <v>269</v>
      </c>
      <c r="B271" s="11">
        <f>'2020'!A20</f>
        <v>18</v>
      </c>
      <c r="C271" s="11">
        <v>2020</v>
      </c>
      <c r="D271" s="34" t="str">
        <f>'2020'!B20</f>
        <v>Rico Dowdle</v>
      </c>
      <c r="E271" s="224" t="str" cm="1">
        <f t="array" ref="E271">_xlfn.IFS(F271&gt;=13,"Cornerstone",AND(F271&gt;=12,F271&lt;13),"Elite",AND(F271&gt;=11,F271&lt;12),"Elite Upside",AND(F271&gt;=9,F271&lt;11),"Upside",AND(F271&gt;=7,F271&lt;9),"Upside Lite",AND(F271&gt;=6,F271&lt;7),"Outlier",AND(F271&gt;=5,F271&lt;6),"Outlier Lite",F271&lt;5,"Purgatory")</f>
        <v>Purgatory</v>
      </c>
      <c r="F271" s="14">
        <f>'2020'!C20</f>
        <v>4.0444444444444452</v>
      </c>
      <c r="G271" s="14">
        <f t="shared" si="54"/>
        <v>17.7</v>
      </c>
      <c r="H271" s="35">
        <f t="shared" si="50"/>
        <v>-1.6751104247128559</v>
      </c>
      <c r="I271" s="36" t="str">
        <f>'2020'!D20</f>
        <v>South Carolina</v>
      </c>
      <c r="J271" s="37">
        <f>'2020'!E20</f>
        <v>1</v>
      </c>
      <c r="K271" s="38">
        <f>'2020'!F20</f>
        <v>35960</v>
      </c>
      <c r="L271" s="39">
        <f>'2020'!G20</f>
        <v>27.306849315068494</v>
      </c>
      <c r="M271" s="39" t="str">
        <f>'2020'!H20</f>
        <v>SR</v>
      </c>
      <c r="N271" s="39">
        <f>'2020'!I20</f>
        <v>21.873972602739727</v>
      </c>
      <c r="O271" s="39" t="str">
        <f t="shared" si="51"/>
        <v>BELL COW</v>
      </c>
      <c r="P271" s="39" t="str">
        <f t="shared" ref="P271:P276" si="55">IF(OR(AND($AA271&lt;0.25,$AM271&gt;=0.133,AE271&gt;4%),(AND($O271="JITTERBUG",$AM271&gt;0.11)),(AND($O271="JITTERBUG",$AE271&gt;9.5%))),"+RECEIVER",IF(AND($AJ271&gt;=0.25,$AO271&gt;=3.81),"3DOWN",IF($AO271&gt;=3.81,"HORSE",IF(OR(AJ271&gt;0.28,AK271&gt;7,AP271&gt;47),"SLASHER",IF(AM271&gt;0.19,"+RECEIVER","PLODDER")))))</f>
        <v>+RECEIVER</v>
      </c>
      <c r="Q271" s="37">
        <f>'2020'!J20</f>
        <v>71</v>
      </c>
      <c r="R271" s="37">
        <f>'2020'!K20</f>
        <v>209</v>
      </c>
      <c r="S271" s="39">
        <f t="shared" si="53"/>
        <v>29.149260520302434</v>
      </c>
      <c r="T271" s="37">
        <f>'2020'!L20</f>
        <v>4.54</v>
      </c>
      <c r="U271" s="40">
        <f>'2020'!M20</f>
        <v>0</v>
      </c>
      <c r="V271" s="41">
        <f>'2020'!N20</f>
        <v>0</v>
      </c>
      <c r="W271" s="42">
        <f>'2020'!O20</f>
        <v>0.17817618415227976</v>
      </c>
      <c r="X271" s="42">
        <f>'2020'!P20</f>
        <v>8.6946599726152443E-2</v>
      </c>
      <c r="Y271" s="42">
        <f>'2020'!Q20</f>
        <v>0.14187601662750768</v>
      </c>
      <c r="Z271" s="42">
        <f>'2020'!R20</f>
        <v>0.14900291283889761</v>
      </c>
      <c r="AA271" s="42">
        <f>'2020'!S20</f>
        <v>0.16358954849558868</v>
      </c>
      <c r="AB271" s="42">
        <f>'2020'!T20</f>
        <v>0.16358954849558868</v>
      </c>
      <c r="AC271" s="42">
        <f>'2020'!U20</f>
        <v>3.7496475895122637E-2</v>
      </c>
      <c r="AD271" s="42">
        <f>'2020'!V20</f>
        <v>6.2617172853393327E-2</v>
      </c>
      <c r="AE271" s="42">
        <f>'2020'!W20</f>
        <v>6.2617172853393327E-2</v>
      </c>
      <c r="AF271" s="43">
        <f>'2020'!X20</f>
        <v>6.2617172853393327E-2</v>
      </c>
      <c r="AG271" s="44">
        <f>'2020'!Y20</f>
        <v>18.227397260273971</v>
      </c>
      <c r="AH271" s="45">
        <f>'2020'!Z20</f>
        <v>98.390432663316361</v>
      </c>
      <c r="AI271" s="45">
        <f>'2020'!AA20</f>
        <v>29.146399523903987</v>
      </c>
      <c r="AJ271" s="45">
        <f>'2020'!AB20</f>
        <v>0.20754716981132076</v>
      </c>
      <c r="AK271" s="45">
        <f>'2020'!AC20</f>
        <v>5.3</v>
      </c>
      <c r="AL271" s="45">
        <f t="shared" si="52"/>
        <v>9.66</v>
      </c>
      <c r="AM271" s="45">
        <f t="shared" si="46"/>
        <v>0.171875</v>
      </c>
      <c r="AN271" s="45">
        <f>'2020'!AD20</f>
        <v>69.3</v>
      </c>
      <c r="AO271" s="45">
        <f>'2020'!AE20</f>
        <v>3.36</v>
      </c>
      <c r="AP271" s="46">
        <f>'2020'!AF20</f>
        <v>42.2</v>
      </c>
      <c r="AQ271" s="47">
        <f>'2020'!AG20</f>
        <v>2</v>
      </c>
      <c r="AR271" s="48">
        <f>'2020'!AH20</f>
        <v>6</v>
      </c>
      <c r="AS271" s="48">
        <f>'2020'!AI20</f>
        <v>10</v>
      </c>
      <c r="AT271" s="48">
        <f>IF(AH271&gt;113.25,10,IF(AH271&gt;=107.84,9,IF(AH271&gt;=105.37,8,IF(AH271&gt;=103.25,7,IF(AH271&gt;=100.55,6,IF(AH271&gt;=98.75,5,IF(AH271&gt;=96.08,4,IF(AH271&gt;=94.39,3,IF(AH271&gt;=88.43,2,IF(AH271&gt;=85.16,1,IF(AH271&lt;85.16,0,FALSE)))))))))))</f>
        <v>4</v>
      </c>
      <c r="AU271" s="48">
        <f>'2020'!AK20</f>
        <v>4</v>
      </c>
      <c r="AV271" s="48">
        <f>'2020'!AL20</f>
        <v>2</v>
      </c>
      <c r="AW271" s="48">
        <f>'2020'!AM20</f>
        <v>1</v>
      </c>
      <c r="AX271" s="48">
        <f>'2020'!AN20</f>
        <v>1</v>
      </c>
      <c r="AY271" s="49">
        <f>IF(U271=1,10,IF(U271=2,7,IF(U271=3,6,IF(U271=4,4,IF(U271=5,3,IF(U271=6,2,IF(U271=7,1,IF(U271=0,0,"-"))))))))</f>
        <v>0</v>
      </c>
      <c r="AZ271" s="50">
        <f>'2020'!AP20</f>
        <v>0</v>
      </c>
      <c r="BA271" s="56">
        <f>'2020'!AQ20</f>
        <v>0</v>
      </c>
      <c r="BB271" s="57">
        <f>'2020'!AR20</f>
        <v>1856</v>
      </c>
      <c r="BC271" s="57">
        <f>'2020'!AS20</f>
        <v>0</v>
      </c>
      <c r="BD271" s="57">
        <f>'2020'!AT20</f>
        <v>11</v>
      </c>
      <c r="BE271" s="57">
        <f>'2020'!AU20</f>
        <v>0</v>
      </c>
      <c r="BF271" s="57">
        <f>'2020'!AV20</f>
        <v>0</v>
      </c>
      <c r="BG271" s="58">
        <f>'2020'!AW20</f>
        <v>0</v>
      </c>
      <c r="BH271" s="58">
        <f>'2020'!AX20</f>
        <v>0</v>
      </c>
      <c r="BI271" s="58">
        <f>'2020'!AY20</f>
        <v>0</v>
      </c>
      <c r="BJ271" s="58">
        <f>'2020'!AZ20</f>
        <v>0</v>
      </c>
      <c r="BK271" s="57">
        <f>'2020'!BA20</f>
        <v>0</v>
      </c>
      <c r="BL271" s="57">
        <f>'2020'!BB20</f>
        <v>2490</v>
      </c>
      <c r="BM271" s="57">
        <f>'2020'!BC20</f>
        <v>0</v>
      </c>
      <c r="BN271" s="57">
        <f>'2020'!BD20</f>
        <v>0</v>
      </c>
      <c r="BO271" s="59">
        <f>'2020'!BE20</f>
        <v>17</v>
      </c>
      <c r="BP271" s="56">
        <f>'2020'!BF20</f>
        <v>750</v>
      </c>
      <c r="BQ271" s="57">
        <f>'2020'!BG20</f>
        <v>1747</v>
      </c>
      <c r="BR271" s="57">
        <f>'2020'!BH20</f>
        <v>6</v>
      </c>
      <c r="BS271" s="57">
        <f>'2020'!BI20</f>
        <v>20</v>
      </c>
      <c r="BT271" s="57">
        <f>'2020'!BJ20</f>
        <v>134</v>
      </c>
      <c r="BU271" s="57">
        <f>'2020'!BK20</f>
        <v>29</v>
      </c>
      <c r="BV271" s="58">
        <f>'2020'!BL20</f>
        <v>5.6</v>
      </c>
      <c r="BW271" s="58">
        <f>'2020'!BM20</f>
        <v>69.099999999999994</v>
      </c>
      <c r="BX271" s="58">
        <f>'2020'!BN20</f>
        <v>3.32</v>
      </c>
      <c r="BY271" s="58">
        <f>'2020'!BO20</f>
        <v>36.9</v>
      </c>
      <c r="BZ271" s="57">
        <f>'2020'!BP20</f>
        <v>55</v>
      </c>
      <c r="CA271" s="57">
        <f>'2020'!BQ20</f>
        <v>2771</v>
      </c>
      <c r="CB271" s="57">
        <f>'2020'!BR20</f>
        <v>15</v>
      </c>
      <c r="CC271" s="57">
        <f>'2020'!BS20</f>
        <v>0</v>
      </c>
      <c r="CD271" s="59">
        <f>'2020'!BT20</f>
        <v>12</v>
      </c>
      <c r="CE271" s="56">
        <f>'2020'!BU20</f>
        <v>253</v>
      </c>
      <c r="CF271" s="57">
        <f>'2020'!BV20</f>
        <v>1588</v>
      </c>
      <c r="CG271" s="57">
        <f>'2020'!BW20</f>
        <v>2</v>
      </c>
      <c r="CH271" s="57">
        <f>'2020'!BX20</f>
        <v>16</v>
      </c>
      <c r="CI271" s="57">
        <f>'2020'!BY20</f>
        <v>65</v>
      </c>
      <c r="CJ271" s="57">
        <f>'2020'!BZ20</f>
        <v>10</v>
      </c>
      <c r="CK271" s="58">
        <f>'2020'!CA20</f>
        <v>3.9</v>
      </c>
      <c r="CL271" s="58">
        <f>'2020'!CB20</f>
        <v>47.4</v>
      </c>
      <c r="CM271" s="58">
        <f>'2020'!CC20</f>
        <v>2.77</v>
      </c>
      <c r="CN271" s="58">
        <f>'2020'!CD20</f>
        <v>18.600000000000001</v>
      </c>
      <c r="CO271" s="57">
        <f>'2020'!CE20</f>
        <v>128</v>
      </c>
      <c r="CP271" s="57">
        <f>'2020'!CF20</f>
        <v>2794</v>
      </c>
      <c r="CQ271" s="57">
        <f>'2020'!CG20</f>
        <v>11</v>
      </c>
      <c r="CR271" s="57">
        <f>'2020'!CH20</f>
        <v>0</v>
      </c>
      <c r="CS271" s="59">
        <f>'2020'!CI20</f>
        <v>18</v>
      </c>
      <c r="CT271" s="56">
        <f>'2020'!CJ20</f>
        <v>652</v>
      </c>
      <c r="CU271" s="57">
        <f>'2020'!CK20</f>
        <v>1986</v>
      </c>
      <c r="CV271" s="57">
        <f>'2020'!CL20</f>
        <v>4</v>
      </c>
      <c r="CW271" s="57">
        <f>'2020'!CM20</f>
        <v>15</v>
      </c>
      <c r="CX271" s="57">
        <f>'2020'!CN20</f>
        <v>123</v>
      </c>
      <c r="CY271" s="57">
        <f>'2020'!CO20</f>
        <v>18</v>
      </c>
      <c r="CZ271" s="58">
        <f>'2020'!CP20</f>
        <v>5.3</v>
      </c>
      <c r="DA271" s="58">
        <f>'2020'!CQ20</f>
        <v>49</v>
      </c>
      <c r="DB271" s="58">
        <f>'2020'!CR20</f>
        <v>3.36</v>
      </c>
      <c r="DC271" s="58">
        <f>'2020'!CS20</f>
        <v>40</v>
      </c>
      <c r="DD271" s="57">
        <f>'2020'!CT20</f>
        <v>133</v>
      </c>
      <c r="DE271" s="57">
        <f>'2020'!CU20</f>
        <v>3547</v>
      </c>
      <c r="DF271" s="57">
        <f>'2020'!CV20</f>
        <v>2</v>
      </c>
      <c r="DG271" s="57">
        <f>'2020'!CW20</f>
        <v>0</v>
      </c>
      <c r="DH271" s="59">
        <f>'2020'!CX20</f>
        <v>32</v>
      </c>
      <c r="DI271" s="56">
        <f>'2020'!CY20</f>
        <v>498</v>
      </c>
      <c r="DJ271" s="57">
        <f>'2020'!CZ20</f>
        <v>1796</v>
      </c>
      <c r="DK271" s="57">
        <f>'2020'!DA20</f>
        <v>4</v>
      </c>
      <c r="DL271" s="57">
        <f>'2020'!DB20</f>
        <v>18</v>
      </c>
      <c r="DM271" s="57">
        <f>'2020'!DC20</f>
        <v>106</v>
      </c>
      <c r="DN271" s="57">
        <f>'2020'!DD20</f>
        <v>22</v>
      </c>
      <c r="DO271" s="58">
        <f>'2020'!DE20</f>
        <v>4.7</v>
      </c>
      <c r="DP271" s="58">
        <f>'2020'!DF20</f>
        <v>69.3</v>
      </c>
      <c r="DQ271" s="58">
        <f>'2020'!DG20</f>
        <v>3.06</v>
      </c>
      <c r="DR271" s="58">
        <f>'2020'!DH20</f>
        <v>42.2</v>
      </c>
      <c r="DS271" s="57">
        <f>'2020'!DI20</f>
        <v>167</v>
      </c>
      <c r="DT271" s="57">
        <f>'2020'!DJ20</f>
        <v>2667</v>
      </c>
      <c r="DU271" s="57">
        <f>'2020'!DK20</f>
        <v>22</v>
      </c>
      <c r="DV271" s="57">
        <f>'2020'!DL20</f>
        <v>0</v>
      </c>
      <c r="DW271" s="59">
        <f>'2020'!DM20</f>
        <v>12</v>
      </c>
    </row>
    <row r="272" spans="1:127" ht="15.75" customHeight="1" x14ac:dyDescent="0.2">
      <c r="A272" s="33">
        <f t="shared" si="49"/>
        <v>270</v>
      </c>
      <c r="B272" s="11">
        <f>'2022'!A30</f>
        <v>28</v>
      </c>
      <c r="C272" s="11">
        <v>2022</v>
      </c>
      <c r="D272" s="34" t="str">
        <f>'2022'!B30</f>
        <v>Brittain Brown</v>
      </c>
      <c r="E272" s="224" t="str" cm="1">
        <f t="array" ref="E272">_xlfn.IFS(F272&gt;=13,"Cornerstone",AND(F272&gt;=12,F272&lt;13),"Elite",AND(F272&gt;=11,F272&lt;12),"Elite Upside",AND(F272&gt;=9,F272&lt;11),"Upside",AND(F272&gt;=7,F272&lt;9),"Upside Lite",AND(F272&gt;=6,F272&lt;7),"Outlier",AND(F272&gt;=5,F272&lt;6),"Outlier Lite",F272&lt;5,"Purgatory")</f>
        <v>Purgatory</v>
      </c>
      <c r="F272" s="14">
        <f>'2022'!C30</f>
        <v>4.0333333333333332</v>
      </c>
      <c r="G272" s="14">
        <f t="shared" si="54"/>
        <v>17.399999999999999</v>
      </c>
      <c r="H272" s="35">
        <f t="shared" si="50"/>
        <v>-1.6798129254266299</v>
      </c>
      <c r="I272" s="36" t="str">
        <f>'2022'!D30</f>
        <v>UCLA</v>
      </c>
      <c r="J272" s="37">
        <f>'2022'!E30</f>
        <v>5</v>
      </c>
      <c r="K272" s="38">
        <f>'2022'!F30</f>
        <v>35713</v>
      </c>
      <c r="L272" s="39">
        <f>'2022'!G30</f>
        <v>27.983561643835618</v>
      </c>
      <c r="M272" s="39" t="str">
        <f>'2022'!H30</f>
        <v>RS SR</v>
      </c>
      <c r="N272" s="39">
        <f>'2022'!I30</f>
        <v>24.564383561643837</v>
      </c>
      <c r="O272" s="39" t="str">
        <f t="shared" si="51"/>
        <v>BELL COW</v>
      </c>
      <c r="P272" s="39" t="str">
        <f t="shared" si="55"/>
        <v>+RECEIVER</v>
      </c>
      <c r="Q272" s="37">
        <f>'2022'!J30</f>
        <v>73</v>
      </c>
      <c r="R272" s="37">
        <f>'2022'!K30</f>
        <v>205</v>
      </c>
      <c r="S272" s="39">
        <f t="shared" si="53"/>
        <v>27.046189952766476</v>
      </c>
      <c r="T272" s="37">
        <f>'2022'!L30</f>
        <v>4.6900000000000004</v>
      </c>
      <c r="U272" s="40">
        <f>'2022'!M30</f>
        <v>7</v>
      </c>
      <c r="V272" s="41">
        <f>'2022'!N30</f>
        <v>0.20315442561205274</v>
      </c>
      <c r="W272" s="42">
        <f>'2022'!O30</f>
        <v>8.2657702194977256E-2</v>
      </c>
      <c r="X272" s="42">
        <f>'2022'!P30</f>
        <v>1.7441860465116279E-2</v>
      </c>
      <c r="Y272" s="42">
        <f>'2022'!Q30</f>
        <v>0.1543194683731233</v>
      </c>
      <c r="Z272" s="42">
        <f>'2022'!R30</f>
        <v>0.14067220543806647</v>
      </c>
      <c r="AA272" s="42">
        <f>'2022'!S30</f>
        <v>0.17191331552505962</v>
      </c>
      <c r="AB272" s="42">
        <f>'2022'!T30</f>
        <v>0.14612631819630068</v>
      </c>
      <c r="AC272" s="42">
        <f>'2022'!U30</f>
        <v>3.429971416904859E-2</v>
      </c>
      <c r="AD272" s="42">
        <f>'2022'!V30</f>
        <v>4.7531319086219603E-2</v>
      </c>
      <c r="AE272" s="42">
        <f>'2022'!W30</f>
        <v>4.7531319086219603E-2</v>
      </c>
      <c r="AF272" s="43">
        <f>'2022'!X30</f>
        <v>4.0401621223286659E-2</v>
      </c>
      <c r="AG272" s="44">
        <f>'2022'!Y30</f>
        <v>19.904109589041095</v>
      </c>
      <c r="AH272" s="45">
        <f>'2022'!Z30</f>
        <v>84.740785598969893</v>
      </c>
      <c r="AI272" s="45">
        <f>'2022'!AA30</f>
        <v>27.043535372490147</v>
      </c>
      <c r="AJ272" s="45">
        <f>'2022'!AB30</f>
        <v>0.22549019607843138</v>
      </c>
      <c r="AK272" s="45">
        <f>'2022'!AC30</f>
        <v>6.6</v>
      </c>
      <c r="AL272" s="45">
        <f t="shared" si="52"/>
        <v>10.775</v>
      </c>
      <c r="AM272" s="45">
        <f t="shared" si="46"/>
        <v>0.15</v>
      </c>
      <c r="AN272" s="45">
        <f>'2022'!AD30</f>
        <v>98</v>
      </c>
      <c r="AO272" s="45">
        <f>'2022'!AE30</f>
        <v>4.79</v>
      </c>
      <c r="AP272" s="46">
        <f>'2022'!AF30</f>
        <v>52.1</v>
      </c>
      <c r="AQ272" s="47">
        <f>'2022'!AG30</f>
        <v>1</v>
      </c>
      <c r="AR272" s="48">
        <f>'2022'!AH30</f>
        <v>4</v>
      </c>
      <c r="AS272" s="48">
        <f>'2022'!AI30</f>
        <v>5</v>
      </c>
      <c r="AT272" s="48">
        <f>IF(AH272&gt;113.25,10,IF(AH272&gt;=107.84,9,IF(AH272&gt;=105.37,8,IF(AH272&gt;=103.25,7,IF(AH272&gt;=100.55,6,IF(AH272&gt;=98.75,5,IF(AH272&gt;=96.08,4,IF(AH272&gt;=94.39,3,IF(AH272&gt;=88.43,2,IF(AH272&gt;=85.16,1,IF(AH272&lt;85.16,0,FALSE)))))))))))</f>
        <v>0</v>
      </c>
      <c r="AU272" s="48">
        <f>'2022'!AK30</f>
        <v>5</v>
      </c>
      <c r="AV272" s="48">
        <f>'2022'!AL30</f>
        <v>6</v>
      </c>
      <c r="AW272" s="48">
        <f>'2022'!AM30</f>
        <v>4</v>
      </c>
      <c r="AX272" s="48">
        <f>'2022'!AN30</f>
        <v>8</v>
      </c>
      <c r="AY272" s="49">
        <f>IF(U272=1,10,IF(U272=2,7,IF(U272=3,6,IF(U272=4,4,IF(U272=5,3,IF(U272=6,2,IF(U272=7,1,IF(U272=0,0,"-"))))))))</f>
        <v>1</v>
      </c>
      <c r="AZ272" s="50">
        <f>'2022'!AP30</f>
        <v>0</v>
      </c>
      <c r="BA272" s="56">
        <f>'2022'!AQ30</f>
        <v>702</v>
      </c>
      <c r="BB272" s="57">
        <f>'2022'!AR30</f>
        <v>1474</v>
      </c>
      <c r="BC272" s="57">
        <f>'2022'!AS30</f>
        <v>7</v>
      </c>
      <c r="BD272" s="57">
        <f>'2022'!AT30</f>
        <v>19</v>
      </c>
      <c r="BE272" s="57">
        <f>'2022'!AU30</f>
        <v>131</v>
      </c>
      <c r="BF272" s="57">
        <f>'2022'!AV30</f>
        <v>26</v>
      </c>
      <c r="BG272" s="58">
        <f>'2022'!AW30</f>
        <v>5.4</v>
      </c>
      <c r="BH272" s="58">
        <f>'2022'!AX30</f>
        <v>56</v>
      </c>
      <c r="BI272" s="58">
        <f>'2022'!AY30</f>
        <v>3.01</v>
      </c>
      <c r="BJ272" s="58">
        <f>'2022'!AZ30</f>
        <v>34.6</v>
      </c>
      <c r="BK272" s="57">
        <f>'2022'!BA30</f>
        <v>161</v>
      </c>
      <c r="BL272" s="57">
        <f>'2022'!BB30</f>
        <v>2774</v>
      </c>
      <c r="BM272" s="57">
        <f>'2022'!BC30</f>
        <v>14</v>
      </c>
      <c r="BN272" s="57">
        <f>'2022'!BD30</f>
        <v>0</v>
      </c>
      <c r="BO272" s="59">
        <f>'2022'!BE30</f>
        <v>16</v>
      </c>
      <c r="BP272" s="56">
        <f>'2022'!BF30</f>
        <v>374</v>
      </c>
      <c r="BQ272" s="57">
        <f>'2022'!BG30</f>
        <v>1858</v>
      </c>
      <c r="BR272" s="57">
        <f>'2022'!BH30</f>
        <v>3</v>
      </c>
      <c r="BS272" s="57">
        <f>'2022'!BI30</f>
        <v>20</v>
      </c>
      <c r="BT272" s="57">
        <f>'2022'!BJ30</f>
        <v>79</v>
      </c>
      <c r="BU272" s="57">
        <f>'2022'!BK30</f>
        <v>13</v>
      </c>
      <c r="BV272" s="58">
        <f>'2022'!BL30</f>
        <v>4.7</v>
      </c>
      <c r="BW272" s="58">
        <f>'2022'!BM30</f>
        <v>44.2</v>
      </c>
      <c r="BX272" s="58">
        <f>'2022'!BN30</f>
        <v>2.72</v>
      </c>
      <c r="BY272" s="58">
        <f>'2022'!BO30</f>
        <v>30.7</v>
      </c>
      <c r="BZ272" s="57">
        <f>'2022'!BP30</f>
        <v>44</v>
      </c>
      <c r="CA272" s="57">
        <f>'2022'!BQ30</f>
        <v>3199</v>
      </c>
      <c r="CB272" s="57">
        <f>'2022'!BR30</f>
        <v>0</v>
      </c>
      <c r="CC272" s="57">
        <f>'2022'!BS30</f>
        <v>0</v>
      </c>
      <c r="CD272" s="59">
        <f>'2022'!BT30</f>
        <v>31</v>
      </c>
      <c r="CE272" s="56">
        <f>'2022'!BU30</f>
        <v>56</v>
      </c>
      <c r="CF272" s="57">
        <f>'2022'!BV30</f>
        <v>1804</v>
      </c>
      <c r="CG272" s="57">
        <f>'2022'!BW30</f>
        <v>0</v>
      </c>
      <c r="CH272" s="57">
        <f>'2022'!BX30</f>
        <v>16</v>
      </c>
      <c r="CI272" s="57">
        <f>'2022'!BY30</f>
        <v>12</v>
      </c>
      <c r="CJ272" s="57">
        <f>'2022'!BZ30</f>
        <v>3</v>
      </c>
      <c r="CK272" s="58">
        <f>'2022'!CA30</f>
        <v>4.7</v>
      </c>
      <c r="CL272" s="58">
        <f>'2022'!CB30</f>
        <v>73.8</v>
      </c>
      <c r="CM272" s="58">
        <f>'2022'!CC30</f>
        <v>2.58</v>
      </c>
      <c r="CN272" s="58">
        <f>'2022'!CD30</f>
        <v>28.6</v>
      </c>
      <c r="CO272" s="57">
        <f>'2022'!CE30</f>
        <v>13</v>
      </c>
      <c r="CP272" s="57">
        <f>'2022'!CF30</f>
        <v>2152</v>
      </c>
      <c r="CQ272" s="57">
        <f>'2022'!CG30</f>
        <v>2</v>
      </c>
      <c r="CR272" s="57">
        <f>'2022'!CH30</f>
        <v>0</v>
      </c>
      <c r="CS272" s="59">
        <f>'2022'!CI30</f>
        <v>18</v>
      </c>
      <c r="CT272" s="56">
        <f>'2022'!CJ30</f>
        <v>543</v>
      </c>
      <c r="CU272" s="57">
        <f>'2022'!CK30</f>
        <v>1614</v>
      </c>
      <c r="CV272" s="57">
        <f>'2022'!CL30</f>
        <v>4</v>
      </c>
      <c r="CW272" s="57">
        <f>'2022'!CM30</f>
        <v>13</v>
      </c>
      <c r="CX272" s="57">
        <f>'2022'!CN30</f>
        <v>82</v>
      </c>
      <c r="CY272" s="57">
        <f>'2022'!CO30</f>
        <v>16</v>
      </c>
      <c r="CZ272" s="58">
        <f>'2022'!CP30</f>
        <v>6.6</v>
      </c>
      <c r="DA272" s="58">
        <f>'2022'!CQ30</f>
        <v>98</v>
      </c>
      <c r="DB272" s="58">
        <f>'2022'!CR30</f>
        <v>4.79</v>
      </c>
      <c r="DC272" s="58">
        <f>'2022'!CS30</f>
        <v>52.1</v>
      </c>
      <c r="DD272" s="57">
        <f>'2022'!CT30</f>
        <v>84</v>
      </c>
      <c r="DE272" s="57">
        <f>'2022'!CU30</f>
        <v>2449</v>
      </c>
      <c r="DF272" s="57">
        <f>'2022'!CV30</f>
        <v>6</v>
      </c>
      <c r="DG272" s="57">
        <f>'2022'!CW30</f>
        <v>0</v>
      </c>
      <c r="DH272" s="59">
        <f>'2022'!CX30</f>
        <v>11</v>
      </c>
      <c r="DI272" s="56">
        <f>'2022'!CY30</f>
        <v>616</v>
      </c>
      <c r="DJ272" s="57">
        <f>'2022'!CZ30</f>
        <v>2582</v>
      </c>
      <c r="DK272" s="57">
        <f>'2022'!DA30</f>
        <v>7</v>
      </c>
      <c r="DL272" s="57">
        <f>'2022'!DB30</f>
        <v>31</v>
      </c>
      <c r="DM272" s="57">
        <f>'2022'!DC30</f>
        <v>102</v>
      </c>
      <c r="DN272" s="57">
        <f>'2022'!DD30</f>
        <v>23</v>
      </c>
      <c r="DO272" s="58">
        <f>'2022'!DE30</f>
        <v>6</v>
      </c>
      <c r="DP272" s="58">
        <f>'2022'!DF30</f>
        <v>81.3</v>
      </c>
      <c r="DQ272" s="58">
        <f>'2022'!DG30</f>
        <v>3.9</v>
      </c>
      <c r="DR272" s="58">
        <f>'2022'!DH30</f>
        <v>42.5</v>
      </c>
      <c r="DS272" s="57">
        <f>'2022'!DI30</f>
        <v>129</v>
      </c>
      <c r="DT272" s="57">
        <f>'2022'!DJ30</f>
        <v>2714</v>
      </c>
      <c r="DU272" s="57">
        <f>'2022'!DK30</f>
        <v>18</v>
      </c>
      <c r="DV272" s="57">
        <f>'2022'!DL30</f>
        <v>0</v>
      </c>
      <c r="DW272" s="59">
        <f>'2022'!DM30</f>
        <v>23</v>
      </c>
    </row>
    <row r="273" spans="1:127" ht="15.75" customHeight="1" x14ac:dyDescent="0.2">
      <c r="A273" s="33">
        <f t="shared" si="49"/>
        <v>271</v>
      </c>
      <c r="B273" s="11">
        <f>'2019'!A25</f>
        <v>23</v>
      </c>
      <c r="C273" s="11">
        <v>2019</v>
      </c>
      <c r="D273" s="34" t="str">
        <f>'2019'!B25</f>
        <v>Ryquell Armstead</v>
      </c>
      <c r="E273" s="224" t="str" cm="1">
        <f t="array" ref="E273">_xlfn.IFS(F273&gt;=13,"Cornerstone",AND(F273&gt;=12,F273&lt;13),"Elite",AND(F273&gt;=11,F273&lt;12),"Elite Upside",AND(F273&gt;=9,F273&lt;11),"Upside",AND(F273&gt;=7,F273&lt;9),"Upside Lite",AND(F273&gt;=6,F273&lt;7),"Outlier",AND(F273&gt;=5,F273&lt;6),"Outlier Lite",F273&lt;5,"Purgatory")</f>
        <v>Purgatory</v>
      </c>
      <c r="F273" s="14">
        <f>'2019'!C25</f>
        <v>4.0111111111111111</v>
      </c>
      <c r="G273" s="14">
        <f t="shared" si="54"/>
        <v>17.100000000000001</v>
      </c>
      <c r="H273" s="35">
        <f t="shared" si="50"/>
        <v>-1.6892179268541774</v>
      </c>
      <c r="I273" s="36" t="str">
        <f>'2019'!D25</f>
        <v>Temple</v>
      </c>
      <c r="J273" s="37">
        <f>'2019'!E25</f>
        <v>6</v>
      </c>
      <c r="K273" s="38">
        <f>'2019'!F25</f>
        <v>35368</v>
      </c>
      <c r="L273" s="39">
        <f>'2019'!G25</f>
        <v>28.92876712328767</v>
      </c>
      <c r="M273" s="39" t="str">
        <f>'2019'!H25</f>
        <v>SR</v>
      </c>
      <c r="N273" s="39">
        <f>'2019'!I25</f>
        <v>22.4986301369863</v>
      </c>
      <c r="O273" s="39" t="str">
        <f t="shared" si="51"/>
        <v>FREAK</v>
      </c>
      <c r="P273" s="39" t="str">
        <f t="shared" si="55"/>
        <v>PLODDER</v>
      </c>
      <c r="Q273" s="37">
        <f>'2019'!J25</f>
        <v>71</v>
      </c>
      <c r="R273" s="37">
        <f>'2019'!K25</f>
        <v>220</v>
      </c>
      <c r="S273" s="39">
        <f t="shared" si="53"/>
        <v>30.683432126634145</v>
      </c>
      <c r="T273" s="37">
        <f>'2019'!L25</f>
        <v>4.45</v>
      </c>
      <c r="U273" s="40">
        <f>'2019'!M25</f>
        <v>5</v>
      </c>
      <c r="V273" s="41">
        <f>'2019'!N25</f>
        <v>0</v>
      </c>
      <c r="W273" s="42">
        <f>'2019'!O25</f>
        <v>3.9345539540319441E-2</v>
      </c>
      <c r="X273" s="42">
        <f>'2019'!P25</f>
        <v>0.16580310880829016</v>
      </c>
      <c r="Y273" s="42">
        <f>'2019'!Q25</f>
        <v>0.13793103448275862</v>
      </c>
      <c r="Z273" s="42">
        <f>'2019'!R25</f>
        <v>0.21656649135987979</v>
      </c>
      <c r="AA273" s="42">
        <f>'2019'!S25</f>
        <v>0.21656649135987979</v>
      </c>
      <c r="AB273" s="42">
        <f>'2019'!T25</f>
        <v>0.16242486851990984</v>
      </c>
      <c r="AC273" s="42">
        <f>'2019'!U25</f>
        <v>2.2914757103574702E-2</v>
      </c>
      <c r="AD273" s="42">
        <f>'2019'!V25</f>
        <v>1.5771913861085837E-2</v>
      </c>
      <c r="AE273" s="42">
        <f>'2019'!W25</f>
        <v>1.9343335482330269E-2</v>
      </c>
      <c r="AF273" s="43">
        <f>'2019'!X25</f>
        <v>1.4507501611747702E-2</v>
      </c>
      <c r="AG273" s="44">
        <f>'2019'!Y25</f>
        <v>19.852054794520548</v>
      </c>
      <c r="AH273" s="45">
        <f>'2019'!Z25</f>
        <v>112.20510915445304</v>
      </c>
      <c r="AI273" s="45">
        <f>'2019'!AA25</f>
        <v>30.68042055147788</v>
      </c>
      <c r="AJ273" s="45">
        <f>'2019'!AB25</f>
        <v>0.2129032258064516</v>
      </c>
      <c r="AK273" s="45">
        <f>'2019'!AC25</f>
        <v>5.9</v>
      </c>
      <c r="AL273" s="45">
        <f t="shared" si="52"/>
        <v>6</v>
      </c>
      <c r="AM273" s="45">
        <f t="shared" si="46"/>
        <v>3.669724770642202E-2</v>
      </c>
      <c r="AN273" s="45">
        <f>'2019'!AD25</f>
        <v>78.099999999999994</v>
      </c>
      <c r="AO273" s="45">
        <f>'2019'!AE25</f>
        <v>3.7</v>
      </c>
      <c r="AP273" s="46">
        <f>'2019'!AF25</f>
        <v>44.6</v>
      </c>
      <c r="AQ273" s="47">
        <f>'2019'!AG25</f>
        <v>2</v>
      </c>
      <c r="AR273" s="48">
        <f>'2019'!AH25</f>
        <v>1</v>
      </c>
      <c r="AS273" s="48">
        <f>'2019'!AI25</f>
        <v>5</v>
      </c>
      <c r="AT273" s="48">
        <f>IF(AH273&gt;113.25,10,IF(AH273&gt;=107.84,9,IF(AH273&gt;=105.37,8,IF(AH273&gt;=103.25,7,IF(AH273&gt;=100.55,6,IF(AH273&gt;=98.75,5,IF(AH273&gt;=96.08,4,IF(AH273&gt;=94.39,3,IF(AH273&gt;=88.43,2,IF(AH273&gt;=85.16,1,IF(AH273&lt;85.16,0,FALSE)))))))))))</f>
        <v>9</v>
      </c>
      <c r="AU273" s="48">
        <f>'2019'!AK25</f>
        <v>4</v>
      </c>
      <c r="AV273" s="48">
        <f>'2019'!AL25</f>
        <v>4</v>
      </c>
      <c r="AW273" s="48">
        <f>'2019'!AM25</f>
        <v>2</v>
      </c>
      <c r="AX273" s="48">
        <f>'2019'!AN25</f>
        <v>3</v>
      </c>
      <c r="AY273" s="49">
        <f>IF(U273=1,10,IF(U273=2,7,IF(U273=3,6,IF(U273=4,4,IF(U273=5,3,IF(U273=6,2,IF(U273=7,1,IF(U273=0,0,"-"))))))))</f>
        <v>3</v>
      </c>
      <c r="AZ273" s="50">
        <f>'2019'!AP25</f>
        <v>0</v>
      </c>
      <c r="BA273" s="56">
        <f>'2019'!AQ25</f>
        <v>0</v>
      </c>
      <c r="BB273" s="57">
        <f>'2019'!AR25</f>
        <v>1293</v>
      </c>
      <c r="BC273" s="57">
        <f>'2019'!AS25</f>
        <v>0</v>
      </c>
      <c r="BD273" s="57">
        <f>'2019'!AT25</f>
        <v>11</v>
      </c>
      <c r="BE273" s="57">
        <f>'2019'!AU25</f>
        <v>0</v>
      </c>
      <c r="BF273" s="57">
        <f>'2019'!AV25</f>
        <v>0</v>
      </c>
      <c r="BG273" s="58">
        <f>'2019'!AW25</f>
        <v>0</v>
      </c>
      <c r="BH273" s="58">
        <f>'2019'!AX25</f>
        <v>0</v>
      </c>
      <c r="BI273" s="58">
        <f>'2019'!AY25</f>
        <v>0</v>
      </c>
      <c r="BJ273" s="58">
        <f>'2019'!AZ25</f>
        <v>0</v>
      </c>
      <c r="BK273" s="57">
        <f>'2019'!BA25</f>
        <v>0</v>
      </c>
      <c r="BL273" s="57">
        <f>'2019'!BB25</f>
        <v>2408</v>
      </c>
      <c r="BM273" s="57">
        <f>'2019'!BC25</f>
        <v>0</v>
      </c>
      <c r="BN273" s="57">
        <f>'2019'!BD25</f>
        <v>0</v>
      </c>
      <c r="BO273" s="59">
        <f>'2019'!BE25</f>
        <v>13</v>
      </c>
      <c r="BP273" s="56">
        <f>'2019'!BF25</f>
        <v>195</v>
      </c>
      <c r="BQ273" s="57">
        <f>'2019'!BG25</f>
        <v>2096</v>
      </c>
      <c r="BR273" s="57">
        <f>'2019'!BH25</f>
        <v>2</v>
      </c>
      <c r="BS273" s="57">
        <f>'2019'!BI25</f>
        <v>25</v>
      </c>
      <c r="BT273" s="57">
        <f>'2019'!BJ25</f>
        <v>51</v>
      </c>
      <c r="BU273" s="57">
        <f>'2019'!BK25</f>
        <v>9</v>
      </c>
      <c r="BV273" s="58">
        <f>'2019'!BL25</f>
        <v>3.8</v>
      </c>
      <c r="BW273" s="58">
        <f>'2019'!BM25</f>
        <v>43.3</v>
      </c>
      <c r="BX273" s="58">
        <f>'2019'!BN25</f>
        <v>2.5499999999999998</v>
      </c>
      <c r="BY273" s="58">
        <f>'2019'!BO25</f>
        <v>16.399999999999999</v>
      </c>
      <c r="BZ273" s="57">
        <f>'2019'!BP25</f>
        <v>7</v>
      </c>
      <c r="CA273" s="57">
        <f>'2019'!BQ25</f>
        <v>3038</v>
      </c>
      <c r="CB273" s="57">
        <f>'2019'!BR25</f>
        <v>2</v>
      </c>
      <c r="CC273" s="57">
        <f>'2019'!BS25</f>
        <v>0</v>
      </c>
      <c r="CD273" s="59">
        <f>'2019'!BT25</f>
        <v>20</v>
      </c>
      <c r="CE273" s="56">
        <f>'2019'!BU25</f>
        <v>914</v>
      </c>
      <c r="CF273" s="57">
        <f>'2019'!BV25</f>
        <v>2466</v>
      </c>
      <c r="CG273" s="57">
        <f>'2019'!BW25</f>
        <v>14</v>
      </c>
      <c r="CH273" s="57">
        <f>'2019'!BX25</f>
        <v>31</v>
      </c>
      <c r="CI273" s="57">
        <f>'2019'!BY25</f>
        <v>155</v>
      </c>
      <c r="CJ273" s="57">
        <f>'2019'!BZ25</f>
        <v>33</v>
      </c>
      <c r="CK273" s="58">
        <f>'2019'!CA25</f>
        <v>5.9</v>
      </c>
      <c r="CL273" s="58">
        <f>'2019'!CB25</f>
        <v>78.099999999999994</v>
      </c>
      <c r="CM273" s="58">
        <f>'2019'!CC25</f>
        <v>3.7</v>
      </c>
      <c r="CN273" s="58">
        <f>'2019'!CD25</f>
        <v>44.6</v>
      </c>
      <c r="CO273" s="57">
        <f>'2019'!CE25</f>
        <v>46</v>
      </c>
      <c r="CP273" s="57">
        <f>'2019'!CF25</f>
        <v>3324</v>
      </c>
      <c r="CQ273" s="57">
        <f>'2019'!CG25</f>
        <v>6</v>
      </c>
      <c r="CR273" s="57">
        <f>'2019'!CH25</f>
        <v>0</v>
      </c>
      <c r="CS273" s="59">
        <f>'2019'!CI25</f>
        <v>22</v>
      </c>
      <c r="CT273" s="56">
        <f>'2019'!CJ25</f>
        <v>621</v>
      </c>
      <c r="CU273" s="57">
        <f>'2019'!CK25</f>
        <v>1773</v>
      </c>
      <c r="CV273" s="57">
        <f>'2019'!CL25</f>
        <v>5</v>
      </c>
      <c r="CW273" s="57">
        <f>'2019'!CM25</f>
        <v>15</v>
      </c>
      <c r="CX273" s="57">
        <f>'2019'!CN25</f>
        <v>157</v>
      </c>
      <c r="CY273" s="57">
        <f>'2019'!CO25</f>
        <v>18</v>
      </c>
      <c r="CZ273" s="58">
        <f>'2019'!CP25</f>
        <v>4</v>
      </c>
      <c r="DA273" s="58">
        <f>'2019'!CQ25</f>
        <v>28.9</v>
      </c>
      <c r="DB273" s="58">
        <f>'2019'!CR25</f>
        <v>2.25</v>
      </c>
      <c r="DC273" s="58">
        <f>'2019'!CS25</f>
        <v>37</v>
      </c>
      <c r="DD273" s="57">
        <f>'2019'!CT25</f>
        <v>75</v>
      </c>
      <c r="DE273" s="57">
        <f>'2019'!CU25</f>
        <v>3273</v>
      </c>
      <c r="DF273" s="57">
        <f>'2019'!CV25</f>
        <v>14</v>
      </c>
      <c r="DG273" s="57">
        <f>'2019'!CW25</f>
        <v>0</v>
      </c>
      <c r="DH273" s="59">
        <f>'2019'!CX25</f>
        <v>21</v>
      </c>
      <c r="DI273" s="56">
        <f>'2019'!CY25</f>
        <v>1101</v>
      </c>
      <c r="DJ273" s="57">
        <f>'2019'!CZ25</f>
        <v>2027</v>
      </c>
      <c r="DK273" s="57">
        <f>'2019'!DA25</f>
        <v>13</v>
      </c>
      <c r="DL273" s="57">
        <f>'2019'!DB25</f>
        <v>28</v>
      </c>
      <c r="DM273" s="57">
        <f>'2019'!DC25</f>
        <v>210</v>
      </c>
      <c r="DN273" s="57">
        <f>'2019'!DD25</f>
        <v>31</v>
      </c>
      <c r="DO273" s="58">
        <f>'2019'!DE25</f>
        <v>5.2</v>
      </c>
      <c r="DP273" s="58">
        <f>'2019'!DF25</f>
        <v>49</v>
      </c>
      <c r="DQ273" s="58">
        <f>'2019'!DG25</f>
        <v>3.34</v>
      </c>
      <c r="DR273" s="58">
        <f>'2019'!DH25</f>
        <v>39.9</v>
      </c>
      <c r="DS273" s="57">
        <f>'2019'!DI25</f>
        <v>52</v>
      </c>
      <c r="DT273" s="57">
        <f>'2019'!DJ25</f>
        <v>3297</v>
      </c>
      <c r="DU273" s="57">
        <f>'2019'!DK25</f>
        <v>8</v>
      </c>
      <c r="DV273" s="57">
        <f>'2019'!DL25</f>
        <v>0</v>
      </c>
      <c r="DW273" s="59">
        <f>'2019'!DM25</f>
        <v>20</v>
      </c>
    </row>
    <row r="274" spans="1:127" ht="15.75" customHeight="1" x14ac:dyDescent="0.2">
      <c r="A274" s="33">
        <f t="shared" si="49"/>
        <v>272</v>
      </c>
      <c r="B274" s="11">
        <f>'2021'!A22</f>
        <v>20</v>
      </c>
      <c r="C274" s="11">
        <v>2021</v>
      </c>
      <c r="D274" s="34" t="str">
        <f>'2021'!B22</f>
        <v>Larry Rountree III</v>
      </c>
      <c r="E274" s="224" t="str" cm="1">
        <f t="array" ref="E274">_xlfn.IFS(F274&gt;=13,"Cornerstone",AND(F274&gt;=12,F274&lt;13),"Elite",AND(F274&gt;=11,F274&lt;12),"Elite Upside",AND(F274&gt;=9,F274&lt;11),"Upside",AND(F274&gt;=7,F274&lt;9),"Upside Lite",AND(F274&gt;=6,F274&lt;7),"Outlier",AND(F274&gt;=5,F274&lt;6),"Outlier Lite",F274&lt;5,"Purgatory")</f>
        <v>Purgatory</v>
      </c>
      <c r="F274" s="14">
        <f>'2021'!C22</f>
        <v>4.0055555555555555</v>
      </c>
      <c r="G274" s="14">
        <f t="shared" si="54"/>
        <v>16.8</v>
      </c>
      <c r="H274" s="35">
        <f t="shared" si="50"/>
        <v>-1.6915691772110644</v>
      </c>
      <c r="I274" s="36" t="str">
        <f>'2021'!D22</f>
        <v>Missouri</v>
      </c>
      <c r="J274" s="37">
        <f>'2021'!E22</f>
        <v>1</v>
      </c>
      <c r="K274" s="38">
        <f>'2021'!F22</f>
        <v>36204</v>
      </c>
      <c r="L274" s="39">
        <f>'2021'!G22</f>
        <v>26.638356164383563</v>
      </c>
      <c r="M274" s="39" t="str">
        <f>'2021'!H22</f>
        <v>SR</v>
      </c>
      <c r="N274" s="39">
        <f>'2021'!I22</f>
        <v>22.221917808219178</v>
      </c>
      <c r="O274" s="39" t="str">
        <f t="shared" si="51"/>
        <v>BELL COW</v>
      </c>
      <c r="P274" s="39" t="str">
        <f t="shared" si="55"/>
        <v>PLODDER</v>
      </c>
      <c r="Q274" s="37">
        <f>'2021'!J22</f>
        <v>71</v>
      </c>
      <c r="R274" s="37">
        <f>'2021'!K22</f>
        <v>211</v>
      </c>
      <c r="S274" s="39">
        <f t="shared" si="53"/>
        <v>29.428200812362746</v>
      </c>
      <c r="T274" s="37">
        <f>'2021'!L22</f>
        <v>4.7</v>
      </c>
      <c r="U274" s="40">
        <f>'2021'!M22</f>
        <v>6</v>
      </c>
      <c r="V274" s="41">
        <f>'2021'!N22</f>
        <v>0</v>
      </c>
      <c r="W274" s="42">
        <f>'2021'!O22</f>
        <v>0.11642156862745098</v>
      </c>
      <c r="X274" s="42">
        <f>'2021'!P22</f>
        <v>0.20405556442599393</v>
      </c>
      <c r="Y274" s="42">
        <f>'2021'!Q22</f>
        <v>0.20218214206190158</v>
      </c>
      <c r="Z274" s="42">
        <f>'2021'!R22</f>
        <v>0.2708955223880597</v>
      </c>
      <c r="AA274" s="42">
        <f>'2021'!S22</f>
        <v>0.2708955223880597</v>
      </c>
      <c r="AB274" s="42">
        <f>'2021'!T22</f>
        <v>0.2708955223880597</v>
      </c>
      <c r="AC274" s="42">
        <f>'2021'!U22</f>
        <v>2.6207412953949832E-2</v>
      </c>
      <c r="AD274" s="42">
        <f>'2021'!V22</f>
        <v>3.7481259370314844E-2</v>
      </c>
      <c r="AE274" s="42">
        <f>'2021'!W22</f>
        <v>3.7481259370314844E-2</v>
      </c>
      <c r="AF274" s="43">
        <f>'2021'!X22</f>
        <v>3.7481259370314844E-2</v>
      </c>
      <c r="AG274" s="44">
        <f>'2021'!Y22</f>
        <v>19.561643835616437</v>
      </c>
      <c r="AH274" s="45">
        <f>'2021'!Z22</f>
        <v>86.481063003913548</v>
      </c>
      <c r="AI274" s="45">
        <f>'2021'!AA22</f>
        <v>29.425312438008334</v>
      </c>
      <c r="AJ274" s="45">
        <f>'2021'!AB22</f>
        <v>0.19431279620853081</v>
      </c>
      <c r="AK274" s="45">
        <f>'2021'!AC22</f>
        <v>4.7</v>
      </c>
      <c r="AL274" s="45">
        <f t="shared" si="52"/>
        <v>8.5</v>
      </c>
      <c r="AM274" s="45">
        <f t="shared" si="46"/>
        <v>6.637168141592921E-2</v>
      </c>
      <c r="AN274" s="45">
        <f>'2021'!AD22</f>
        <v>59.5</v>
      </c>
      <c r="AO274" s="45">
        <f>'2021'!AE22</f>
        <v>3.39</v>
      </c>
      <c r="AP274" s="46">
        <f>'2021'!AF22</f>
        <v>38.200000000000003</v>
      </c>
      <c r="AQ274" s="47">
        <f>'2021'!AG22</f>
        <v>7</v>
      </c>
      <c r="AR274" s="48">
        <f>'2021'!AH22</f>
        <v>4</v>
      </c>
      <c r="AS274" s="48">
        <f>'2021'!AI22</f>
        <v>6</v>
      </c>
      <c r="AT274" s="48">
        <f>IF(AH274&gt;113.25,10,IF(AH274&gt;=107.84,9,IF(AH274&gt;=105.37,8,IF(AH274&gt;=103.25,7,IF(AH274&gt;=100.55,6,IF(AH274&gt;=98.75,5,IF(AH274&gt;=96.08,4,IF(AH274&gt;=94.39,3,IF(AH274&gt;=88.43,2,IF(AH274&gt;=85.16,1,IF(AH274&lt;85.16,0,FALSE)))))))))))</f>
        <v>1</v>
      </c>
      <c r="AU274" s="48">
        <f>'2021'!AK22</f>
        <v>3</v>
      </c>
      <c r="AV274" s="48">
        <f>'2021'!AL22</f>
        <v>0</v>
      </c>
      <c r="AW274" s="48">
        <f>'2021'!AM22</f>
        <v>0</v>
      </c>
      <c r="AX274" s="48">
        <f>'2021'!AN22</f>
        <v>1</v>
      </c>
      <c r="AY274" s="49">
        <f>IF(U274=1,10,IF(U274=2,7,IF(U274=3,6,IF(U274=4,4,IF(U274=5,3,IF(U274=6,2,IF(U274=7,1,IF(U274=0,0,"-"))))))))</f>
        <v>2</v>
      </c>
      <c r="AZ274" s="50">
        <f>'2021'!AP22</f>
        <v>0</v>
      </c>
      <c r="BA274" s="56">
        <f>'2021'!AQ22</f>
        <v>0</v>
      </c>
      <c r="BB274" s="57">
        <f>'2021'!AR22</f>
        <v>2461</v>
      </c>
      <c r="BC274" s="57">
        <f>'2021'!AS22</f>
        <v>0</v>
      </c>
      <c r="BD274" s="57">
        <f>'2021'!AT22</f>
        <v>24</v>
      </c>
      <c r="BE274" s="57">
        <f>'2021'!AU22</f>
        <v>0</v>
      </c>
      <c r="BF274" s="57">
        <f>'2021'!AV22</f>
        <v>0</v>
      </c>
      <c r="BG274" s="58">
        <f>'2021'!AW22</f>
        <v>0</v>
      </c>
      <c r="BH274" s="58">
        <f>'2021'!AX22</f>
        <v>0</v>
      </c>
      <c r="BI274" s="58">
        <f>'2021'!AY22</f>
        <v>0</v>
      </c>
      <c r="BJ274" s="58">
        <f>'2021'!AZ22</f>
        <v>0</v>
      </c>
      <c r="BK274" s="57">
        <f>'2021'!BA22</f>
        <v>0</v>
      </c>
      <c r="BL274" s="57">
        <f>'2021'!BB22</f>
        <v>3545</v>
      </c>
      <c r="BM274" s="57">
        <f>'2021'!BC22</f>
        <v>0</v>
      </c>
      <c r="BN274" s="57">
        <f>'2021'!BD22</f>
        <v>0</v>
      </c>
      <c r="BO274" s="59">
        <f>'2021'!BE22</f>
        <v>25</v>
      </c>
      <c r="BP274" s="56">
        <f>'2021'!BF22</f>
        <v>703</v>
      </c>
      <c r="BQ274" s="57">
        <f>'2021'!BG22</f>
        <v>2516</v>
      </c>
      <c r="BR274" s="57">
        <f>'2021'!BH22</f>
        <v>6</v>
      </c>
      <c r="BS274" s="57">
        <f>'2021'!BI22</f>
        <v>16</v>
      </c>
      <c r="BT274" s="57">
        <f>'2021'!BJ22</f>
        <v>126</v>
      </c>
      <c r="BU274" s="57">
        <f>'2021'!BK22</f>
        <v>14</v>
      </c>
      <c r="BV274" s="58">
        <f>'2021'!BL22</f>
        <v>5.6</v>
      </c>
      <c r="BW274" s="58">
        <f>'2021'!BM22</f>
        <v>31.3</v>
      </c>
      <c r="BX274" s="58">
        <f>'2021'!BN22</f>
        <v>2.73</v>
      </c>
      <c r="BY274" s="58">
        <f>'2021'!BO22</f>
        <v>39.5</v>
      </c>
      <c r="BZ274" s="57">
        <f>'2021'!BP22</f>
        <v>57</v>
      </c>
      <c r="CA274" s="57">
        <f>'2021'!BQ22</f>
        <v>4012</v>
      </c>
      <c r="CB274" s="57">
        <f>'2021'!BR22</f>
        <v>5</v>
      </c>
      <c r="CC274" s="57">
        <f>'2021'!BS22</f>
        <v>0</v>
      </c>
      <c r="CD274" s="59">
        <f>'2021'!BT22</f>
        <v>44</v>
      </c>
      <c r="CE274" s="56">
        <f>'2021'!BU22</f>
        <v>1216</v>
      </c>
      <c r="CF274" s="57">
        <f>'2021'!BV22</f>
        <v>2631</v>
      </c>
      <c r="CG274" s="57">
        <f>'2021'!BW22</f>
        <v>11</v>
      </c>
      <c r="CH274" s="57">
        <f>'2021'!BX22</f>
        <v>27</v>
      </c>
      <c r="CI274" s="57">
        <f>'2021'!BY22</f>
        <v>225</v>
      </c>
      <c r="CJ274" s="57">
        <f>'2021'!BZ22</f>
        <v>41</v>
      </c>
      <c r="CK274" s="58">
        <f>'2021'!CA22</f>
        <v>5.4</v>
      </c>
      <c r="CL274" s="58">
        <f>'2021'!CB22</f>
        <v>59.5</v>
      </c>
      <c r="CM274" s="58">
        <f>'2021'!CC22</f>
        <v>3.39</v>
      </c>
      <c r="CN274" s="58">
        <f>'2021'!CD22</f>
        <v>38.200000000000003</v>
      </c>
      <c r="CO274" s="57">
        <f>'2021'!CE22</f>
        <v>62</v>
      </c>
      <c r="CP274" s="57">
        <f>'2021'!CF22</f>
        <v>3632</v>
      </c>
      <c r="CQ274" s="57">
        <f>'2021'!CG22</f>
        <v>1</v>
      </c>
      <c r="CR274" s="57">
        <f>'2021'!CH22</f>
        <v>0</v>
      </c>
      <c r="CS274" s="59">
        <f>'2021'!CI22</f>
        <v>28</v>
      </c>
      <c r="CT274" s="56">
        <f>'2021'!CJ22</f>
        <v>838</v>
      </c>
      <c r="CU274" s="57">
        <f>'2021'!CK22</f>
        <v>1820</v>
      </c>
      <c r="CV274" s="57">
        <f>'2021'!CL22</f>
        <v>9</v>
      </c>
      <c r="CW274" s="57">
        <f>'2021'!CM22</f>
        <v>14</v>
      </c>
      <c r="CX274" s="57">
        <f>'2021'!CN22</f>
        <v>187</v>
      </c>
      <c r="CY274" s="57">
        <f>'2021'!CO22</f>
        <v>36</v>
      </c>
      <c r="CZ274" s="58">
        <f>'2021'!CP22</f>
        <v>4.5</v>
      </c>
      <c r="DA274" s="58">
        <f>'2021'!CQ22</f>
        <v>55.3</v>
      </c>
      <c r="DB274" s="58">
        <f>'2021'!CR22</f>
        <v>2.91</v>
      </c>
      <c r="DC274" s="58">
        <f>'2021'!CS22</f>
        <v>22.7</v>
      </c>
      <c r="DD274" s="57">
        <f>'2021'!CT22</f>
        <v>70</v>
      </c>
      <c r="DE274" s="57">
        <f>'2021'!CU22</f>
        <v>2671</v>
      </c>
      <c r="DF274" s="57">
        <f>'2021'!CV22</f>
        <v>13</v>
      </c>
      <c r="DG274" s="57">
        <f>'2021'!CW22</f>
        <v>0</v>
      </c>
      <c r="DH274" s="59">
        <f>'2021'!CX22</f>
        <v>17</v>
      </c>
      <c r="DI274" s="56">
        <f>'2021'!CY22</f>
        <v>989</v>
      </c>
      <c r="DJ274" s="57">
        <f>'2021'!CZ22</f>
        <v>1352</v>
      </c>
      <c r="DK274" s="57">
        <f>'2021'!DA22</f>
        <v>14</v>
      </c>
      <c r="DL274" s="57">
        <f>'2021'!DB22</f>
        <v>21</v>
      </c>
      <c r="DM274" s="57">
        <f>'2021'!DC22</f>
        <v>211</v>
      </c>
      <c r="DN274" s="57">
        <f>'2021'!DD22</f>
        <v>41</v>
      </c>
      <c r="DO274" s="58">
        <f>'2021'!DE22</f>
        <v>4.7</v>
      </c>
      <c r="DP274" s="58">
        <f>'2021'!DF22</f>
        <v>46.2</v>
      </c>
      <c r="DQ274" s="58">
        <f>'2021'!DG22</f>
        <v>2.37</v>
      </c>
      <c r="DR274" s="58">
        <f>'2021'!DH22</f>
        <v>28.4</v>
      </c>
      <c r="DS274" s="57">
        <f>'2021'!DI22</f>
        <v>100</v>
      </c>
      <c r="DT274" s="57">
        <f>'2021'!DJ22</f>
        <v>2668</v>
      </c>
      <c r="DU274" s="57">
        <f>'2021'!DK22</f>
        <v>15</v>
      </c>
      <c r="DV274" s="57">
        <f>'2021'!DL22</f>
        <v>0</v>
      </c>
      <c r="DW274" s="59">
        <f>'2021'!DM22</f>
        <v>9</v>
      </c>
    </row>
    <row r="275" spans="1:127" ht="15.75" customHeight="1" x14ac:dyDescent="0.2">
      <c r="A275" s="33">
        <f t="shared" si="49"/>
        <v>273</v>
      </c>
      <c r="B275" s="11">
        <f>'2024'!A29</f>
        <v>27</v>
      </c>
      <c r="C275" s="11">
        <v>2024</v>
      </c>
      <c r="D275" s="34" t="str">
        <f>'2024'!B29</f>
        <v>Cody Schrader</v>
      </c>
      <c r="E275" s="224" t="str" cm="1">
        <f t="array" ref="E275">_xlfn.IFS(F275&gt;=13,"Cornerstone",AND(F275&gt;=12,F275&lt;13),"Elite",AND(F275&gt;=11,F275&lt;12),"Elite Upside",AND(F275&gt;=9,F275&lt;11),"Upside",AND(F275&gt;=7,F275&lt;9),"Upside Lite",AND(F275&gt;=6,F275&lt;7),"Outlier",AND(F275&gt;=5,F275&lt;6),"Outlier Lite",F275&lt;5,"Purgatory")</f>
        <v>Purgatory</v>
      </c>
      <c r="F275" s="14">
        <f>'2024'!C29</f>
        <v>3.9833333333333334</v>
      </c>
      <c r="G275" s="14">
        <f t="shared" si="54"/>
        <v>16.5</v>
      </c>
      <c r="H275" s="35">
        <f t="shared" si="50"/>
        <v>-1.7009741786386119</v>
      </c>
      <c r="I275" s="36" t="str">
        <f>'2024'!D29</f>
        <v>Missouri</v>
      </c>
      <c r="J275" s="37">
        <f>'2024'!E29</f>
        <v>1</v>
      </c>
      <c r="K275" s="38">
        <f>'2024'!F29</f>
        <v>36411</v>
      </c>
      <c r="L275" s="39">
        <f>'2024'!G29</f>
        <v>26.07123287671233</v>
      </c>
      <c r="M275" s="39" t="str">
        <f>'2024'!H29</f>
        <v>RS SR</v>
      </c>
      <c r="N275" s="39">
        <f>'2024'!I29</f>
        <v>24.652054794520549</v>
      </c>
      <c r="O275" s="39" t="str">
        <f t="shared" si="51"/>
        <v>BELL CALF</v>
      </c>
      <c r="P275" s="39" t="str">
        <f t="shared" si="55"/>
        <v>PLODDER</v>
      </c>
      <c r="Q275" s="37">
        <f>'2024'!J29</f>
        <v>68</v>
      </c>
      <c r="R275" s="37">
        <f>'2024'!K29</f>
        <v>202</v>
      </c>
      <c r="S275" s="39">
        <f t="shared" si="53"/>
        <v>30.713654679904522</v>
      </c>
      <c r="T275" s="37">
        <f>'2024'!L29</f>
        <v>4.6100000000000003</v>
      </c>
      <c r="U275" s="40">
        <f>'2024'!M29</f>
        <v>0</v>
      </c>
      <c r="V275" s="41">
        <f>'2024'!N29</f>
        <v>0.17874706008124866</v>
      </c>
      <c r="W275" s="42">
        <f>'2024'!O29</f>
        <v>0.27747419550698238</v>
      </c>
      <c r="X275" s="42">
        <f>'2024'!P29</f>
        <v>0.4481002741872307</v>
      </c>
      <c r="Y275" s="42">
        <f>'2024'!Q29</f>
        <v>0.18346715480301204</v>
      </c>
      <c r="Z275" s="42">
        <f>'2024'!R29</f>
        <v>0.32200357781753131</v>
      </c>
      <c r="AA275" s="42">
        <f>'2024'!S29</f>
        <v>0.38505192600238103</v>
      </c>
      <c r="AB275" s="42">
        <f>'2024'!T29</f>
        <v>0.38505192600238103</v>
      </c>
      <c r="AC275" s="42">
        <f>'2024'!U29</f>
        <v>4.9222146373010457E-2</v>
      </c>
      <c r="AD275" s="42">
        <f>'2024'!V29</f>
        <v>5.6013372826182586E-2</v>
      </c>
      <c r="AE275" s="42">
        <f>'2024'!W29</f>
        <v>5.6013372826182586E-2</v>
      </c>
      <c r="AF275" s="43">
        <f>'2024'!X29</f>
        <v>5.6013372826182586E-2</v>
      </c>
      <c r="AG275" s="44">
        <f>'2024'!Y29</f>
        <v>19.991780821917807</v>
      </c>
      <c r="AH275" s="45">
        <f>'2024'!Z29</f>
        <v>89.44944773385231</v>
      </c>
      <c r="AI275" s="45">
        <f>'2024'!AA29</f>
        <v>30.710640138408305</v>
      </c>
      <c r="AJ275" s="45">
        <f>'2024'!AB29</f>
        <v>0.18478260869565216</v>
      </c>
      <c r="AK275" s="45">
        <f>'2024'!AC29</f>
        <v>5.8</v>
      </c>
      <c r="AL275" s="45">
        <f t="shared" si="52"/>
        <v>20.121951219512194</v>
      </c>
      <c r="AM275" s="45">
        <f t="shared" ref="AM275:AM306" si="56">DU275/SUM(DM275,DU275)</f>
        <v>7.3825503355704702E-2</v>
      </c>
      <c r="AN275" s="45">
        <f>'2024'!AD29</f>
        <v>56.7</v>
      </c>
      <c r="AO275" s="45">
        <f>'2024'!AE29</f>
        <v>3.07</v>
      </c>
      <c r="AP275" s="46">
        <f>'2024'!AF29</f>
        <v>35.9</v>
      </c>
      <c r="AQ275" s="47">
        <f>'2024'!AG29</f>
        <v>10</v>
      </c>
      <c r="AR275" s="48">
        <f>'2024'!AH29</f>
        <v>6</v>
      </c>
      <c r="AS275" s="48">
        <f>'2024'!AI29</f>
        <v>5</v>
      </c>
      <c r="AT275" s="48">
        <f>'2024'!AJ29</f>
        <v>2</v>
      </c>
      <c r="AU275" s="48">
        <f>'2024'!AK29</f>
        <v>2</v>
      </c>
      <c r="AV275" s="48">
        <f>'2024'!AL29</f>
        <v>4</v>
      </c>
      <c r="AW275" s="48">
        <f>'2024'!AM29</f>
        <v>0</v>
      </c>
      <c r="AX275" s="48">
        <f>'2024'!AN29</f>
        <v>0</v>
      </c>
      <c r="AY275" s="49">
        <f>'2024'!AO29</f>
        <v>0</v>
      </c>
      <c r="AZ275" s="50">
        <f>'2024'!AP29</f>
        <v>0</v>
      </c>
      <c r="BA275" s="56">
        <f>'2024'!AQ29</f>
        <v>605</v>
      </c>
      <c r="BB275" s="57">
        <f>'2024'!AR29</f>
        <v>2581</v>
      </c>
      <c r="BC275" s="57">
        <f>'2024'!AS29</f>
        <v>7</v>
      </c>
      <c r="BD275" s="57">
        <f>'2024'!AT29</f>
        <v>0</v>
      </c>
      <c r="BE275" s="57">
        <f>'2024'!AU29</f>
        <v>96</v>
      </c>
      <c r="BF275" s="57">
        <f>'2024'!AV29</f>
        <v>0</v>
      </c>
      <c r="BG275" s="58">
        <f>'2024'!AW29</f>
        <v>0</v>
      </c>
      <c r="BH275" s="58">
        <f>'2024'!AX29</f>
        <v>0</v>
      </c>
      <c r="BI275" s="58">
        <f>'2024'!AY29</f>
        <v>0</v>
      </c>
      <c r="BJ275" s="58">
        <f>'2024'!AZ29</f>
        <v>0</v>
      </c>
      <c r="BK275" s="57">
        <f>'2024'!BA29</f>
        <v>231</v>
      </c>
      <c r="BL275" s="57">
        <f>'2024'!BB29</f>
        <v>2096</v>
      </c>
      <c r="BM275" s="57">
        <f>'2024'!BC29</f>
        <v>0</v>
      </c>
      <c r="BN275" s="57">
        <f>'2024'!BD29</f>
        <v>0</v>
      </c>
      <c r="BO275" s="59">
        <f>'2024'!BE29</f>
        <v>0</v>
      </c>
      <c r="BP275" s="56">
        <f>'2024'!BF29</f>
        <v>405</v>
      </c>
      <c r="BQ275" s="57">
        <f>'2024'!BG29</f>
        <v>829</v>
      </c>
      <c r="BR275" s="57">
        <f>'2024'!BH29</f>
        <v>7</v>
      </c>
      <c r="BS275" s="57">
        <f>'2024'!BI29</f>
        <v>0</v>
      </c>
      <c r="BT275" s="57">
        <f>'2024'!BJ29</f>
        <v>83</v>
      </c>
      <c r="BU275" s="57">
        <f>'2024'!BK29</f>
        <v>0</v>
      </c>
      <c r="BV275" s="58">
        <f>'2024'!BL29</f>
        <v>0</v>
      </c>
      <c r="BW275" s="58">
        <f>'2024'!BM29</f>
        <v>0</v>
      </c>
      <c r="BX275" s="58">
        <f>'2024'!BN29</f>
        <v>0</v>
      </c>
      <c r="BY275" s="58">
        <f>'2024'!BO29</f>
        <v>0</v>
      </c>
      <c r="BZ275" s="57">
        <f>'2024'!BP29</f>
        <v>52</v>
      </c>
      <c r="CA275" s="57">
        <f>'2024'!BQ29</f>
        <v>818</v>
      </c>
      <c r="CB275" s="57">
        <f>'2024'!BR29</f>
        <v>0</v>
      </c>
      <c r="CC275" s="57">
        <f>'2024'!BS29</f>
        <v>0</v>
      </c>
      <c r="CD275" s="59">
        <f>'2024'!BT29</f>
        <v>0</v>
      </c>
      <c r="CE275" s="56">
        <f>'2024'!BU29</f>
        <v>2074</v>
      </c>
      <c r="CF275" s="57">
        <f>'2024'!BV29</f>
        <v>2878</v>
      </c>
      <c r="CG275" s="57">
        <f>'2024'!BW29</f>
        <v>25</v>
      </c>
      <c r="CH275" s="57">
        <f>'2024'!BX29</f>
        <v>0</v>
      </c>
      <c r="CI275" s="57">
        <f>'2024'!BY29</f>
        <v>300</v>
      </c>
      <c r="CJ275" s="57">
        <f>'2024'!BZ29</f>
        <v>0</v>
      </c>
      <c r="CK275" s="58">
        <f>'2024'!CA29</f>
        <v>0</v>
      </c>
      <c r="CL275" s="58">
        <f>'2024'!CB29</f>
        <v>0</v>
      </c>
      <c r="CM275" s="58">
        <f>'2024'!CC29</f>
        <v>0</v>
      </c>
      <c r="CN275" s="58">
        <f>'2024'!CD29</f>
        <v>0</v>
      </c>
      <c r="CO275" s="57">
        <f>'2024'!CE29</f>
        <v>214</v>
      </c>
      <c r="CP275" s="57">
        <f>'2024'!CF29</f>
        <v>2228</v>
      </c>
      <c r="CQ275" s="57">
        <f>'2024'!CG29</f>
        <v>0</v>
      </c>
      <c r="CR275" s="57">
        <f>'2024'!CH29</f>
        <v>0</v>
      </c>
      <c r="CS275" s="59">
        <f>'2024'!CI29</f>
        <v>0</v>
      </c>
      <c r="CT275" s="56">
        <f>'2024'!CJ29</f>
        <v>745</v>
      </c>
      <c r="CU275" s="57">
        <f>'2024'!CK29</f>
        <v>2024.1</v>
      </c>
      <c r="CV275" s="57">
        <f>'2024'!CL29</f>
        <v>9</v>
      </c>
      <c r="CW275" s="57">
        <f>'2024'!CM29</f>
        <v>19.5</v>
      </c>
      <c r="CX275" s="57">
        <f>'2024'!CN29</f>
        <v>170</v>
      </c>
      <c r="CY275" s="57">
        <f>'2024'!CO29</f>
        <v>29</v>
      </c>
      <c r="CZ275" s="58">
        <f>'2024'!CP29</f>
        <v>5.8</v>
      </c>
      <c r="DA275" s="58">
        <f>'2024'!CQ29</f>
        <v>52.3</v>
      </c>
      <c r="DB275" s="58">
        <f>'2024'!CR29</f>
        <v>2.88</v>
      </c>
      <c r="DC275" s="58">
        <f>'2024'!CS29</f>
        <v>27.7</v>
      </c>
      <c r="DD275" s="57">
        <f>'2024'!CT29</f>
        <v>137</v>
      </c>
      <c r="DE275" s="57">
        <f>'2024'!CU29</f>
        <v>2783.2999999999997</v>
      </c>
      <c r="DF275" s="57">
        <f>'2024'!CV29</f>
        <v>19</v>
      </c>
      <c r="DG275" s="57">
        <f>'2024'!CW29</f>
        <v>0</v>
      </c>
      <c r="DH275" s="59">
        <f>'2024'!CX29</f>
        <v>14.3</v>
      </c>
      <c r="DI275" s="56">
        <f>'2024'!CY29</f>
        <v>1627</v>
      </c>
      <c r="DJ275" s="57">
        <f>'2024'!CZ29</f>
        <v>2236</v>
      </c>
      <c r="DK275" s="57">
        <f>'2024'!DA29</f>
        <v>14</v>
      </c>
      <c r="DL275" s="57">
        <f>'2024'!DB29</f>
        <v>24.7</v>
      </c>
      <c r="DM275" s="57">
        <f>'2024'!DC29</f>
        <v>276</v>
      </c>
      <c r="DN275" s="57">
        <f>'2024'!DD29</f>
        <v>51</v>
      </c>
      <c r="DO275" s="58">
        <f>'2024'!DE29</f>
        <v>5.8</v>
      </c>
      <c r="DP275" s="58">
        <f>'2024'!DF29</f>
        <v>56.7</v>
      </c>
      <c r="DQ275" s="58">
        <f>'2024'!DG29</f>
        <v>3.07</v>
      </c>
      <c r="DR275" s="58">
        <f>'2024'!DH29</f>
        <v>35.9</v>
      </c>
      <c r="DS275" s="57">
        <f>'2024'!DI29</f>
        <v>191</v>
      </c>
      <c r="DT275" s="57">
        <f>'2024'!DJ29</f>
        <v>3409.9</v>
      </c>
      <c r="DU275" s="57">
        <f>'2024'!DK29</f>
        <v>22</v>
      </c>
      <c r="DV275" s="57">
        <f>'2024'!DL29</f>
        <v>0</v>
      </c>
      <c r="DW275" s="59">
        <f>'2024'!DM29</f>
        <v>23.400000000000002</v>
      </c>
    </row>
    <row r="276" spans="1:127" ht="15.75" customHeight="1" x14ac:dyDescent="0.2">
      <c r="A276" s="33">
        <f t="shared" si="49"/>
        <v>274</v>
      </c>
      <c r="B276" s="11">
        <f>'2017'!A26</f>
        <v>24</v>
      </c>
      <c r="C276" s="11">
        <v>2017</v>
      </c>
      <c r="D276" s="34" t="str">
        <f>'2017'!B26</f>
        <v>Khalfani Muhammad</v>
      </c>
      <c r="E276" s="224" t="str" cm="1">
        <f t="array" ref="E276">_xlfn.IFS(F276&gt;=13,"Cornerstone",AND(F276&gt;=12,F276&lt;13),"Elite",AND(F276&gt;=11,F276&lt;12),"Elite Upside",AND(F276&gt;=9,F276&lt;11),"Upside",AND(F276&gt;=7,F276&lt;9),"Upside Lite",AND(F276&gt;=6,F276&lt;7),"Outlier",AND(F276&gt;=5,F276&lt;6),"Outlier Lite",F276&lt;5,"Purgatory")</f>
        <v>Purgatory</v>
      </c>
      <c r="F276" s="14">
        <f>'2017'!C26</f>
        <v>3.9833333333333325</v>
      </c>
      <c r="G276" s="14">
        <f t="shared" si="54"/>
        <v>16.2</v>
      </c>
      <c r="H276" s="35">
        <f t="shared" si="50"/>
        <v>-1.7009741786386121</v>
      </c>
      <c r="I276" s="36" t="str">
        <f>'2017'!D26</f>
        <v>California</v>
      </c>
      <c r="J276" s="37">
        <f>'2017'!E26</f>
        <v>5</v>
      </c>
      <c r="K276" s="38">
        <f>'2017'!F26</f>
        <v>34603</v>
      </c>
      <c r="L276" s="39">
        <f>'2017'!G26</f>
        <v>31.024657534246575</v>
      </c>
      <c r="M276" s="39" t="str">
        <f>'2017'!H26</f>
        <v>SR</v>
      </c>
      <c r="N276" s="39">
        <f>'2017'!I26</f>
        <v>22.6</v>
      </c>
      <c r="O276" s="39" t="str">
        <f t="shared" si="51"/>
        <v>JITTERBUG</v>
      </c>
      <c r="P276" s="39" t="str">
        <f t="shared" si="55"/>
        <v>SLASHER</v>
      </c>
      <c r="Q276" s="37">
        <f>'2017'!J26</f>
        <v>67</v>
      </c>
      <c r="R276" s="37">
        <f>'2017'!K26</f>
        <v>170</v>
      </c>
      <c r="S276" s="39">
        <f t="shared" si="53"/>
        <v>26.625469156485206</v>
      </c>
      <c r="T276" s="37">
        <f>'2017'!L26</f>
        <v>4.34</v>
      </c>
      <c r="U276" s="55">
        <f>'2017'!M26</f>
        <v>7</v>
      </c>
      <c r="V276" s="41">
        <f>'2017'!N26</f>
        <v>0</v>
      </c>
      <c r="W276" s="42">
        <f>'2017'!O26</f>
        <v>0.11611243799375344</v>
      </c>
      <c r="X276" s="42">
        <f>'2017'!P26</f>
        <v>4.6280713564456413E-2</v>
      </c>
      <c r="Y276" s="42">
        <f>'2017'!Q26</f>
        <v>0.11208024422154383</v>
      </c>
      <c r="Z276" s="42">
        <f>'2017'!R26</f>
        <v>0.15573238064306594</v>
      </c>
      <c r="AA276" s="42">
        <f>'2017'!S26</f>
        <v>0.15573238064306594</v>
      </c>
      <c r="AB276" s="42">
        <f>'2017'!T26</f>
        <v>0.13237252354660603</v>
      </c>
      <c r="AC276" s="42">
        <f>'2017'!U26</f>
        <v>3.8634505314799672E-2</v>
      </c>
      <c r="AD276" s="42">
        <f>'2017'!V26</f>
        <v>3.0654900139340455E-2</v>
      </c>
      <c r="AE276" s="42">
        <f>'2017'!W26</f>
        <v>3.4644702727070063E-2</v>
      </c>
      <c r="AF276" s="43">
        <f>'2017'!X26</f>
        <v>2.9447997318009553E-2</v>
      </c>
      <c r="AG276" s="44">
        <f>'2017'!Y26</f>
        <v>21.958904109589042</v>
      </c>
      <c r="AH276" s="45">
        <f>'2017'!Z26</f>
        <v>95.834084629337539</v>
      </c>
      <c r="AI276" s="45">
        <f>'2017'!AA26</f>
        <v>26.622855869904207</v>
      </c>
      <c r="AJ276" s="45">
        <f>'2017'!AB26</f>
        <v>0.22988505747126436</v>
      </c>
      <c r="AK276" s="45">
        <f>'2017'!AC26</f>
        <v>6.7</v>
      </c>
      <c r="AL276" s="45">
        <f t="shared" si="52"/>
        <v>10.381818181818181</v>
      </c>
      <c r="AM276" s="45">
        <f t="shared" si="56"/>
        <v>0.10059171597633136</v>
      </c>
      <c r="AN276" s="45">
        <f>'2017'!AD26</f>
        <v>100.3</v>
      </c>
      <c r="AO276" s="45">
        <f>'2017'!AE26</f>
        <v>3.6</v>
      </c>
      <c r="AP276" s="46">
        <f>'2017'!AF26</f>
        <v>51.2</v>
      </c>
      <c r="AQ276" s="47">
        <f>'2017'!AG26</f>
        <v>1</v>
      </c>
      <c r="AR276" s="48">
        <f>'2017'!AH26</f>
        <v>3</v>
      </c>
      <c r="AS276" s="48">
        <f>'2017'!AI26</f>
        <v>2</v>
      </c>
      <c r="AT276" s="48">
        <f>IF(AH276&gt;113.25,10,IF(AH276&gt;=107.84,9,IF(AH276&gt;=105.37,8,IF(AH276&gt;=103.25,7,IF(AH276&gt;=100.55,6,IF(AH276&gt;=98.75,5,IF(AH276&gt;=96.08,4,IF(AH276&gt;=94.39,3,IF(AH276&gt;=88.43,2,IF(AH276&gt;=85.16,1,IF(AH276&lt;85.16,0,FALSE)))))))))))</f>
        <v>3</v>
      </c>
      <c r="AU276" s="48">
        <f>'2017'!AK26</f>
        <v>5</v>
      </c>
      <c r="AV276" s="48">
        <f>'2017'!AL26</f>
        <v>7</v>
      </c>
      <c r="AW276" s="48">
        <f>'2017'!AM26</f>
        <v>6</v>
      </c>
      <c r="AX276" s="48">
        <f>'2017'!AN26</f>
        <v>4</v>
      </c>
      <c r="AY276" s="49">
        <f>IF(U276=1,10,IF(U276=2,7,IF(U276=3,6,IF(U276=4,4,IF(U276=5,3,IF(U276=6,2,IF(U276=7,1,IF(U276=0,0,"-"))))))))</f>
        <v>1</v>
      </c>
      <c r="AZ276" s="50">
        <f>'2017'!AP26</f>
        <v>0</v>
      </c>
      <c r="BA276" s="56">
        <f>'2017'!AQ26</f>
        <v>0</v>
      </c>
      <c r="BB276" s="57">
        <f>'2017'!AR26</f>
        <v>2190</v>
      </c>
      <c r="BC276" s="57">
        <f>'2017'!AS26</f>
        <v>0</v>
      </c>
      <c r="BD276" s="57">
        <f>'2017'!AT26</f>
        <v>0</v>
      </c>
      <c r="BE276" s="57">
        <f>'2017'!AU26</f>
        <v>0</v>
      </c>
      <c r="BF276" s="57">
        <f>'2017'!AV26</f>
        <v>0</v>
      </c>
      <c r="BG276" s="58">
        <f>'2017'!AW26</f>
        <v>0</v>
      </c>
      <c r="BH276" s="58">
        <f>'2017'!AX26</f>
        <v>0</v>
      </c>
      <c r="BI276" s="58">
        <f>'2017'!AY26</f>
        <v>0</v>
      </c>
      <c r="BJ276" s="58">
        <f>'2017'!AZ26</f>
        <v>0</v>
      </c>
      <c r="BK276" s="57">
        <f>'2017'!BA26</f>
        <v>0</v>
      </c>
      <c r="BL276" s="57">
        <f>'2017'!BB26</f>
        <v>2499</v>
      </c>
      <c r="BM276" s="57">
        <f>'2017'!BC26</f>
        <v>0</v>
      </c>
      <c r="BN276" s="57">
        <f>'2017'!BD26</f>
        <v>0</v>
      </c>
      <c r="BO276" s="59">
        <f>'2017'!BE26</f>
        <v>0</v>
      </c>
      <c r="BP276" s="56">
        <f>'2017'!BF26</f>
        <v>445</v>
      </c>
      <c r="BQ276" s="57">
        <f>'2017'!BG26</f>
        <v>1466</v>
      </c>
      <c r="BR276" s="57">
        <f>'2017'!BH26</f>
        <v>0</v>
      </c>
      <c r="BS276" s="57">
        <f>'2017'!BI26</f>
        <v>0</v>
      </c>
      <c r="BT276" s="57">
        <f>'2017'!BJ26</f>
        <v>0</v>
      </c>
      <c r="BU276" s="57">
        <f>'2017'!BK26</f>
        <v>0</v>
      </c>
      <c r="BV276" s="58">
        <f>'2017'!BL26</f>
        <v>0</v>
      </c>
      <c r="BW276" s="58">
        <f>'2017'!BM26</f>
        <v>0</v>
      </c>
      <c r="BX276" s="58">
        <f>'2017'!BN26</f>
        <v>0</v>
      </c>
      <c r="BY276" s="58">
        <f>'2017'!BO26</f>
        <v>0</v>
      </c>
      <c r="BZ276" s="57">
        <f>'2017'!BP26</f>
        <v>187</v>
      </c>
      <c r="CA276" s="57">
        <f>'2017'!BQ26</f>
        <v>3977</v>
      </c>
      <c r="CB276" s="57">
        <f>'2017'!BR26</f>
        <v>14</v>
      </c>
      <c r="CC276" s="57">
        <f>'2017'!BS26</f>
        <v>0</v>
      </c>
      <c r="CD276" s="59">
        <f>'2017'!BT26</f>
        <v>0</v>
      </c>
      <c r="CE276" s="56">
        <f>'2017'!BU26</f>
        <v>212</v>
      </c>
      <c r="CF276" s="57">
        <f>'2017'!BV26</f>
        <v>1790</v>
      </c>
      <c r="CG276" s="57">
        <f>'2017'!BW26</f>
        <v>4</v>
      </c>
      <c r="CH276" s="57">
        <f>'2017'!BX26</f>
        <v>0</v>
      </c>
      <c r="CI276" s="57">
        <f>'2017'!BY26</f>
        <v>45</v>
      </c>
      <c r="CJ276" s="57">
        <f>'2017'!BZ26</f>
        <v>4</v>
      </c>
      <c r="CK276" s="58">
        <f>'2017'!CA26</f>
        <v>4.7</v>
      </c>
      <c r="CL276" s="58">
        <f>'2017'!CB26</f>
        <v>23.4</v>
      </c>
      <c r="CM276" s="58">
        <f>'2017'!CC26</f>
        <v>3.04</v>
      </c>
      <c r="CN276" s="58">
        <f>'2017'!CD26</f>
        <v>34.4</v>
      </c>
      <c r="CO276" s="57">
        <f>'2017'!CE26</f>
        <v>63</v>
      </c>
      <c r="CP276" s="57">
        <f>'2017'!CF26</f>
        <v>4152</v>
      </c>
      <c r="CQ276" s="57">
        <f>'2017'!CG26</f>
        <v>7</v>
      </c>
      <c r="CR276" s="57">
        <f>'2017'!CH26</f>
        <v>0</v>
      </c>
      <c r="CS276" s="59">
        <f>'2017'!CI26</f>
        <v>0</v>
      </c>
      <c r="CT276" s="56">
        <f>'2017'!CJ26</f>
        <v>582</v>
      </c>
      <c r="CU276" s="57">
        <f>'2017'!CK26</f>
        <v>1987</v>
      </c>
      <c r="CV276" s="57">
        <f>'2017'!CL26</f>
        <v>1</v>
      </c>
      <c r="CW276" s="57">
        <f>'2017'!CM26</f>
        <v>0</v>
      </c>
      <c r="CX276" s="57">
        <f>'2017'!CN26</f>
        <v>87</v>
      </c>
      <c r="CY276" s="57">
        <f>'2017'!CO26</f>
        <v>20</v>
      </c>
      <c r="CZ276" s="58">
        <f>'2017'!CP26</f>
        <v>6.7</v>
      </c>
      <c r="DA276" s="58">
        <f>'2017'!CQ26</f>
        <v>100.3</v>
      </c>
      <c r="DB276" s="58">
        <f>'2017'!CR26</f>
        <v>3.6</v>
      </c>
      <c r="DC276" s="58">
        <f>'2017'!CS26</f>
        <v>51.2</v>
      </c>
      <c r="DD276" s="57">
        <f>'2017'!CT26</f>
        <v>189</v>
      </c>
      <c r="DE276" s="57">
        <f>'2017'!CU26</f>
        <v>4892</v>
      </c>
      <c r="DF276" s="57">
        <f>'2017'!CV26</f>
        <v>17</v>
      </c>
      <c r="DG276" s="57">
        <f>'2017'!CW26</f>
        <v>0</v>
      </c>
      <c r="DH276" s="59">
        <f>'2017'!CX26</f>
        <v>0</v>
      </c>
      <c r="DI276" s="56">
        <f>'2017'!CY26</f>
        <v>827</v>
      </c>
      <c r="DJ276" s="57">
        <f>'2017'!CZ26</f>
        <v>1852</v>
      </c>
      <c r="DK276" s="57">
        <f>'2017'!DA26</f>
        <v>2</v>
      </c>
      <c r="DL276" s="57">
        <f>'2017'!DB26</f>
        <v>0</v>
      </c>
      <c r="DM276" s="57">
        <f>'2017'!DC26</f>
        <v>152</v>
      </c>
      <c r="DN276" s="57">
        <f>'2017'!DD26</f>
        <v>22</v>
      </c>
      <c r="DO276" s="58">
        <f>'2017'!DE26</f>
        <v>5.4</v>
      </c>
      <c r="DP276" s="58">
        <f>'2017'!DF26</f>
        <v>46.9</v>
      </c>
      <c r="DQ276" s="58">
        <f>'2017'!DG26</f>
        <v>2.93</v>
      </c>
      <c r="DR276" s="58">
        <f>'2017'!DH26</f>
        <v>31.4</v>
      </c>
      <c r="DS276" s="57">
        <f>'2017'!DI26</f>
        <v>132</v>
      </c>
      <c r="DT276" s="57">
        <f>'2017'!DJ26</f>
        <v>4306</v>
      </c>
      <c r="DU276" s="57">
        <f>'2017'!DK26</f>
        <v>17</v>
      </c>
      <c r="DV276" s="57">
        <f>'2017'!DL26</f>
        <v>0</v>
      </c>
      <c r="DW276" s="59">
        <f>'2017'!DM26</f>
        <v>0</v>
      </c>
    </row>
    <row r="277" spans="1:127" ht="15.75" customHeight="1" x14ac:dyDescent="0.2">
      <c r="A277" s="33">
        <f t="shared" si="49"/>
        <v>275</v>
      </c>
      <c r="B277" s="11">
        <f>'2026 - WIP'!A24</f>
        <v>22</v>
      </c>
      <c r="C277" s="11">
        <v>2026</v>
      </c>
      <c r="D277" s="34" t="str">
        <f>'2026 - WIP'!B24</f>
        <v>Jaydn Ott</v>
      </c>
      <c r="E277" s="224" t="str" cm="1">
        <f t="array" ref="E277">_xlfn.IFS(F277&gt;=13,"Cornerstone",AND(F277&gt;=12,F277&lt;13),"Elite",AND(F277&gt;=11,F277&lt;12),"Elite Upside",AND(F277&gt;=9,F277&lt;11),"Upside",AND(F277&gt;=7,F277&lt;9),"Upside Lite",AND(F277&gt;=6,F277&lt;7),"Outlier",AND(F277&gt;=5,F277&lt;6),"Outlier Lite",F277&lt;5,"Purgatory")</f>
        <v>Purgatory</v>
      </c>
      <c r="F277" s="14">
        <f>'2026 - WIP'!C24</f>
        <v>3.9722222222222223</v>
      </c>
      <c r="G277" s="14">
        <f t="shared" si="54"/>
        <v>15.9</v>
      </c>
      <c r="H277" s="35">
        <f t="shared" si="50"/>
        <v>-1.7056766793523856</v>
      </c>
      <c r="I277" s="36" t="str">
        <f>'2026 - WIP'!D24</f>
        <v>Oklahoma</v>
      </c>
      <c r="J277" s="37">
        <f>'2026 - WIP'!E24</f>
        <v>1</v>
      </c>
      <c r="K277" s="38">
        <f>'2026 - WIP'!F24</f>
        <v>37606</v>
      </c>
      <c r="L277" s="39">
        <f>'2026 - WIP'!G24</f>
        <v>22.797260273972604</v>
      </c>
      <c r="M277" s="39" t="str">
        <f>'2026 - WIP'!H24</f>
        <v>SR</v>
      </c>
      <c r="N277" s="39">
        <f>'2026 - WIP'!I24</f>
        <v>23.378082191780823</v>
      </c>
      <c r="O277" s="39" t="str">
        <f t="shared" si="51"/>
        <v>DYNAMIC</v>
      </c>
      <c r="P277" s="39" t="str">
        <f>IF(OR(AND($AA277&lt;0.25,$AO277&gt;=0.133,AE277&gt;4%),(AND($O277="JITTERBUG",$AO277&gt;0.11)),(AND($O277="JITTERBUG",$AE277&gt;9.5%))),"+RECEIVER",IF(AND($AJ277&gt;=0.25,$AQ277&gt;=3.81),"3DOWN",IF($AQ277&gt;=3.81,"HORSE",IF(OR(AJ277&gt;0.28,AK277&gt;7,AR277&gt;47),"SLASHER",IF(AO277&gt;0.19,"+RECEIVER","PLODDER")))))</f>
        <v>+RECEIVER</v>
      </c>
      <c r="Q277" s="37">
        <f>'2026 - WIP'!J24</f>
        <v>71</v>
      </c>
      <c r="R277" s="37">
        <f>'2026 - WIP'!K24</f>
        <v>208</v>
      </c>
      <c r="S277" s="39">
        <f t="shared" si="53"/>
        <v>29.009790374272285</v>
      </c>
      <c r="T277" s="39">
        <f>'2026 - WIP'!L24</f>
        <v>4.46</v>
      </c>
      <c r="U277" s="55">
        <f>'2026 - WIP'!M24</f>
        <v>0</v>
      </c>
      <c r="V277" s="41">
        <f>'2026 - WIP'!N24</f>
        <v>0</v>
      </c>
      <c r="W277" s="42">
        <f>'2026 - WIP'!O24</f>
        <v>0.27678734686414336</v>
      </c>
      <c r="X277" s="42">
        <f>'2026 - WIP'!P24</f>
        <v>0.32118499573742543</v>
      </c>
      <c r="Y277" s="42">
        <f>'2026 - WIP'!Q24</f>
        <v>0.15969481715338069</v>
      </c>
      <c r="Z277" s="42">
        <f>'2026 - WIP'!R24</f>
        <v>1.1797362942401111E-2</v>
      </c>
      <c r="AA277" s="42">
        <f>'2026 - WIP'!S24</f>
        <v>0.16649117933991328</v>
      </c>
      <c r="AB277" s="42">
        <f>'2026 - WIP'!T24</f>
        <v>0.16649117933991328</v>
      </c>
      <c r="AC277" s="42">
        <f>'2026 - WIP'!U24</f>
        <v>8.584686774941995E-2</v>
      </c>
      <c r="AD277" s="42">
        <f>'2026 - WIP'!V24</f>
        <v>0</v>
      </c>
      <c r="AE277" s="42">
        <f>'2026 - WIP'!W24</f>
        <v>4.2923433874709975E-2</v>
      </c>
      <c r="AF277" s="43">
        <f>'2026 - WIP'!X24</f>
        <v>4.2923433874709975E-2</v>
      </c>
      <c r="AG277" s="44">
        <f>'2026 - WIP'!Y24</f>
        <v>19.734246575342464</v>
      </c>
      <c r="AH277" s="45">
        <f>'2026 - WIP'!Z24</f>
        <v>105.13659212403971</v>
      </c>
      <c r="AI277" s="45">
        <f>'2026 - WIP'!AA24</f>
        <v>29.006943066851814</v>
      </c>
      <c r="AJ277" s="45">
        <f>'2026 - WIP'!AB24</f>
        <v>0.23577235772357724</v>
      </c>
      <c r="AK277" s="45">
        <f>'2026 - WIP'!AC24</f>
        <v>5.3292682926829267</v>
      </c>
      <c r="AL277" s="45">
        <f t="shared" si="52"/>
        <v>7.697916666666667</v>
      </c>
      <c r="AM277" s="45">
        <f t="shared" si="56"/>
        <v>0</v>
      </c>
      <c r="AN277" s="45">
        <f>'2026 - WIP'!AD24</f>
        <v>79.7</v>
      </c>
      <c r="AO277" s="45">
        <f>'2026 - WIP'!AE24</f>
        <v>3.39</v>
      </c>
      <c r="AP277" s="46">
        <f>'2026 - WIP'!AF24</f>
        <v>49.9</v>
      </c>
      <c r="AQ277" s="47">
        <f>'2026 - WIP'!AG24</f>
        <v>2</v>
      </c>
      <c r="AR277" s="48">
        <f>'2026 - WIP'!AH24</f>
        <v>4</v>
      </c>
      <c r="AS277" s="48">
        <f>'2026 - WIP'!AI24</f>
        <v>6</v>
      </c>
      <c r="AT277" s="48">
        <f>'2026 - WIP'!AJ24</f>
        <v>7</v>
      </c>
      <c r="AU277" s="48">
        <f>'2026 - WIP'!AK24</f>
        <v>5</v>
      </c>
      <c r="AV277" s="48">
        <f>'2026 - WIP'!AL24</f>
        <v>2</v>
      </c>
      <c r="AW277" s="48">
        <f>'2026 - WIP'!AM24</f>
        <v>2</v>
      </c>
      <c r="AX277" s="48">
        <f>'2026 - WIP'!AN24</f>
        <v>1</v>
      </c>
      <c r="AY277" s="49">
        <f>'2026 - WIP'!AO24</f>
        <v>0</v>
      </c>
      <c r="AZ277" s="50">
        <f>'2026 - WIP'!AP24</f>
        <v>0</v>
      </c>
      <c r="BA277" s="56">
        <f>'2026 - WIP'!AQ24</f>
        <v>0</v>
      </c>
      <c r="BB277" s="57">
        <f>'2026 - WIP'!AR24</f>
        <v>1</v>
      </c>
      <c r="BC277" s="57">
        <f>'2026 - WIP'!AS24</f>
        <v>0</v>
      </c>
      <c r="BD277" s="57">
        <f>'2026 - WIP'!AT24</f>
        <v>0</v>
      </c>
      <c r="BE277" s="57">
        <f>'2026 - WIP'!AU24</f>
        <v>0</v>
      </c>
      <c r="BF277" s="57">
        <f>'2026 - WIP'!AV24</f>
        <v>0</v>
      </c>
      <c r="BG277" s="58">
        <f>'2026 - WIP'!AW24</f>
        <v>0</v>
      </c>
      <c r="BH277" s="58">
        <f>'2026 - WIP'!AX24</f>
        <v>0</v>
      </c>
      <c r="BI277" s="58">
        <f>'2026 - WIP'!AY24</f>
        <v>0</v>
      </c>
      <c r="BJ277" s="58">
        <f>'2026 - WIP'!AZ24</f>
        <v>0</v>
      </c>
      <c r="BK277" s="57">
        <f>'2026 - WIP'!BA24</f>
        <v>0</v>
      </c>
      <c r="BL277" s="57">
        <f>'2026 - WIP'!BB24</f>
        <v>1</v>
      </c>
      <c r="BM277" s="57">
        <f>'2026 - WIP'!BC24</f>
        <v>0</v>
      </c>
      <c r="BN277" s="57">
        <f>'2026 - WIP'!BD24</f>
        <v>0</v>
      </c>
      <c r="BO277" s="59">
        <f>'2026 - WIP'!BE24</f>
        <v>0</v>
      </c>
      <c r="BP277" s="56">
        <f>'2026 - WIP'!BF24</f>
        <v>890</v>
      </c>
      <c r="BQ277" s="57">
        <f>'2026 - WIP'!BG24</f>
        <v>1159.1999999999998</v>
      </c>
      <c r="BR277" s="57">
        <f>'2026 - WIP'!BH24</f>
        <v>8</v>
      </c>
      <c r="BS277" s="57">
        <f>'2026 - WIP'!BI24</f>
        <v>9.6000000000000014</v>
      </c>
      <c r="BT277" s="57">
        <f>'2026 - WIP'!BJ24</f>
        <v>170</v>
      </c>
      <c r="BU277" s="57">
        <f>'2026 - WIP'!BK24</f>
        <v>49</v>
      </c>
      <c r="BV277" s="58">
        <f>'2026 - WIP'!BL24</f>
        <v>5.2352941176470589</v>
      </c>
      <c r="BW277" s="58">
        <f>'2026 - WIP'!BM24</f>
        <v>97.8</v>
      </c>
      <c r="BX277" s="58">
        <f>'2026 - WIP'!BN24</f>
        <v>3.3</v>
      </c>
      <c r="BY277" s="58">
        <f>'2026 - WIP'!BO24</f>
        <v>41</v>
      </c>
      <c r="BZ277" s="57">
        <f>'2026 - WIP'!BP24</f>
        <v>321</v>
      </c>
      <c r="CA277" s="57">
        <f>'2026 - WIP'!BQ24</f>
        <v>3216</v>
      </c>
      <c r="CB277" s="57">
        <f>'2026 - WIP'!BR24</f>
        <v>46</v>
      </c>
      <c r="CC277" s="57">
        <f>'2026 - WIP'!BS24</f>
        <v>3</v>
      </c>
      <c r="CD277" s="59">
        <f>'2026 - WIP'!BT24</f>
        <v>22.799999999999997</v>
      </c>
      <c r="CE277" s="56">
        <f>'2026 - WIP'!BU24</f>
        <v>1311</v>
      </c>
      <c r="CF277" s="57">
        <f>'2026 - WIP'!BV24</f>
        <v>2073.6000000000004</v>
      </c>
      <c r="CG277" s="57">
        <f>'2026 - WIP'!BW24</f>
        <v>12</v>
      </c>
      <c r="CH277" s="57">
        <f>'2026 - WIP'!BX24</f>
        <v>24</v>
      </c>
      <c r="CI277" s="57">
        <f>'2026 - WIP'!BY24</f>
        <v>246</v>
      </c>
      <c r="CJ277" s="57">
        <f>'2026 - WIP'!BZ24</f>
        <v>58</v>
      </c>
      <c r="CK277" s="58">
        <f>'2026 - WIP'!CA24</f>
        <v>5.3292682926829267</v>
      </c>
      <c r="CL277" s="58">
        <f>'2026 - WIP'!CB24</f>
        <v>79.7</v>
      </c>
      <c r="CM277" s="58">
        <f>'2026 - WIP'!CC24</f>
        <v>3.39</v>
      </c>
      <c r="CN277" s="58">
        <f>'2026 - WIP'!CD24</f>
        <v>38.4</v>
      </c>
      <c r="CO277" s="57">
        <f>'2026 - WIP'!CE24</f>
        <v>196</v>
      </c>
      <c r="CP277" s="57">
        <f>'2026 - WIP'!CF24</f>
        <v>2618.3999999999996</v>
      </c>
      <c r="CQ277" s="57">
        <f>'2026 - WIP'!CG24</f>
        <v>26</v>
      </c>
      <c r="CR277" s="57">
        <f>'2026 - WIP'!CH24</f>
        <v>2</v>
      </c>
      <c r="CS277" s="59">
        <f>'2026 - WIP'!CI24</f>
        <v>20.399999999999999</v>
      </c>
      <c r="CT277" s="56">
        <f>'2026 - WIP'!CJ24</f>
        <v>385</v>
      </c>
      <c r="CU277" s="57">
        <f>'2026 - WIP'!CK24</f>
        <v>1215</v>
      </c>
      <c r="CV277" s="57">
        <f>'2026 - WIP'!CL24</f>
        <v>4</v>
      </c>
      <c r="CW277" s="57">
        <f>'2026 - WIP'!CM24</f>
        <v>11.700000000000001</v>
      </c>
      <c r="CX277" s="57">
        <f>'2026 - WIP'!CN24</f>
        <v>116</v>
      </c>
      <c r="CY277" s="57">
        <f>'2026 - WIP'!CO24</f>
        <v>12</v>
      </c>
      <c r="CZ277" s="58">
        <f>'2026 - WIP'!CP24</f>
        <v>3.3189655172413794</v>
      </c>
      <c r="DA277" s="58">
        <f>'2026 - WIP'!CQ24</f>
        <v>19.399999999999999</v>
      </c>
      <c r="DB277" s="58">
        <f>'2026 - WIP'!CR24</f>
        <v>1.94</v>
      </c>
      <c r="DC277" s="58">
        <f>'2026 - WIP'!CS24</f>
        <v>49.9</v>
      </c>
      <c r="DD277" s="57">
        <f>'2026 - WIP'!CT24</f>
        <v>222</v>
      </c>
      <c r="DE277" s="57">
        <f>'2026 - WIP'!CU24</f>
        <v>2586</v>
      </c>
      <c r="DF277" s="57">
        <f>'2026 - WIP'!CV24</f>
        <v>24</v>
      </c>
      <c r="DG277" s="57">
        <f>'2026 - WIP'!CW24</f>
        <v>1</v>
      </c>
      <c r="DH277" s="59">
        <f>'2026 - WIP'!CX24</f>
        <v>11.700000000000001</v>
      </c>
      <c r="DI277" s="56">
        <f>'2026 - WIP'!CY24</f>
        <v>17</v>
      </c>
      <c r="DJ277" s="57">
        <f>'2026 - WIP'!CZ24</f>
        <v>492</v>
      </c>
      <c r="DK277" s="57">
        <f>'2026 - WIP'!DA24</f>
        <v>0</v>
      </c>
      <c r="DL277" s="57">
        <f>'2026 - WIP'!DB24</f>
        <v>0</v>
      </c>
      <c r="DM277" s="57">
        <f>'2026 - WIP'!DC24</f>
        <v>9</v>
      </c>
      <c r="DN277" s="57">
        <f>'2026 - WIP'!DD24</f>
        <v>1</v>
      </c>
      <c r="DO277" s="58">
        <f>'2026 - WIP'!DE24</f>
        <v>1.8888888888888888</v>
      </c>
      <c r="DP277" s="58">
        <f>'2026 - WIP'!DF24</f>
        <v>16</v>
      </c>
      <c r="DQ277" s="58">
        <f>'2026 - WIP'!DG24</f>
        <v>1.44</v>
      </c>
      <c r="DR277" s="58">
        <f>'2026 - WIP'!DH24</f>
        <v>0</v>
      </c>
      <c r="DS277" s="57">
        <f>'2026 - WIP'!DI24</f>
        <v>0</v>
      </c>
      <c r="DT277" s="57">
        <f>'2026 - WIP'!DJ24</f>
        <v>949</v>
      </c>
      <c r="DU277" s="57">
        <f>'2026 - WIP'!DK24</f>
        <v>0</v>
      </c>
      <c r="DV277" s="57">
        <f>'2026 - WIP'!DL24</f>
        <v>0</v>
      </c>
      <c r="DW277" s="59">
        <f>'2026 - WIP'!DM24</f>
        <v>0</v>
      </c>
    </row>
    <row r="278" spans="1:127" ht="15.75" customHeight="1" x14ac:dyDescent="0.2">
      <c r="A278" s="33">
        <f t="shared" si="49"/>
        <v>276</v>
      </c>
      <c r="B278" s="11">
        <f>'2017'!A27</f>
        <v>25</v>
      </c>
      <c r="C278" s="11">
        <v>2017</v>
      </c>
      <c r="D278" s="34" t="str">
        <f>'2017'!B27</f>
        <v>Corey Clement</v>
      </c>
      <c r="E278" s="224" t="str" cm="1">
        <f t="array" ref="E278">_xlfn.IFS(F278&gt;=13,"Cornerstone",AND(F278&gt;=12,F278&lt;13),"Elite",AND(F278&gt;=11,F278&lt;12),"Elite Upside",AND(F278&gt;=9,F278&lt;11),"Upside",AND(F278&gt;=7,F278&lt;9),"Upside Lite",AND(F278&gt;=6,F278&lt;7),"Outlier",AND(F278&gt;=5,F278&lt;6),"Outlier Lite",F278&lt;5,"Purgatory")</f>
        <v>Purgatory</v>
      </c>
      <c r="F278" s="14">
        <f>'2017'!C27</f>
        <v>3.9444444444444446</v>
      </c>
      <c r="G278" s="14">
        <f t="shared" si="54"/>
        <v>15.5</v>
      </c>
      <c r="H278" s="35">
        <f t="shared" si="50"/>
        <v>-1.7174329311368199</v>
      </c>
      <c r="I278" s="36" t="str">
        <f>'2017'!D27</f>
        <v>Wisconsin</v>
      </c>
      <c r="J278" s="37">
        <f>'2017'!E27</f>
        <v>2</v>
      </c>
      <c r="K278" s="38">
        <f>'2017'!F27</f>
        <v>34640</v>
      </c>
      <c r="L278" s="39">
        <f>'2017'!G27</f>
        <v>30.923287671232877</v>
      </c>
      <c r="M278" s="39" t="str">
        <f>'2017'!H27</f>
        <v>SR</v>
      </c>
      <c r="N278" s="39">
        <f>'2017'!I27</f>
        <v>22.4986301369863</v>
      </c>
      <c r="O278" s="39" t="str">
        <f t="shared" si="51"/>
        <v>BELL CALF</v>
      </c>
      <c r="P278" s="39" t="str">
        <f>IF(OR(AND($AA278&lt;0.25,$AM278&gt;=0.133,AE278&gt;4%),(AND($O278="JITTERBUG",$AM278&gt;0.11)),(AND($O278="JITTERBUG",$AE278&gt;9.5%))),"+RECEIVER",IF(AND($AJ278&gt;=0.25,$AO278&gt;=3.81),"3DOWN",IF($AO278&gt;=3.81,"HORSE",IF(OR(AJ278&gt;0.28,AK278&gt;7,AP278&gt;47),"SLASHER",IF(AM278&gt;0.19,"+RECEIVER","PLODDER")))))</f>
        <v>PLODDER</v>
      </c>
      <c r="Q278" s="37">
        <f>'2017'!J27</f>
        <v>70</v>
      </c>
      <c r="R278" s="37">
        <f>'2017'!K27</f>
        <v>221</v>
      </c>
      <c r="S278" s="39">
        <f t="shared" si="53"/>
        <v>31.709847011530755</v>
      </c>
      <c r="T278" s="37">
        <f>'2017'!L27</f>
        <v>4.68</v>
      </c>
      <c r="U278" s="55">
        <f>'2017'!M27</f>
        <v>0</v>
      </c>
      <c r="V278" s="41">
        <f>'2017'!N27</f>
        <v>0</v>
      </c>
      <c r="W278" s="42">
        <f>'2017'!O27</f>
        <v>8.8945768677011677E-2</v>
      </c>
      <c r="X278" s="42">
        <f>'2017'!P27</f>
        <v>0.16301035953686777</v>
      </c>
      <c r="Y278" s="42">
        <f>'2017'!Q27</f>
        <v>4.9979683055668425E-2</v>
      </c>
      <c r="Z278" s="42">
        <f>'2017'!R27</f>
        <v>0.27719626168224298</v>
      </c>
      <c r="AA278" s="42">
        <f>'2017'!S27</f>
        <v>0.27719626168224298</v>
      </c>
      <c r="AB278" s="42">
        <f>'2017'!T27</f>
        <v>0.27719626168224298</v>
      </c>
      <c r="AC278" s="42">
        <f>'2017'!U27</f>
        <v>6.7385444743935314E-3</v>
      </c>
      <c r="AD278" s="42">
        <f>'2017'!V27</f>
        <v>5.3849222177901876E-2</v>
      </c>
      <c r="AE278" s="42">
        <f>'2017'!W27</f>
        <v>5.3849222177901876E-2</v>
      </c>
      <c r="AF278" s="43">
        <f>'2017'!X27</f>
        <v>5.3849222177901876E-2</v>
      </c>
      <c r="AG278" s="44">
        <f>'2017'!Y27</f>
        <v>19.843835616438355</v>
      </c>
      <c r="AH278" s="45">
        <f>'2017'!Z27</f>
        <v>92.138016140256411</v>
      </c>
      <c r="AI278" s="45">
        <f>'2017'!AA27</f>
        <v>31.70673469387755</v>
      </c>
      <c r="AJ278" s="45">
        <f>'2017'!AB27</f>
        <v>0.20833333333333334</v>
      </c>
      <c r="AK278" s="45">
        <f>'2017'!AC27</f>
        <v>4.7</v>
      </c>
      <c r="AL278" s="45">
        <f t="shared" si="52"/>
        <v>7.8611111111111107</v>
      </c>
      <c r="AM278" s="45">
        <f t="shared" si="56"/>
        <v>3.3742331288343558E-2</v>
      </c>
      <c r="AN278" s="45">
        <f>'2017'!AD27</f>
        <v>55.4</v>
      </c>
      <c r="AO278" s="45">
        <f>'2017'!AE27</f>
        <v>2.77</v>
      </c>
      <c r="AP278" s="46">
        <f>'2017'!AF27</f>
        <v>45.7</v>
      </c>
      <c r="AQ278" s="47">
        <f>'2017'!AG27</f>
        <v>7</v>
      </c>
      <c r="AR278" s="48">
        <f>'2017'!AH27</f>
        <v>6</v>
      </c>
      <c r="AS278" s="48">
        <f>'2017'!AI27</f>
        <v>5</v>
      </c>
      <c r="AT278" s="48">
        <f>IF(AH278&gt;113.25,10,IF(AH278&gt;=107.84,9,IF(AH278&gt;=105.37,8,IF(AH278&gt;=103.25,7,IF(AH278&gt;=100.55,6,IF(AH278&gt;=98.75,5,IF(AH278&gt;=96.08,4,IF(AH278&gt;=94.39,3,IF(AH278&gt;=88.43,2,IF(AH278&gt;=85.16,1,IF(AH278&lt;85.16,0,FALSE)))))))))))</f>
        <v>2</v>
      </c>
      <c r="AU278" s="48">
        <f>'2017'!AK27</f>
        <v>4</v>
      </c>
      <c r="AV278" s="48">
        <f>'2017'!AL27</f>
        <v>0</v>
      </c>
      <c r="AW278" s="48">
        <f>'2017'!AM27</f>
        <v>2</v>
      </c>
      <c r="AX278" s="48">
        <f>'2017'!AN27</f>
        <v>0</v>
      </c>
      <c r="AY278" s="49">
        <f>IF(U278=1,10,IF(U278=2,7,IF(U278=3,6,IF(U278=4,4,IF(U278=5,3,IF(U278=6,2,IF(U278=7,1,IF(U278=0,0,"-"))))))))</f>
        <v>0</v>
      </c>
      <c r="AZ278" s="50">
        <f>'2017'!AP27</f>
        <v>0.25</v>
      </c>
      <c r="BA278" s="56">
        <f>'2017'!AQ27</f>
        <v>0</v>
      </c>
      <c r="BB278" s="57">
        <f>'2017'!AR27</f>
        <v>3309</v>
      </c>
      <c r="BC278" s="57">
        <f>'2017'!AS27</f>
        <v>0</v>
      </c>
      <c r="BD278" s="57">
        <f>'2017'!AT27</f>
        <v>0</v>
      </c>
      <c r="BE278" s="57">
        <f>'2017'!AU27</f>
        <v>0</v>
      </c>
      <c r="BF278" s="57">
        <f>'2017'!AV27</f>
        <v>0</v>
      </c>
      <c r="BG278" s="58">
        <f>'2017'!AW27</f>
        <v>0</v>
      </c>
      <c r="BH278" s="58">
        <f>'2017'!AX27</f>
        <v>0</v>
      </c>
      <c r="BI278" s="58">
        <f>'2017'!AY27</f>
        <v>0</v>
      </c>
      <c r="BJ278" s="58">
        <f>'2017'!AZ27</f>
        <v>0</v>
      </c>
      <c r="BK278" s="57">
        <f>'2017'!BA27</f>
        <v>0</v>
      </c>
      <c r="BL278" s="57">
        <f>'2017'!BB27</f>
        <v>2197</v>
      </c>
      <c r="BM278" s="57">
        <f>'2017'!BC27</f>
        <v>0</v>
      </c>
      <c r="BN278" s="57">
        <f>'2017'!BD27</f>
        <v>0</v>
      </c>
      <c r="BO278" s="59">
        <f>'2017'!BE27</f>
        <v>0</v>
      </c>
      <c r="BP278" s="56">
        <f>'2017'!BF27</f>
        <v>547</v>
      </c>
      <c r="BQ278" s="57">
        <f>'2017'!BG27</f>
        <v>3689</v>
      </c>
      <c r="BR278" s="57">
        <f>'2017'!BH27</f>
        <v>0</v>
      </c>
      <c r="BS278" s="57">
        <f>'2017'!BI27</f>
        <v>0</v>
      </c>
      <c r="BT278" s="57">
        <f>'2017'!BJ27</f>
        <v>0</v>
      </c>
      <c r="BU278" s="57">
        <f>'2017'!BK27</f>
        <v>0</v>
      </c>
      <c r="BV278" s="58">
        <f>'2017'!BL27</f>
        <v>0</v>
      </c>
      <c r="BW278" s="58">
        <f>'2017'!BM27</f>
        <v>0</v>
      </c>
      <c r="BX278" s="58">
        <f>'2017'!BN27</f>
        <v>0</v>
      </c>
      <c r="BY278" s="58">
        <f>'2017'!BO27</f>
        <v>0</v>
      </c>
      <c r="BZ278" s="57">
        <f>'2017'!BP27</f>
        <v>9</v>
      </c>
      <c r="CA278" s="57">
        <f>'2017'!BQ27</f>
        <v>2562</v>
      </c>
      <c r="CB278" s="57">
        <f>'2017'!BR27</f>
        <v>9</v>
      </c>
      <c r="CC278" s="57">
        <f>'2017'!BS27</f>
        <v>0</v>
      </c>
      <c r="CD278" s="59">
        <f>'2017'!BT27</f>
        <v>0</v>
      </c>
      <c r="CE278" s="56">
        <f>'2017'!BU27</f>
        <v>951</v>
      </c>
      <c r="CF278" s="57">
        <f>'2017'!BV27</f>
        <v>4482</v>
      </c>
      <c r="CG278" s="57">
        <f>'2017'!BW27</f>
        <v>9</v>
      </c>
      <c r="CH278" s="57">
        <f>'2017'!BX27</f>
        <v>0</v>
      </c>
      <c r="CI278" s="57">
        <f>'2017'!BY27</f>
        <v>147</v>
      </c>
      <c r="CJ278" s="57">
        <f>'2017'!BZ27</f>
        <v>20</v>
      </c>
      <c r="CK278" s="58">
        <f>'2017'!CA27</f>
        <v>6.5</v>
      </c>
      <c r="CL278" s="58">
        <f>'2017'!CB27</f>
        <v>42.1</v>
      </c>
      <c r="CM278" s="58">
        <f>'2017'!CC27</f>
        <v>2.71</v>
      </c>
      <c r="CN278" s="58">
        <f>'2017'!CD27</f>
        <v>45.7</v>
      </c>
      <c r="CO278" s="57">
        <f>'2017'!CE27</f>
        <v>119</v>
      </c>
      <c r="CP278" s="57">
        <f>'2017'!CF27</f>
        <v>2082</v>
      </c>
      <c r="CQ278" s="57">
        <f>'2017'!CG27</f>
        <v>14</v>
      </c>
      <c r="CR278" s="57">
        <f>'2017'!CH27</f>
        <v>0</v>
      </c>
      <c r="CS278" s="59">
        <f>'2017'!CI27</f>
        <v>0</v>
      </c>
      <c r="CT278" s="56">
        <f>'2017'!CJ27</f>
        <v>226</v>
      </c>
      <c r="CU278" s="57">
        <f>'2017'!CK27</f>
        <v>1954</v>
      </c>
      <c r="CV278" s="57">
        <f>'2017'!CL27</f>
        <v>5</v>
      </c>
      <c r="CW278" s="57">
        <f>'2017'!CM27</f>
        <v>0</v>
      </c>
      <c r="CX278" s="57">
        <f>'2017'!CN27</f>
        <v>48</v>
      </c>
      <c r="CY278" s="57">
        <f>'2017'!CO27</f>
        <v>10</v>
      </c>
      <c r="CZ278" s="58">
        <f>'2017'!CP27</f>
        <v>4.7</v>
      </c>
      <c r="DA278" s="58">
        <f>'2017'!CQ27</f>
        <v>55.4</v>
      </c>
      <c r="DB278" s="58">
        <f>'2017'!CR27</f>
        <v>2.77</v>
      </c>
      <c r="DC278" s="58">
        <f>'2017'!CS27</f>
        <v>35</v>
      </c>
      <c r="DD278" s="57">
        <f>'2017'!CT27</f>
        <v>20</v>
      </c>
      <c r="DE278" s="57">
        <f>'2017'!CU27</f>
        <v>2968</v>
      </c>
      <c r="DF278" s="57">
        <f>'2017'!CV27</f>
        <v>2</v>
      </c>
      <c r="DG278" s="57">
        <f>'2017'!CW27</f>
        <v>0</v>
      </c>
      <c r="DH278" s="59">
        <f>'2017'!CX27</f>
        <v>0</v>
      </c>
      <c r="DI278" s="56">
        <f>'2017'!CY27</f>
        <v>1348</v>
      </c>
      <c r="DJ278" s="57">
        <f>'2017'!CZ27</f>
        <v>2843</v>
      </c>
      <c r="DK278" s="57">
        <f>'2017'!DA27</f>
        <v>15</v>
      </c>
      <c r="DL278" s="57">
        <f>'2017'!DB27</f>
        <v>0</v>
      </c>
      <c r="DM278" s="57">
        <f>'2017'!DC27</f>
        <v>315</v>
      </c>
      <c r="DN278" s="57">
        <f>'2017'!DD27</f>
        <v>47</v>
      </c>
      <c r="DO278" s="58">
        <f>'2017'!DE27</f>
        <v>4.3</v>
      </c>
      <c r="DP278" s="58">
        <f>'2017'!DF27</f>
        <v>41.5</v>
      </c>
      <c r="DQ278" s="58">
        <f>'2017'!DG27</f>
        <v>2.76</v>
      </c>
      <c r="DR278" s="58">
        <f>'2017'!DH27</f>
        <v>29.4</v>
      </c>
      <c r="DS278" s="57">
        <f>'2017'!DI27</f>
        <v>135</v>
      </c>
      <c r="DT278" s="57">
        <f>'2017'!DJ27</f>
        <v>2507</v>
      </c>
      <c r="DU278" s="57">
        <f>'2017'!DK27</f>
        <v>11</v>
      </c>
      <c r="DV278" s="57">
        <f>'2017'!DL27</f>
        <v>0</v>
      </c>
      <c r="DW278" s="59">
        <f>'2017'!DM27</f>
        <v>0</v>
      </c>
    </row>
    <row r="279" spans="1:127" ht="15.75" customHeight="1" x14ac:dyDescent="0.2">
      <c r="A279" s="33">
        <f t="shared" si="49"/>
        <v>277</v>
      </c>
      <c r="B279" s="11">
        <f>'2024'!A30</f>
        <v>28</v>
      </c>
      <c r="C279" s="11">
        <v>2024</v>
      </c>
      <c r="D279" s="34" t="str">
        <f>'2024'!B30</f>
        <v>Dillon Johnson</v>
      </c>
      <c r="E279" s="224" t="str" cm="1">
        <f t="array" ref="E279">_xlfn.IFS(F279&gt;=13,"Cornerstone",AND(F279&gt;=12,F279&lt;13),"Elite",AND(F279&gt;=11,F279&lt;12),"Elite Upside",AND(F279&gt;=9,F279&lt;11),"Upside",AND(F279&gt;=7,F279&lt;9),"Upside Lite",AND(F279&gt;=6,F279&lt;7),"Outlier",AND(F279&gt;=5,F279&lt;6),"Outlier Lite",F279&lt;5,"Purgatory")</f>
        <v>Purgatory</v>
      </c>
      <c r="F279" s="14">
        <f>'2024'!C30</f>
        <v>3.8888888888888888</v>
      </c>
      <c r="G279" s="14">
        <f t="shared" si="54"/>
        <v>15.2</v>
      </c>
      <c r="H279" s="35">
        <f t="shared" si="50"/>
        <v>-1.7409454347056887</v>
      </c>
      <c r="I279" s="36" t="str">
        <f>'2024'!D30</f>
        <v>Washington</v>
      </c>
      <c r="J279" s="37">
        <f>'2024'!E30</f>
        <v>5</v>
      </c>
      <c r="K279" s="38">
        <f>'2024'!F30</f>
        <v>37057</v>
      </c>
      <c r="L279" s="39">
        <f>'2024'!G30</f>
        <v>24.301369863013697</v>
      </c>
      <c r="M279" s="39" t="str">
        <f>'2024'!H30</f>
        <v>RS JR</v>
      </c>
      <c r="N279" s="39">
        <f>'2024'!I30</f>
        <v>22.882191780821916</v>
      </c>
      <c r="O279" s="39" t="str">
        <f t="shared" si="51"/>
        <v>BELL COW</v>
      </c>
      <c r="P279" s="39" t="str">
        <f>IF(OR(AND($AA279&lt;0.25,$AM279&gt;=0.133,AE279&gt;4%),(AND($O279="JITTERBUG",$AM279&gt;0.11)),(AND($O279="JITTERBUG",$AE279&gt;9.5%))),"+RECEIVER",IF(AND($AJ279&gt;=0.25,$AO279&gt;=3.81),"3DOWN",IF($AO279&gt;=3.81,"HORSE",IF(OR(AJ279&gt;0.28,AK279&gt;7,AP279&gt;47),"SLASHER",IF(AM279&gt;0.19,"+RECEIVER","PLODDER")))))</f>
        <v>PLODDER</v>
      </c>
      <c r="Q279" s="37">
        <f>'2024'!J30</f>
        <v>72</v>
      </c>
      <c r="R279" s="37">
        <f>'2024'!K30</f>
        <v>217</v>
      </c>
      <c r="S279" s="39">
        <f t="shared" si="53"/>
        <v>29.430164801687628</v>
      </c>
      <c r="T279" s="37">
        <f>'2024'!L30</f>
        <v>4.68</v>
      </c>
      <c r="U279" s="40">
        <f>'2024'!M30</f>
        <v>0</v>
      </c>
      <c r="V279" s="41">
        <f>'2024'!N30</f>
        <v>0</v>
      </c>
      <c r="W279" s="42">
        <f>'2024'!O30</f>
        <v>0.10207899096787985</v>
      </c>
      <c r="X279" s="42">
        <f>'2024'!P30</f>
        <v>0.15802770276156458</v>
      </c>
      <c r="Y279" s="42">
        <f>'2024'!Q30</f>
        <v>0.17885652143733083</v>
      </c>
      <c r="Z279" s="42">
        <f>'2024'!R30</f>
        <v>0.21315732525427394</v>
      </c>
      <c r="AA279" s="42">
        <f>'2024'!S30</f>
        <v>0.21315732525427394</v>
      </c>
      <c r="AB279" s="42">
        <f>'2024'!T30</f>
        <v>0.18118372646613284</v>
      </c>
      <c r="AC279" s="42">
        <f>'2024'!U30</f>
        <v>8.004206590324843E-2</v>
      </c>
      <c r="AD279" s="42">
        <f>'2024'!V30</f>
        <v>3.9486262936946674E-2</v>
      </c>
      <c r="AE279" s="42">
        <f>'2024'!W30</f>
        <v>5.9764164420097549E-2</v>
      </c>
      <c r="AF279" s="43">
        <f>'2024'!X30</f>
        <v>5.0799539757082915E-2</v>
      </c>
      <c r="AG279" s="44">
        <f>'2024'!Y30</f>
        <v>20.224657534246575</v>
      </c>
      <c r="AH279" s="45">
        <f>'2024'!Z30</f>
        <v>90.47035973952778</v>
      </c>
      <c r="AI279" s="45">
        <f>'2024'!AA30</f>
        <v>29.427276234567902</v>
      </c>
      <c r="AJ279" s="45">
        <f>'2024'!AB30</f>
        <v>0.21348314606741572</v>
      </c>
      <c r="AK279" s="45">
        <f>'2024'!AC30</f>
        <v>5.606741573033708</v>
      </c>
      <c r="AL279" s="45">
        <f t="shared" si="52"/>
        <v>6.0639534883720927</v>
      </c>
      <c r="AM279" s="45">
        <f t="shared" si="56"/>
        <v>9.3385214007782102E-2</v>
      </c>
      <c r="AN279" s="45">
        <f>'2024'!AD30</f>
        <v>85.1</v>
      </c>
      <c r="AO279" s="45">
        <f>'2024'!AE30</f>
        <v>3.51</v>
      </c>
      <c r="AP279" s="46">
        <f>'2024'!AF30</f>
        <v>35.200000000000003</v>
      </c>
      <c r="AQ279" s="47">
        <f>'2024'!AG30</f>
        <v>3</v>
      </c>
      <c r="AR279" s="48">
        <f>'2024'!AH30</f>
        <v>5</v>
      </c>
      <c r="AS279" s="48">
        <f>'2024'!AI30</f>
        <v>4</v>
      </c>
      <c r="AT279" s="48">
        <f>'2024'!AJ30</f>
        <v>2</v>
      </c>
      <c r="AU279" s="48">
        <f>'2024'!AK30</f>
        <v>4</v>
      </c>
      <c r="AV279" s="48">
        <f>'2024'!AL30</f>
        <v>3</v>
      </c>
      <c r="AW279" s="48">
        <f>'2024'!AM30</f>
        <v>2</v>
      </c>
      <c r="AX279" s="48">
        <f>'2024'!AN30</f>
        <v>2</v>
      </c>
      <c r="AY279" s="49">
        <f>'2024'!AO30</f>
        <v>0</v>
      </c>
      <c r="AZ279" s="50">
        <f>'2024'!AP30</f>
        <v>0.25</v>
      </c>
      <c r="BA279" s="56">
        <f>'2024'!AQ30</f>
        <v>0</v>
      </c>
      <c r="BB279" s="57">
        <f>'2024'!AR30</f>
        <v>1</v>
      </c>
      <c r="BC279" s="57">
        <f>'2024'!AS30</f>
        <v>0</v>
      </c>
      <c r="BD279" s="57">
        <f>'2024'!AT30</f>
        <v>0</v>
      </c>
      <c r="BE279" s="57">
        <f>'2024'!AU30</f>
        <v>0</v>
      </c>
      <c r="BF279" s="57">
        <f>'2024'!AV30</f>
        <v>0</v>
      </c>
      <c r="BG279" s="58">
        <f>'2024'!AW30</f>
        <v>0</v>
      </c>
      <c r="BH279" s="58">
        <f>'2024'!AX30</f>
        <v>0</v>
      </c>
      <c r="BI279" s="58">
        <f>'2024'!AY30</f>
        <v>0</v>
      </c>
      <c r="BJ279" s="58">
        <f>'2024'!AZ30</f>
        <v>0</v>
      </c>
      <c r="BK279" s="57">
        <f>'2024'!BA30</f>
        <v>0</v>
      </c>
      <c r="BL279" s="57">
        <f>'2024'!BB30</f>
        <v>1</v>
      </c>
      <c r="BM279" s="57">
        <f>'2024'!BC30</f>
        <v>0</v>
      </c>
      <c r="BN279" s="57">
        <f>'2024'!BD30</f>
        <v>0</v>
      </c>
      <c r="BO279" s="59">
        <f>'2024'!BE30</f>
        <v>0</v>
      </c>
      <c r="BP279" s="56">
        <f>'2024'!BF30</f>
        <v>225</v>
      </c>
      <c r="BQ279" s="57">
        <f>'2024'!BG30</f>
        <v>482.9</v>
      </c>
      <c r="BR279" s="57">
        <f>'2024'!BH30</f>
        <v>4</v>
      </c>
      <c r="BS279" s="57">
        <f>'2024'!BI30</f>
        <v>7.6999999999999993</v>
      </c>
      <c r="BT279" s="57">
        <f>'2024'!BJ30</f>
        <v>51</v>
      </c>
      <c r="BU279" s="57">
        <f>'2024'!BK30</f>
        <v>17</v>
      </c>
      <c r="BV279" s="58">
        <f>'2024'!BL30</f>
        <v>4.4117647058823533</v>
      </c>
      <c r="BW279" s="58">
        <f>'2024'!BM30</f>
        <v>78.3</v>
      </c>
      <c r="BX279" s="58">
        <f>'2024'!BN30</f>
        <v>2.96</v>
      </c>
      <c r="BY279" s="58">
        <f>'2024'!BO30</f>
        <v>0</v>
      </c>
      <c r="BZ279" s="57">
        <f>'2024'!BP30</f>
        <v>157</v>
      </c>
      <c r="CA279" s="57">
        <f>'2024'!BQ30</f>
        <v>3259.3</v>
      </c>
      <c r="CB279" s="57">
        <f>'2024'!BR30</f>
        <v>36</v>
      </c>
      <c r="CC279" s="57">
        <f>'2024'!BS30</f>
        <v>0</v>
      </c>
      <c r="CD279" s="59">
        <f>'2024'!BT30</f>
        <v>16.5</v>
      </c>
      <c r="CE279" s="56">
        <f>'2024'!BU30</f>
        <v>485</v>
      </c>
      <c r="CF279" s="57">
        <f>'2024'!BV30</f>
        <v>821.6</v>
      </c>
      <c r="CG279" s="57">
        <f>'2024'!BW30</f>
        <v>4</v>
      </c>
      <c r="CH279" s="57">
        <f>'2024'!BX30</f>
        <v>10.4</v>
      </c>
      <c r="CI279" s="57">
        <f>'2024'!BY30</f>
        <v>89</v>
      </c>
      <c r="CJ279" s="57">
        <f>'2024'!BZ30</f>
        <v>14</v>
      </c>
      <c r="CK279" s="58">
        <f>'2024'!CA30</f>
        <v>5.4494382022471912</v>
      </c>
      <c r="CL279" s="58">
        <f>'2024'!CB30</f>
        <v>61.9</v>
      </c>
      <c r="CM279" s="58">
        <f>'2024'!CC30</f>
        <v>2.89</v>
      </c>
      <c r="CN279" s="58">
        <f>'2024'!CD30</f>
        <v>21.4</v>
      </c>
      <c r="CO279" s="57">
        <f>'2024'!CE30</f>
        <v>422</v>
      </c>
      <c r="CP279" s="57">
        <f>'2024'!CF30</f>
        <v>4917.9000000000005</v>
      </c>
      <c r="CQ279" s="57">
        <f>'2024'!CG30</f>
        <v>65</v>
      </c>
      <c r="CR279" s="57">
        <f>'2024'!CH30</f>
        <v>1</v>
      </c>
      <c r="CS279" s="59">
        <f>'2024'!CI30</f>
        <v>36.4</v>
      </c>
      <c r="CT279" s="56">
        <f>'2024'!CJ30</f>
        <v>499</v>
      </c>
      <c r="CU279" s="57">
        <f>'2024'!CK30</f>
        <v>898.7</v>
      </c>
      <c r="CV279" s="57">
        <f>'2024'!CL30</f>
        <v>3</v>
      </c>
      <c r="CW279" s="57">
        <f>'2024'!CM30</f>
        <v>9.9</v>
      </c>
      <c r="CX279" s="57">
        <f>'2024'!CN30</f>
        <v>89</v>
      </c>
      <c r="CY279" s="57">
        <f>'2024'!CO30</f>
        <v>19</v>
      </c>
      <c r="CZ279" s="58">
        <f>'2024'!CP30</f>
        <v>5.606741573033708</v>
      </c>
      <c r="DA279" s="58">
        <f>'2024'!CQ30</f>
        <v>85.1</v>
      </c>
      <c r="DB279" s="58">
        <f>'2024'!CR30</f>
        <v>3.51</v>
      </c>
      <c r="DC279" s="58">
        <f>'2024'!CS30</f>
        <v>32.299999999999997</v>
      </c>
      <c r="DD279" s="57">
        <f>'2024'!CT30</f>
        <v>274</v>
      </c>
      <c r="DE279" s="57">
        <f>'2024'!CU30</f>
        <v>3423.2</v>
      </c>
      <c r="DF279" s="57">
        <f>'2024'!CV30</f>
        <v>47</v>
      </c>
      <c r="DG279" s="57">
        <f>'2024'!CW30</f>
        <v>0</v>
      </c>
      <c r="DH279" s="59">
        <f>'2024'!CX30</f>
        <v>30.799999999999997</v>
      </c>
      <c r="DI279" s="56">
        <f>'2024'!CY30</f>
        <v>1189</v>
      </c>
      <c r="DJ279" s="57">
        <f>'2024'!CZ30</f>
        <v>1657.6000000000001</v>
      </c>
      <c r="DK279" s="57">
        <f>'2024'!DA30</f>
        <v>16</v>
      </c>
      <c r="DL279" s="57">
        <f>'2024'!DB30</f>
        <v>26.599999999999998</v>
      </c>
      <c r="DM279" s="57">
        <f>'2024'!DC30</f>
        <v>233</v>
      </c>
      <c r="DN279" s="57">
        <f>'2024'!DD30</f>
        <v>43</v>
      </c>
      <c r="DO279" s="58">
        <f>'2024'!DE30</f>
        <v>5.1030042918454939</v>
      </c>
      <c r="DP279" s="58">
        <f>'2024'!DF30</f>
        <v>54.9</v>
      </c>
      <c r="DQ279" s="58">
        <f>'2024'!DG30</f>
        <v>3</v>
      </c>
      <c r="DR279" s="58">
        <f>'2024'!DH30</f>
        <v>35.200000000000003</v>
      </c>
      <c r="DS279" s="57">
        <f>'2024'!DI30</f>
        <v>190</v>
      </c>
      <c r="DT279" s="57">
        <f>'2024'!DJ30</f>
        <v>4811.8</v>
      </c>
      <c r="DU279" s="57">
        <f>'2024'!DK30</f>
        <v>24</v>
      </c>
      <c r="DV279" s="57">
        <f>'2024'!DL30</f>
        <v>0</v>
      </c>
      <c r="DW279" s="59">
        <f>'2024'!DM30</f>
        <v>35</v>
      </c>
    </row>
    <row r="280" spans="1:127" ht="15.75" customHeight="1" x14ac:dyDescent="0.2">
      <c r="A280" s="33">
        <f t="shared" si="49"/>
        <v>278</v>
      </c>
      <c r="B280" s="11">
        <f>'2015'!A20</f>
        <v>18</v>
      </c>
      <c r="C280" s="11">
        <v>2015</v>
      </c>
      <c r="D280" s="34" t="str">
        <f>'2015'!B20</f>
        <v>Terrence MaGee</v>
      </c>
      <c r="E280" s="224" t="str" cm="1">
        <f t="array" ref="E280">_xlfn.IFS(F280&gt;=13,"Cornerstone",AND(F280&gt;=12,F280&lt;13),"Elite",AND(F280&gt;=11,F280&lt;12),"Elite Upside",AND(F280&gt;=9,F280&lt;11),"Upside",AND(F280&gt;=7,F280&lt;9),"Upside Lite",AND(F280&gt;=6,F280&lt;7),"Outlier",AND(F280&gt;=5,F280&lt;6),"Outlier Lite",F280&lt;5,"Purgatory")</f>
        <v>Purgatory</v>
      </c>
      <c r="F280" s="14">
        <f>'2015'!C20</f>
        <v>3.8055555555555554</v>
      </c>
      <c r="G280" s="14">
        <f t="shared" si="54"/>
        <v>14.899999999999999</v>
      </c>
      <c r="H280" s="35">
        <f t="shared" si="50"/>
        <v>-1.7762141900589923</v>
      </c>
      <c r="I280" s="36" t="str">
        <f>'2015'!D20</f>
        <v>LSU</v>
      </c>
      <c r="J280" s="37">
        <f>'2015'!E20</f>
        <v>1</v>
      </c>
      <c r="K280" s="38">
        <f>'2015'!F20</f>
        <v>34044</v>
      </c>
      <c r="L280" s="39">
        <f>'2015'!G20</f>
        <v>32.556164383561644</v>
      </c>
      <c r="M280" s="39" t="str">
        <f>'2015'!H20</f>
        <v>SR</v>
      </c>
      <c r="N280" s="39">
        <f>'2015'!I20</f>
        <v>22.12876712328767</v>
      </c>
      <c r="O280" s="39" t="str">
        <f t="shared" si="51"/>
        <v>BELL CALF</v>
      </c>
      <c r="P280" s="39" t="str">
        <f>IF(OR(AND($AA280&lt;0.25,$AM280&gt;=0.133,AE280&gt;4%),(AND($O280="JITTERBUG",$AM280&gt;0.11)),(AND($O280="JITTERBUG",$AE280&gt;9.5%))),"+RECEIVER",IF(AND($AJ280&gt;=0.25,$AO280&gt;=3.81),"3DOWN",IF($AO280&gt;=3.81,"HORSE",IF(OR(AJ280&gt;0.28,AK280&gt;7,AP280&gt;47),"SLASHER",IF(AM280&gt;0.19,"+RECEIVER","PLODDER")))))</f>
        <v>SLASHER</v>
      </c>
      <c r="Q280" s="37">
        <f>'2015'!J20</f>
        <v>68</v>
      </c>
      <c r="R280" s="37">
        <f>'2015'!K20</f>
        <v>213</v>
      </c>
      <c r="S280" s="39">
        <f t="shared" si="53"/>
        <v>32.386180429800312</v>
      </c>
      <c r="T280" s="39">
        <f>'2015'!L20</f>
        <v>4.62</v>
      </c>
      <c r="U280" s="55">
        <f>'2015'!M20</f>
        <v>0</v>
      </c>
      <c r="V280" s="41">
        <f>'2015'!N20</f>
        <v>0</v>
      </c>
      <c r="W280" s="42">
        <f>'2015'!O20</f>
        <v>7.4908476485497047E-2</v>
      </c>
      <c r="X280" s="42">
        <f>'2015'!P20</f>
        <v>0</v>
      </c>
      <c r="Y280" s="42">
        <f>'2015'!Q20</f>
        <v>0.11454267775326658</v>
      </c>
      <c r="Z280" s="42">
        <f>'2015'!R20</f>
        <v>0.14792899408284022</v>
      </c>
      <c r="AA280" s="42">
        <f>'2015'!S20</f>
        <v>0.14792899408284022</v>
      </c>
      <c r="AB280" s="42">
        <f>'2015'!T20</f>
        <v>0.14792899408284022</v>
      </c>
      <c r="AC280" s="42">
        <f>'2015'!U20</f>
        <v>1.8631178707224333E-2</v>
      </c>
      <c r="AD280" s="42">
        <f>'2015'!V20</f>
        <v>8.0747981300467481E-2</v>
      </c>
      <c r="AE280" s="42">
        <f>'2015'!W20</f>
        <v>8.0747981300467481E-2</v>
      </c>
      <c r="AF280" s="43">
        <f>'2015'!X20</f>
        <v>8.0747981300467481E-2</v>
      </c>
      <c r="AG280" s="44" t="str">
        <f>'2015'!Y20</f>
        <v>N/A</v>
      </c>
      <c r="AH280" s="45">
        <f>'2015'!Z20</f>
        <v>93.506477491862995</v>
      </c>
      <c r="AI280" s="45">
        <f>'2015'!AA20</f>
        <v>32.383001730103807</v>
      </c>
      <c r="AJ280" s="45">
        <f>'2015'!AB20</f>
        <v>0.19642857142857142</v>
      </c>
      <c r="AK280" s="45">
        <f>'2015'!AC20</f>
        <v>7.2790697674418601</v>
      </c>
      <c r="AL280" s="45">
        <f t="shared" si="52"/>
        <v>9.5652173913043477</v>
      </c>
      <c r="AM280" s="45">
        <f t="shared" si="56"/>
        <v>0.13178294573643412</v>
      </c>
      <c r="AN280" s="45">
        <f>'2015'!AD20</f>
        <v>54.6</v>
      </c>
      <c r="AO280" s="45">
        <f>'2015'!AE20</f>
        <v>2.4300000000000002</v>
      </c>
      <c r="AP280" s="46">
        <f>'2015'!AF20</f>
        <v>32.4</v>
      </c>
      <c r="AQ280" s="47">
        <f>'2015'!AG20</f>
        <v>1</v>
      </c>
      <c r="AR280" s="48">
        <f>'2015'!AH20</f>
        <v>8</v>
      </c>
      <c r="AS280" s="48">
        <f>'2015'!AI20</f>
        <v>0</v>
      </c>
      <c r="AT280" s="48">
        <f>'2015'!AJ20</f>
        <v>2</v>
      </c>
      <c r="AU280" s="48">
        <f>'2015'!AK20</f>
        <v>3</v>
      </c>
      <c r="AV280" s="48">
        <f>'2015'!AL20</f>
        <v>8</v>
      </c>
      <c r="AW280" s="48">
        <f>'2015'!AM20</f>
        <v>2</v>
      </c>
      <c r="AX280" s="48">
        <f>'2015'!AN20</f>
        <v>0</v>
      </c>
      <c r="AY280" s="49">
        <f>'2015'!AO20</f>
        <v>0</v>
      </c>
      <c r="AZ280" s="50">
        <f>'2015'!AP20</f>
        <v>1</v>
      </c>
      <c r="BA280" s="56">
        <f>'2015'!AQ20</f>
        <v>0</v>
      </c>
      <c r="BB280" s="57">
        <f>'2015'!AR20</f>
        <v>1</v>
      </c>
      <c r="BC280" s="57">
        <f>'2015'!AS20</f>
        <v>0</v>
      </c>
      <c r="BD280" s="57">
        <f>'2015'!AT20</f>
        <v>0</v>
      </c>
      <c r="BE280" s="57">
        <f>'2015'!AU20</f>
        <v>0</v>
      </c>
      <c r="BF280" s="57">
        <f>'2015'!AV20</f>
        <v>0</v>
      </c>
      <c r="BG280" s="58">
        <f>'2015'!AW20</f>
        <v>0</v>
      </c>
      <c r="BH280" s="58">
        <f>'2015'!AX20</f>
        <v>0</v>
      </c>
      <c r="BI280" s="58">
        <f>'2015'!AY20</f>
        <v>0</v>
      </c>
      <c r="BJ280" s="58">
        <f>'2015'!AZ20</f>
        <v>0</v>
      </c>
      <c r="BK280" s="57">
        <f>'2015'!BA20</f>
        <v>0</v>
      </c>
      <c r="BL280" s="57">
        <f>'2015'!BB20</f>
        <v>1</v>
      </c>
      <c r="BM280" s="57">
        <f>'2015'!BC20</f>
        <v>0</v>
      </c>
      <c r="BN280" s="57">
        <f>'2015'!BD20</f>
        <v>0</v>
      </c>
      <c r="BO280" s="59">
        <f>'2015'!BE20</f>
        <v>0</v>
      </c>
      <c r="BP280" s="56">
        <f>'2015'!BF20</f>
        <v>133</v>
      </c>
      <c r="BQ280" s="57">
        <f>'2015'!BG20</f>
        <v>1013</v>
      </c>
      <c r="BR280" s="57">
        <f>'2015'!BH20</f>
        <v>1</v>
      </c>
      <c r="BS280" s="57">
        <f>'2015'!BI20</f>
        <v>0</v>
      </c>
      <c r="BT280" s="57">
        <f>'2015'!BJ20</f>
        <v>27</v>
      </c>
      <c r="BU280" s="57">
        <f>'2015'!BK20</f>
        <v>0</v>
      </c>
      <c r="BV280" s="58">
        <f>'2015'!BL20</f>
        <v>0</v>
      </c>
      <c r="BW280" s="58">
        <f>'2015'!BM20</f>
        <v>0</v>
      </c>
      <c r="BX280" s="58">
        <f>'2015'!BN20</f>
        <v>0</v>
      </c>
      <c r="BY280" s="58">
        <f>'2015'!BO20</f>
        <v>0</v>
      </c>
      <c r="BZ280" s="57">
        <f>'2015'!BP20</f>
        <v>0</v>
      </c>
      <c r="CA280" s="57">
        <f>'2015'!BQ20</f>
        <v>762.5</v>
      </c>
      <c r="CB280" s="57">
        <f>'2015'!BR20</f>
        <v>0</v>
      </c>
      <c r="CC280" s="57">
        <f>'2015'!BS20</f>
        <v>0</v>
      </c>
      <c r="CD280" s="59">
        <f>'2015'!BT20</f>
        <v>0</v>
      </c>
      <c r="CE280" s="56">
        <f>'2015'!BU20</f>
        <v>0</v>
      </c>
      <c r="CF280" s="57">
        <f>'2015'!BV20</f>
        <v>1</v>
      </c>
      <c r="CG280" s="57">
        <f>'2015'!BW20</f>
        <v>0</v>
      </c>
      <c r="CH280" s="57">
        <f>'2015'!BX20</f>
        <v>0</v>
      </c>
      <c r="CI280" s="57">
        <f>'2015'!BY20</f>
        <v>0</v>
      </c>
      <c r="CJ280" s="57">
        <f>'2015'!BZ20</f>
        <v>0</v>
      </c>
      <c r="CK280" s="58">
        <f>'2015'!CA20</f>
        <v>0</v>
      </c>
      <c r="CL280" s="58">
        <f>'2015'!CB20</f>
        <v>0</v>
      </c>
      <c r="CM280" s="58">
        <f>'2015'!CC20</f>
        <v>0</v>
      </c>
      <c r="CN280" s="58">
        <f>'2015'!CD20</f>
        <v>0</v>
      </c>
      <c r="CO280" s="57">
        <f>'2015'!CE20</f>
        <v>0</v>
      </c>
      <c r="CP280" s="57">
        <f>'2015'!CF20</f>
        <v>1</v>
      </c>
      <c r="CQ280" s="57">
        <f>'2015'!CG20</f>
        <v>0</v>
      </c>
      <c r="CR280" s="57">
        <f>'2015'!CH20</f>
        <v>0</v>
      </c>
      <c r="CS280" s="59">
        <f>'2015'!CI20</f>
        <v>0</v>
      </c>
      <c r="CT280" s="56">
        <f>'2015'!CJ20</f>
        <v>626</v>
      </c>
      <c r="CU280" s="57">
        <f>'2015'!CK20</f>
        <v>3263</v>
      </c>
      <c r="CV280" s="57">
        <f>'2015'!CL20</f>
        <v>8</v>
      </c>
      <c r="CW280" s="57">
        <f>'2015'!CM20</f>
        <v>0</v>
      </c>
      <c r="CX280" s="57">
        <f>'2015'!CN20</f>
        <v>86</v>
      </c>
      <c r="CY280" s="57">
        <f>'2015'!CO20</f>
        <v>0</v>
      </c>
      <c r="CZ280" s="58">
        <f>'2015'!CP20</f>
        <v>7.2790697674418601</v>
      </c>
      <c r="DA280" s="58">
        <f>'2015'!CQ20</f>
        <v>0</v>
      </c>
      <c r="DB280" s="58">
        <f>'2015'!CR20</f>
        <v>0</v>
      </c>
      <c r="DC280" s="58">
        <f>'2015'!CS20</f>
        <v>0</v>
      </c>
      <c r="DD280" s="57">
        <f>'2015'!CT20</f>
        <v>49</v>
      </c>
      <c r="DE280" s="57">
        <f>'2015'!CU20</f>
        <v>2630</v>
      </c>
      <c r="DF280" s="57">
        <f>'2015'!CV20</f>
        <v>6</v>
      </c>
      <c r="DG280" s="57">
        <f>'2015'!CW20</f>
        <v>0</v>
      </c>
      <c r="DH280" s="59">
        <f>'2015'!CX20</f>
        <v>0</v>
      </c>
      <c r="DI280" s="56">
        <f>'2015'!CY20</f>
        <v>574</v>
      </c>
      <c r="DJ280" s="57">
        <f>'2015'!CZ20</f>
        <v>2918.5</v>
      </c>
      <c r="DK280" s="57">
        <f>'2015'!DA20</f>
        <v>3</v>
      </c>
      <c r="DL280" s="57">
        <f>'2015'!DB20</f>
        <v>24.7</v>
      </c>
      <c r="DM280" s="57">
        <f>'2015'!DC20</f>
        <v>112</v>
      </c>
      <c r="DN280" s="57">
        <f>'2015'!DD20</f>
        <v>22</v>
      </c>
      <c r="DO280" s="58">
        <f>'2015'!DE20</f>
        <v>5.125</v>
      </c>
      <c r="DP280" s="58">
        <f>'2015'!DF20</f>
        <v>54.6</v>
      </c>
      <c r="DQ280" s="58">
        <f>'2015'!DG20</f>
        <v>2.4300000000000002</v>
      </c>
      <c r="DR280" s="58">
        <f>'2015'!DH20</f>
        <v>32.4</v>
      </c>
      <c r="DS280" s="57">
        <f>'2015'!DI20</f>
        <v>171</v>
      </c>
      <c r="DT280" s="57">
        <f>'2015'!DJ20</f>
        <v>2117.7000000000003</v>
      </c>
      <c r="DU280" s="57">
        <f>'2015'!DK20</f>
        <v>17</v>
      </c>
      <c r="DV280" s="57">
        <f>'2015'!DL20</f>
        <v>0</v>
      </c>
      <c r="DW280" s="59">
        <f>'2015'!DM20</f>
        <v>16.900000000000002</v>
      </c>
    </row>
    <row r="281" spans="1:127" ht="15.75" customHeight="1" x14ac:dyDescent="0.2">
      <c r="A281" s="33">
        <f t="shared" si="49"/>
        <v>279</v>
      </c>
      <c r="B281" s="11">
        <f>'2026 - WIP'!A25</f>
        <v>23</v>
      </c>
      <c r="C281" s="11">
        <v>2026</v>
      </c>
      <c r="D281" s="34" t="str">
        <f>'2026 - WIP'!B25</f>
        <v>Rueben Owens</v>
      </c>
      <c r="E281" s="224" t="str" cm="1">
        <f t="array" ref="E281">_xlfn.IFS(F281&gt;=13,"Cornerstone",AND(F281&gt;=12,F281&lt;13),"Elite",AND(F281&gt;=11,F281&lt;12),"Elite Upside",AND(F281&gt;=9,F281&lt;11),"Upside",AND(F281&gt;=7,F281&lt;9),"Upside Lite",AND(F281&gt;=6,F281&lt;7),"Outlier",AND(F281&gt;=5,F281&lt;6),"Outlier Lite",F281&lt;5,"Purgatory")</f>
        <v>Purgatory</v>
      </c>
      <c r="F281" s="14">
        <f>'2026 - WIP'!C25</f>
        <v>3.7888888888888892</v>
      </c>
      <c r="G281" s="14">
        <f t="shared" si="54"/>
        <v>14.6</v>
      </c>
      <c r="H281" s="35">
        <f t="shared" si="50"/>
        <v>-1.7832679411296526</v>
      </c>
      <c r="I281" s="36" t="str">
        <f>'2026 - WIP'!D25</f>
        <v>Texas A&amp;M</v>
      </c>
      <c r="J281" s="37">
        <f>'2026 - WIP'!E25</f>
        <v>1</v>
      </c>
      <c r="K281" s="38">
        <f>'2026 - WIP'!F25</f>
        <v>38504</v>
      </c>
      <c r="L281" s="39">
        <f>'2026 - WIP'!G25</f>
        <v>20.336986301369862</v>
      </c>
      <c r="M281" s="39" t="str">
        <f>'2026 - WIP'!H25</f>
        <v>RS SO</v>
      </c>
      <c r="N281" s="39">
        <f>'2026 - WIP'!I25</f>
        <v>20.917808219178081</v>
      </c>
      <c r="O281" s="39" t="str">
        <f t="shared" si="51"/>
        <v>FREAK</v>
      </c>
      <c r="P281" s="39" t="str">
        <f>IF(OR(AND($AA281&lt;0.25,$AO281&gt;=0.133,AE281&gt;4%),(AND($O281="JITTERBUG",$AO281&gt;0.11)),(AND($O281="JITTERBUG",$AE281&gt;9.5%))),"+RECEIVER",IF(AND($AJ281&gt;=0.25,$AQ281&gt;=3.81),"3DOWN",IF($AQ281&gt;=3.81,"HORSE",IF(OR(AJ281&gt;0.28,AK281&gt;7,AR281&gt;47),"SLASHER",IF(AO281&gt;0.19,"+RECEIVER","PLODDER")))))</f>
        <v>+RECEIVER</v>
      </c>
      <c r="Q281" s="37">
        <f>'2026 - WIP'!J25</f>
        <v>72</v>
      </c>
      <c r="R281" s="37">
        <f>'2026 - WIP'!K25</f>
        <v>215</v>
      </c>
      <c r="S281" s="39">
        <f t="shared" si="53"/>
        <v>29.158919043146728</v>
      </c>
      <c r="T281" s="39">
        <f>'2026 - WIP'!L25</f>
        <v>4.5</v>
      </c>
      <c r="U281" s="55">
        <f>'2026 - WIP'!M25</f>
        <v>0</v>
      </c>
      <c r="V281" s="41">
        <f>'2026 - WIP'!N25</f>
        <v>0</v>
      </c>
      <c r="W281" s="42">
        <f>'2026 - WIP'!O25</f>
        <v>0</v>
      </c>
      <c r="X281" s="42">
        <f>'2026 - WIP'!P25</f>
        <v>9.3383742911153117E-2</v>
      </c>
      <c r="Y281" s="42">
        <f>'2026 - WIP'!Q25</f>
        <v>8.8713652045342525E-2</v>
      </c>
      <c r="Z281" s="42">
        <f>'2026 - WIP'!R25</f>
        <v>8.0988332189430343E-2</v>
      </c>
      <c r="AA281" s="42">
        <f>'2026 - WIP'!S25</f>
        <v>8.7186037550291723E-2</v>
      </c>
      <c r="AB281" s="42">
        <f>'2026 - WIP'!T25</f>
        <v>8.7186037550291723E-2</v>
      </c>
      <c r="AC281" s="42">
        <f>'2026 - WIP'!U25</f>
        <v>1.426533523537803E-2</v>
      </c>
      <c r="AD281" s="42">
        <f>'2026 - WIP'!V25</f>
        <v>3.711340206185567E-2</v>
      </c>
      <c r="AE281" s="42">
        <f>'2026 - WIP'!W25</f>
        <v>3.711340206185567E-2</v>
      </c>
      <c r="AF281" s="43">
        <f>'2026 - WIP'!X25</f>
        <v>3.711340206185567E-2</v>
      </c>
      <c r="AG281" s="44" t="str">
        <f>'2026 - WIP'!Y25</f>
        <v>N/A</v>
      </c>
      <c r="AH281" s="45">
        <f>'2026 - WIP'!Z25</f>
        <v>104.86206370980034</v>
      </c>
      <c r="AI281" s="45">
        <f>'2026 - WIP'!AA25</f>
        <v>29.15605709876543</v>
      </c>
      <c r="AJ281" s="45">
        <f>'2026 - WIP'!AB25</f>
        <v>0.22772277227722773</v>
      </c>
      <c r="AK281" s="45">
        <f>'2026 - WIP'!AC25</f>
        <v>5.4666666666666668</v>
      </c>
      <c r="AL281" s="45">
        <f t="shared" si="52"/>
        <v>9.4375</v>
      </c>
      <c r="AM281" s="45">
        <f t="shared" si="56"/>
        <v>0.16666666666666666</v>
      </c>
      <c r="AN281" s="45">
        <f>'2026 - WIP'!AD25</f>
        <v>40.700000000000003</v>
      </c>
      <c r="AO281" s="45">
        <f>'2026 - WIP'!AE25</f>
        <v>3.67</v>
      </c>
      <c r="AP281" s="46">
        <f>'2026 - WIP'!AF25</f>
        <v>58.5</v>
      </c>
      <c r="AQ281" s="47">
        <f>'2026 - WIP'!AG25</f>
        <v>0</v>
      </c>
      <c r="AR281" s="48">
        <f>'2026 - WIP'!AH25</f>
        <v>4</v>
      </c>
      <c r="AS281" s="48">
        <f>'2026 - WIP'!AI25</f>
        <v>0</v>
      </c>
      <c r="AT281" s="48">
        <f>'2026 - WIP'!AJ25</f>
        <v>7</v>
      </c>
      <c r="AU281" s="48">
        <f>'2026 - WIP'!AK25</f>
        <v>5</v>
      </c>
      <c r="AV281" s="48">
        <f>'2026 - WIP'!AL25</f>
        <v>2</v>
      </c>
      <c r="AW281" s="48">
        <f>'2026 - WIP'!AM25</f>
        <v>0</v>
      </c>
      <c r="AX281" s="48">
        <f>'2026 - WIP'!AN25</f>
        <v>3</v>
      </c>
      <c r="AY281" s="49">
        <f>'2026 - WIP'!AO25</f>
        <v>0</v>
      </c>
      <c r="AZ281" s="50">
        <f>'2026 - WIP'!AP25</f>
        <v>1</v>
      </c>
      <c r="BA281" s="56">
        <f>'2026 - WIP'!AQ25</f>
        <v>0</v>
      </c>
      <c r="BB281" s="57">
        <f>'2026 - WIP'!AR25</f>
        <v>1</v>
      </c>
      <c r="BC281" s="57">
        <f>'2026 - WIP'!AS25</f>
        <v>0</v>
      </c>
      <c r="BD281" s="57">
        <f>'2026 - WIP'!AT25</f>
        <v>0</v>
      </c>
      <c r="BE281" s="57">
        <f>'2026 - WIP'!AU25</f>
        <v>0</v>
      </c>
      <c r="BF281" s="57">
        <f>'2026 - WIP'!AV25</f>
        <v>0</v>
      </c>
      <c r="BG281" s="58">
        <f>'2026 - WIP'!AW25</f>
        <v>0</v>
      </c>
      <c r="BH281" s="58">
        <f>'2026 - WIP'!AX25</f>
        <v>0</v>
      </c>
      <c r="BI281" s="58">
        <f>'2026 - WIP'!AY25</f>
        <v>0</v>
      </c>
      <c r="BJ281" s="58">
        <f>'2026 - WIP'!AZ25</f>
        <v>0</v>
      </c>
      <c r="BK281" s="57">
        <f>'2026 - WIP'!BA25</f>
        <v>0</v>
      </c>
      <c r="BL281" s="57">
        <f>'2026 - WIP'!BB25</f>
        <v>1</v>
      </c>
      <c r="BM281" s="57">
        <f>'2026 - WIP'!BC25</f>
        <v>0</v>
      </c>
      <c r="BN281" s="57">
        <f>'2026 - WIP'!BD25</f>
        <v>0</v>
      </c>
      <c r="BO281" s="59">
        <f>'2026 - WIP'!BE25</f>
        <v>0</v>
      </c>
      <c r="BP281" s="56">
        <f>'2026 - WIP'!BF25</f>
        <v>0</v>
      </c>
      <c r="BQ281" s="57">
        <f>'2026 - WIP'!BG25</f>
        <v>1</v>
      </c>
      <c r="BR281" s="57">
        <f>'2026 - WIP'!BH25</f>
        <v>0</v>
      </c>
      <c r="BS281" s="57">
        <f>'2026 - WIP'!BI25</f>
        <v>0</v>
      </c>
      <c r="BT281" s="57">
        <f>'2026 - WIP'!BJ25</f>
        <v>0</v>
      </c>
      <c r="BU281" s="57">
        <f>'2026 - WIP'!BK25</f>
        <v>0</v>
      </c>
      <c r="BV281" s="58">
        <f>'2026 - WIP'!BL25</f>
        <v>0</v>
      </c>
      <c r="BW281" s="58">
        <f>'2026 - WIP'!BM25</f>
        <v>0</v>
      </c>
      <c r="BX281" s="58">
        <f>'2026 - WIP'!BN25</f>
        <v>0</v>
      </c>
      <c r="BY281" s="58">
        <f>'2026 - WIP'!BO25</f>
        <v>0</v>
      </c>
      <c r="BZ281" s="57">
        <f>'2026 - WIP'!BP25</f>
        <v>0</v>
      </c>
      <c r="CA281" s="57">
        <f>'2026 - WIP'!BQ25</f>
        <v>1</v>
      </c>
      <c r="CB281" s="57">
        <f>'2026 - WIP'!BR25</f>
        <v>0</v>
      </c>
      <c r="CC281" s="57">
        <f>'2026 - WIP'!BS25</f>
        <v>0</v>
      </c>
      <c r="CD281" s="59">
        <f>'2026 - WIP'!BT25</f>
        <v>0</v>
      </c>
      <c r="CE281" s="56">
        <f>'2026 - WIP'!BU25</f>
        <v>385</v>
      </c>
      <c r="CF281" s="57">
        <f>'2026 - WIP'!BV25</f>
        <v>1770</v>
      </c>
      <c r="CG281" s="57">
        <f>'2026 - WIP'!BW25</f>
        <v>3</v>
      </c>
      <c r="CH281" s="57">
        <f>'2026 - WIP'!BX25</f>
        <v>23</v>
      </c>
      <c r="CI281" s="57">
        <f>'2026 - WIP'!BY25</f>
        <v>101</v>
      </c>
      <c r="CJ281" s="57">
        <f>'2026 - WIP'!BZ25</f>
        <v>23</v>
      </c>
      <c r="CK281" s="58">
        <f>'2026 - WIP'!CA25</f>
        <v>3.8118811881188117</v>
      </c>
      <c r="CL281" s="58">
        <f>'2026 - WIP'!CB25</f>
        <v>65</v>
      </c>
      <c r="CM281" s="58">
        <f>'2026 - WIP'!CC25</f>
        <v>2.5299999999999998</v>
      </c>
      <c r="CN281" s="58">
        <f>'2026 - WIP'!CD25</f>
        <v>20.8</v>
      </c>
      <c r="CO281" s="57">
        <f>'2026 - WIP'!CE25</f>
        <v>109</v>
      </c>
      <c r="CP281" s="57">
        <f>'2026 - WIP'!CF25</f>
        <v>3520</v>
      </c>
      <c r="CQ281" s="57">
        <f>'2026 - WIP'!CG25</f>
        <v>12</v>
      </c>
      <c r="CR281" s="57">
        <f>'2026 - WIP'!CH25</f>
        <v>0</v>
      </c>
      <c r="CS281" s="59">
        <f>'2026 - WIP'!CI25</f>
        <v>24</v>
      </c>
      <c r="CT281" s="56">
        <f>'2026 - WIP'!CJ25</f>
        <v>66</v>
      </c>
      <c r="CU281" s="57">
        <f>'2026 - WIP'!CK25</f>
        <v>391</v>
      </c>
      <c r="CV281" s="57">
        <f>'2026 - WIP'!CL25</f>
        <v>0</v>
      </c>
      <c r="CW281" s="57">
        <f>'2026 - WIP'!CM25</f>
        <v>4.2</v>
      </c>
      <c r="CX281" s="57">
        <f>'2026 - WIP'!CN25</f>
        <v>16</v>
      </c>
      <c r="CY281" s="57">
        <f>'2026 - WIP'!CO25</f>
        <v>1</v>
      </c>
      <c r="CZ281" s="58">
        <f>'2026 - WIP'!CP25</f>
        <v>4.125</v>
      </c>
      <c r="DA281" s="58">
        <f>'2026 - WIP'!CQ25</f>
        <v>12.5</v>
      </c>
      <c r="DB281" s="58">
        <f>'2026 - WIP'!CR25</f>
        <v>2.13</v>
      </c>
      <c r="DC281" s="58">
        <f>'2026 - WIP'!CS25</f>
        <v>0</v>
      </c>
      <c r="DD281" s="57">
        <f>'2026 - WIP'!CT25</f>
        <v>6</v>
      </c>
      <c r="DE281" s="57">
        <f>'2026 - WIP'!CU25</f>
        <v>420.6</v>
      </c>
      <c r="DF281" s="57">
        <f>'2026 - WIP'!CV25</f>
        <v>1</v>
      </c>
      <c r="DG281" s="57">
        <f>'2026 - WIP'!CW25</f>
        <v>0</v>
      </c>
      <c r="DH281" s="59">
        <f>'2026 - WIP'!CX25</f>
        <v>3</v>
      </c>
      <c r="DI281" s="56">
        <f>'2026 - WIP'!CY25</f>
        <v>82</v>
      </c>
      <c r="DJ281" s="57">
        <f>'2026 - WIP'!CZ25</f>
        <v>487</v>
      </c>
      <c r="DK281" s="57">
        <f>'2026 - WIP'!DA25</f>
        <v>0</v>
      </c>
      <c r="DL281" s="57">
        <f>'2026 - WIP'!DB25</f>
        <v>0</v>
      </c>
      <c r="DM281" s="57">
        <f>'2026 - WIP'!DC25</f>
        <v>15</v>
      </c>
      <c r="DN281" s="57">
        <f>'2026 - WIP'!DD25</f>
        <v>2</v>
      </c>
      <c r="DO281" s="58">
        <f>'2026 - WIP'!DE25</f>
        <v>5.4666666666666668</v>
      </c>
      <c r="DP281" s="58">
        <f>'2026 - WIP'!DF25</f>
        <v>40.700000000000003</v>
      </c>
      <c r="DQ281" s="58">
        <f>'2026 - WIP'!DG25</f>
        <v>3.67</v>
      </c>
      <c r="DR281" s="58">
        <f>'2026 - WIP'!DH25</f>
        <v>58.5</v>
      </c>
      <c r="DS281" s="57">
        <f>'2026 - WIP'!DI25</f>
        <v>36</v>
      </c>
      <c r="DT281" s="57">
        <f>'2026 - WIP'!DJ25</f>
        <v>970</v>
      </c>
      <c r="DU281" s="57">
        <f>'2026 - WIP'!DK25</f>
        <v>3</v>
      </c>
      <c r="DV281" s="57">
        <f>'2026 - WIP'!DL25</f>
        <v>0</v>
      </c>
      <c r="DW281" s="59">
        <f>'2026 - WIP'!DM25</f>
        <v>0</v>
      </c>
    </row>
    <row r="282" spans="1:127" ht="15.75" customHeight="1" x14ac:dyDescent="0.2">
      <c r="A282" s="33">
        <f t="shared" si="49"/>
        <v>280</v>
      </c>
      <c r="B282" s="11">
        <f>'2020'!A21</f>
        <v>19</v>
      </c>
      <c r="C282" s="11">
        <v>2020</v>
      </c>
      <c r="D282" s="34" t="str">
        <f>'2020'!B21</f>
        <v>Darius Anderson</v>
      </c>
      <c r="E282" s="224" t="str" cm="1">
        <f t="array" ref="E282">_xlfn.IFS(F282&gt;=13,"Cornerstone",AND(F282&gt;=12,F282&lt;13),"Elite",AND(F282&gt;=11,F282&lt;12),"Elite Upside",AND(F282&gt;=9,F282&lt;11),"Upside",AND(F282&gt;=7,F282&lt;9),"Upside Lite",AND(F282&gt;=6,F282&lt;7),"Outlier",AND(F282&gt;=5,F282&lt;6),"Outlier Lite",F282&lt;5,"Purgatory")</f>
        <v>Purgatory</v>
      </c>
      <c r="F282" s="14">
        <f>'2020'!C21</f>
        <v>3.7611111111111111</v>
      </c>
      <c r="G282" s="14">
        <f t="shared" si="54"/>
        <v>14.299999999999999</v>
      </c>
      <c r="H282" s="35">
        <f t="shared" si="50"/>
        <v>-1.7950241929140873</v>
      </c>
      <c r="I282" s="36" t="str">
        <f>'2020'!D21</f>
        <v>TCU</v>
      </c>
      <c r="J282" s="37">
        <f>'2020'!E21</f>
        <v>3</v>
      </c>
      <c r="K282" s="38">
        <f>'2020'!F21</f>
        <v>35683</v>
      </c>
      <c r="L282" s="39">
        <f>'2020'!G21</f>
        <v>28.065753424657533</v>
      </c>
      <c r="M282" s="39" t="str">
        <f>'2020'!H21</f>
        <v>SR</v>
      </c>
      <c r="N282" s="39">
        <f>'2020'!I21</f>
        <v>22.632876712328766</v>
      </c>
      <c r="O282" s="39" t="str">
        <f t="shared" si="51"/>
        <v>BELL CALF</v>
      </c>
      <c r="P282" s="39" t="str">
        <f>IF(OR(AND($AA282&lt;0.25,$AM282&gt;=0.133,AE282&gt;4%),(AND($O282="JITTERBUG",$AM282&gt;0.11)),(AND($O282="JITTERBUG",$AE282&gt;9.5%))),"+RECEIVER",IF(AND($AJ282&gt;=0.25,$AO282&gt;=3.81),"3DOWN",IF($AO282&gt;=3.81,"HORSE",IF(OR(AJ282&gt;0.28,AK282&gt;7,AP282&gt;47),"SLASHER",IF(AM282&gt;0.19,"+RECEIVER","PLODDER")))))</f>
        <v>3DOWN</v>
      </c>
      <c r="Q282" s="37">
        <f>'2020'!J21</f>
        <v>70</v>
      </c>
      <c r="R282" s="37">
        <f>'2020'!K21</f>
        <v>208</v>
      </c>
      <c r="S282" s="39">
        <f t="shared" si="53"/>
        <v>29.84456189320542</v>
      </c>
      <c r="T282" s="37">
        <f>'2020'!L21</f>
        <v>4.6100000000000003</v>
      </c>
      <c r="U282" s="40">
        <f>'2020'!M21</f>
        <v>0</v>
      </c>
      <c r="V282" s="41">
        <f>'2020'!N21</f>
        <v>0</v>
      </c>
      <c r="W282" s="42">
        <f>'2020'!O21</f>
        <v>4.1355256601893375E-2</v>
      </c>
      <c r="X282" s="42">
        <f>'2020'!P21</f>
        <v>0.14176179928437554</v>
      </c>
      <c r="Y282" s="42">
        <f>'2020'!Q21</f>
        <v>0.12894461859979101</v>
      </c>
      <c r="Z282" s="42">
        <f>'2020'!R21</f>
        <v>0.19582992641046607</v>
      </c>
      <c r="AA282" s="42">
        <f>'2020'!S21</f>
        <v>0.19582992641046607</v>
      </c>
      <c r="AB282" s="42">
        <f>'2020'!T21</f>
        <v>0.17624693376941947</v>
      </c>
      <c r="AC282" s="42">
        <f>'2020'!U21</f>
        <v>6.9116042197162608E-3</v>
      </c>
      <c r="AD282" s="42">
        <f>'2020'!V21</f>
        <v>5.2373158756137482E-2</v>
      </c>
      <c r="AE282" s="42">
        <f>'2020'!W21</f>
        <v>5.2373158756137482E-2</v>
      </c>
      <c r="AF282" s="43">
        <f>'2020'!X21</f>
        <v>4.7135842880523734E-2</v>
      </c>
      <c r="AG282" s="44">
        <f>'2020'!Y21</f>
        <v>22</v>
      </c>
      <c r="AH282" s="45">
        <f>'2020'!Z21</f>
        <v>92.106362022976626</v>
      </c>
      <c r="AI282" s="45">
        <f>'2020'!AA21</f>
        <v>29.841632653061225</v>
      </c>
      <c r="AJ282" s="45">
        <f>'2020'!AB21</f>
        <v>0.28104575163398693</v>
      </c>
      <c r="AK282" s="45">
        <f>'2020'!AC21</f>
        <v>5.4</v>
      </c>
      <c r="AL282" s="45">
        <f t="shared" si="52"/>
        <v>6.384615384615385</v>
      </c>
      <c r="AM282" s="45">
        <f t="shared" si="56"/>
        <v>0.12571428571428572</v>
      </c>
      <c r="AN282" s="45">
        <f>'2020'!AD21</f>
        <v>106.7</v>
      </c>
      <c r="AO282" s="45">
        <f>'2020'!AE21</f>
        <v>3.89</v>
      </c>
      <c r="AP282" s="46">
        <f>'2020'!AF21</f>
        <v>35.299999999999997</v>
      </c>
      <c r="AQ282" s="47">
        <f>'2020'!AG21</f>
        <v>3</v>
      </c>
      <c r="AR282" s="48">
        <f>'2020'!AH21</f>
        <v>5</v>
      </c>
      <c r="AS282" s="48">
        <f>'2020'!AI21</f>
        <v>2</v>
      </c>
      <c r="AT282" s="48">
        <f>IF(AH282&gt;113.25,10,IF(AH282&gt;=107.84,9,IF(AH282&gt;=105.37,8,IF(AH282&gt;=103.25,7,IF(AH282&gt;=100.55,6,IF(AH282&gt;=98.75,5,IF(AH282&gt;=96.08,4,IF(AH282&gt;=94.39,3,IF(AH282&gt;=88.43,2,IF(AH282&gt;=85.16,1,IF(AH282&lt;85.16,0,FALSE)))))))))))</f>
        <v>2</v>
      </c>
      <c r="AU282" s="48">
        <f>'2020'!AK21</f>
        <v>8</v>
      </c>
      <c r="AV282" s="48">
        <f>'2020'!AL21</f>
        <v>2</v>
      </c>
      <c r="AW282" s="48">
        <f>'2020'!AM21</f>
        <v>5</v>
      </c>
      <c r="AX282" s="48">
        <f>'2020'!AN21</f>
        <v>4</v>
      </c>
      <c r="AY282" s="49">
        <f>IF(U282=1,10,IF(U282=2,7,IF(U282=3,6,IF(U282=4,4,IF(U282=5,3,IF(U282=6,2,IF(U282=7,1,IF(U282=0,0,"-"))))))))</f>
        <v>0</v>
      </c>
      <c r="AZ282" s="50">
        <f>'2020'!AP21</f>
        <v>0</v>
      </c>
      <c r="BA282" s="56">
        <f>'2020'!AQ21</f>
        <v>0</v>
      </c>
      <c r="BB282" s="57">
        <f>'2020'!AR21</f>
        <v>2800</v>
      </c>
      <c r="BC282" s="57">
        <f>'2020'!AS21</f>
        <v>0</v>
      </c>
      <c r="BD282" s="57">
        <f>'2020'!AT21</f>
        <v>26</v>
      </c>
      <c r="BE282" s="57">
        <f>'2020'!AU21</f>
        <v>0</v>
      </c>
      <c r="BF282" s="57">
        <f>'2020'!AV21</f>
        <v>0</v>
      </c>
      <c r="BG282" s="58">
        <f>'2020'!AW21</f>
        <v>0</v>
      </c>
      <c r="BH282" s="58">
        <f>'2020'!AX21</f>
        <v>0</v>
      </c>
      <c r="BI282" s="58">
        <f>'2020'!AY21</f>
        <v>0</v>
      </c>
      <c r="BJ282" s="58">
        <f>'2020'!AZ21</f>
        <v>0</v>
      </c>
      <c r="BK282" s="57">
        <f>'2020'!BA21</f>
        <v>0</v>
      </c>
      <c r="BL282" s="57">
        <f>'2020'!BB21</f>
        <v>4517</v>
      </c>
      <c r="BM282" s="57">
        <f>'2020'!BC21</f>
        <v>0</v>
      </c>
      <c r="BN282" s="57">
        <f>'2020'!BD21</f>
        <v>0</v>
      </c>
      <c r="BO282" s="59">
        <f>'2020'!BE21</f>
        <v>39</v>
      </c>
      <c r="BP282" s="56">
        <f>'2020'!BF21</f>
        <v>229</v>
      </c>
      <c r="BQ282" s="57">
        <f>'2020'!BG21</f>
        <v>2535</v>
      </c>
      <c r="BR282" s="57">
        <f>'2020'!BH21</f>
        <v>1</v>
      </c>
      <c r="BS282" s="57">
        <f>'2020'!BI21</f>
        <v>30</v>
      </c>
      <c r="BT282" s="57">
        <f>'2020'!BJ21</f>
        <v>27</v>
      </c>
      <c r="BU282" s="57">
        <f>'2020'!BK21</f>
        <v>6</v>
      </c>
      <c r="BV282" s="58">
        <f>'2020'!BL21</f>
        <v>8.5</v>
      </c>
      <c r="BW282" s="58">
        <f>'2020'!BM21</f>
        <v>74.5</v>
      </c>
      <c r="BX282" s="58">
        <f>'2020'!BN21</f>
        <v>3.41</v>
      </c>
      <c r="BY282" s="58">
        <f>'2020'!BO21</f>
        <v>42.4</v>
      </c>
      <c r="BZ282" s="57">
        <f>'2020'!BP21</f>
        <v>20</v>
      </c>
      <c r="CA282" s="57">
        <f>'2020'!BQ21</f>
        <v>3486</v>
      </c>
      <c r="CB282" s="57">
        <f>'2020'!BR21</f>
        <v>5</v>
      </c>
      <c r="CC282" s="57">
        <f>'2020'!BS21</f>
        <v>0</v>
      </c>
      <c r="CD282" s="59">
        <f>'2020'!BT21</f>
        <v>18</v>
      </c>
      <c r="CE282" s="56">
        <f>'2020'!BU21</f>
        <v>750</v>
      </c>
      <c r="CF282" s="57">
        <f>'2020'!BV21</f>
        <v>2438</v>
      </c>
      <c r="CG282" s="57">
        <f>'2020'!BW21</f>
        <v>8</v>
      </c>
      <c r="CH282" s="57">
        <f>'2020'!BX21</f>
        <v>27</v>
      </c>
      <c r="CI282" s="57">
        <f>'2020'!BY21</f>
        <v>127</v>
      </c>
      <c r="CJ282" s="57">
        <f>'2020'!BZ21</f>
        <v>28</v>
      </c>
      <c r="CK282" s="58">
        <f>'2020'!CA21</f>
        <v>5.9</v>
      </c>
      <c r="CL282" s="58">
        <f>'2020'!CB21</f>
        <v>65.599999999999994</v>
      </c>
      <c r="CM282" s="58">
        <f>'2020'!CC21</f>
        <v>2.9</v>
      </c>
      <c r="CN282" s="58">
        <f>'2020'!CD21</f>
        <v>31.3</v>
      </c>
      <c r="CO282" s="57">
        <f>'2020'!CE21</f>
        <v>82</v>
      </c>
      <c r="CP282" s="57">
        <f>'2020'!CF21</f>
        <v>3431</v>
      </c>
      <c r="CQ282" s="57">
        <f>'2020'!CG21</f>
        <v>10</v>
      </c>
      <c r="CR282" s="57">
        <f>'2020'!CH21</f>
        <v>0</v>
      </c>
      <c r="CS282" s="59">
        <f>'2020'!CI21</f>
        <v>28</v>
      </c>
      <c r="CT282" s="56">
        <f>'2020'!CJ21</f>
        <v>598</v>
      </c>
      <c r="CU282" s="57">
        <f>'2020'!CK21</f>
        <v>2036</v>
      </c>
      <c r="CV282" s="57">
        <f>'2020'!CL21</f>
        <v>3</v>
      </c>
      <c r="CW282" s="57">
        <f>'2020'!CM21</f>
        <v>14</v>
      </c>
      <c r="CX282" s="57">
        <f>'2020'!CN21</f>
        <v>124</v>
      </c>
      <c r="CY282" s="57">
        <f>'2020'!CO21</f>
        <v>25</v>
      </c>
      <c r="CZ282" s="58">
        <f>'2020'!CP21</f>
        <v>4.8</v>
      </c>
      <c r="DA282" s="58">
        <f>'2020'!CQ21</f>
        <v>62.8</v>
      </c>
      <c r="DB282" s="58">
        <f>'2020'!CR21</f>
        <v>3.05</v>
      </c>
      <c r="DC282" s="58">
        <f>'2020'!CS21</f>
        <v>23.6</v>
      </c>
      <c r="DD282" s="57">
        <f>'2020'!CT21</f>
        <v>19</v>
      </c>
      <c r="DE282" s="57">
        <f>'2020'!CU21</f>
        <v>2749</v>
      </c>
      <c r="DF282" s="57">
        <f>'2020'!CV21</f>
        <v>2</v>
      </c>
      <c r="DG282" s="57">
        <f>'2020'!CW21</f>
        <v>0</v>
      </c>
      <c r="DH282" s="59">
        <f>'2020'!CX21</f>
        <v>18</v>
      </c>
      <c r="DI282" s="56">
        <f>'2020'!CY21</f>
        <v>830</v>
      </c>
      <c r="DJ282" s="57">
        <f>'2020'!CZ21</f>
        <v>2448</v>
      </c>
      <c r="DK282" s="57">
        <f>'2020'!DA21</f>
        <v>6</v>
      </c>
      <c r="DL282" s="57">
        <f>'2020'!DB21</f>
        <v>23</v>
      </c>
      <c r="DM282" s="57">
        <f>'2020'!DC21</f>
        <v>153</v>
      </c>
      <c r="DN282" s="57">
        <f>'2020'!DD21</f>
        <v>43</v>
      </c>
      <c r="DO282" s="58">
        <f>'2020'!DE21</f>
        <v>5.4</v>
      </c>
      <c r="DP282" s="58">
        <f>'2020'!DF21</f>
        <v>106.7</v>
      </c>
      <c r="DQ282" s="58">
        <f>'2020'!DG21</f>
        <v>3.89</v>
      </c>
      <c r="DR282" s="58">
        <f>'2020'!DH21</f>
        <v>35.299999999999997</v>
      </c>
      <c r="DS282" s="57">
        <f>'2020'!DI21</f>
        <v>128</v>
      </c>
      <c r="DT282" s="57">
        <f>'2020'!DJ21</f>
        <v>2444</v>
      </c>
      <c r="DU282" s="57">
        <f>'2020'!DK21</f>
        <v>22</v>
      </c>
      <c r="DV282" s="57">
        <f>'2020'!DL21</f>
        <v>0</v>
      </c>
      <c r="DW282" s="59">
        <f>'2020'!DM21</f>
        <v>15</v>
      </c>
    </row>
    <row r="283" spans="1:127" ht="15.75" customHeight="1" x14ac:dyDescent="0.2">
      <c r="A283" s="33">
        <f t="shared" si="49"/>
        <v>281</v>
      </c>
      <c r="B283" s="11">
        <f>'2026 - WIP'!A26</f>
        <v>24</v>
      </c>
      <c r="C283" s="11">
        <v>2026</v>
      </c>
      <c r="D283" s="34" t="str">
        <f>'2026 - WIP'!B26</f>
        <v>Kaden Feagin</v>
      </c>
      <c r="E283" s="224" t="str" cm="1">
        <f t="array" ref="E283">_xlfn.IFS(F283&gt;=13,"Cornerstone",AND(F283&gt;=12,F283&lt;13),"Elite",AND(F283&gt;=11,F283&lt;12),"Elite Upside",AND(F283&gt;=9,F283&lt;11),"Upside",AND(F283&gt;=7,F283&lt;9),"Upside Lite",AND(F283&gt;=6,F283&lt;7),"Outlier",AND(F283&gt;=5,F283&lt;6),"Outlier Lite",F283&lt;5,"Purgatory")</f>
        <v>Purgatory</v>
      </c>
      <c r="F283" s="14">
        <f>'2026 - WIP'!C26</f>
        <v>3.75</v>
      </c>
      <c r="G283" s="14">
        <f t="shared" si="54"/>
        <v>14.000000000000002</v>
      </c>
      <c r="H283" s="35">
        <f t="shared" si="50"/>
        <v>-1.7997266936278611</v>
      </c>
      <c r="I283" s="36" t="str">
        <f>'2026 - WIP'!D26</f>
        <v>Illinois</v>
      </c>
      <c r="J283" s="37">
        <f>'2026 - WIP'!E26</f>
        <v>2</v>
      </c>
      <c r="K283" s="38">
        <f>'2026 - WIP'!F26</f>
        <v>38069</v>
      </c>
      <c r="L283" s="39">
        <f>'2026 - WIP'!G26</f>
        <v>21.528767123287672</v>
      </c>
      <c r="M283" s="39" t="str">
        <f>'2026 - WIP'!H26</f>
        <v>JR</v>
      </c>
      <c r="N283" s="39">
        <f>'2026 - WIP'!I26</f>
        <v>22.109589041095891</v>
      </c>
      <c r="O283" s="39" t="str">
        <f t="shared" si="51"/>
        <v>FREAK</v>
      </c>
      <c r="P283" s="39" t="str">
        <f>IF(OR(AND($AA283&lt;0.25,$AO283&gt;=0.133,AE283&gt;4%),(AND($O283="JITTERBUG",$AO283&gt;0.11)),(AND($O283="JITTERBUG",$AE283&gt;9.5%))),"+RECEIVER",IF(AND($AJ283&gt;=0.25,$AQ283&gt;=3.81),"3DOWN",IF($AQ283&gt;=3.81,"HORSE",IF(OR(AJ283&gt;0.28,AK283&gt;7,AR283&gt;47),"SLASHER",IF(AO283&gt;0.19,"+RECEIVER","PLODDER")))))</f>
        <v>+RECEIVER</v>
      </c>
      <c r="Q283" s="37">
        <f>'2026 - WIP'!J26</f>
        <v>75</v>
      </c>
      <c r="R283" s="37">
        <f>'2026 - WIP'!K26</f>
        <v>250</v>
      </c>
      <c r="S283" s="39">
        <f t="shared" si="53"/>
        <v>31.247511383911657</v>
      </c>
      <c r="T283" s="39">
        <f>'2026 - WIP'!L26</f>
        <v>4.5</v>
      </c>
      <c r="U283" s="55">
        <f>'2026 - WIP'!M26</f>
        <v>0</v>
      </c>
      <c r="V283" s="41">
        <f>'2026 - WIP'!N26</f>
        <v>0</v>
      </c>
      <c r="W283" s="42">
        <f>'2026 - WIP'!O26</f>
        <v>0</v>
      </c>
      <c r="X283" s="42">
        <f>'2026 - WIP'!P26</f>
        <v>0.15743108837737993</v>
      </c>
      <c r="Y283" s="42">
        <f>'2026 - WIP'!Q26</f>
        <v>0.18695175438596492</v>
      </c>
      <c r="Z283" s="42">
        <f>'2026 - WIP'!R26</f>
        <v>0.18359375</v>
      </c>
      <c r="AA283" s="42">
        <f>'2026 - WIP'!S26</f>
        <v>0.18695175438596492</v>
      </c>
      <c r="AB283" s="42">
        <f>'2026 - WIP'!T26</f>
        <v>0.18695175438596492</v>
      </c>
      <c r="AC283" s="42">
        <f>'2026 - WIP'!U26</f>
        <v>3.5037878787878785E-2</v>
      </c>
      <c r="AD283" s="42">
        <f>'2026 - WIP'!V26</f>
        <v>1.7980636237897647E-2</v>
      </c>
      <c r="AE283" s="42">
        <f>'2026 - WIP'!W26</f>
        <v>3.5037878787878785E-2</v>
      </c>
      <c r="AF283" s="43">
        <f>'2026 - WIP'!X26</f>
        <v>3.5037878787878785E-2</v>
      </c>
      <c r="AG283" s="44">
        <f>'2026 - WIP'!Y26</f>
        <v>19.463013698630139</v>
      </c>
      <c r="AH283" s="45">
        <f>'2026 - WIP'!Z26</f>
        <v>121.93263222069807</v>
      </c>
      <c r="AI283" s="45">
        <f>'2026 - WIP'!AA26</f>
        <v>31.244444444444447</v>
      </c>
      <c r="AJ283" s="45">
        <f>'2026 - WIP'!AB26</f>
        <v>0.16842105263157894</v>
      </c>
      <c r="AK283" s="45">
        <f>'2026 - WIP'!AC26</f>
        <v>4.6060606060606064</v>
      </c>
      <c r="AL283" s="45">
        <f t="shared" si="52"/>
        <v>11.066666666666666</v>
      </c>
      <c r="AM283" s="45">
        <f t="shared" si="56"/>
        <v>1.9607843137254902E-2</v>
      </c>
      <c r="AN283" s="45">
        <f>'2026 - WIP'!AD26</f>
        <v>47.6</v>
      </c>
      <c r="AO283" s="45">
        <f>'2026 - WIP'!AE26</f>
        <v>3.21</v>
      </c>
      <c r="AP283" s="46">
        <f>'2026 - WIP'!AF26</f>
        <v>40.1</v>
      </c>
      <c r="AQ283" s="47">
        <f>'2026 - WIP'!AG26</f>
        <v>3</v>
      </c>
      <c r="AR283" s="48">
        <f>'2026 - WIP'!AH26</f>
        <v>3</v>
      </c>
      <c r="AS283" s="48">
        <f>'2026 - WIP'!AI26</f>
        <v>6</v>
      </c>
      <c r="AT283" s="48">
        <f>'2026 - WIP'!AJ26</f>
        <v>10</v>
      </c>
      <c r="AU283" s="48">
        <f>'2026 - WIP'!AK26</f>
        <v>2</v>
      </c>
      <c r="AV283" s="48">
        <f>'2026 - WIP'!AL26</f>
        <v>0</v>
      </c>
      <c r="AW283" s="48">
        <f>'2026 - WIP'!AM26</f>
        <v>0</v>
      </c>
      <c r="AX283" s="48">
        <f>'2026 - WIP'!AN26</f>
        <v>0</v>
      </c>
      <c r="AY283" s="49">
        <f>'2026 - WIP'!AO26</f>
        <v>0</v>
      </c>
      <c r="AZ283" s="50">
        <f>'2026 - WIP'!AP26</f>
        <v>0</v>
      </c>
      <c r="BA283" s="56">
        <f>'2026 - WIP'!AQ26</f>
        <v>0</v>
      </c>
      <c r="BB283" s="57">
        <f>'2026 - WIP'!AR26</f>
        <v>1</v>
      </c>
      <c r="BC283" s="57">
        <f>'2026 - WIP'!AS26</f>
        <v>0</v>
      </c>
      <c r="BD283" s="57">
        <f>'2026 - WIP'!AT26</f>
        <v>0</v>
      </c>
      <c r="BE283" s="57">
        <f>'2026 - WIP'!AU26</f>
        <v>0</v>
      </c>
      <c r="BF283" s="57">
        <f>'2026 - WIP'!AV26</f>
        <v>0</v>
      </c>
      <c r="BG283" s="58">
        <f>'2026 - WIP'!AW26</f>
        <v>0</v>
      </c>
      <c r="BH283" s="58">
        <f>'2026 - WIP'!AX26</f>
        <v>0</v>
      </c>
      <c r="BI283" s="58">
        <f>'2026 - WIP'!AY26</f>
        <v>0</v>
      </c>
      <c r="BJ283" s="58">
        <f>'2026 - WIP'!AZ26</f>
        <v>0</v>
      </c>
      <c r="BK283" s="57">
        <f>'2026 - WIP'!BA26</f>
        <v>0</v>
      </c>
      <c r="BL283" s="57">
        <f>'2026 - WIP'!BB26</f>
        <v>1</v>
      </c>
      <c r="BM283" s="57">
        <f>'2026 - WIP'!BC26</f>
        <v>0</v>
      </c>
      <c r="BN283" s="57">
        <f>'2026 - WIP'!BD26</f>
        <v>0</v>
      </c>
      <c r="BO283" s="59">
        <f>'2026 - WIP'!BE26</f>
        <v>0</v>
      </c>
      <c r="BP283" s="56">
        <f>'2026 - WIP'!BF26</f>
        <v>0</v>
      </c>
      <c r="BQ283" s="57">
        <f>'2026 - WIP'!BG26</f>
        <v>1</v>
      </c>
      <c r="BR283" s="57">
        <f>'2026 - WIP'!BH26</f>
        <v>0</v>
      </c>
      <c r="BS283" s="57">
        <f>'2026 - WIP'!BI26</f>
        <v>0</v>
      </c>
      <c r="BT283" s="57">
        <f>'2026 - WIP'!BJ26</f>
        <v>0</v>
      </c>
      <c r="BU283" s="57">
        <f>'2026 - WIP'!BK26</f>
        <v>0</v>
      </c>
      <c r="BV283" s="58">
        <f>'2026 - WIP'!BL26</f>
        <v>0</v>
      </c>
      <c r="BW283" s="58">
        <f>'2026 - WIP'!BM26</f>
        <v>0</v>
      </c>
      <c r="BX283" s="58">
        <f>'2026 - WIP'!BN26</f>
        <v>0</v>
      </c>
      <c r="BY283" s="58">
        <f>'2026 - WIP'!BO26</f>
        <v>0</v>
      </c>
      <c r="BZ283" s="57">
        <f>'2026 - WIP'!BP26</f>
        <v>0</v>
      </c>
      <c r="CA283" s="57">
        <f>'2026 - WIP'!BQ26</f>
        <v>1</v>
      </c>
      <c r="CB283" s="57">
        <f>'2026 - WIP'!BR26</f>
        <v>0</v>
      </c>
      <c r="CC283" s="57">
        <f>'2026 - WIP'!BS26</f>
        <v>0</v>
      </c>
      <c r="CD283" s="59">
        <f>'2026 - WIP'!BT26</f>
        <v>0</v>
      </c>
      <c r="CE283" s="56">
        <f>'2026 - WIP'!BU26</f>
        <v>438</v>
      </c>
      <c r="CF283" s="57">
        <f>'2026 - WIP'!BV26</f>
        <v>1137.6000000000001</v>
      </c>
      <c r="CG283" s="57">
        <f>'2026 - WIP'!BW26</f>
        <v>2</v>
      </c>
      <c r="CH283" s="57">
        <f>'2026 - WIP'!BX26</f>
        <v>9</v>
      </c>
      <c r="CI283" s="57">
        <f>'2026 - WIP'!BY26</f>
        <v>95</v>
      </c>
      <c r="CJ283" s="57">
        <f>'2026 - WIP'!BZ26</f>
        <v>16</v>
      </c>
      <c r="CK283" s="58">
        <f>'2026 - WIP'!CA26</f>
        <v>4.6105263157894738</v>
      </c>
      <c r="CL283" s="58">
        <f>'2026 - WIP'!CB26</f>
        <v>47.6</v>
      </c>
      <c r="CM283" s="58">
        <f>'2026 - WIP'!CC26</f>
        <v>3.09</v>
      </c>
      <c r="CN283" s="58">
        <f>'2026 - WIP'!CD26</f>
        <v>17.8</v>
      </c>
      <c r="CO283" s="57">
        <f>'2026 - WIP'!CE26</f>
        <v>116</v>
      </c>
      <c r="CP283" s="57">
        <f>'2026 - WIP'!CF26</f>
        <v>2381.4</v>
      </c>
      <c r="CQ283" s="57">
        <f>'2026 - WIP'!CG26</f>
        <v>9</v>
      </c>
      <c r="CR283" s="57">
        <f>'2026 - WIP'!CH26</f>
        <v>1</v>
      </c>
      <c r="CS283" s="59">
        <f>'2026 - WIP'!CI26</f>
        <v>17.099999999999998</v>
      </c>
      <c r="CT283" s="56">
        <f>'2026 - WIP'!CJ26</f>
        <v>304</v>
      </c>
      <c r="CU283" s="57">
        <f>'2026 - WIP'!CK26</f>
        <v>768</v>
      </c>
      <c r="CV283" s="57">
        <f>'2026 - WIP'!CL26</f>
        <v>3</v>
      </c>
      <c r="CW283" s="57">
        <f>'2026 - WIP'!CM26</f>
        <v>8.5</v>
      </c>
      <c r="CX283" s="57">
        <f>'2026 - WIP'!CN26</f>
        <v>66</v>
      </c>
      <c r="CY283" s="57">
        <f>'2026 - WIP'!CO26</f>
        <v>9</v>
      </c>
      <c r="CZ283" s="58">
        <f>'2026 - WIP'!CP26</f>
        <v>4.6060606060606064</v>
      </c>
      <c r="DA283" s="58">
        <f>'2026 - WIP'!CQ26</f>
        <v>40.700000000000003</v>
      </c>
      <c r="DB283" s="58">
        <f>'2026 - WIP'!CR26</f>
        <v>3.21</v>
      </c>
      <c r="DC283" s="58">
        <f>'2026 - WIP'!CS26</f>
        <v>40.1</v>
      </c>
      <c r="DD283" s="57">
        <f>'2026 - WIP'!CT26</f>
        <v>37</v>
      </c>
      <c r="DE283" s="57">
        <f>'2026 - WIP'!CU26</f>
        <v>1056</v>
      </c>
      <c r="DF283" s="57">
        <f>'2026 - WIP'!CV26</f>
        <v>5</v>
      </c>
      <c r="DG283" s="57">
        <f>'2026 - WIP'!CW26</f>
        <v>0</v>
      </c>
      <c r="DH283" s="59">
        <f>'2026 - WIP'!CX26</f>
        <v>8.5</v>
      </c>
      <c r="DI283" s="56">
        <f>'2026 - WIP'!CY26</f>
        <v>222</v>
      </c>
      <c r="DJ283" s="57">
        <f>'2026 - WIP'!CZ26</f>
        <v>557</v>
      </c>
      <c r="DK283" s="57">
        <f>'2026 - WIP'!DA26</f>
        <v>0</v>
      </c>
      <c r="DL283" s="57">
        <f>'2026 - WIP'!DB26</f>
        <v>0</v>
      </c>
      <c r="DM283" s="57">
        <f>'2026 - WIP'!DC26</f>
        <v>50</v>
      </c>
      <c r="DN283" s="57">
        <f>'2026 - WIP'!DD26</f>
        <v>7</v>
      </c>
      <c r="DO283" s="58">
        <f>'2026 - WIP'!DE26</f>
        <v>4.4400000000000004</v>
      </c>
      <c r="DP283" s="58">
        <f>'2026 - WIP'!DF26</f>
        <v>41.7</v>
      </c>
      <c r="DQ283" s="58">
        <f>'2026 - WIP'!DG26</f>
        <v>3.04</v>
      </c>
      <c r="DR283" s="58">
        <f>'2026 - WIP'!DH26</f>
        <v>19.8</v>
      </c>
      <c r="DS283" s="57">
        <f>'2026 - WIP'!DI26</f>
        <v>13</v>
      </c>
      <c r="DT283" s="57">
        <f>'2026 - WIP'!DJ26</f>
        <v>723</v>
      </c>
      <c r="DU283" s="57">
        <f>'2026 - WIP'!DK26</f>
        <v>1</v>
      </c>
      <c r="DV283" s="57">
        <f>'2026 - WIP'!DL26</f>
        <v>0</v>
      </c>
      <c r="DW283" s="59">
        <f>'2026 - WIP'!DM26</f>
        <v>0</v>
      </c>
    </row>
    <row r="284" spans="1:127" ht="15.75" customHeight="1" x14ac:dyDescent="0.2">
      <c r="A284" s="33">
        <f t="shared" si="49"/>
        <v>282</v>
      </c>
      <c r="B284" s="11">
        <f>'2016'!A23</f>
        <v>21</v>
      </c>
      <c r="C284" s="11">
        <v>2016</v>
      </c>
      <c r="D284" s="34" t="str">
        <f>'2016'!B23</f>
        <v>Shadrach Thornton</v>
      </c>
      <c r="E284" s="224" t="str" cm="1">
        <f t="array" ref="E284">_xlfn.IFS(F284&gt;=13,"Cornerstone",AND(F284&gt;=12,F284&lt;13),"Elite",AND(F284&gt;=11,F284&lt;12),"Elite Upside",AND(F284&gt;=9,F284&lt;11),"Upside",AND(F284&gt;=7,F284&lt;9),"Upside Lite",AND(F284&gt;=6,F284&lt;7),"Outlier",AND(F284&gt;=5,F284&lt;6),"Outlier Lite",F284&lt;5,"Purgatory")</f>
        <v>Purgatory</v>
      </c>
      <c r="F284" s="14">
        <f>'2016'!C23</f>
        <v>3.6833333333333336</v>
      </c>
      <c r="G284" s="14">
        <f t="shared" si="54"/>
        <v>13.700000000000001</v>
      </c>
      <c r="H284" s="35">
        <f t="shared" si="50"/>
        <v>-1.8279416979105036</v>
      </c>
      <c r="I284" s="36" t="str">
        <f>'2016'!D23</f>
        <v>North Carolina State</v>
      </c>
      <c r="J284" s="37">
        <f>'2016'!E23</f>
        <v>4</v>
      </c>
      <c r="K284" s="38">
        <f>'2016'!F23</f>
        <v>34114</v>
      </c>
      <c r="L284" s="39">
        <f>'2016'!G23</f>
        <v>32.364383561643834</v>
      </c>
      <c r="M284" s="39" t="str">
        <f>'2016'!H23</f>
        <v>SR</v>
      </c>
      <c r="N284" s="39">
        <f>'2016'!I23</f>
        <v>22.93972602739726</v>
      </c>
      <c r="O284" s="39" t="str">
        <f t="shared" si="51"/>
        <v>BELL COW</v>
      </c>
      <c r="P284" s="39" t="str">
        <f t="shared" ref="P284:P289" si="57">IF(OR(AND($AA284&lt;0.25,$AM284&gt;=0.133,AE284&gt;4%),(AND($O284="JITTERBUG",$AM284&gt;0.11)),(AND($O284="JITTERBUG",$AE284&gt;9.5%))),"+RECEIVER",IF(AND($AJ284&gt;=0.25,$AO284&gt;=3.81),"3DOWN",IF($AO284&gt;=3.81,"HORSE",IF(OR(AJ284&gt;0.28,AK284&gt;7,AP284&gt;47),"SLASHER",IF(AM284&gt;0.19,"+RECEIVER","PLODDER")))))</f>
        <v>PLODDER</v>
      </c>
      <c r="Q284" s="37">
        <f>'2016'!J23</f>
        <v>72</v>
      </c>
      <c r="R284" s="37">
        <f>'2016'!K23</f>
        <v>217</v>
      </c>
      <c r="S284" s="39">
        <f t="shared" si="53"/>
        <v>29.430164801687628</v>
      </c>
      <c r="T284" s="37">
        <f>'2016'!L23</f>
        <v>4.75</v>
      </c>
      <c r="U284" s="55">
        <f>'2016'!M23</f>
        <v>0</v>
      </c>
      <c r="V284" s="41">
        <f>'2016'!N23</f>
        <v>0</v>
      </c>
      <c r="W284" s="42">
        <f>'2016'!O23</f>
        <v>0.22981956315289648</v>
      </c>
      <c r="X284" s="42">
        <f>'2016'!P23</f>
        <v>0.19488565956967444</v>
      </c>
      <c r="Y284" s="42">
        <f>'2016'!Q23</f>
        <v>0.19395537143395161</v>
      </c>
      <c r="Z284" s="42">
        <f>'2016'!R23</f>
        <v>0.1637228808774901</v>
      </c>
      <c r="AA284" s="42">
        <f>'2016'!S23</f>
        <v>0.19677122201519329</v>
      </c>
      <c r="AB284" s="42">
        <f>'2016'!T23</f>
        <v>0.17709409981367397</v>
      </c>
      <c r="AC284" s="42">
        <f>'2016'!U23</f>
        <v>5.0150829562594271E-2</v>
      </c>
      <c r="AD284" s="42">
        <f>'2016'!V23</f>
        <v>0</v>
      </c>
      <c r="AE284" s="42">
        <f>'2016'!W23</f>
        <v>2.5075414781297135E-2</v>
      </c>
      <c r="AF284" s="43">
        <f>'2016'!X23</f>
        <v>2.2567873303167424E-2</v>
      </c>
      <c r="AG284" s="44">
        <f>'2016'!Y23</f>
        <v>19.284931506849315</v>
      </c>
      <c r="AH284" s="45">
        <f>'2016'!Z23</f>
        <v>85.254103329471079</v>
      </c>
      <c r="AI284" s="45">
        <f>'2016'!AA23</f>
        <v>29.427276234567902</v>
      </c>
      <c r="AJ284" s="45">
        <f>'2016'!AB23</f>
        <v>0.18902439024390244</v>
      </c>
      <c r="AK284" s="45">
        <f>'2016'!AC23</f>
        <v>6.7666666666666666</v>
      </c>
      <c r="AL284" s="45">
        <f t="shared" si="52"/>
        <v>8.2622950819672134</v>
      </c>
      <c r="AM284" s="45">
        <f t="shared" si="56"/>
        <v>0</v>
      </c>
      <c r="AN284" s="45">
        <f>'2016'!AD23</f>
        <v>56.2</v>
      </c>
      <c r="AO284" s="45">
        <f>'2016'!AE23</f>
        <v>2.87</v>
      </c>
      <c r="AP284" s="46">
        <f>'2016'!AF23</f>
        <v>35.5</v>
      </c>
      <c r="AQ284" s="47">
        <f>'2016'!AG23</f>
        <v>3</v>
      </c>
      <c r="AR284" s="48">
        <f>'2016'!AH23</f>
        <v>2</v>
      </c>
      <c r="AS284" s="48">
        <f>'2016'!AI23</f>
        <v>7</v>
      </c>
      <c r="AT284" s="48">
        <f>'2016'!AJ23</f>
        <v>1</v>
      </c>
      <c r="AU284" s="48">
        <f>'2016'!AK23</f>
        <v>5</v>
      </c>
      <c r="AV284" s="48">
        <f>'2016'!AL23</f>
        <v>7</v>
      </c>
      <c r="AW284" s="48">
        <f>'2016'!AM23</f>
        <v>3</v>
      </c>
      <c r="AX284" s="48">
        <f>'2016'!AN23</f>
        <v>2</v>
      </c>
      <c r="AY284" s="49">
        <f>'2016'!AO23</f>
        <v>0</v>
      </c>
      <c r="AZ284" s="50">
        <f>'2016'!AP23</f>
        <v>0</v>
      </c>
      <c r="BA284" s="56">
        <f>'2016'!AQ23</f>
        <v>0</v>
      </c>
      <c r="BB284" s="57">
        <f>'2016'!AR23</f>
        <v>1</v>
      </c>
      <c r="BC284" s="57">
        <f>'2016'!AS23</f>
        <v>0</v>
      </c>
      <c r="BD284" s="57">
        <f>'2016'!AT23</f>
        <v>0</v>
      </c>
      <c r="BE284" s="57">
        <f>'2016'!AU23</f>
        <v>0</v>
      </c>
      <c r="BF284" s="57">
        <f>'2016'!AV23</f>
        <v>0</v>
      </c>
      <c r="BG284" s="58">
        <f>'2016'!AW23</f>
        <v>0</v>
      </c>
      <c r="BH284" s="58">
        <f>'2016'!AX23</f>
        <v>0</v>
      </c>
      <c r="BI284" s="58">
        <f>'2016'!AY23</f>
        <v>0</v>
      </c>
      <c r="BJ284" s="58">
        <f>'2016'!AZ23</f>
        <v>0</v>
      </c>
      <c r="BK284" s="57">
        <f>'2016'!BA23</f>
        <v>0</v>
      </c>
      <c r="BL284" s="57">
        <f>'2016'!BB23</f>
        <v>1</v>
      </c>
      <c r="BM284" s="57">
        <f>'2016'!BC23</f>
        <v>0</v>
      </c>
      <c r="BN284" s="57">
        <f>'2016'!BD23</f>
        <v>0</v>
      </c>
      <c r="BO284" s="59">
        <f>'2016'!BE23</f>
        <v>0</v>
      </c>
      <c r="BP284" s="56">
        <f>'2016'!BF23</f>
        <v>694</v>
      </c>
      <c r="BQ284" s="57">
        <f>'2016'!BG23</f>
        <v>1111</v>
      </c>
      <c r="BR284" s="57">
        <f>'2016'!BH23</f>
        <v>3</v>
      </c>
      <c r="BS284" s="57">
        <f>'2016'!BI23</f>
        <v>9</v>
      </c>
      <c r="BT284" s="57">
        <f>'2016'!BJ23</f>
        <v>0</v>
      </c>
      <c r="BU284" s="57">
        <f>'2016'!BK23</f>
        <v>0</v>
      </c>
      <c r="BV284" s="58">
        <f>'2016'!BL23</f>
        <v>0</v>
      </c>
      <c r="BW284" s="58">
        <f>'2016'!BM23</f>
        <v>0</v>
      </c>
      <c r="BX284" s="58">
        <f>'2016'!BN23</f>
        <v>0</v>
      </c>
      <c r="BY284" s="58">
        <f>'2016'!BO23</f>
        <v>0</v>
      </c>
      <c r="BZ284" s="57">
        <f>'2016'!BP23</f>
        <v>274</v>
      </c>
      <c r="CA284" s="57">
        <f>'2016'!BQ23</f>
        <v>3101</v>
      </c>
      <c r="CB284" s="57">
        <f>'2016'!BR23</f>
        <v>30</v>
      </c>
      <c r="CC284" s="57">
        <f>'2016'!BS23</f>
        <v>1</v>
      </c>
      <c r="CD284" s="59">
        <f>'2016'!BT23</f>
        <v>24</v>
      </c>
      <c r="CE284" s="56">
        <f>'2016'!BU23</f>
        <v>768</v>
      </c>
      <c r="CF284" s="57">
        <f>'2016'!BV23</f>
        <v>1789.6999999999998</v>
      </c>
      <c r="CG284" s="57">
        <f>'2016'!BW23</f>
        <v>4</v>
      </c>
      <c r="CH284" s="57">
        <f>'2016'!BX23</f>
        <v>13.2</v>
      </c>
      <c r="CI284" s="57">
        <f>'2016'!BY23</f>
        <v>0</v>
      </c>
      <c r="CJ284" s="57">
        <f>'2016'!BZ23</f>
        <v>0</v>
      </c>
      <c r="CK284" s="58">
        <f>'2016'!CA23</f>
        <v>0</v>
      </c>
      <c r="CL284" s="58">
        <f>'2016'!CB23</f>
        <v>0</v>
      </c>
      <c r="CM284" s="58">
        <f>'2016'!CC23</f>
        <v>0</v>
      </c>
      <c r="CN284" s="58">
        <f>'2016'!CD23</f>
        <v>0</v>
      </c>
      <c r="CO284" s="57">
        <f>'2016'!CE23</f>
        <v>97</v>
      </c>
      <c r="CP284" s="57">
        <f>'2016'!CF23</f>
        <v>2648.8</v>
      </c>
      <c r="CQ284" s="57">
        <f>'2016'!CG23</f>
        <v>16</v>
      </c>
      <c r="CR284" s="57">
        <f>'2016'!CH23</f>
        <v>0</v>
      </c>
      <c r="CS284" s="59">
        <f>'2016'!CI23</f>
        <v>13.2</v>
      </c>
      <c r="CT284" s="56">
        <f>'2016'!CJ23</f>
        <v>897</v>
      </c>
      <c r="CU284" s="57">
        <f>'2016'!CK23</f>
        <v>2658.5</v>
      </c>
      <c r="CV284" s="57">
        <f>'2016'!CL23</f>
        <v>9</v>
      </c>
      <c r="CW284" s="57">
        <f>'2016'!CM23</f>
        <v>26</v>
      </c>
      <c r="CX284" s="57">
        <f>'2016'!CN23</f>
        <v>164</v>
      </c>
      <c r="CY284" s="57">
        <f>'2016'!CO23</f>
        <v>31</v>
      </c>
      <c r="CZ284" s="58">
        <f>'2016'!CP23</f>
        <v>5.4695121951219514</v>
      </c>
      <c r="DA284" s="58">
        <f>'2016'!CQ23</f>
        <v>56.2</v>
      </c>
      <c r="DB284" s="58">
        <f>'2016'!CR23</f>
        <v>2.87</v>
      </c>
      <c r="DC284" s="58">
        <f>'2016'!CS23</f>
        <v>32.200000000000003</v>
      </c>
      <c r="DD284" s="57">
        <f>'2016'!CT23</f>
        <v>133</v>
      </c>
      <c r="DE284" s="57">
        <f>'2016'!CU23</f>
        <v>2652</v>
      </c>
      <c r="DF284" s="57">
        <f>'2016'!CV23</f>
        <v>15</v>
      </c>
      <c r="DG284" s="57">
        <f>'2016'!CW23</f>
        <v>1</v>
      </c>
      <c r="DH284" s="59">
        <f>'2016'!CX23</f>
        <v>23.400000000000002</v>
      </c>
      <c r="DI284" s="56">
        <f>'2016'!CY23</f>
        <v>203</v>
      </c>
      <c r="DJ284" s="57">
        <f>'2016'!CZ23</f>
        <v>607.5</v>
      </c>
      <c r="DK284" s="57">
        <f>'2016'!DA23</f>
        <v>3</v>
      </c>
      <c r="DL284" s="57">
        <f>'2016'!DB23</f>
        <v>8.3999999999999986</v>
      </c>
      <c r="DM284" s="57">
        <f>'2016'!DC23</f>
        <v>30</v>
      </c>
      <c r="DN284" s="57">
        <f>'2016'!DD23</f>
        <v>2</v>
      </c>
      <c r="DO284" s="58">
        <f>'2016'!DE23</f>
        <v>6.7666666666666666</v>
      </c>
      <c r="DP284" s="58">
        <f>'2016'!DF23</f>
        <v>13.1</v>
      </c>
      <c r="DQ284" s="58">
        <f>'2016'!DG23</f>
        <v>1.97</v>
      </c>
      <c r="DR284" s="58">
        <f>'2016'!DH23</f>
        <v>35.5</v>
      </c>
      <c r="DS284" s="57">
        <f>'2016'!DI23</f>
        <v>0</v>
      </c>
      <c r="DT284" s="57">
        <f>'2016'!DJ23</f>
        <v>632.40000000000009</v>
      </c>
      <c r="DU284" s="57">
        <f>'2016'!DK23</f>
        <v>0</v>
      </c>
      <c r="DV284" s="57">
        <f>'2016'!DL23</f>
        <v>0</v>
      </c>
      <c r="DW284" s="59">
        <f>'2016'!DM23</f>
        <v>4.5</v>
      </c>
    </row>
    <row r="285" spans="1:127" ht="15.75" customHeight="1" x14ac:dyDescent="0.2">
      <c r="A285" s="33">
        <f t="shared" si="49"/>
        <v>283</v>
      </c>
      <c r="B285" s="11">
        <f>'2017'!A28</f>
        <v>26</v>
      </c>
      <c r="C285" s="11">
        <v>2017</v>
      </c>
      <c r="D285" s="34" t="str">
        <f>'2017'!B28</f>
        <v>De'Angelo Henderson</v>
      </c>
      <c r="E285" s="224" t="str" cm="1">
        <f t="array" ref="E285">_xlfn.IFS(F285&gt;=13,"Cornerstone",AND(F285&gt;=12,F285&lt;13),"Elite",AND(F285&gt;=11,F285&lt;12),"Elite Upside",AND(F285&gt;=9,F285&lt;11),"Upside",AND(F285&gt;=7,F285&lt;9),"Upside Lite",AND(F285&gt;=6,F285&lt;7),"Outlier",AND(F285&gt;=5,F285&lt;6),"Outlier Lite",F285&lt;5,"Purgatory")</f>
        <v>Purgatory</v>
      </c>
      <c r="F285" s="14">
        <f>'2017'!C28</f>
        <v>3.6500000000000004</v>
      </c>
      <c r="G285" s="14">
        <f t="shared" si="54"/>
        <v>13.4</v>
      </c>
      <c r="H285" s="35">
        <f t="shared" si="50"/>
        <v>-1.8420492000518249</v>
      </c>
      <c r="I285" s="36" t="str">
        <f>'2017'!D28</f>
        <v>Coastal Carolina</v>
      </c>
      <c r="J285" s="37">
        <f>'2017'!E28</f>
        <v>8</v>
      </c>
      <c r="K285" s="38">
        <f>'2017'!F28</f>
        <v>33932</v>
      </c>
      <c r="L285" s="39">
        <f>'2017'!G28</f>
        <v>32.863013698630134</v>
      </c>
      <c r="M285" s="39" t="str">
        <f>'2017'!H28</f>
        <v>SR</v>
      </c>
      <c r="N285" s="39">
        <f>'2017'!I28</f>
        <v>24.438356164383563</v>
      </c>
      <c r="O285" s="39" t="str">
        <f t="shared" si="51"/>
        <v>DYNAMIC</v>
      </c>
      <c r="P285" s="39" t="str">
        <f t="shared" si="57"/>
        <v>PLODDER</v>
      </c>
      <c r="Q285" s="37">
        <f>'2017'!J28</f>
        <v>67</v>
      </c>
      <c r="R285" s="37">
        <f>'2017'!K28</f>
        <v>208</v>
      </c>
      <c r="S285" s="39">
        <f t="shared" si="53"/>
        <v>32.577044614993667</v>
      </c>
      <c r="T285" s="37">
        <f>'2017'!L28</f>
        <v>4.4800000000000004</v>
      </c>
      <c r="U285" s="55">
        <f>'2017'!M28</f>
        <v>6</v>
      </c>
      <c r="V285" s="41">
        <f>'2017'!N28</f>
        <v>0</v>
      </c>
      <c r="W285" s="42">
        <f>'2017'!O28</f>
        <v>8.6030204962243798E-2</v>
      </c>
      <c r="X285" s="42">
        <f>'2017'!P28</f>
        <v>0.27067557535263548</v>
      </c>
      <c r="Y285" s="42">
        <f>'2017'!Q28</f>
        <v>0.30994152046783624</v>
      </c>
      <c r="Z285" s="42">
        <f>'2017'!R28</f>
        <v>0.27352164194269457</v>
      </c>
      <c r="AA285" s="42">
        <f>'2017'!S28</f>
        <v>0.29173158120526543</v>
      </c>
      <c r="AB285" s="42">
        <f>'2017'!T28</f>
        <v>0.18962552778342254</v>
      </c>
      <c r="AC285" s="42">
        <f>'2017'!U28</f>
        <v>0.12661011624253848</v>
      </c>
      <c r="AD285" s="42">
        <f>'2017'!V28</f>
        <v>0.11874999999999999</v>
      </c>
      <c r="AE285" s="42">
        <f>'2017'!W28</f>
        <v>0.12268005812126924</v>
      </c>
      <c r="AF285" s="43">
        <f>'2017'!X28</f>
        <v>7.9742037778825006E-2</v>
      </c>
      <c r="AG285" s="44">
        <f>'2017'!Y28</f>
        <v>21.783561643835615</v>
      </c>
      <c r="AH285" s="45">
        <f>'2017'!Z28</f>
        <v>103.27168774078507</v>
      </c>
      <c r="AI285" s="45">
        <f>'2017'!AA28</f>
        <v>32.573847182000442</v>
      </c>
      <c r="AJ285" s="45">
        <f>'2017'!AB28</f>
        <v>0</v>
      </c>
      <c r="AK285" s="45">
        <f>'2017'!AC28</f>
        <v>0</v>
      </c>
      <c r="AL285" s="45">
        <f t="shared" si="52"/>
        <v>9.4948453608247423</v>
      </c>
      <c r="AM285" s="45">
        <f t="shared" si="56"/>
        <v>9.8522167487684734E-2</v>
      </c>
      <c r="AN285" s="45">
        <f>'2017'!AD28</f>
        <v>0</v>
      </c>
      <c r="AO285" s="45">
        <f>'2017'!AE28</f>
        <v>0</v>
      </c>
      <c r="AP285" s="46">
        <f>'2017'!AF28</f>
        <v>0</v>
      </c>
      <c r="AQ285" s="47">
        <f>'2017'!AG28</f>
        <v>3</v>
      </c>
      <c r="AR285" s="48">
        <f>'2017'!AH28</f>
        <v>8</v>
      </c>
      <c r="AS285" s="48">
        <f>'2017'!AI28</f>
        <v>2</v>
      </c>
      <c r="AT285" s="48">
        <f>IF(AH285&gt;113.25,10,IF(AH285&gt;=107.84,9,IF(AH285&gt;=105.37,8,IF(AH285&gt;=103.25,7,IF(AH285&gt;=100.55,6,IF(AH285&gt;=98.75,5,IF(AH285&gt;=96.08,4,IF(AH285&gt;=94.39,3,IF(AH285&gt;=88.43,2,IF(AH285&gt;=85.16,1,IF(AH285&lt;85.16,0,FALSE)))))))))))</f>
        <v>7</v>
      </c>
      <c r="AU285" s="48">
        <f>'2017'!AK28</f>
        <v>0</v>
      </c>
      <c r="AV285" s="48">
        <f>'2017'!AL28</f>
        <v>0</v>
      </c>
      <c r="AW285" s="48">
        <f>'2017'!AM28</f>
        <v>0</v>
      </c>
      <c r="AX285" s="48">
        <f>'2017'!AN28</f>
        <v>0</v>
      </c>
      <c r="AY285" s="49">
        <f>IF(U285=1,10,IF(U285=2,7,IF(U285=3,6,IF(U285=4,4,IF(U285=5,3,IF(U285=6,2,IF(U285=7,1,IF(U285=0,0,"-"))))))))</f>
        <v>2</v>
      </c>
      <c r="AZ285" s="50">
        <f>'2017'!AP28</f>
        <v>0</v>
      </c>
      <c r="BA285" s="56">
        <f>'2017'!AQ28</f>
        <v>0</v>
      </c>
      <c r="BB285" s="57">
        <f>'2017'!AR28</f>
        <v>2828</v>
      </c>
      <c r="BC285" s="57">
        <f>'2017'!AS28</f>
        <v>0</v>
      </c>
      <c r="BD285" s="57">
        <f>'2017'!AT28</f>
        <v>0</v>
      </c>
      <c r="BE285" s="57">
        <f>'2017'!AU28</f>
        <v>0</v>
      </c>
      <c r="BF285" s="57">
        <f>'2017'!AV28</f>
        <v>0</v>
      </c>
      <c r="BG285" s="58">
        <f>'2017'!AW28</f>
        <v>0</v>
      </c>
      <c r="BH285" s="58">
        <f>'2017'!AX28</f>
        <v>0</v>
      </c>
      <c r="BI285" s="58">
        <f>'2017'!AY28</f>
        <v>0</v>
      </c>
      <c r="BJ285" s="58">
        <f>'2017'!AZ28</f>
        <v>0</v>
      </c>
      <c r="BK285" s="57">
        <f>'2017'!BA28</f>
        <v>0</v>
      </c>
      <c r="BL285" s="57">
        <f>'2017'!BB28</f>
        <v>3101</v>
      </c>
      <c r="BM285" s="57">
        <f>'2017'!BC28</f>
        <v>0</v>
      </c>
      <c r="BN285" s="57">
        <f>'2017'!BD28</f>
        <v>0</v>
      </c>
      <c r="BO285" s="59">
        <f>'2017'!BE28</f>
        <v>0</v>
      </c>
      <c r="BP285" s="56">
        <f>'2017'!BF28</f>
        <v>599</v>
      </c>
      <c r="BQ285" s="57">
        <f>'2017'!BG28</f>
        <v>4036</v>
      </c>
      <c r="BR285" s="57">
        <f>'2017'!BH28</f>
        <v>0</v>
      </c>
      <c r="BS285" s="57">
        <f>'2017'!BI28</f>
        <v>0</v>
      </c>
      <c r="BT285" s="57">
        <f>'2017'!BJ28</f>
        <v>82</v>
      </c>
      <c r="BU285" s="57">
        <f>'2017'!BK28</f>
        <v>0</v>
      </c>
      <c r="BV285" s="58">
        <f>'2017'!BL28</f>
        <v>0</v>
      </c>
      <c r="BW285" s="58">
        <f>'2017'!BM28</f>
        <v>0</v>
      </c>
      <c r="BX285" s="58">
        <f>'2017'!BN28</f>
        <v>0</v>
      </c>
      <c r="BY285" s="58">
        <f>'2017'!BO28</f>
        <v>0</v>
      </c>
      <c r="BZ285" s="57">
        <f>'2017'!BP28</f>
        <v>39</v>
      </c>
      <c r="CA285" s="57">
        <f>'2017'!BQ28</f>
        <v>3380</v>
      </c>
      <c r="CB285" s="57">
        <f>'2017'!BR28</f>
        <v>4</v>
      </c>
      <c r="CC285" s="57">
        <f>'2017'!BS28</f>
        <v>0</v>
      </c>
      <c r="CD285" s="59">
        <f>'2017'!BT28</f>
        <v>0</v>
      </c>
      <c r="CE285" s="56">
        <f>'2017'!BU28</f>
        <v>1534</v>
      </c>
      <c r="CF285" s="57">
        <f>'2017'!BV28</f>
        <v>3265</v>
      </c>
      <c r="CG285" s="57">
        <f>'2017'!BW28</f>
        <v>0</v>
      </c>
      <c r="CH285" s="57">
        <f>'2017'!BX28</f>
        <v>0</v>
      </c>
      <c r="CI285" s="57">
        <f>'2017'!BY28</f>
        <v>234</v>
      </c>
      <c r="CJ285" s="57">
        <f>'2017'!BZ28</f>
        <v>0</v>
      </c>
      <c r="CK285" s="58">
        <f>'2017'!CA28</f>
        <v>0</v>
      </c>
      <c r="CL285" s="58">
        <f>'2017'!CB28</f>
        <v>0</v>
      </c>
      <c r="CM285" s="58">
        <f>'2017'!CC28</f>
        <v>0</v>
      </c>
      <c r="CN285" s="58">
        <f>'2017'!CD28</f>
        <v>0</v>
      </c>
      <c r="CO285" s="57">
        <f>'2017'!CE28</f>
        <v>289</v>
      </c>
      <c r="CP285" s="57">
        <f>'2017'!CF28</f>
        <v>3470</v>
      </c>
      <c r="CQ285" s="57">
        <f>'2017'!CG28</f>
        <v>33</v>
      </c>
      <c r="CR285" s="57">
        <f>'2017'!CH28</f>
        <v>0</v>
      </c>
      <c r="CS285" s="59">
        <f>'2017'!CI28</f>
        <v>0</v>
      </c>
      <c r="CT285" s="56">
        <f>'2017'!CJ28</f>
        <v>1346</v>
      </c>
      <c r="CU285" s="57">
        <f>'2017'!CK28</f>
        <v>2460</v>
      </c>
      <c r="CV285" s="57">
        <f>'2017'!CL28</f>
        <v>0</v>
      </c>
      <c r="CW285" s="57">
        <f>'2017'!CM28</f>
        <v>0</v>
      </c>
      <c r="CX285" s="57">
        <f>'2017'!CN28</f>
        <v>222</v>
      </c>
      <c r="CY285" s="57">
        <f>'2017'!CO28</f>
        <v>0</v>
      </c>
      <c r="CZ285" s="58">
        <f>'2017'!CP28</f>
        <v>0</v>
      </c>
      <c r="DA285" s="58">
        <f>'2017'!CQ28</f>
        <v>0</v>
      </c>
      <c r="DB285" s="58">
        <f>'2017'!CR28</f>
        <v>0</v>
      </c>
      <c r="DC285" s="58">
        <f>'2017'!CS28</f>
        <v>0</v>
      </c>
      <c r="DD285" s="57">
        <f>'2017'!CT28</f>
        <v>403</v>
      </c>
      <c r="DE285" s="57">
        <f>'2017'!CU28</f>
        <v>3183</v>
      </c>
      <c r="DF285" s="57">
        <f>'2017'!CV28</f>
        <v>40</v>
      </c>
      <c r="DG285" s="57">
        <f>'2017'!CW28</f>
        <v>0</v>
      </c>
      <c r="DH285" s="59">
        <f>'2017'!CX28</f>
        <v>0</v>
      </c>
      <c r="DI285" s="56">
        <f>'2017'!CY28</f>
        <v>1156</v>
      </c>
      <c r="DJ285" s="57">
        <f>'2017'!CZ28</f>
        <v>3321</v>
      </c>
      <c r="DK285" s="57">
        <f>'2017'!DA28</f>
        <v>0</v>
      </c>
      <c r="DL285" s="57">
        <f>'2017'!DB28</f>
        <v>0</v>
      </c>
      <c r="DM285" s="57">
        <f>'2017'!DC28</f>
        <v>183</v>
      </c>
      <c r="DN285" s="57">
        <f>'2017'!DD28</f>
        <v>0</v>
      </c>
      <c r="DO285" s="58">
        <f>'2017'!DE28</f>
        <v>0</v>
      </c>
      <c r="DP285" s="58">
        <f>'2017'!DF28</f>
        <v>0</v>
      </c>
      <c r="DQ285" s="58">
        <f>'2017'!DG28</f>
        <v>0</v>
      </c>
      <c r="DR285" s="58">
        <f>'2017'!DH28</f>
        <v>0</v>
      </c>
      <c r="DS285" s="57">
        <f>'2017'!DI28</f>
        <v>190</v>
      </c>
      <c r="DT285" s="57">
        <f>'2017'!DJ28</f>
        <v>1600</v>
      </c>
      <c r="DU285" s="57">
        <f>'2017'!DK28</f>
        <v>20</v>
      </c>
      <c r="DV285" s="57">
        <f>'2017'!DL28</f>
        <v>0</v>
      </c>
      <c r="DW285" s="59">
        <f>'2017'!DM28</f>
        <v>0</v>
      </c>
    </row>
    <row r="286" spans="1:127" ht="15.75" customHeight="1" x14ac:dyDescent="0.2">
      <c r="A286" s="33">
        <f t="shared" si="49"/>
        <v>284</v>
      </c>
      <c r="B286" s="11">
        <f>'2016'!A24</f>
        <v>22</v>
      </c>
      <c r="C286" s="11">
        <v>2016</v>
      </c>
      <c r="D286" s="34" t="str">
        <f>'2016'!B24</f>
        <v>Tra Carson</v>
      </c>
      <c r="E286" s="224" t="str" cm="1">
        <f t="array" ref="E286">_xlfn.IFS(F286&gt;=13,"Cornerstone",AND(F286&gt;=12,F286&lt;13),"Elite",AND(F286&gt;=11,F286&lt;12),"Elite Upside",AND(F286&gt;=9,F286&lt;11),"Upside",AND(F286&gt;=7,F286&lt;9),"Upside Lite",AND(F286&gt;=6,F286&lt;7),"Outlier",AND(F286&gt;=5,F286&lt;6),"Outlier Lite",F286&lt;5,"Purgatory")</f>
        <v>Purgatory</v>
      </c>
      <c r="F286" s="14">
        <f>'2016'!C24</f>
        <v>3.6222222222222227</v>
      </c>
      <c r="G286" s="14">
        <f t="shared" si="54"/>
        <v>13.100000000000001</v>
      </c>
      <c r="H286" s="35">
        <f t="shared" si="50"/>
        <v>-1.8538054518362592</v>
      </c>
      <c r="I286" s="36" t="str">
        <f>'2016'!D24</f>
        <v>Texas A&amp;M</v>
      </c>
      <c r="J286" s="37">
        <f>'2016'!E24</f>
        <v>1</v>
      </c>
      <c r="K286" s="38">
        <f>'2016'!F24</f>
        <v>34115</v>
      </c>
      <c r="L286" s="39">
        <f>'2016'!G24</f>
        <v>32.361643835616441</v>
      </c>
      <c r="M286" s="39" t="str">
        <f>'2016'!H24</f>
        <v>SR</v>
      </c>
      <c r="N286" s="39">
        <f>'2016'!I24</f>
        <v>22.936986301369863</v>
      </c>
      <c r="O286" s="39" t="str">
        <f t="shared" si="51"/>
        <v>BRUISER</v>
      </c>
      <c r="P286" s="39" t="str">
        <f t="shared" si="57"/>
        <v>PLODDER</v>
      </c>
      <c r="Q286" s="37">
        <f>'2016'!J24</f>
        <v>71</v>
      </c>
      <c r="R286" s="37">
        <f>'2016'!K24</f>
        <v>227</v>
      </c>
      <c r="S286" s="39">
        <f t="shared" si="53"/>
        <v>31.659723148845231</v>
      </c>
      <c r="T286" s="37">
        <f>'2016'!L24</f>
        <v>4.63</v>
      </c>
      <c r="U286" s="55">
        <f>'2016'!M24</f>
        <v>0</v>
      </c>
      <c r="V286" s="41">
        <f>'2016'!N24</f>
        <v>4.9732211170619739E-2</v>
      </c>
      <c r="W286" s="42">
        <f>'2016'!O24</f>
        <v>0</v>
      </c>
      <c r="X286" s="42">
        <f>'2016'!P24</f>
        <v>6.1968121032014052E-2</v>
      </c>
      <c r="Y286" s="42">
        <f>'2016'!Q24</f>
        <v>0.12040696823305519</v>
      </c>
      <c r="Z286" s="42">
        <f>'2016'!R24</f>
        <v>0.24393754047636185</v>
      </c>
      <c r="AA286" s="42">
        <f>'2016'!S24</f>
        <v>0.24393754047636185</v>
      </c>
      <c r="AB286" s="42">
        <f>'2016'!T24</f>
        <v>0.24393754047636185</v>
      </c>
      <c r="AC286" s="42">
        <f>'2016'!U24</f>
        <v>2.1276595744680851E-2</v>
      </c>
      <c r="AD286" s="42">
        <f>'2016'!V24</f>
        <v>5.4456182115756584E-2</v>
      </c>
      <c r="AE286" s="42">
        <f>'2016'!W24</f>
        <v>5.4456182115756584E-2</v>
      </c>
      <c r="AF286" s="43">
        <f>'2016'!X24</f>
        <v>5.4456182115756584E-2</v>
      </c>
      <c r="AG286" s="44">
        <f>'2016'!Y24</f>
        <v>22.282191780821918</v>
      </c>
      <c r="AH286" s="45">
        <f>'2016'!Z24</f>
        <v>98.794300084469526</v>
      </c>
      <c r="AI286" s="45">
        <f>'2016'!AA24</f>
        <v>31.656615750843088</v>
      </c>
      <c r="AJ286" s="45">
        <f>'2016'!AB24</f>
        <v>0.17886178861788618</v>
      </c>
      <c r="AK286" s="45">
        <f>'2016'!AC24</f>
        <v>4.8471074380165291</v>
      </c>
      <c r="AL286" s="45">
        <f t="shared" si="52"/>
        <v>7.2619047619047619</v>
      </c>
      <c r="AM286" s="45">
        <f t="shared" si="56"/>
        <v>0.1070110701107011</v>
      </c>
      <c r="AN286" s="45">
        <f>'2016'!AD24</f>
        <v>50.1</v>
      </c>
      <c r="AO286" s="45">
        <f>'2016'!AE24</f>
        <v>2.76</v>
      </c>
      <c r="AP286" s="46">
        <f>'2016'!AF24</f>
        <v>27.9</v>
      </c>
      <c r="AQ286" s="47">
        <f>'2016'!AG24</f>
        <v>6</v>
      </c>
      <c r="AR286" s="48">
        <f>'2016'!AH24</f>
        <v>6</v>
      </c>
      <c r="AS286" s="48">
        <f>'2016'!AI24</f>
        <v>1</v>
      </c>
      <c r="AT286" s="48">
        <f>'2016'!AJ24</f>
        <v>5</v>
      </c>
      <c r="AU286" s="48">
        <f>'2016'!AK24</f>
        <v>4</v>
      </c>
      <c r="AV286" s="48">
        <f>'2016'!AL24</f>
        <v>0</v>
      </c>
      <c r="AW286" s="48">
        <f>'2016'!AM24</f>
        <v>3</v>
      </c>
      <c r="AX286" s="48">
        <f>'2016'!AN24</f>
        <v>2</v>
      </c>
      <c r="AY286" s="49">
        <f>'2016'!AO24</f>
        <v>0</v>
      </c>
      <c r="AZ286" s="50">
        <f>'2016'!AP24</f>
        <v>0</v>
      </c>
      <c r="BA286" s="56">
        <f>'2016'!AQ24</f>
        <v>254</v>
      </c>
      <c r="BB286" s="57">
        <f>'2016'!AR24</f>
        <v>2992</v>
      </c>
      <c r="BC286" s="57">
        <f>'2016'!AS24</f>
        <v>1</v>
      </c>
      <c r="BD286" s="57">
        <f>'2016'!AT24</f>
        <v>30</v>
      </c>
      <c r="BE286" s="57">
        <f>'2016'!AU24</f>
        <v>0</v>
      </c>
      <c r="BF286" s="57">
        <f>'2016'!AV24</f>
        <v>0</v>
      </c>
      <c r="BG286" s="58">
        <f>'2016'!AW24</f>
        <v>0</v>
      </c>
      <c r="BH286" s="58">
        <f>'2016'!AX24</f>
        <v>0</v>
      </c>
      <c r="BI286" s="58">
        <f>'2016'!AY24</f>
        <v>0</v>
      </c>
      <c r="BJ286" s="58">
        <f>'2016'!AZ24</f>
        <v>0</v>
      </c>
      <c r="BK286" s="57">
        <f>'2016'!BA24</f>
        <v>6</v>
      </c>
      <c r="BL286" s="57">
        <f>'2016'!BB24</f>
        <v>2236</v>
      </c>
      <c r="BM286" s="57">
        <f>'2016'!BC24</f>
        <v>1</v>
      </c>
      <c r="BN286" s="57">
        <f>'2016'!BD24</f>
        <v>0</v>
      </c>
      <c r="BO286" s="59">
        <f>'2016'!BE24</f>
        <v>28</v>
      </c>
      <c r="BP286" s="56">
        <f>'2016'!BF24</f>
        <v>0</v>
      </c>
      <c r="BQ286" s="57">
        <f>'2016'!BG24</f>
        <v>1</v>
      </c>
      <c r="BR286" s="57">
        <f>'2016'!BH24</f>
        <v>0</v>
      </c>
      <c r="BS286" s="57">
        <f>'2016'!BI24</f>
        <v>0</v>
      </c>
      <c r="BT286" s="57">
        <f>'2016'!BJ24</f>
        <v>0</v>
      </c>
      <c r="BU286" s="57">
        <f>'2016'!BK24</f>
        <v>0</v>
      </c>
      <c r="BV286" s="58">
        <f>'2016'!BL24</f>
        <v>0</v>
      </c>
      <c r="BW286" s="58">
        <f>'2016'!BM24</f>
        <v>0</v>
      </c>
      <c r="BX286" s="58">
        <f>'2016'!BN24</f>
        <v>0</v>
      </c>
      <c r="BY286" s="58">
        <f>'2016'!BO24</f>
        <v>0</v>
      </c>
      <c r="BZ286" s="57">
        <f>'2016'!BP24</f>
        <v>0</v>
      </c>
      <c r="CA286" s="57">
        <f>'2016'!BQ24</f>
        <v>1</v>
      </c>
      <c r="CB286" s="57">
        <f>'2016'!BR24</f>
        <v>0</v>
      </c>
      <c r="CC286" s="57">
        <f>'2016'!BS24</f>
        <v>0</v>
      </c>
      <c r="CD286" s="59">
        <f>'2016'!BT24</f>
        <v>0</v>
      </c>
      <c r="CE286" s="56">
        <f>'2016'!BU24</f>
        <v>329</v>
      </c>
      <c r="CF286" s="57">
        <f>'2016'!BV24</f>
        <v>2036.1</v>
      </c>
      <c r="CG286" s="57">
        <f>'2016'!BW24</f>
        <v>7</v>
      </c>
      <c r="CH286" s="57">
        <f>'2016'!BX24</f>
        <v>27.5</v>
      </c>
      <c r="CI286" s="57">
        <f>'2016'!BY24</f>
        <v>0</v>
      </c>
      <c r="CJ286" s="57">
        <f>'2016'!BZ24</f>
        <v>0</v>
      </c>
      <c r="CK286" s="58">
        <f>'2016'!CA24</f>
        <v>0</v>
      </c>
      <c r="CL286" s="58">
        <f>'2016'!CB24</f>
        <v>0</v>
      </c>
      <c r="CM286" s="58">
        <f>'2016'!CC24</f>
        <v>0</v>
      </c>
      <c r="CN286" s="58">
        <f>'2016'!CD24</f>
        <v>0</v>
      </c>
      <c r="CO286" s="57">
        <f>'2016'!CE24</f>
        <v>38</v>
      </c>
      <c r="CP286" s="57">
        <f>'2016'!CF24</f>
        <v>3886.3</v>
      </c>
      <c r="CQ286" s="57">
        <f>'2016'!CG24</f>
        <v>3</v>
      </c>
      <c r="CR286" s="57">
        <f>'2016'!CH24</f>
        <v>0</v>
      </c>
      <c r="CS286" s="59">
        <f>'2016'!CI24</f>
        <v>34.1</v>
      </c>
      <c r="CT286" s="56">
        <f>'2016'!CJ24</f>
        <v>580</v>
      </c>
      <c r="CU286" s="57">
        <f>'2016'!CK24</f>
        <v>1798.8000000000002</v>
      </c>
      <c r="CV286" s="57">
        <f>'2016'!CL24</f>
        <v>5</v>
      </c>
      <c r="CW286" s="57">
        <f>'2016'!CM24</f>
        <v>18</v>
      </c>
      <c r="CX286" s="57">
        <f>'2016'!CN24</f>
        <v>123</v>
      </c>
      <c r="CY286" s="57">
        <f>'2016'!CO24</f>
        <v>22</v>
      </c>
      <c r="CZ286" s="58">
        <f>'2016'!CP24</f>
        <v>4.7154471544715451</v>
      </c>
      <c r="DA286" s="58">
        <f>'2016'!CQ24</f>
        <v>50.1</v>
      </c>
      <c r="DB286" s="58">
        <f>'2016'!CR24</f>
        <v>2.76</v>
      </c>
      <c r="DC286" s="58">
        <f>'2016'!CS24</f>
        <v>27.9</v>
      </c>
      <c r="DD286" s="57">
        <f>'2016'!CT24</f>
        <v>78</v>
      </c>
      <c r="DE286" s="57">
        <f>'2016'!CU24</f>
        <v>3666</v>
      </c>
      <c r="DF286" s="57">
        <f>'2016'!CV24</f>
        <v>9</v>
      </c>
      <c r="DG286" s="57">
        <f>'2016'!CW24</f>
        <v>0</v>
      </c>
      <c r="DH286" s="59">
        <f>'2016'!CX24</f>
        <v>36</v>
      </c>
      <c r="DI286" s="56">
        <f>'2016'!CY24</f>
        <v>1173</v>
      </c>
      <c r="DJ286" s="57">
        <f>'2016'!CZ24</f>
        <v>2198.2999999999997</v>
      </c>
      <c r="DK286" s="57">
        <f>'2016'!DA24</f>
        <v>7</v>
      </c>
      <c r="DL286" s="57">
        <f>'2016'!DB24</f>
        <v>11.700000000000001</v>
      </c>
      <c r="DM286" s="57">
        <f>'2016'!DC24</f>
        <v>242</v>
      </c>
      <c r="DN286" s="57">
        <f>'2016'!DD24</f>
        <v>38</v>
      </c>
      <c r="DO286" s="58">
        <f>'2016'!DE24</f>
        <v>4.8471074380165291</v>
      </c>
      <c r="DP286" s="58">
        <f>'2016'!DF24</f>
        <v>41.7</v>
      </c>
      <c r="DQ286" s="58">
        <f>'2016'!DG24</f>
        <v>2.57</v>
      </c>
      <c r="DR286" s="58">
        <f>'2016'!DH24</f>
        <v>27.1</v>
      </c>
      <c r="DS286" s="57">
        <f>'2016'!DI24</f>
        <v>183</v>
      </c>
      <c r="DT286" s="57">
        <f>'2016'!DJ24</f>
        <v>3360.5</v>
      </c>
      <c r="DU286" s="57">
        <f>'2016'!DK24</f>
        <v>29</v>
      </c>
      <c r="DV286" s="57">
        <f>'2016'!DL24</f>
        <v>24.7</v>
      </c>
      <c r="DW286" s="59">
        <f>'2016'!DM24</f>
        <v>0</v>
      </c>
    </row>
    <row r="287" spans="1:127" ht="15.75" customHeight="1" x14ac:dyDescent="0.2">
      <c r="A287" s="33">
        <f t="shared" si="49"/>
        <v>285</v>
      </c>
      <c r="B287" s="11">
        <f>'2016'!A25</f>
        <v>23</v>
      </c>
      <c r="C287" s="11">
        <v>2016</v>
      </c>
      <c r="D287" s="34" t="str">
        <f>'2016'!B25</f>
        <v>Keith Marshall</v>
      </c>
      <c r="E287" s="224" t="str" cm="1">
        <f t="array" ref="E287">_xlfn.IFS(F287&gt;=13,"Cornerstone",AND(F287&gt;=12,F287&lt;13),"Elite",AND(F287&gt;=11,F287&lt;12),"Elite Upside",AND(F287&gt;=9,F287&lt;11),"Upside",AND(F287&gt;=7,F287&lt;9),"Upside Lite",AND(F287&gt;=6,F287&lt;7),"Outlier",AND(F287&gt;=5,F287&lt;6),"Outlier Lite",F287&lt;5,"Purgatory")</f>
        <v>Purgatory</v>
      </c>
      <c r="F287" s="14">
        <f>'2016'!C25</f>
        <v>3.5999999999999996</v>
      </c>
      <c r="G287" s="14">
        <f t="shared" si="54"/>
        <v>12.8</v>
      </c>
      <c r="H287" s="35">
        <f t="shared" si="50"/>
        <v>-1.8632104532638072</v>
      </c>
      <c r="I287" s="36" t="str">
        <f>'2016'!D25</f>
        <v>Georgia</v>
      </c>
      <c r="J287" s="37">
        <f>'2016'!E25</f>
        <v>1</v>
      </c>
      <c r="K287" s="38">
        <f>'2016'!F25</f>
        <v>34381</v>
      </c>
      <c r="L287" s="39">
        <f>'2016'!G25</f>
        <v>31.632876712328766</v>
      </c>
      <c r="M287" s="39" t="str">
        <f>'2016'!H25</f>
        <v>SR</v>
      </c>
      <c r="N287" s="39">
        <f>'2016'!I25</f>
        <v>22.208219178082192</v>
      </c>
      <c r="O287" s="39" t="str">
        <f t="shared" si="51"/>
        <v>FREAK</v>
      </c>
      <c r="P287" s="39" t="str">
        <f t="shared" si="57"/>
        <v>PLODDER</v>
      </c>
      <c r="Q287" s="37">
        <f>'2016'!J25</f>
        <v>71</v>
      </c>
      <c r="R287" s="37">
        <f>'2016'!K25</f>
        <v>219</v>
      </c>
      <c r="S287" s="39">
        <f t="shared" si="53"/>
        <v>30.543961980603989</v>
      </c>
      <c r="T287" s="37">
        <f>'2016'!L25</f>
        <v>4.3099999999999996</v>
      </c>
      <c r="U287" s="55">
        <f>'2016'!M25</f>
        <v>7</v>
      </c>
      <c r="V287" s="41">
        <f>'2016'!N25</f>
        <v>0</v>
      </c>
      <c r="W287" s="42">
        <f>'2016'!O25</f>
        <v>0.12983045669772414</v>
      </c>
      <c r="X287" s="42">
        <f>'2016'!P25</f>
        <v>0.14749018797769056</v>
      </c>
      <c r="Y287" s="42">
        <f>'2016'!Q25</f>
        <v>1.3807136109294382E-2</v>
      </c>
      <c r="Z287" s="42">
        <f>'2016'!R25</f>
        <v>9.1272243069846271E-2</v>
      </c>
      <c r="AA287" s="42">
        <f>'2016'!S25</f>
        <v>0.11938121552376842</v>
      </c>
      <c r="AB287" s="42">
        <f>'2016'!T25</f>
        <v>0.11938121552376842</v>
      </c>
      <c r="AC287" s="42">
        <f>'2016'!U25</f>
        <v>-8.3375020843755206E-3</v>
      </c>
      <c r="AD287" s="42">
        <f>'2016'!V25</f>
        <v>1.375178036442218E-2</v>
      </c>
      <c r="AE287" s="42">
        <f>'2016'!W25</f>
        <v>1.375178036442218E-2</v>
      </c>
      <c r="AF287" s="43">
        <f>'2016'!X25</f>
        <v>1.375178036442218E-2</v>
      </c>
      <c r="AG287" s="44" t="str">
        <f>'2016'!Y25</f>
        <v>N/A</v>
      </c>
      <c r="AH287" s="45">
        <f>'2016'!Z25</f>
        <v>126.930219145066</v>
      </c>
      <c r="AI287" s="45">
        <f>'2016'!AA25</f>
        <v>30.540964094425711</v>
      </c>
      <c r="AJ287" s="45">
        <f>'2016'!AB25</f>
        <v>0.17647058823529413</v>
      </c>
      <c r="AK287" s="45">
        <f>'2016'!AC25</f>
        <v>5.132352941176471</v>
      </c>
      <c r="AL287" s="45">
        <f t="shared" si="52"/>
        <v>9.375</v>
      </c>
      <c r="AM287" s="45">
        <f t="shared" si="56"/>
        <v>5.5555555555555552E-2</v>
      </c>
      <c r="AN287" s="45">
        <f>'2016'!AD25</f>
        <v>46.3</v>
      </c>
      <c r="AO287" s="45">
        <f>'2016'!AE25</f>
        <v>2.78</v>
      </c>
      <c r="AP287" s="46">
        <f>'2016'!AF25</f>
        <v>19.5</v>
      </c>
      <c r="AQ287" s="47">
        <f>'2016'!AG25</f>
        <v>0</v>
      </c>
      <c r="AR287" s="48">
        <f>'2016'!AH25</f>
        <v>1</v>
      </c>
      <c r="AS287" s="48">
        <f>'2016'!AI25</f>
        <v>0</v>
      </c>
      <c r="AT287" s="48">
        <f>'2016'!AJ25</f>
        <v>10</v>
      </c>
      <c r="AU287" s="48">
        <f>'2016'!AK25</f>
        <v>4</v>
      </c>
      <c r="AV287" s="48">
        <f>'2016'!AL25</f>
        <v>1</v>
      </c>
      <c r="AW287" s="48">
        <f>'2016'!AM25</f>
        <v>2</v>
      </c>
      <c r="AX287" s="48">
        <f>'2016'!AN25</f>
        <v>2</v>
      </c>
      <c r="AY287" s="49">
        <f>'2016'!AO25</f>
        <v>1</v>
      </c>
      <c r="AZ287" s="50">
        <f>'2016'!AP25</f>
        <v>1</v>
      </c>
      <c r="BA287" s="56">
        <f>'2016'!AQ25</f>
        <v>0</v>
      </c>
      <c r="BB287" s="57">
        <f>'2016'!AR25</f>
        <v>1</v>
      </c>
      <c r="BC287" s="57">
        <f>'2016'!AS25</f>
        <v>0</v>
      </c>
      <c r="BD287" s="57">
        <f>'2016'!AT25</f>
        <v>0</v>
      </c>
      <c r="BE287" s="57">
        <f>'2016'!AU25</f>
        <v>0</v>
      </c>
      <c r="BF287" s="57">
        <f>'2016'!AV25</f>
        <v>0</v>
      </c>
      <c r="BG287" s="58">
        <f>'2016'!AW25</f>
        <v>0</v>
      </c>
      <c r="BH287" s="58">
        <f>'2016'!AX25</f>
        <v>0</v>
      </c>
      <c r="BI287" s="58">
        <f>'2016'!AY25</f>
        <v>0</v>
      </c>
      <c r="BJ287" s="58">
        <f>'2016'!AZ25</f>
        <v>0</v>
      </c>
      <c r="BK287" s="57">
        <f>'2016'!BA25</f>
        <v>0</v>
      </c>
      <c r="BL287" s="57">
        <f>'2016'!BB25</f>
        <v>1</v>
      </c>
      <c r="BM287" s="57">
        <f>'2016'!BC25</f>
        <v>0</v>
      </c>
      <c r="BN287" s="57">
        <f>'2016'!BD25</f>
        <v>0</v>
      </c>
      <c r="BO287" s="59">
        <f>'2016'!BE25</f>
        <v>0</v>
      </c>
      <c r="BP287" s="56">
        <f>'2016'!BF25</f>
        <v>759</v>
      </c>
      <c r="BQ287" s="57">
        <f>'2016'!BG25</f>
        <v>2556</v>
      </c>
      <c r="BR287" s="57">
        <f>'2016'!BH25</f>
        <v>8</v>
      </c>
      <c r="BS287" s="57">
        <f>'2016'!BI25</f>
        <v>32</v>
      </c>
      <c r="BT287" s="57">
        <f>'2016'!BJ25</f>
        <v>0</v>
      </c>
      <c r="BU287" s="57">
        <f>'2016'!BK25</f>
        <v>0</v>
      </c>
      <c r="BV287" s="58">
        <f>'2016'!BL25</f>
        <v>0</v>
      </c>
      <c r="BW287" s="58">
        <f>'2016'!BM25</f>
        <v>0</v>
      </c>
      <c r="BX287" s="58">
        <f>'2016'!BN25</f>
        <v>0</v>
      </c>
      <c r="BY287" s="58">
        <f>'2016'!BO25</f>
        <v>0</v>
      </c>
      <c r="BZ287" s="57">
        <f>'2016'!BP25</f>
        <v>91</v>
      </c>
      <c r="CA287" s="57">
        <f>'2016'!BQ25</f>
        <v>3991</v>
      </c>
      <c r="CB287" s="57">
        <f>'2016'!BR25</f>
        <v>11</v>
      </c>
      <c r="CC287" s="57">
        <f>'2016'!BS25</f>
        <v>1</v>
      </c>
      <c r="CD287" s="59">
        <f>'2016'!BT25</f>
        <v>37</v>
      </c>
      <c r="CE287" s="56">
        <f>'2016'!BU25</f>
        <v>246</v>
      </c>
      <c r="CF287" s="57">
        <f>'2016'!BV25</f>
        <v>849.5</v>
      </c>
      <c r="CG287" s="57">
        <f>'2016'!BW25</f>
        <v>1</v>
      </c>
      <c r="CH287" s="57">
        <f>'2016'!BX25</f>
        <v>10</v>
      </c>
      <c r="CI287" s="57">
        <f>'2016'!BY25</f>
        <v>0</v>
      </c>
      <c r="CJ287" s="57">
        <f>'2016'!BZ25</f>
        <v>0</v>
      </c>
      <c r="CK287" s="58">
        <f>'2016'!CA25</f>
        <v>0</v>
      </c>
      <c r="CL287" s="58">
        <f>'2016'!CB25</f>
        <v>0</v>
      </c>
      <c r="CM287" s="58">
        <f>'2016'!CC25</f>
        <v>0</v>
      </c>
      <c r="CN287" s="58">
        <f>'2016'!CD25</f>
        <v>0</v>
      </c>
      <c r="CO287" s="57">
        <f>'2016'!CE25</f>
        <v>111</v>
      </c>
      <c r="CP287" s="57">
        <f>'2016'!CF25</f>
        <v>1571</v>
      </c>
      <c r="CQ287" s="57">
        <f>'2016'!CG25</f>
        <v>8</v>
      </c>
      <c r="CR287" s="57">
        <f>'2016'!CH25</f>
        <v>1</v>
      </c>
      <c r="CS287" s="59">
        <f>'2016'!CI25</f>
        <v>12</v>
      </c>
      <c r="CT287" s="56">
        <f>'2016'!CJ25</f>
        <v>24</v>
      </c>
      <c r="CU287" s="57">
        <f>'2016'!CK25</f>
        <v>776.40000000000009</v>
      </c>
      <c r="CV287" s="57">
        <f>'2016'!CL25</f>
        <v>0</v>
      </c>
      <c r="CW287" s="57">
        <f>'2016'!CM25</f>
        <v>8.6999999999999993</v>
      </c>
      <c r="CX287" s="57">
        <f>'2016'!CN25</f>
        <v>12</v>
      </c>
      <c r="CY287" s="57">
        <f>'2016'!CO25</f>
        <v>1</v>
      </c>
      <c r="CZ287" s="58">
        <f>'2016'!CP25</f>
        <v>2</v>
      </c>
      <c r="DA287" s="58">
        <f>'2016'!CQ25</f>
        <v>7.1</v>
      </c>
      <c r="DB287" s="58">
        <f>'2016'!CR25</f>
        <v>0.92</v>
      </c>
      <c r="DC287" s="58">
        <f>'2016'!CS25</f>
        <v>0</v>
      </c>
      <c r="DD287" s="57">
        <f>'2016'!CT25</f>
        <v>-5</v>
      </c>
      <c r="DE287" s="57">
        <f>'2016'!CU25</f>
        <v>599.70000000000005</v>
      </c>
      <c r="DF287" s="57">
        <f>'2016'!CV25</f>
        <v>1</v>
      </c>
      <c r="DG287" s="57">
        <f>'2016'!CW25</f>
        <v>0</v>
      </c>
      <c r="DH287" s="59">
        <f>'2016'!CX25</f>
        <v>5.4</v>
      </c>
      <c r="DI287" s="56">
        <f>'2016'!CY25</f>
        <v>349</v>
      </c>
      <c r="DJ287" s="57">
        <f>'2016'!CZ25</f>
        <v>2094.4</v>
      </c>
      <c r="DK287" s="57">
        <f>'2016'!DA25</f>
        <v>3</v>
      </c>
      <c r="DL287" s="57">
        <f>'2016'!DB25</f>
        <v>18.7</v>
      </c>
      <c r="DM287" s="57">
        <f>'2016'!DC25</f>
        <v>68</v>
      </c>
      <c r="DN287" s="57">
        <f>'2016'!DD25</f>
        <v>12</v>
      </c>
      <c r="DO287" s="58">
        <f>'2016'!DE25</f>
        <v>5.132352941176471</v>
      </c>
      <c r="DP287" s="58">
        <f>'2016'!DF25</f>
        <v>46.3</v>
      </c>
      <c r="DQ287" s="58">
        <f>'2016'!DG25</f>
        <v>2.78</v>
      </c>
      <c r="DR287" s="58">
        <f>'2016'!DH25</f>
        <v>19.5</v>
      </c>
      <c r="DS287" s="57">
        <f>'2016'!DI25</f>
        <v>28</v>
      </c>
      <c r="DT287" s="57">
        <f>'2016'!DJ25</f>
        <v>2036.1</v>
      </c>
      <c r="DU287" s="57">
        <f>'2016'!DK25</f>
        <v>4</v>
      </c>
      <c r="DV287" s="57">
        <f>'2016'!DL25</f>
        <v>1</v>
      </c>
      <c r="DW287" s="59">
        <f>'2016'!DM25</f>
        <v>12.100000000000001</v>
      </c>
    </row>
    <row r="288" spans="1:127" ht="15.75" customHeight="1" x14ac:dyDescent="0.2">
      <c r="A288" s="33">
        <f t="shared" si="49"/>
        <v>286</v>
      </c>
      <c r="B288" s="11">
        <f>'2016'!A26</f>
        <v>24</v>
      </c>
      <c r="C288" s="11">
        <v>2016</v>
      </c>
      <c r="D288" s="34" t="str">
        <f>'2016'!B26</f>
        <v>Daniel Lasco</v>
      </c>
      <c r="E288" s="224" t="str" cm="1">
        <f t="array" ref="E288">_xlfn.IFS(F288&gt;=13,"Cornerstone",AND(F288&gt;=12,F288&lt;13),"Elite",AND(F288&gt;=11,F288&lt;12),"Elite Upside",AND(F288&gt;=9,F288&lt;11),"Upside",AND(F288&gt;=7,F288&lt;9),"Upside Lite",AND(F288&gt;=6,F288&lt;7),"Outlier",AND(F288&gt;=5,F288&lt;6),"Outlier Lite",F288&lt;5,"Purgatory")</f>
        <v>Purgatory</v>
      </c>
      <c r="F288" s="14">
        <f>'2016'!C26</f>
        <v>3.583333333333333</v>
      </c>
      <c r="G288" s="14">
        <f t="shared" si="54"/>
        <v>12.5</v>
      </c>
      <c r="H288" s="35">
        <f t="shared" si="50"/>
        <v>-1.8702642043344677</v>
      </c>
      <c r="I288" s="36" t="str">
        <f>'2016'!D26</f>
        <v>California</v>
      </c>
      <c r="J288" s="37">
        <f>'2016'!E26</f>
        <v>5</v>
      </c>
      <c r="K288" s="38">
        <f>'2016'!F26</f>
        <v>33886</v>
      </c>
      <c r="L288" s="39">
        <f>'2016'!G26</f>
        <v>32.989041095890414</v>
      </c>
      <c r="M288" s="39" t="str">
        <f>'2016'!H26</f>
        <v>SR</v>
      </c>
      <c r="N288" s="39">
        <f>'2016'!I26</f>
        <v>23.564383561643837</v>
      </c>
      <c r="O288" s="39" t="str">
        <f t="shared" si="51"/>
        <v>DYNAMIC</v>
      </c>
      <c r="P288" s="39" t="str">
        <f t="shared" si="57"/>
        <v>PLODDER</v>
      </c>
      <c r="Q288" s="37">
        <f>'2016'!J26</f>
        <v>72</v>
      </c>
      <c r="R288" s="37">
        <f>'2016'!K26</f>
        <v>209</v>
      </c>
      <c r="S288" s="39">
        <f t="shared" si="53"/>
        <v>28.345181767524029</v>
      </c>
      <c r="T288" s="37">
        <f>'2016'!L26</f>
        <v>4.46</v>
      </c>
      <c r="U288" s="55">
        <f>'2016'!M26</f>
        <v>7</v>
      </c>
      <c r="V288" s="41">
        <f>'2016'!N26</f>
        <v>0</v>
      </c>
      <c r="W288" s="42">
        <f>'2016'!O26</f>
        <v>2.3213220887639489E-2</v>
      </c>
      <c r="X288" s="42">
        <f>'2016'!P26</f>
        <v>0.10885141093474428</v>
      </c>
      <c r="Y288" s="42">
        <f>'2016'!Q26</f>
        <v>0.24613932159956839</v>
      </c>
      <c r="Z288" s="42">
        <f>'2016'!R26</f>
        <v>6.6200113485908832E-2</v>
      </c>
      <c r="AA288" s="42">
        <f>'2016'!S26</f>
        <v>0.15616971754273862</v>
      </c>
      <c r="AB288" s="42">
        <f>'2016'!T26</f>
        <v>0.13274425991132782</v>
      </c>
      <c r="AC288" s="42">
        <f>'2016'!U26</f>
        <v>8.18129163046626E-2</v>
      </c>
      <c r="AD288" s="42">
        <f>'2016'!V26</f>
        <v>6.3846767757382286E-3</v>
      </c>
      <c r="AE288" s="42">
        <f>'2016'!W26</f>
        <v>4.4098796540200415E-2</v>
      </c>
      <c r="AF288" s="43">
        <f>'2016'!X26</f>
        <v>3.7483977059170351E-2</v>
      </c>
      <c r="AG288" s="44">
        <f>'2016'!Y26</f>
        <v>21.909589041095892</v>
      </c>
      <c r="AH288" s="45">
        <f>'2016'!Z26</f>
        <v>105.64205650925143</v>
      </c>
      <c r="AI288" s="45">
        <f>'2016'!AA26</f>
        <v>28.342399691358025</v>
      </c>
      <c r="AJ288" s="45">
        <f>'2016'!AB26</f>
        <v>0.17452830188679244</v>
      </c>
      <c r="AK288" s="45">
        <f>'2016'!AC26</f>
        <v>5.2877358490566042</v>
      </c>
      <c r="AL288" s="45">
        <f t="shared" si="52"/>
        <v>9.8000000000000007</v>
      </c>
      <c r="AM288" s="45">
        <f t="shared" si="56"/>
        <v>4.3478260869565216E-2</v>
      </c>
      <c r="AN288" s="45">
        <f>'2016'!AD26</f>
        <v>53.2</v>
      </c>
      <c r="AO288" s="45">
        <f>'2016'!AE26</f>
        <v>2.81</v>
      </c>
      <c r="AP288" s="46">
        <f>'2016'!AF26</f>
        <v>25.6</v>
      </c>
      <c r="AQ288" s="47">
        <f>'2016'!AG26</f>
        <v>1</v>
      </c>
      <c r="AR288" s="48">
        <f>'2016'!AH26</f>
        <v>4</v>
      </c>
      <c r="AS288" s="48">
        <f>'2016'!AI26</f>
        <v>2</v>
      </c>
      <c r="AT288" s="48">
        <f>'2016'!AJ26</f>
        <v>8</v>
      </c>
      <c r="AU288" s="48">
        <f>'2016'!AK26</f>
        <v>4</v>
      </c>
      <c r="AV288" s="48">
        <f>'2016'!AL26</f>
        <v>2</v>
      </c>
      <c r="AW288" s="48">
        <f>'2016'!AM26</f>
        <v>3</v>
      </c>
      <c r="AX288" s="48">
        <f>'2016'!AN26</f>
        <v>2</v>
      </c>
      <c r="AY288" s="49">
        <f>'2016'!AO26</f>
        <v>1</v>
      </c>
      <c r="AZ288" s="50">
        <f>'2016'!AP26</f>
        <v>0</v>
      </c>
      <c r="BA288" s="56">
        <f>'2016'!AQ26</f>
        <v>0</v>
      </c>
      <c r="BB288" s="57">
        <f>'2016'!AR26</f>
        <v>1</v>
      </c>
      <c r="BC288" s="57">
        <f>'2016'!AS26</f>
        <v>0</v>
      </c>
      <c r="BD288" s="57">
        <f>'2016'!AT26</f>
        <v>0</v>
      </c>
      <c r="BE288" s="57">
        <f>'2016'!AU26</f>
        <v>0</v>
      </c>
      <c r="BF288" s="57">
        <f>'2016'!AV26</f>
        <v>0</v>
      </c>
      <c r="BG288" s="58">
        <f>'2016'!AW26</f>
        <v>0</v>
      </c>
      <c r="BH288" s="58">
        <f>'2016'!AX26</f>
        <v>0</v>
      </c>
      <c r="BI288" s="58">
        <f>'2016'!AY26</f>
        <v>0</v>
      </c>
      <c r="BJ288" s="58">
        <f>'2016'!AZ26</f>
        <v>0</v>
      </c>
      <c r="BK288" s="57">
        <f>'2016'!BA26</f>
        <v>0</v>
      </c>
      <c r="BL288" s="57">
        <f>'2016'!BB26</f>
        <v>1</v>
      </c>
      <c r="BM288" s="57">
        <f>'2016'!BC26</f>
        <v>0</v>
      </c>
      <c r="BN288" s="57">
        <f>'2016'!BD26</f>
        <v>0</v>
      </c>
      <c r="BO288" s="59">
        <f>'2016'!BE26</f>
        <v>0</v>
      </c>
      <c r="BP288" s="56">
        <f>'2016'!BF26</f>
        <v>109</v>
      </c>
      <c r="BQ288" s="57">
        <f>'2016'!BG26</f>
        <v>2196</v>
      </c>
      <c r="BR288" s="57">
        <f>'2016'!BH26</f>
        <v>1</v>
      </c>
      <c r="BS288" s="57">
        <f>'2016'!BI26</f>
        <v>18</v>
      </c>
      <c r="BT288" s="57">
        <f>'2016'!BJ26</f>
        <v>0</v>
      </c>
      <c r="BU288" s="57">
        <f>'2016'!BK26</f>
        <v>0</v>
      </c>
      <c r="BV288" s="58">
        <f>'2016'!BL26</f>
        <v>0</v>
      </c>
      <c r="BW288" s="58">
        <f>'2016'!BM26</f>
        <v>0</v>
      </c>
      <c r="BX288" s="58">
        <f>'2016'!BN26</f>
        <v>0</v>
      </c>
      <c r="BY288" s="58">
        <f>'2016'!BO26</f>
        <v>0</v>
      </c>
      <c r="BZ288" s="57">
        <f>'2016'!BP26</f>
        <v>0</v>
      </c>
      <c r="CA288" s="57">
        <f>'2016'!BQ26</f>
        <v>2499.6000000000004</v>
      </c>
      <c r="CB288" s="57">
        <f>'2016'!BR26</f>
        <v>0</v>
      </c>
      <c r="CC288" s="57">
        <f>'2016'!BS26</f>
        <v>0</v>
      </c>
      <c r="CD288" s="59">
        <f>'2016'!BT26</f>
        <v>13</v>
      </c>
      <c r="CE288" s="56">
        <f>'2016'!BU26</f>
        <v>317</v>
      </c>
      <c r="CF288" s="57">
        <f>'2016'!BV26</f>
        <v>977.6</v>
      </c>
      <c r="CG288" s="57">
        <f>'2016'!BW26</f>
        <v>2</v>
      </c>
      <c r="CH288" s="57">
        <f>'2016'!BX26</f>
        <v>6.4</v>
      </c>
      <c r="CI288" s="57">
        <f>'2016'!BY26</f>
        <v>0</v>
      </c>
      <c r="CJ288" s="57">
        <f>'2016'!BZ26</f>
        <v>0</v>
      </c>
      <c r="CK288" s="58">
        <f>'2016'!CA26</f>
        <v>0</v>
      </c>
      <c r="CL288" s="58">
        <f>'2016'!CB26</f>
        <v>0</v>
      </c>
      <c r="CM288" s="58">
        <f>'2016'!CC26</f>
        <v>0</v>
      </c>
      <c r="CN288" s="58">
        <f>'2016'!CD26</f>
        <v>0</v>
      </c>
      <c r="CO288" s="57">
        <f>'2016'!CE26</f>
        <v>78</v>
      </c>
      <c r="CP288" s="57">
        <f>'2016'!CF26</f>
        <v>2651.2</v>
      </c>
      <c r="CQ288" s="57">
        <f>'2016'!CG26</f>
        <v>11</v>
      </c>
      <c r="CR288" s="57">
        <f>'2016'!CH26</f>
        <v>0</v>
      </c>
      <c r="CS288" s="59">
        <f>'2016'!CI26</f>
        <v>14.4</v>
      </c>
      <c r="CT288" s="56">
        <f>'2016'!CJ26</f>
        <v>1121</v>
      </c>
      <c r="CU288" s="57">
        <f>'2016'!CK26</f>
        <v>1788</v>
      </c>
      <c r="CV288" s="57">
        <f>'2016'!CL26</f>
        <v>12</v>
      </c>
      <c r="CW288" s="57">
        <f>'2016'!CM26</f>
        <v>21.6</v>
      </c>
      <c r="CX288" s="57">
        <f>'2016'!CN26</f>
        <v>212</v>
      </c>
      <c r="CY288" s="57">
        <f>'2016'!CO26</f>
        <v>37</v>
      </c>
      <c r="CZ288" s="58">
        <f>'2016'!CP26</f>
        <v>5.2877358490566042</v>
      </c>
      <c r="DA288" s="58">
        <f>'2016'!CQ26</f>
        <v>53.2</v>
      </c>
      <c r="DB288" s="58">
        <f>'2016'!CR26</f>
        <v>2.81</v>
      </c>
      <c r="DC288" s="58">
        <f>'2016'!CS26</f>
        <v>25.6</v>
      </c>
      <c r="DD288" s="57">
        <f>'2016'!CT26</f>
        <v>339</v>
      </c>
      <c r="DE288" s="57">
        <f>'2016'!CU26</f>
        <v>4143.6000000000004</v>
      </c>
      <c r="DF288" s="57">
        <f>'2016'!CV26</f>
        <v>31</v>
      </c>
      <c r="DG288" s="57">
        <f>'2016'!CW26</f>
        <v>2</v>
      </c>
      <c r="DH288" s="59">
        <f>'2016'!CX26</f>
        <v>37.200000000000003</v>
      </c>
      <c r="DI288" s="56">
        <f>'2016'!CY26</f>
        <v>326</v>
      </c>
      <c r="DJ288" s="57">
        <f>'2016'!CZ26</f>
        <v>1528</v>
      </c>
      <c r="DK288" s="57">
        <f>'2016'!DA26</f>
        <v>3</v>
      </c>
      <c r="DL288" s="57">
        <f>'2016'!DB26</f>
        <v>12</v>
      </c>
      <c r="DM288" s="57">
        <f>'2016'!DC26</f>
        <v>66</v>
      </c>
      <c r="DN288" s="57">
        <f>'2016'!DD26</f>
        <v>10</v>
      </c>
      <c r="DO288" s="58">
        <f>'2016'!DE26</f>
        <v>4.9393939393939394</v>
      </c>
      <c r="DP288" s="58">
        <f>'2016'!DF26</f>
        <v>41.1</v>
      </c>
      <c r="DQ288" s="58">
        <f>'2016'!DG26</f>
        <v>2.58</v>
      </c>
      <c r="DR288" s="58">
        <f>'2016'!DH26</f>
        <v>24.2</v>
      </c>
      <c r="DS288" s="57">
        <f>'2016'!DI26</f>
        <v>24</v>
      </c>
      <c r="DT288" s="57">
        <f>'2016'!DJ26</f>
        <v>3759</v>
      </c>
      <c r="DU288" s="57">
        <f>'2016'!DK26</f>
        <v>3</v>
      </c>
      <c r="DV288" s="57">
        <f>'2016'!DL26</f>
        <v>0</v>
      </c>
      <c r="DW288" s="59">
        <f>'2016'!DM26</f>
        <v>34</v>
      </c>
    </row>
    <row r="289" spans="1:127" ht="15.75" customHeight="1" x14ac:dyDescent="0.2">
      <c r="A289" s="33">
        <f t="shared" si="49"/>
        <v>287</v>
      </c>
      <c r="B289" s="11">
        <f>'2015'!A21</f>
        <v>19</v>
      </c>
      <c r="C289" s="11">
        <v>2015</v>
      </c>
      <c r="D289" s="34" t="str">
        <f>'2015'!B21</f>
        <v>Marcus Murphy</v>
      </c>
      <c r="E289" s="224" t="str" cm="1">
        <f t="array" ref="E289">_xlfn.IFS(F289&gt;=13,"Cornerstone",AND(F289&gt;=12,F289&lt;13),"Elite",AND(F289&gt;=11,F289&lt;12),"Elite Upside",AND(F289&gt;=9,F289&lt;11),"Upside",AND(F289&gt;=7,F289&lt;9),"Upside Lite",AND(F289&gt;=6,F289&lt;7),"Outlier",AND(F289&gt;=5,F289&lt;6),"Outlier Lite",F289&lt;5,"Purgatory")</f>
        <v>Purgatory</v>
      </c>
      <c r="F289" s="14">
        <f>'2015'!C21</f>
        <v>3.5777777777777784</v>
      </c>
      <c r="G289" s="14">
        <f t="shared" si="54"/>
        <v>12.2</v>
      </c>
      <c r="H289" s="35">
        <f t="shared" si="50"/>
        <v>-1.8726154546913543</v>
      </c>
      <c r="I289" s="36" t="str">
        <f>'2015'!D21</f>
        <v>Missouri</v>
      </c>
      <c r="J289" s="37">
        <f>'2015'!E21</f>
        <v>1</v>
      </c>
      <c r="K289" s="38">
        <f>'2015'!F21</f>
        <v>33514</v>
      </c>
      <c r="L289" s="39">
        <f>'2015'!G21</f>
        <v>34.008219178082193</v>
      </c>
      <c r="M289" s="39" t="str">
        <f>'2015'!H21</f>
        <v>SR</v>
      </c>
      <c r="N289" s="39">
        <f>'2015'!I21</f>
        <v>23.580821917808219</v>
      </c>
      <c r="O289" s="39" t="str">
        <f t="shared" si="51"/>
        <v>DYNAMIC</v>
      </c>
      <c r="P289" s="39" t="str">
        <f t="shared" si="57"/>
        <v>+RECEIVER</v>
      </c>
      <c r="Q289" s="37">
        <f>'2015'!J21</f>
        <v>69</v>
      </c>
      <c r="R289" s="37">
        <f>'2015'!K21</f>
        <v>198</v>
      </c>
      <c r="S289" s="39">
        <f t="shared" si="53"/>
        <v>29.23916471651469</v>
      </c>
      <c r="T289" s="39">
        <f>'2015'!L21</f>
        <v>4.6100000000000003</v>
      </c>
      <c r="U289" s="55">
        <f>'2015'!M21</f>
        <v>7</v>
      </c>
      <c r="V289" s="41">
        <f>'2015'!N21</f>
        <v>3.7841796875E-2</v>
      </c>
      <c r="W289" s="42">
        <f>'2015'!O21</f>
        <v>0</v>
      </c>
      <c r="X289" s="42">
        <f>'2015'!P21</f>
        <v>6.3829787234042548E-2</v>
      </c>
      <c r="Y289" s="42">
        <f>'2015'!Q21</f>
        <v>9.8981077147016011E-2</v>
      </c>
      <c r="Z289" s="42">
        <f>'2015'!R21</f>
        <v>0.22109770338653173</v>
      </c>
      <c r="AA289" s="42">
        <f>'2015'!S21</f>
        <v>0.22109770338653173</v>
      </c>
      <c r="AB289" s="42">
        <f>'2015'!T21</f>
        <v>0.22109770338653173</v>
      </c>
      <c r="AC289" s="42">
        <f>'2015'!U21</f>
        <v>2.3723723723723725E-2</v>
      </c>
      <c r="AD289" s="42">
        <f>'2015'!V21</f>
        <v>8.0078567651280505E-2</v>
      </c>
      <c r="AE289" s="42">
        <f>'2015'!W21</f>
        <v>8.0078567651280505E-2</v>
      </c>
      <c r="AF289" s="43">
        <f>'2015'!X21</f>
        <v>8.0078567651280505E-2</v>
      </c>
      <c r="AG289" s="44">
        <f>'2015'!Y21</f>
        <v>22.92876712328767</v>
      </c>
      <c r="AH289" s="45">
        <f>'2015'!Z21</f>
        <v>87.678171541102756</v>
      </c>
      <c r="AI289" s="45">
        <f>'2015'!AA21</f>
        <v>29.236294896030248</v>
      </c>
      <c r="AJ289" s="45">
        <f>'2015'!AB21</f>
        <v>0.1864406779661017</v>
      </c>
      <c r="AK289" s="45">
        <f>'2015'!AC21</f>
        <v>6.5326086956521738</v>
      </c>
      <c r="AL289" s="45">
        <f t="shared" si="52"/>
        <v>6.36</v>
      </c>
      <c r="AM289" s="45">
        <f t="shared" si="56"/>
        <v>0.13658536585365855</v>
      </c>
      <c r="AN289" s="45">
        <f>'2015'!AD21</f>
        <v>55.6</v>
      </c>
      <c r="AO289" s="45">
        <f>'2015'!AE21</f>
        <v>3</v>
      </c>
      <c r="AP289" s="46">
        <f>'2015'!AF21</f>
        <v>36.799999999999997</v>
      </c>
      <c r="AQ289" s="47">
        <f>'2015'!AG21</f>
        <v>4</v>
      </c>
      <c r="AR289" s="48">
        <f>'2015'!AH21</f>
        <v>8</v>
      </c>
      <c r="AS289" s="48">
        <f>'2015'!AI21</f>
        <v>0</v>
      </c>
      <c r="AT289" s="48">
        <f>'2015'!AJ21</f>
        <v>1</v>
      </c>
      <c r="AU289" s="48">
        <f>'2015'!AK21</f>
        <v>2</v>
      </c>
      <c r="AV289" s="48">
        <f>'2015'!AL21</f>
        <v>6</v>
      </c>
      <c r="AW289" s="48">
        <f>'2015'!AM21</f>
        <v>2</v>
      </c>
      <c r="AX289" s="48">
        <f>'2015'!AN21</f>
        <v>2</v>
      </c>
      <c r="AY289" s="49">
        <f>'2015'!AO21</f>
        <v>1</v>
      </c>
      <c r="AZ289" s="50">
        <f>'2015'!AP21</f>
        <v>0</v>
      </c>
      <c r="BA289" s="56">
        <f>'2015'!AQ21</f>
        <v>181</v>
      </c>
      <c r="BB289" s="57">
        <f>'2015'!AR21</f>
        <v>1876.8000000000002</v>
      </c>
      <c r="BC289" s="57">
        <f>'2015'!AS21</f>
        <v>2</v>
      </c>
      <c r="BD289" s="57">
        <f>'2015'!AT21</f>
        <v>0</v>
      </c>
      <c r="BE289" s="57">
        <f>'2015'!AU21</f>
        <v>22</v>
      </c>
      <c r="BF289" s="57">
        <f>'2015'!AV21</f>
        <v>0</v>
      </c>
      <c r="BG289" s="58">
        <f>'2015'!AW21</f>
        <v>0</v>
      </c>
      <c r="BH289" s="58">
        <f>'2015'!AX21</f>
        <v>0</v>
      </c>
      <c r="BI289" s="58">
        <f>'2015'!AY21</f>
        <v>0</v>
      </c>
      <c r="BJ289" s="58">
        <f>'2015'!AZ21</f>
        <v>0</v>
      </c>
      <c r="BK289" s="57">
        <f>'2015'!BA21</f>
        <v>5</v>
      </c>
      <c r="BL289" s="57">
        <f>'2015'!BB21</f>
        <v>3038.3999999999996</v>
      </c>
      <c r="BM289" s="57">
        <f>'2015'!BC21</f>
        <v>2</v>
      </c>
      <c r="BN289" s="57">
        <f>'2015'!BD21</f>
        <v>0</v>
      </c>
      <c r="BO289" s="59">
        <f>'2015'!BE21</f>
        <v>0</v>
      </c>
      <c r="BP289" s="56">
        <f>'2015'!BF21</f>
        <v>0</v>
      </c>
      <c r="BQ289" s="57">
        <f>'2015'!BG21</f>
        <v>1</v>
      </c>
      <c r="BR289" s="57">
        <f>'2015'!BH21</f>
        <v>0</v>
      </c>
      <c r="BS289" s="57">
        <f>'2015'!BI21</f>
        <v>0</v>
      </c>
      <c r="BT289" s="57">
        <f>'2015'!BJ21</f>
        <v>0</v>
      </c>
      <c r="BU289" s="57">
        <f>'2015'!BK21</f>
        <v>0</v>
      </c>
      <c r="BV289" s="58">
        <f>'2015'!BL21</f>
        <v>0</v>
      </c>
      <c r="BW289" s="58">
        <f>'2015'!BM21</f>
        <v>0</v>
      </c>
      <c r="BX289" s="58">
        <f>'2015'!BN21</f>
        <v>0</v>
      </c>
      <c r="BY289" s="58">
        <f>'2015'!BO21</f>
        <v>0</v>
      </c>
      <c r="BZ289" s="57">
        <f>'2015'!BP21</f>
        <v>0</v>
      </c>
      <c r="CA289" s="57">
        <f>'2015'!BQ21</f>
        <v>1</v>
      </c>
      <c r="CB289" s="57">
        <f>'2015'!BR21</f>
        <v>0</v>
      </c>
      <c r="CC289" s="57">
        <f>'2015'!BS21</f>
        <v>0</v>
      </c>
      <c r="CD289" s="59">
        <f>'2015'!BT21</f>
        <v>0</v>
      </c>
      <c r="CE289" s="56">
        <f>'2015'!BU21</f>
        <v>251</v>
      </c>
      <c r="CF289" s="57">
        <f>'2015'!BV21</f>
        <v>2615</v>
      </c>
      <c r="CG289" s="57">
        <f>'2015'!BW21</f>
        <v>1</v>
      </c>
      <c r="CH289" s="57">
        <f>'2015'!BX21</f>
        <v>0</v>
      </c>
      <c r="CI289" s="57">
        <f>'2015'!BY21</f>
        <v>46</v>
      </c>
      <c r="CJ289" s="57">
        <f>'2015'!BZ21</f>
        <v>0</v>
      </c>
      <c r="CK289" s="58">
        <f>'2015'!CA21</f>
        <v>0</v>
      </c>
      <c r="CL289" s="58">
        <f>'2015'!CB21</f>
        <v>0</v>
      </c>
      <c r="CM289" s="58">
        <f>'2015'!CC21</f>
        <v>0</v>
      </c>
      <c r="CN289" s="58">
        <f>'2015'!CD21</f>
        <v>0</v>
      </c>
      <c r="CO289" s="57">
        <f>'2015'!CE21</f>
        <v>22</v>
      </c>
      <c r="CP289" s="57">
        <f>'2015'!CF21</f>
        <v>1662</v>
      </c>
      <c r="CQ289" s="57">
        <f>'2015'!CG21</f>
        <v>9</v>
      </c>
      <c r="CR289" s="57">
        <f>'2015'!CH21</f>
        <v>0</v>
      </c>
      <c r="CS289" s="59">
        <f>'2015'!CI21</f>
        <v>0</v>
      </c>
      <c r="CT289" s="56">
        <f>'2015'!CJ21</f>
        <v>601</v>
      </c>
      <c r="CU289" s="57">
        <f>'2015'!CK21</f>
        <v>3540</v>
      </c>
      <c r="CV289" s="57">
        <f>'2015'!CL21</f>
        <v>9</v>
      </c>
      <c r="CW289" s="57">
        <f>'2015'!CM21</f>
        <v>0</v>
      </c>
      <c r="CX289" s="57">
        <f>'2015'!CN21</f>
        <v>92</v>
      </c>
      <c r="CY289" s="57">
        <f>'2015'!CO21</f>
        <v>0</v>
      </c>
      <c r="CZ289" s="58">
        <f>'2015'!CP21</f>
        <v>6.5326086956521738</v>
      </c>
      <c r="DA289" s="58">
        <f>'2015'!CQ21</f>
        <v>0</v>
      </c>
      <c r="DB289" s="58">
        <f>'2015'!CR21</f>
        <v>0</v>
      </c>
      <c r="DC289" s="58">
        <f>'2015'!CS21</f>
        <v>0</v>
      </c>
      <c r="DD289" s="57">
        <f>'2015'!CT21</f>
        <v>79</v>
      </c>
      <c r="DE289" s="57">
        <f>'2015'!CU21</f>
        <v>3330</v>
      </c>
      <c r="DF289" s="57">
        <f>'2015'!CV21</f>
        <v>11</v>
      </c>
      <c r="DG289" s="57">
        <f>'2015'!CW21</f>
        <v>1</v>
      </c>
      <c r="DH289" s="59">
        <f>'2015'!CX21</f>
        <v>0</v>
      </c>
      <c r="DI289" s="56">
        <f>'2015'!CY21</f>
        <v>924</v>
      </c>
      <c r="DJ289" s="57">
        <f>'2015'!CZ21</f>
        <v>2490.6</v>
      </c>
      <c r="DK289" s="57">
        <f>'2015'!DA21</f>
        <v>4</v>
      </c>
      <c r="DL289" s="57">
        <f>'2015'!DB21</f>
        <v>16.8</v>
      </c>
      <c r="DM289" s="57">
        <f>'2015'!DC21</f>
        <v>177</v>
      </c>
      <c r="DN289" s="57">
        <f>'2015'!DD21</f>
        <v>33</v>
      </c>
      <c r="DO289" s="58">
        <f>'2015'!DE21</f>
        <v>5.2203389830508478</v>
      </c>
      <c r="DP289" s="58">
        <f>'2015'!DF21</f>
        <v>55.6</v>
      </c>
      <c r="DQ289" s="58">
        <f>'2015'!DG21</f>
        <v>3</v>
      </c>
      <c r="DR289" s="58">
        <f>'2015'!DH21</f>
        <v>36.799999999999997</v>
      </c>
      <c r="DS289" s="57">
        <f>'2015'!DI21</f>
        <v>212</v>
      </c>
      <c r="DT289" s="57">
        <f>'2015'!DJ21</f>
        <v>2647.4</v>
      </c>
      <c r="DU289" s="57">
        <f>'2015'!DK21</f>
        <v>28</v>
      </c>
      <c r="DV289" s="57">
        <f>'2015'!DL21</f>
        <v>1</v>
      </c>
      <c r="DW289" s="59">
        <f>'2015'!DM21</f>
        <v>25.2</v>
      </c>
    </row>
    <row r="290" spans="1:127" ht="15.75" customHeight="1" x14ac:dyDescent="0.2">
      <c r="A290" s="33">
        <f t="shared" si="49"/>
        <v>288</v>
      </c>
      <c r="B290" s="11">
        <f>'2026 - WIP'!A27</f>
        <v>25</v>
      </c>
      <c r="C290" s="11">
        <v>2026</v>
      </c>
      <c r="D290" s="34" t="str">
        <f>'2026 - WIP'!B27</f>
        <v>Jam Miller</v>
      </c>
      <c r="E290" s="224" t="str" cm="1">
        <f t="array" ref="E290">_xlfn.IFS(F290&gt;=13,"Cornerstone",AND(F290&gt;=12,F290&lt;13),"Elite",AND(F290&gt;=11,F290&lt;12),"Elite Upside",AND(F290&gt;=9,F290&lt;11),"Upside",AND(F290&gt;=7,F290&lt;9),"Upside Lite",AND(F290&gt;=6,F290&lt;7),"Outlier",AND(F290&gt;=5,F290&lt;6),"Outlier Lite",F290&lt;5,"Purgatory")</f>
        <v>Purgatory</v>
      </c>
      <c r="F290" s="14">
        <f>'2026 - WIP'!C27</f>
        <v>3.572222222222222</v>
      </c>
      <c r="G290" s="14">
        <f t="shared" si="54"/>
        <v>11.899999999999999</v>
      </c>
      <c r="H290" s="35">
        <f t="shared" si="50"/>
        <v>-1.8749667050482415</v>
      </c>
      <c r="I290" s="36" t="str">
        <f>'2026 - WIP'!D27</f>
        <v>Alabama</v>
      </c>
      <c r="J290" s="37">
        <f>'2026 - WIP'!E27</f>
        <v>1</v>
      </c>
      <c r="K290" s="38">
        <f>'2026 - WIP'!F27</f>
        <v>38106</v>
      </c>
      <c r="L290" s="39">
        <f>'2026 - WIP'!G27</f>
        <v>21.427397260273974</v>
      </c>
      <c r="M290" s="39" t="str">
        <f>'2026 - WIP'!H27</f>
        <v>SR</v>
      </c>
      <c r="N290" s="39">
        <f>'2026 - WIP'!I27</f>
        <v>22.008219178082193</v>
      </c>
      <c r="O290" s="39" t="str">
        <f t="shared" si="51"/>
        <v>FREAK</v>
      </c>
      <c r="P290" s="39" t="str">
        <f>IF(OR(AND($AA290&lt;0.25,$AO290&gt;=0.133,AE290&gt;4%),(AND($O290="JITTERBUG",$AO290&gt;0.11)),(AND($O290="JITTERBUG",$AE290&gt;9.5%))),"+RECEIVER",IF(AND($AJ290&gt;=0.25,$AQ290&gt;=3.81),"3DOWN",IF($AQ290&gt;=3.81,"HORSE",IF(OR(AJ290&gt;0.28,AK290&gt;7,AR290&gt;47),"SLASHER",IF(AO290&gt;0.19,"+RECEIVER","PLODDER")))))</f>
        <v>+RECEIVER</v>
      </c>
      <c r="Q290" s="37">
        <f>'2026 - WIP'!J27</f>
        <v>70</v>
      </c>
      <c r="R290" s="37">
        <f>'2026 - WIP'!K27</f>
        <v>220</v>
      </c>
      <c r="S290" s="39">
        <f t="shared" si="53"/>
        <v>31.566363540890343</v>
      </c>
      <c r="T290" s="39">
        <f>'2026 - WIP'!L27</f>
        <v>4.5</v>
      </c>
      <c r="U290" s="55">
        <f>'2026 - WIP'!M27</f>
        <v>0</v>
      </c>
      <c r="V290" s="41">
        <f>'2026 - WIP'!N27</f>
        <v>0</v>
      </c>
      <c r="W290" s="42">
        <f>'2026 - WIP'!O27</f>
        <v>3.5794904869396967E-2</v>
      </c>
      <c r="X290" s="42">
        <f>'2026 - WIP'!P27</f>
        <v>4.9791023078320916E-2</v>
      </c>
      <c r="Y290" s="42">
        <f>'2026 - WIP'!Q27</f>
        <v>0.15605633802816901</v>
      </c>
      <c r="Z290" s="42">
        <f>'2026 - WIP'!R27</f>
        <v>0</v>
      </c>
      <c r="AA290" s="42">
        <f>'2026 - WIP'!S27</f>
        <v>0.15605633802816901</v>
      </c>
      <c r="AB290" s="42">
        <f>'2026 - WIP'!T27</f>
        <v>0.15605633802816901</v>
      </c>
      <c r="AC290" s="42">
        <f>'2026 - WIP'!U27</f>
        <v>5.0570962479608482E-2</v>
      </c>
      <c r="AD290" s="42">
        <f>'2026 - WIP'!V27</f>
        <v>0</v>
      </c>
      <c r="AE290" s="42">
        <f>'2026 - WIP'!W27</f>
        <v>5.0570962479608482E-2</v>
      </c>
      <c r="AF290" s="43">
        <f>'2026 - WIP'!X27</f>
        <v>5.0570962479608482E-2</v>
      </c>
      <c r="AG290" s="44">
        <f>'2026 - WIP'!Y27</f>
        <v>20.356164383561644</v>
      </c>
      <c r="AH290" s="45">
        <f>'2026 - WIP'!Z27</f>
        <v>107.3007163542143</v>
      </c>
      <c r="AI290" s="45">
        <f>'2026 - WIP'!AA27</f>
        <v>31.563265306122446</v>
      </c>
      <c r="AJ290" s="45">
        <f>'2026 - WIP'!AB27</f>
        <v>0.26829268292682928</v>
      </c>
      <c r="AK290" s="45">
        <f>'2026 - WIP'!AC27</f>
        <v>4.6301369863013697</v>
      </c>
      <c r="AL290" s="45">
        <f t="shared" si="52"/>
        <v>10.80952380952381</v>
      </c>
      <c r="AM290" s="45" t="e">
        <f t="shared" si="56"/>
        <v>#DIV/0!</v>
      </c>
      <c r="AN290" s="45">
        <f>'2026 - WIP'!AD27</f>
        <v>43.4</v>
      </c>
      <c r="AO290" s="45">
        <f>'2026 - WIP'!AE27</f>
        <v>2.71</v>
      </c>
      <c r="AP290" s="46">
        <f>'2026 - WIP'!AF27</f>
        <v>27.5</v>
      </c>
      <c r="AQ290" s="47">
        <f>'2026 - WIP'!AG27</f>
        <v>2</v>
      </c>
      <c r="AR290" s="48">
        <f>'2026 - WIP'!AH27</f>
        <v>5</v>
      </c>
      <c r="AS290" s="48">
        <f>'2026 - WIP'!AI27</f>
        <v>4</v>
      </c>
      <c r="AT290" s="48">
        <f>'2026 - WIP'!AJ27</f>
        <v>8</v>
      </c>
      <c r="AU290" s="48">
        <f>'2026 - WIP'!AK27</f>
        <v>7</v>
      </c>
      <c r="AV290" s="48">
        <f>'2026 - WIP'!AL27</f>
        <v>0</v>
      </c>
      <c r="AW290" s="48">
        <f>'2026 - WIP'!AM27</f>
        <v>0</v>
      </c>
      <c r="AX290" s="48">
        <f>'2026 - WIP'!AN27</f>
        <v>0</v>
      </c>
      <c r="AY290" s="49">
        <f>'2026 - WIP'!AO27</f>
        <v>0</v>
      </c>
      <c r="AZ290" s="50">
        <f>'2026 - WIP'!AP27</f>
        <v>0</v>
      </c>
      <c r="BA290" s="56">
        <f>'2026 - WIP'!AQ27</f>
        <v>0</v>
      </c>
      <c r="BB290" s="57">
        <f>'2026 - WIP'!AR27</f>
        <v>1</v>
      </c>
      <c r="BC290" s="57">
        <f>'2026 - WIP'!AS27</f>
        <v>0</v>
      </c>
      <c r="BD290" s="57">
        <f>'2026 - WIP'!AT27</f>
        <v>0</v>
      </c>
      <c r="BE290" s="57">
        <f>'2026 - WIP'!AU27</f>
        <v>0</v>
      </c>
      <c r="BF290" s="57">
        <f>'2026 - WIP'!AV27</f>
        <v>0</v>
      </c>
      <c r="BG290" s="58">
        <f>'2026 - WIP'!AW27</f>
        <v>0</v>
      </c>
      <c r="BH290" s="58">
        <f>'2026 - WIP'!AX27</f>
        <v>0</v>
      </c>
      <c r="BI290" s="58">
        <f>'2026 - WIP'!AY27</f>
        <v>0</v>
      </c>
      <c r="BJ290" s="58">
        <f>'2026 - WIP'!AZ27</f>
        <v>0</v>
      </c>
      <c r="BK290" s="57">
        <f>'2026 - WIP'!BA27</f>
        <v>0</v>
      </c>
      <c r="BL290" s="57">
        <f>'2026 - WIP'!BB27</f>
        <v>1</v>
      </c>
      <c r="BM290" s="57">
        <f>'2026 - WIP'!BC27</f>
        <v>0</v>
      </c>
      <c r="BN290" s="57">
        <f>'2026 - WIP'!BD27</f>
        <v>0</v>
      </c>
      <c r="BO290" s="59">
        <f>'2026 - WIP'!BE27</f>
        <v>0</v>
      </c>
      <c r="BP290" s="56">
        <f>'2026 - WIP'!BF27</f>
        <v>223</v>
      </c>
      <c r="BQ290" s="57">
        <f>'2026 - WIP'!BG27</f>
        <v>2542</v>
      </c>
      <c r="BR290" s="57">
        <f>'2026 - WIP'!BH27</f>
        <v>2</v>
      </c>
      <c r="BS290" s="57">
        <f>'2026 - WIP'!BI27</f>
        <v>26</v>
      </c>
      <c r="BT290" s="57">
        <f>'2026 - WIP'!BJ27</f>
        <v>33</v>
      </c>
      <c r="BU290" s="57">
        <f>'2026 - WIP'!BK27</f>
        <v>4</v>
      </c>
      <c r="BV290" s="58">
        <f>'2026 - WIP'!BL27</f>
        <v>6.7575757575757578</v>
      </c>
      <c r="BW290" s="58">
        <f>'2026 - WIP'!BM27</f>
        <v>37.1</v>
      </c>
      <c r="BX290" s="58">
        <f>'2026 - WIP'!BN27</f>
        <v>3.15</v>
      </c>
      <c r="BY290" s="58">
        <f>'2026 - WIP'!BO27</f>
        <v>56.5</v>
      </c>
      <c r="BZ290" s="57">
        <f>'2026 - WIP'!BP27</f>
        <v>-1</v>
      </c>
      <c r="CA290" s="57">
        <f>'2026 - WIP'!BQ27</f>
        <v>3660</v>
      </c>
      <c r="CB290" s="57">
        <f>'2026 - WIP'!BR27</f>
        <v>1</v>
      </c>
      <c r="CC290" s="57">
        <f>'2026 - WIP'!BS27</f>
        <v>0</v>
      </c>
      <c r="CD290" s="59">
        <f>'2026 - WIP'!BT27</f>
        <v>37</v>
      </c>
      <c r="CE290" s="56">
        <f>'2026 - WIP'!BU27</f>
        <v>201</v>
      </c>
      <c r="CF290" s="57">
        <f>'2026 - WIP'!BV27</f>
        <v>2417</v>
      </c>
      <c r="CG290" s="57">
        <f>'2026 - WIP'!BW27</f>
        <v>1</v>
      </c>
      <c r="CH290" s="57">
        <f>'2026 - WIP'!BX27</f>
        <v>32</v>
      </c>
      <c r="CI290" s="57">
        <f>'2026 - WIP'!BY27</f>
        <v>41</v>
      </c>
      <c r="CJ290" s="57">
        <f>'2026 - WIP'!BZ27</f>
        <v>11</v>
      </c>
      <c r="CK290" s="58">
        <f>'2026 - WIP'!CA27</f>
        <v>4.9024390243902438</v>
      </c>
      <c r="CL290" s="58">
        <f>'2026 - WIP'!CB27</f>
        <v>71.5</v>
      </c>
      <c r="CM290" s="58">
        <f>'2026 - WIP'!CC27</f>
        <v>2.93</v>
      </c>
      <c r="CN290" s="58">
        <f>'2026 - WIP'!CD27</f>
        <v>39.799999999999997</v>
      </c>
      <c r="CO290" s="57">
        <f>'2026 - WIP'!CE27</f>
        <v>73</v>
      </c>
      <c r="CP290" s="57">
        <f>'2026 - WIP'!CF27</f>
        <v>3086</v>
      </c>
      <c r="CQ290" s="57">
        <f>'2026 - WIP'!CG27</f>
        <v>4</v>
      </c>
      <c r="CR290" s="57">
        <f>'2026 - WIP'!CH27</f>
        <v>1</v>
      </c>
      <c r="CS290" s="59">
        <f>'2026 - WIP'!CI27</f>
        <v>23</v>
      </c>
      <c r="CT290" s="56">
        <f>'2026 - WIP'!CJ27</f>
        <v>676</v>
      </c>
      <c r="CU290" s="57">
        <f>'2026 - WIP'!CK27</f>
        <v>2260</v>
      </c>
      <c r="CV290" s="57">
        <f>'2026 - WIP'!CL27</f>
        <v>7</v>
      </c>
      <c r="CW290" s="57">
        <f>'2026 - WIP'!CM27</f>
        <v>41</v>
      </c>
      <c r="CX290" s="57">
        <f>'2026 - WIP'!CN27</f>
        <v>146</v>
      </c>
      <c r="CY290" s="57">
        <f>'2026 - WIP'!CO27</f>
        <v>24</v>
      </c>
      <c r="CZ290" s="58">
        <f>'2026 - WIP'!CP27</f>
        <v>4.6301369863013697</v>
      </c>
      <c r="DA290" s="58">
        <f>'2026 - WIP'!CQ27</f>
        <v>43.4</v>
      </c>
      <c r="DB290" s="58">
        <f>'2026 - WIP'!CR27</f>
        <v>2.71</v>
      </c>
      <c r="DC290" s="58">
        <f>'2026 - WIP'!CS27</f>
        <v>27.5</v>
      </c>
      <c r="DD290" s="57">
        <f>'2026 - WIP'!CT27</f>
        <v>155</v>
      </c>
      <c r="DE290" s="57">
        <f>'2026 - WIP'!CU27</f>
        <v>3065</v>
      </c>
      <c r="DF290" s="57">
        <f>'2026 - WIP'!CV27</f>
        <v>16</v>
      </c>
      <c r="DG290" s="57">
        <f>'2026 - WIP'!CW27</f>
        <v>1</v>
      </c>
      <c r="DH290" s="59">
        <f>'2026 - WIP'!CX27</f>
        <v>17</v>
      </c>
      <c r="DI290" s="56">
        <f>'2026 - WIP'!CY27</f>
        <v>0</v>
      </c>
      <c r="DJ290" s="57">
        <f>'2026 - WIP'!CZ27</f>
        <v>1</v>
      </c>
      <c r="DK290" s="57">
        <f>'2026 - WIP'!DA27</f>
        <v>0</v>
      </c>
      <c r="DL290" s="57">
        <f>'2026 - WIP'!DB27</f>
        <v>0</v>
      </c>
      <c r="DM290" s="57">
        <f>'2026 - WIP'!DC27</f>
        <v>0</v>
      </c>
      <c r="DN290" s="57">
        <f>'2026 - WIP'!DD27</f>
        <v>0</v>
      </c>
      <c r="DO290" s="58">
        <f>'2026 - WIP'!DE27</f>
        <v>0</v>
      </c>
      <c r="DP290" s="58">
        <f>'2026 - WIP'!DF27</f>
        <v>0</v>
      </c>
      <c r="DQ290" s="58">
        <f>'2026 - WIP'!DG27</f>
        <v>0</v>
      </c>
      <c r="DR290" s="58">
        <f>'2026 - WIP'!DH27</f>
        <v>0</v>
      </c>
      <c r="DS290" s="57">
        <f>'2026 - WIP'!DI27</f>
        <v>0</v>
      </c>
      <c r="DT290" s="57">
        <f>'2026 - WIP'!DJ27</f>
        <v>1</v>
      </c>
      <c r="DU290" s="57">
        <f>'2026 - WIP'!DK27</f>
        <v>0</v>
      </c>
      <c r="DV290" s="57">
        <f>'2026 - WIP'!DL27</f>
        <v>0</v>
      </c>
      <c r="DW290" s="59">
        <f>'2026 - WIP'!DM27</f>
        <v>0</v>
      </c>
    </row>
    <row r="291" spans="1:127" ht="15.75" customHeight="1" x14ac:dyDescent="0.2">
      <c r="A291" s="33">
        <f t="shared" si="49"/>
        <v>289</v>
      </c>
      <c r="B291" s="11">
        <f>'2015'!A22</f>
        <v>20</v>
      </c>
      <c r="C291" s="11">
        <v>2015</v>
      </c>
      <c r="D291" s="34" t="str">
        <f>'2015'!B22</f>
        <v>Malcolm Brown</v>
      </c>
      <c r="E291" s="224" t="str" cm="1">
        <f t="array" ref="E291">_xlfn.IFS(F291&gt;=13,"Cornerstone",AND(F291&gt;=12,F291&lt;13),"Elite",AND(F291&gt;=11,F291&lt;12),"Elite Upside",AND(F291&gt;=9,F291&lt;11),"Upside",AND(F291&gt;=7,F291&lt;9),"Upside Lite",AND(F291&gt;=6,F291&lt;7),"Outlier",AND(F291&gt;=5,F291&lt;6),"Outlier Lite",F291&lt;5,"Purgatory")</f>
        <v>Purgatory</v>
      </c>
      <c r="F291" s="14">
        <f>'2015'!C22</f>
        <v>3.4111111111111114</v>
      </c>
      <c r="G291" s="14">
        <f t="shared" si="54"/>
        <v>11.600000000000001</v>
      </c>
      <c r="H291" s="35">
        <f t="shared" si="50"/>
        <v>-1.9431529653979611</v>
      </c>
      <c r="I291" s="36" t="str">
        <f>'2015'!D22</f>
        <v>Texas</v>
      </c>
      <c r="J291" s="37">
        <f>'2015'!E22</f>
        <v>3</v>
      </c>
      <c r="K291" s="38">
        <f>'2015'!F22</f>
        <v>34104</v>
      </c>
      <c r="L291" s="39">
        <f>'2015'!G22</f>
        <v>32.391780821917806</v>
      </c>
      <c r="M291" s="39" t="str">
        <f>'2015'!H22</f>
        <v>SR</v>
      </c>
      <c r="N291" s="39">
        <f>'2015'!I22</f>
        <v>21.964383561643835</v>
      </c>
      <c r="O291" s="39" t="str">
        <f t="shared" si="51"/>
        <v>BELL COW</v>
      </c>
      <c r="P291" s="39" t="str">
        <f>IF(OR(AND($AA291&lt;0.25,$AM291&gt;=0.133,AE291&gt;4%),(AND($O291="JITTERBUG",$AM291&gt;0.11)),(AND($O291="JITTERBUG",$AE291&gt;9.5%))),"+RECEIVER",IF(AND($AJ291&gt;=0.25,$AO291&gt;=3.81),"3DOWN",IF($AO291&gt;=3.81,"HORSE",IF(OR(AJ291&gt;0.28,AK291&gt;7,AP291&gt;47),"SLASHER",IF(AM291&gt;0.19,"+RECEIVER","PLODDER")))))</f>
        <v>PLODDER</v>
      </c>
      <c r="Q291" s="37">
        <f>'2015'!J22</f>
        <v>71</v>
      </c>
      <c r="R291" s="37">
        <f>'2015'!K22</f>
        <v>224</v>
      </c>
      <c r="S291" s="39">
        <f t="shared" si="53"/>
        <v>31.241312710754766</v>
      </c>
      <c r="T291" s="39">
        <f>'2015'!L22</f>
        <v>4.62</v>
      </c>
      <c r="U291" s="55">
        <f>'2015'!M22</f>
        <v>0</v>
      </c>
      <c r="V291" s="41">
        <f>'2015'!N22</f>
        <v>0</v>
      </c>
      <c r="W291" s="42">
        <f>'2015'!O22</f>
        <v>0.19337579617834394</v>
      </c>
      <c r="X291" s="42">
        <f>'2015'!P22</f>
        <v>0.12537382102599495</v>
      </c>
      <c r="Y291" s="42">
        <f>'2015'!Q22</f>
        <v>0.20685111989459815</v>
      </c>
      <c r="Z291" s="42">
        <f>'2015'!R22</f>
        <v>0.17514652557640992</v>
      </c>
      <c r="AA291" s="42">
        <f>'2015'!S22</f>
        <v>0.19099882273550403</v>
      </c>
      <c r="AB291" s="42">
        <f>'2015'!T22</f>
        <v>0.17189894046195364</v>
      </c>
      <c r="AC291" s="42">
        <f>'2015'!U22</f>
        <v>7.6440611524892205E-2</v>
      </c>
      <c r="AD291" s="42">
        <f>'2015'!V22</f>
        <v>2.2318851733559086E-2</v>
      </c>
      <c r="AE291" s="42">
        <f>'2015'!W22</f>
        <v>4.9379731629225647E-2</v>
      </c>
      <c r="AF291" s="43">
        <f>'2015'!X22</f>
        <v>4.4441758466303084E-2</v>
      </c>
      <c r="AG291" s="44">
        <f>'2015'!Y22</f>
        <v>18.30958904109589</v>
      </c>
      <c r="AH291" s="45">
        <f>'2015'!Z22</f>
        <v>98.335450507874697</v>
      </c>
      <c r="AI291" s="45">
        <f>'2015'!AA22</f>
        <v>31.238246379686569</v>
      </c>
      <c r="AJ291" s="45">
        <f>'2015'!AB22</f>
        <v>0.10869565217391304</v>
      </c>
      <c r="AK291" s="45">
        <f>'2015'!AC22</f>
        <v>4.2242990654205608</v>
      </c>
      <c r="AL291" s="45">
        <f t="shared" si="52"/>
        <v>7.4901960784313726</v>
      </c>
      <c r="AM291" s="45">
        <f t="shared" si="56"/>
        <v>0.08</v>
      </c>
      <c r="AN291" s="45">
        <f>'2015'!AD22</f>
        <v>24.8</v>
      </c>
      <c r="AO291" s="45">
        <f>'2015'!AE22</f>
        <v>2.36</v>
      </c>
      <c r="AP291" s="46">
        <f>'2015'!AF22</f>
        <v>24.1</v>
      </c>
      <c r="AQ291" s="47">
        <f>'2015'!AG22</f>
        <v>3</v>
      </c>
      <c r="AR291" s="48">
        <f>'2015'!AH22</f>
        <v>5</v>
      </c>
      <c r="AS291" s="48">
        <f>'2015'!AI22</f>
        <v>10</v>
      </c>
      <c r="AT291" s="48">
        <f>'2015'!AJ22</f>
        <v>4</v>
      </c>
      <c r="AU291" s="48">
        <f>'2015'!AK22</f>
        <v>0</v>
      </c>
      <c r="AV291" s="48">
        <f>'2015'!AL22</f>
        <v>0</v>
      </c>
      <c r="AW291" s="48">
        <f>'2015'!AM22</f>
        <v>0</v>
      </c>
      <c r="AX291" s="48">
        <f>'2015'!AN22</f>
        <v>0</v>
      </c>
      <c r="AY291" s="49">
        <f>'2015'!AO22</f>
        <v>0</v>
      </c>
      <c r="AZ291" s="50">
        <f>'2015'!AP22</f>
        <v>0.25</v>
      </c>
      <c r="BA291" s="56">
        <f>'2015'!AQ22</f>
        <v>0</v>
      </c>
      <c r="BB291" s="57">
        <f>'2015'!AR22</f>
        <v>1</v>
      </c>
      <c r="BC291" s="57">
        <f>'2015'!AS22</f>
        <v>0</v>
      </c>
      <c r="BD291" s="57">
        <f>'2015'!AT22</f>
        <v>0</v>
      </c>
      <c r="BE291" s="57">
        <f>'2015'!AU22</f>
        <v>0</v>
      </c>
      <c r="BF291" s="57">
        <f>'2015'!AV22</f>
        <v>0</v>
      </c>
      <c r="BG291" s="58">
        <f>'2015'!AW22</f>
        <v>0</v>
      </c>
      <c r="BH291" s="58">
        <f>'2015'!AX22</f>
        <v>0</v>
      </c>
      <c r="BI291" s="58">
        <f>'2015'!AY22</f>
        <v>0</v>
      </c>
      <c r="BJ291" s="58">
        <f>'2015'!AZ22</f>
        <v>0</v>
      </c>
      <c r="BK291" s="57">
        <f>'2015'!BA22</f>
        <v>0</v>
      </c>
      <c r="BL291" s="57">
        <f>'2015'!BB22</f>
        <v>1</v>
      </c>
      <c r="BM291" s="57">
        <f>'2015'!BC22</f>
        <v>0</v>
      </c>
      <c r="BN291" s="57">
        <f>'2015'!BD22</f>
        <v>0</v>
      </c>
      <c r="BO291" s="59">
        <f>'2015'!BE22</f>
        <v>0</v>
      </c>
      <c r="BP291" s="56">
        <f>'2015'!BF22</f>
        <v>742</v>
      </c>
      <c r="BQ291" s="57">
        <f>'2015'!BG22</f>
        <v>2026</v>
      </c>
      <c r="BR291" s="57">
        <f>'2015'!BH22</f>
        <v>5</v>
      </c>
      <c r="BS291" s="57">
        <f>'2015'!BI22</f>
        <v>0</v>
      </c>
      <c r="BT291" s="57">
        <f>'2015'!BJ22</f>
        <v>172</v>
      </c>
      <c r="BU291" s="57">
        <f>'2015'!BK22</f>
        <v>0</v>
      </c>
      <c r="BV291" s="58">
        <f>'2015'!BL22</f>
        <v>0</v>
      </c>
      <c r="BW291" s="58">
        <f>'2015'!BM22</f>
        <v>0</v>
      </c>
      <c r="BX291" s="58">
        <f>'2015'!BN22</f>
        <v>0</v>
      </c>
      <c r="BY291" s="58">
        <f>'2015'!BO22</f>
        <v>0</v>
      </c>
      <c r="BZ291" s="57">
        <f>'2015'!BP22</f>
        <v>17</v>
      </c>
      <c r="CA291" s="57">
        <f>'2015'!BQ22</f>
        <v>1899</v>
      </c>
      <c r="CB291" s="57">
        <f>'2015'!BR22</f>
        <v>3</v>
      </c>
      <c r="CC291" s="57">
        <f>'2015'!BS22</f>
        <v>0</v>
      </c>
      <c r="CD291" s="59">
        <f>'2015'!BT22</f>
        <v>0</v>
      </c>
      <c r="CE291" s="56">
        <f>'2015'!BU22</f>
        <v>324</v>
      </c>
      <c r="CF291" s="57">
        <f>'2015'!BV22</f>
        <v>1372</v>
      </c>
      <c r="CG291" s="57">
        <f>'2015'!BW22</f>
        <v>4</v>
      </c>
      <c r="CH291" s="57">
        <f>'2015'!BX22</f>
        <v>0</v>
      </c>
      <c r="CI291" s="57">
        <f>'2015'!BY22</f>
        <v>61</v>
      </c>
      <c r="CJ291" s="57">
        <f>'2015'!BZ22</f>
        <v>0</v>
      </c>
      <c r="CK291" s="58">
        <f>'2015'!CA22</f>
        <v>0</v>
      </c>
      <c r="CL291" s="58">
        <f>'2015'!CB22</f>
        <v>0</v>
      </c>
      <c r="CM291" s="58">
        <f>'2015'!CC22</f>
        <v>0</v>
      </c>
      <c r="CN291" s="58">
        <f>'2015'!CD22</f>
        <v>0</v>
      </c>
      <c r="CO291" s="57">
        <f>'2015'!CE22</f>
        <v>112</v>
      </c>
      <c r="CP291" s="57">
        <f>'2015'!CF22</f>
        <v>2105.6</v>
      </c>
      <c r="CQ291" s="57">
        <f>'2015'!CG22</f>
        <v>15</v>
      </c>
      <c r="CR291" s="57">
        <f>'2015'!CH22</f>
        <v>1</v>
      </c>
      <c r="CS291" s="59">
        <f>'2015'!CI22</f>
        <v>0</v>
      </c>
      <c r="CT291" s="56">
        <f>'2015'!CJ22</f>
        <v>904</v>
      </c>
      <c r="CU291" s="57">
        <f>'2015'!CK22</f>
        <v>2762</v>
      </c>
      <c r="CV291" s="57">
        <f>'2015'!CL22</f>
        <v>9</v>
      </c>
      <c r="CW291" s="57">
        <f>'2015'!CM22</f>
        <v>0</v>
      </c>
      <c r="CX291" s="57">
        <f>'2015'!CN22</f>
        <v>214</v>
      </c>
      <c r="CY291" s="57">
        <f>'2015'!CO22</f>
        <v>0</v>
      </c>
      <c r="CZ291" s="58">
        <f>'2015'!CP22</f>
        <v>4.2242990654205608</v>
      </c>
      <c r="DA291" s="58">
        <f>'2015'!CQ22</f>
        <v>0</v>
      </c>
      <c r="DB291" s="58">
        <f>'2015'!CR22</f>
        <v>0</v>
      </c>
      <c r="DC291" s="58">
        <f>'2015'!CS22</f>
        <v>0</v>
      </c>
      <c r="DD291" s="57">
        <f>'2015'!CT22</f>
        <v>195</v>
      </c>
      <c r="DE291" s="57">
        <f>'2015'!CU22</f>
        <v>2551</v>
      </c>
      <c r="DF291" s="57">
        <f>'2015'!CV22</f>
        <v>17</v>
      </c>
      <c r="DG291" s="57">
        <f>'2015'!CW22</f>
        <v>2</v>
      </c>
      <c r="DH291" s="59">
        <f>'2015'!CX22</f>
        <v>0</v>
      </c>
      <c r="DI291" s="56">
        <f>'2015'!CY22</f>
        <v>710</v>
      </c>
      <c r="DJ291" s="57">
        <f>'2015'!CZ22</f>
        <v>1786.2</v>
      </c>
      <c r="DK291" s="57">
        <f>'2015'!DA22</f>
        <v>6</v>
      </c>
      <c r="DL291" s="57">
        <f>'2015'!DB22</f>
        <v>18.2</v>
      </c>
      <c r="DM291" s="57">
        <f>'2015'!DC22</f>
        <v>184</v>
      </c>
      <c r="DN291" s="57">
        <f>'2015'!DD22</f>
        <v>20</v>
      </c>
      <c r="DO291" s="58">
        <f>'2015'!DE22</f>
        <v>3.8586956521739131</v>
      </c>
      <c r="DP291" s="58">
        <f>'2015'!DF22</f>
        <v>24.8</v>
      </c>
      <c r="DQ291" s="58">
        <f>'2015'!DG22</f>
        <v>2.36</v>
      </c>
      <c r="DR291" s="58">
        <f>'2015'!DH22</f>
        <v>24.1</v>
      </c>
      <c r="DS291" s="57">
        <f>'2015'!DI22</f>
        <v>58</v>
      </c>
      <c r="DT291" s="57">
        <f>'2015'!DJ22</f>
        <v>2598.7000000000003</v>
      </c>
      <c r="DU291" s="57">
        <f>'2015'!DK22</f>
        <v>16</v>
      </c>
      <c r="DV291" s="57">
        <f>'2015'!DL22</f>
        <v>0</v>
      </c>
      <c r="DW291" s="59">
        <f>'2015'!DM22</f>
        <v>14.3</v>
      </c>
    </row>
    <row r="292" spans="1:127" ht="15.75" customHeight="1" x14ac:dyDescent="0.2">
      <c r="A292" s="33">
        <f t="shared" si="49"/>
        <v>290</v>
      </c>
      <c r="B292" s="11">
        <f>'2022'!A31</f>
        <v>29</v>
      </c>
      <c r="C292" s="11">
        <v>2022</v>
      </c>
      <c r="D292" s="34" t="str">
        <f>'2022'!B31</f>
        <v>Sincere McCormick</v>
      </c>
      <c r="E292" s="224" t="str" cm="1">
        <f t="array" ref="E292">_xlfn.IFS(F292&gt;=13,"Cornerstone",AND(F292&gt;=12,F292&lt;13),"Elite",AND(F292&gt;=11,F292&lt;12),"Elite Upside",AND(F292&gt;=9,F292&lt;11),"Upside",AND(F292&gt;=7,F292&lt;9),"Upside Lite",AND(F292&gt;=6,F292&lt;7),"Outlier",AND(F292&gt;=5,F292&lt;6),"Outlier Lite",F292&lt;5,"Purgatory")</f>
        <v>Purgatory</v>
      </c>
      <c r="F292" s="14">
        <f>'2022'!C31</f>
        <v>3.405555555555555</v>
      </c>
      <c r="G292" s="14">
        <f t="shared" si="54"/>
        <v>11.3</v>
      </c>
      <c r="H292" s="35">
        <f t="shared" si="50"/>
        <v>-1.9455042157548483</v>
      </c>
      <c r="I292" s="36" t="str">
        <f>'2022'!D31</f>
        <v>UTSA</v>
      </c>
      <c r="J292" s="37">
        <f>'2022'!E31</f>
        <v>10</v>
      </c>
      <c r="K292" s="38">
        <f>'2022'!F31</f>
        <v>36779</v>
      </c>
      <c r="L292" s="39">
        <f>'2022'!G31</f>
        <v>25.063013698630137</v>
      </c>
      <c r="M292" s="39" t="str">
        <f>'2022'!H31</f>
        <v>JR</v>
      </c>
      <c r="N292" s="39">
        <f>'2022'!I31</f>
        <v>21.643835616438356</v>
      </c>
      <c r="O292" s="39" t="str">
        <f t="shared" si="51"/>
        <v>DYNAMIC</v>
      </c>
      <c r="P292" s="39" t="str">
        <f>IF(OR(AND($AA292&lt;0.25,$AM292&gt;=0.133,AE292&gt;4%),(AND($O292="JITTERBUG",$AM292&gt;0.11)),(AND($O292="JITTERBUG",$AE292&gt;9.5%))),"+RECEIVER",IF(AND($AJ292&gt;=0.25,$AO292&gt;=3.81),"3DOWN",IF($AO292&gt;=3.81,"HORSE",IF(OR(AJ292&gt;0.28,AK292&gt;7,AP292&gt;47),"SLASHER",IF(AM292&gt;0.19,"+RECEIVER","PLODDER")))))</f>
        <v>SLASHER</v>
      </c>
      <c r="Q292" s="37">
        <f>'2022'!J31</f>
        <v>69</v>
      </c>
      <c r="R292" s="37">
        <f>'2022'!K31</f>
        <v>189</v>
      </c>
      <c r="S292" s="39">
        <f t="shared" si="53"/>
        <v>27.910111774854929</v>
      </c>
      <c r="T292" s="37">
        <f>'2022'!L31</f>
        <v>4.59</v>
      </c>
      <c r="U292" s="40">
        <f>'2022'!M31</f>
        <v>0</v>
      </c>
      <c r="V292" s="41">
        <f>'2022'!N31</f>
        <v>0</v>
      </c>
      <c r="W292" s="42">
        <f>'2022'!O31</f>
        <v>0</v>
      </c>
      <c r="X292" s="42">
        <f>'2022'!P31</f>
        <v>0.28340178787146653</v>
      </c>
      <c r="Y292" s="42">
        <f>'2022'!Q31</f>
        <v>0.31841894060995185</v>
      </c>
      <c r="Z292" s="42">
        <f>'2022'!R31</f>
        <v>0.27041978522616333</v>
      </c>
      <c r="AA292" s="42">
        <f>'2022'!S31</f>
        <v>0.29441936291805759</v>
      </c>
      <c r="AB292" s="42">
        <f>'2022'!T31</f>
        <v>0.17665161775083454</v>
      </c>
      <c r="AC292" s="42">
        <f>'2022'!U31</f>
        <v>5.2105043768236763E-2</v>
      </c>
      <c r="AD292" s="42">
        <f>'2022'!V31</f>
        <v>5.1160190103438634E-2</v>
      </c>
      <c r="AE292" s="42">
        <f>'2022'!W31</f>
        <v>5.1632616935837698E-2</v>
      </c>
      <c r="AF292" s="43">
        <f>'2022'!X31</f>
        <v>3.0979570161502618E-2</v>
      </c>
      <c r="AG292" s="44">
        <f>'2022'!Y31</f>
        <v>18.983561643835618</v>
      </c>
      <c r="AH292" s="45">
        <f>'2022'!Z31</f>
        <v>85.161059847711627</v>
      </c>
      <c r="AI292" s="45">
        <f>'2022'!AA31</f>
        <v>27.907372400756142</v>
      </c>
      <c r="AJ292" s="45">
        <f>'2022'!AB31</f>
        <v>0.252</v>
      </c>
      <c r="AK292" s="45">
        <f>'2022'!AC31</f>
        <v>5.8</v>
      </c>
      <c r="AL292" s="45">
        <f t="shared" si="52"/>
        <v>7.615384615384615</v>
      </c>
      <c r="AM292" s="45">
        <f t="shared" si="56"/>
        <v>7.1651090342679122E-2</v>
      </c>
      <c r="AN292" s="45">
        <f>'2022'!AD31</f>
        <v>87.7</v>
      </c>
      <c r="AO292" s="45">
        <f>'2022'!AE31</f>
        <v>3.8</v>
      </c>
      <c r="AP292" s="46">
        <f>'2022'!AF31</f>
        <v>49.2</v>
      </c>
      <c r="AQ292" s="47">
        <f>'2022'!AG31</f>
        <v>3</v>
      </c>
      <c r="AR292" s="48">
        <f>'2022'!AH31</f>
        <v>3</v>
      </c>
      <c r="AS292" s="48">
        <f>'2022'!AI31</f>
        <v>8</v>
      </c>
      <c r="AT292" s="48">
        <f>IF(AH292&gt;113.25,10,IF(AH292&gt;=107.84,9,IF(AH292&gt;=105.37,8,IF(AH292&gt;=103.25,7,IF(AH292&gt;=100.55,6,IF(AH292&gt;=98.75,5,IF(AH292&gt;=96.08,4,IF(AH292&gt;=94.39,3,IF(AH292&gt;=88.43,2,IF(AH292&gt;=85.16,1,IF(AH292&lt;85.16,0,FALSE)))))))))))</f>
        <v>1</v>
      </c>
      <c r="AU292" s="48">
        <f>'2022'!AK31</f>
        <v>6</v>
      </c>
      <c r="AV292" s="48">
        <f>'2022'!AL31</f>
        <v>4</v>
      </c>
      <c r="AW292" s="48">
        <f>'2022'!AM31</f>
        <v>3</v>
      </c>
      <c r="AX292" s="48">
        <f>'2022'!AN31</f>
        <v>3</v>
      </c>
      <c r="AY292" s="49">
        <f>IF(U292=1,10,IF(U292=2,7,IF(U292=3,6,IF(U292=4,4,IF(U292=5,3,IF(U292=6,2,IF(U292=7,1,IF(U292=0,0,"-"))))))))</f>
        <v>0</v>
      </c>
      <c r="AZ292" s="50">
        <f>'2022'!AP31</f>
        <v>0</v>
      </c>
      <c r="BA292" s="56">
        <f>'2022'!AQ31</f>
        <v>0</v>
      </c>
      <c r="BB292" s="57">
        <f>'2022'!AR31</f>
        <v>2293</v>
      </c>
      <c r="BC292" s="57">
        <f>'2022'!AS31</f>
        <v>0</v>
      </c>
      <c r="BD292" s="57">
        <f>'2022'!AT31</f>
        <v>35</v>
      </c>
      <c r="BE292" s="57">
        <f>'2022'!AU31</f>
        <v>0</v>
      </c>
      <c r="BF292" s="57">
        <f>'2022'!AV31</f>
        <v>0</v>
      </c>
      <c r="BG292" s="58">
        <f>'2022'!AW31</f>
        <v>0</v>
      </c>
      <c r="BH292" s="58">
        <f>'2022'!AX31</f>
        <v>0</v>
      </c>
      <c r="BI292" s="58">
        <f>'2022'!AY31</f>
        <v>0</v>
      </c>
      <c r="BJ292" s="58">
        <f>'2022'!AZ31</f>
        <v>0</v>
      </c>
      <c r="BK292" s="57">
        <f>'2022'!BA31</f>
        <v>0</v>
      </c>
      <c r="BL292" s="57">
        <f>'2022'!BB31</f>
        <v>3580</v>
      </c>
      <c r="BM292" s="57">
        <f>'2022'!BC31</f>
        <v>0</v>
      </c>
      <c r="BN292" s="57">
        <f>'2022'!BD31</f>
        <v>0</v>
      </c>
      <c r="BO292" s="59">
        <f>'2022'!BE31</f>
        <v>17</v>
      </c>
      <c r="BP292" s="56">
        <f>'2022'!BF31</f>
        <v>0</v>
      </c>
      <c r="BQ292" s="57">
        <f>'2022'!BG31</f>
        <v>1858</v>
      </c>
      <c r="BR292" s="57">
        <f>'2022'!BH31</f>
        <v>0</v>
      </c>
      <c r="BS292" s="57">
        <f>'2022'!BI31</f>
        <v>27</v>
      </c>
      <c r="BT292" s="57">
        <f>'2022'!BJ31</f>
        <v>0</v>
      </c>
      <c r="BU292" s="57">
        <f>'2022'!BK31</f>
        <v>0</v>
      </c>
      <c r="BV292" s="58">
        <f>'2022'!BL31</f>
        <v>0</v>
      </c>
      <c r="BW292" s="58">
        <f>'2022'!BM31</f>
        <v>0</v>
      </c>
      <c r="BX292" s="58">
        <f>'2022'!BN31</f>
        <v>0</v>
      </c>
      <c r="BY292" s="58">
        <f>'2022'!BO31</f>
        <v>0</v>
      </c>
      <c r="BZ292" s="57">
        <f>'2022'!BP31</f>
        <v>0</v>
      </c>
      <c r="CA292" s="57">
        <f>'2022'!BQ31</f>
        <v>4071</v>
      </c>
      <c r="CB292" s="57">
        <f>'2022'!BR31</f>
        <v>0</v>
      </c>
      <c r="CC292" s="57">
        <f>'2022'!BS31</f>
        <v>0</v>
      </c>
      <c r="CD292" s="59">
        <f>'2022'!BT31</f>
        <v>25</v>
      </c>
      <c r="CE292" s="56">
        <f>'2022'!BU31</f>
        <v>986</v>
      </c>
      <c r="CF292" s="57">
        <f>'2022'!BV31</f>
        <v>1950</v>
      </c>
      <c r="CG292" s="57">
        <f>'2022'!BW31</f>
        <v>8</v>
      </c>
      <c r="CH292" s="57">
        <f>'2022'!BX31</f>
        <v>17</v>
      </c>
      <c r="CI292" s="57">
        <f>'2022'!BY31</f>
        <v>176</v>
      </c>
      <c r="CJ292" s="57">
        <f>'2022'!BZ31</f>
        <v>36</v>
      </c>
      <c r="CK292" s="58">
        <f>'2022'!CA31</f>
        <v>5.6</v>
      </c>
      <c r="CL292" s="58">
        <f>'2022'!CB31</f>
        <v>87.7</v>
      </c>
      <c r="CM292" s="58">
        <f>'2022'!CC31</f>
        <v>3.8</v>
      </c>
      <c r="CN292" s="58">
        <f>'2022'!CD31</f>
        <v>48.9</v>
      </c>
      <c r="CO292" s="57">
        <f>'2022'!CE31</f>
        <v>187</v>
      </c>
      <c r="CP292" s="57">
        <f>'2022'!CF31</f>
        <v>2189</v>
      </c>
      <c r="CQ292" s="57">
        <f>'2022'!CG31</f>
        <v>23</v>
      </c>
      <c r="CR292" s="57">
        <f>'2022'!CH31</f>
        <v>0</v>
      </c>
      <c r="CS292" s="59">
        <f>'2022'!CI31</f>
        <v>17</v>
      </c>
      <c r="CT292" s="56">
        <f>'2022'!CJ31</f>
        <v>1462</v>
      </c>
      <c r="CU292" s="57">
        <f>'2022'!CK31</f>
        <v>2585</v>
      </c>
      <c r="CV292" s="57">
        <f>'2022'!CL31</f>
        <v>11</v>
      </c>
      <c r="CW292" s="57">
        <f>'2022'!CM31</f>
        <v>23</v>
      </c>
      <c r="CX292" s="57">
        <f>'2022'!CN31</f>
        <v>250</v>
      </c>
      <c r="CY292" s="57">
        <f>'2022'!CO31</f>
        <v>63</v>
      </c>
      <c r="CZ292" s="58">
        <f>'2022'!CP31</f>
        <v>5.8</v>
      </c>
      <c r="DA292" s="58">
        <f>'2022'!CQ31</f>
        <v>79.3</v>
      </c>
      <c r="DB292" s="58">
        <f>'2022'!CR31</f>
        <v>3.23</v>
      </c>
      <c r="DC292" s="58">
        <f>'2022'!CS31</f>
        <v>49.2</v>
      </c>
      <c r="DD292" s="57">
        <f>'2022'!CT31</f>
        <v>125</v>
      </c>
      <c r="DE292" s="57">
        <f>'2022'!CU31</f>
        <v>2399</v>
      </c>
      <c r="DF292" s="57">
        <f>'2022'!CV31</f>
        <v>19</v>
      </c>
      <c r="DG292" s="57">
        <f>'2022'!CW31</f>
        <v>0</v>
      </c>
      <c r="DH292" s="59">
        <f>'2022'!CX31</f>
        <v>16</v>
      </c>
      <c r="DI292" s="56">
        <f>'2022'!CY31</f>
        <v>1479</v>
      </c>
      <c r="DJ292" s="57">
        <f>'2022'!CZ31</f>
        <v>2569</v>
      </c>
      <c r="DK292" s="57">
        <f>'2022'!DA31</f>
        <v>15</v>
      </c>
      <c r="DL292" s="57">
        <f>'2022'!DB31</f>
        <v>26</v>
      </c>
      <c r="DM292" s="57">
        <f>'2022'!DC31</f>
        <v>298</v>
      </c>
      <c r="DN292" s="57">
        <f>'2022'!DD31</f>
        <v>47</v>
      </c>
      <c r="DO292" s="58">
        <f>'2022'!DE31</f>
        <v>5</v>
      </c>
      <c r="DP292" s="58">
        <f>'2022'!DF31</f>
        <v>40.200000000000003</v>
      </c>
      <c r="DQ292" s="58">
        <f>'2022'!DG31</f>
        <v>2.5299999999999998</v>
      </c>
      <c r="DR292" s="58">
        <f>'2022'!DH31</f>
        <v>30.4</v>
      </c>
      <c r="DS292" s="57">
        <f>'2022'!DI31</f>
        <v>183</v>
      </c>
      <c r="DT292" s="57">
        <f>'2022'!DJ31</f>
        <v>3577</v>
      </c>
      <c r="DU292" s="57">
        <f>'2022'!DK31</f>
        <v>23</v>
      </c>
      <c r="DV292" s="57">
        <f>'2022'!DL31</f>
        <v>0</v>
      </c>
      <c r="DW292" s="59">
        <f>'2022'!DM31</f>
        <v>31</v>
      </c>
    </row>
    <row r="293" spans="1:127" ht="15.75" customHeight="1" x14ac:dyDescent="0.2">
      <c r="A293" s="33">
        <f t="shared" si="49"/>
        <v>291</v>
      </c>
      <c r="B293" s="11">
        <f>'2016'!A27</f>
        <v>25</v>
      </c>
      <c r="C293" s="11">
        <v>2016</v>
      </c>
      <c r="D293" s="34" t="str">
        <f>'2016'!B27</f>
        <v>Jhurell Pressley</v>
      </c>
      <c r="E293" s="224" t="str" cm="1">
        <f t="array" ref="E293">_xlfn.IFS(F293&gt;=13,"Cornerstone",AND(F293&gt;=12,F293&lt;13),"Elite",AND(F293&gt;=11,F293&lt;12),"Elite Upside",AND(F293&gt;=9,F293&lt;11),"Upside",AND(F293&gt;=7,F293&lt;9),"Upside Lite",AND(F293&gt;=6,F293&lt;7),"Outlier",AND(F293&gt;=5,F293&lt;6),"Outlier Lite",F293&lt;5,"Purgatory")</f>
        <v>Purgatory</v>
      </c>
      <c r="F293" s="14">
        <f>'2016'!C27</f>
        <v>3.3499999999999996</v>
      </c>
      <c r="G293" s="14">
        <f t="shared" si="54"/>
        <v>11</v>
      </c>
      <c r="H293" s="35">
        <f t="shared" si="50"/>
        <v>-1.9690167193237171</v>
      </c>
      <c r="I293" s="36" t="str">
        <f>'2016'!D27</f>
        <v>New Mexico</v>
      </c>
      <c r="J293" s="37">
        <f>'2016'!E27</f>
        <v>7</v>
      </c>
      <c r="K293" s="38">
        <f>'2016'!F27</f>
        <v>33744</v>
      </c>
      <c r="L293" s="39">
        <f>'2016'!G27</f>
        <v>33.37808219178082</v>
      </c>
      <c r="M293" s="39" t="str">
        <f>'2016'!H27</f>
        <v>SR</v>
      </c>
      <c r="N293" s="39">
        <f>'2016'!I27</f>
        <v>23.953424657534246</v>
      </c>
      <c r="O293" s="39" t="str">
        <f t="shared" si="51"/>
        <v>JITTERBUG</v>
      </c>
      <c r="P293" s="39" t="str">
        <f>IF(OR(AND($AA293&lt;0.25,$AM293&gt;=0.133,AE293&gt;4%),(AND($O293="JITTERBUG",$AM293&gt;0.11)),(AND($O293="JITTERBUG",$AE293&gt;9.5%))),"+RECEIVER",IF(AND($AJ293&gt;=0.25,$AO293&gt;=3.81),"3DOWN",IF($AO293&gt;=3.81,"HORSE",IF(OR(AJ293&gt;0.28,AK293&gt;7,AP293&gt;47),"SLASHER",IF(AM293&gt;0.19,"+RECEIVER","PLODDER")))))</f>
        <v>HORSE</v>
      </c>
      <c r="Q293" s="37">
        <f>'2016'!J27</f>
        <v>71</v>
      </c>
      <c r="R293" s="37">
        <f>'2016'!K27</f>
        <v>198</v>
      </c>
      <c r="S293" s="39">
        <f t="shared" si="53"/>
        <v>27.61508891397073</v>
      </c>
      <c r="T293" s="37">
        <f>'2016'!L27</f>
        <v>4.4000000000000004</v>
      </c>
      <c r="U293" s="55">
        <f>'2016'!M27</f>
        <v>0</v>
      </c>
      <c r="V293" s="41">
        <f>'2016'!N27</f>
        <v>0</v>
      </c>
      <c r="W293" s="42">
        <f>'2016'!O27</f>
        <v>0.11388196176226101</v>
      </c>
      <c r="X293" s="42">
        <f>'2016'!P27</f>
        <v>7.3355418835778508E-2</v>
      </c>
      <c r="Y293" s="42">
        <f>'2016'!Q27</f>
        <v>0.24036451801688824</v>
      </c>
      <c r="Z293" s="42">
        <f>'2016'!R27</f>
        <v>0.17623672290681805</v>
      </c>
      <c r="AA293" s="42">
        <f>'2016'!S27</f>
        <v>0.20830062046185316</v>
      </c>
      <c r="AB293" s="42">
        <f>'2016'!T27</f>
        <v>0.13539540330020455</v>
      </c>
      <c r="AC293" s="42">
        <f>'2016'!U27</f>
        <v>6.0400151000377503E-2</v>
      </c>
      <c r="AD293" s="42">
        <f>'2016'!V27</f>
        <v>1.1446886446886447E-3</v>
      </c>
      <c r="AE293" s="42">
        <f>'2016'!W27</f>
        <v>3.0772419822533075E-2</v>
      </c>
      <c r="AF293" s="43">
        <f>'2016'!X27</f>
        <v>2.0002072884646501E-2</v>
      </c>
      <c r="AG293" s="44">
        <f>'2016'!Y27</f>
        <v>22.298630136986301</v>
      </c>
      <c r="AH293" s="45">
        <f>'2016'!Z27</f>
        <v>105.65364387678434</v>
      </c>
      <c r="AI293" s="45">
        <f>'2016'!AA27</f>
        <v>27.612378496330095</v>
      </c>
      <c r="AJ293" s="45">
        <f>'2016'!AB27</f>
        <v>0.21232876712328766</v>
      </c>
      <c r="AK293" s="45">
        <f>'2016'!AC27</f>
        <v>9.6964285714285712</v>
      </c>
      <c r="AL293" s="45">
        <f t="shared" si="52"/>
        <v>12.222222222222221</v>
      </c>
      <c r="AM293" s="45">
        <f t="shared" si="56"/>
        <v>6.8027210884353739E-3</v>
      </c>
      <c r="AN293" s="45">
        <f>'2016'!AD27</f>
        <v>76.599999999999994</v>
      </c>
      <c r="AO293" s="45">
        <f>'2016'!AE27</f>
        <v>3.96</v>
      </c>
      <c r="AP293" s="46">
        <f>'2016'!AF27</f>
        <v>71</v>
      </c>
      <c r="AQ293" s="47">
        <f>'2016'!AG27</f>
        <v>1</v>
      </c>
      <c r="AR293" s="48">
        <f>'2016'!AH27</f>
        <v>2</v>
      </c>
      <c r="AS293" s="48">
        <f>'2016'!AI27</f>
        <v>1</v>
      </c>
      <c r="AT293" s="48">
        <f>'2016'!AJ27</f>
        <v>8</v>
      </c>
      <c r="AU293" s="48">
        <f>'2016'!AK27</f>
        <v>6</v>
      </c>
      <c r="AV293" s="48">
        <f>'2016'!AL27</f>
        <v>10</v>
      </c>
      <c r="AW293" s="48">
        <f>'2016'!AM27</f>
        <v>5</v>
      </c>
      <c r="AX293" s="48">
        <f>'2016'!AN27</f>
        <v>5</v>
      </c>
      <c r="AY293" s="49">
        <f>'2016'!AO27</f>
        <v>0</v>
      </c>
      <c r="AZ293" s="50">
        <f>'2016'!AP27</f>
        <v>0</v>
      </c>
      <c r="BA293" s="56">
        <f>'2016'!AQ27</f>
        <v>0</v>
      </c>
      <c r="BB293" s="57">
        <f>'2016'!AR27</f>
        <v>1</v>
      </c>
      <c r="BC293" s="57">
        <f>'2016'!AS27</f>
        <v>0</v>
      </c>
      <c r="BD293" s="57">
        <f>'2016'!AT27</f>
        <v>0</v>
      </c>
      <c r="BE293" s="57">
        <f>'2016'!AU27</f>
        <v>0</v>
      </c>
      <c r="BF293" s="57">
        <f>'2016'!AV27</f>
        <v>0</v>
      </c>
      <c r="BG293" s="58">
        <f>'2016'!AW27</f>
        <v>0</v>
      </c>
      <c r="BH293" s="58">
        <f>'2016'!AX27</f>
        <v>0</v>
      </c>
      <c r="BI293" s="58">
        <f>'2016'!AY27</f>
        <v>0</v>
      </c>
      <c r="BJ293" s="58">
        <f>'2016'!AZ27</f>
        <v>0</v>
      </c>
      <c r="BK293" s="57">
        <f>'2016'!BA27</f>
        <v>0</v>
      </c>
      <c r="BL293" s="57">
        <f>'2016'!BB27</f>
        <v>1</v>
      </c>
      <c r="BM293" s="57">
        <f>'2016'!BC27</f>
        <v>0</v>
      </c>
      <c r="BN293" s="57">
        <f>'2016'!BD27</f>
        <v>0</v>
      </c>
      <c r="BO293" s="59">
        <f>'2016'!BE27</f>
        <v>0</v>
      </c>
      <c r="BP293" s="56">
        <f>'2016'!BF27</f>
        <v>462</v>
      </c>
      <c r="BQ293" s="57">
        <f>'2016'!BG27</f>
        <v>3917</v>
      </c>
      <c r="BR293" s="57">
        <f>'2016'!BH27</f>
        <v>6</v>
      </c>
      <c r="BS293" s="57">
        <f>'2016'!BI27</f>
        <v>34</v>
      </c>
      <c r="BT293" s="57">
        <f>'2016'!BJ27</f>
        <v>0</v>
      </c>
      <c r="BU293" s="57">
        <f>'2016'!BK27</f>
        <v>0</v>
      </c>
      <c r="BV293" s="58">
        <f>'2016'!BL27</f>
        <v>0</v>
      </c>
      <c r="BW293" s="58">
        <f>'2016'!BM27</f>
        <v>0</v>
      </c>
      <c r="BX293" s="58">
        <f>'2016'!BN27</f>
        <v>0</v>
      </c>
      <c r="BY293" s="58">
        <f>'2016'!BO27</f>
        <v>0</v>
      </c>
      <c r="BZ293" s="57">
        <f>'2016'!BP27</f>
        <v>86</v>
      </c>
      <c r="CA293" s="57">
        <f>'2016'!BQ27</f>
        <v>895</v>
      </c>
      <c r="CB293" s="57">
        <f>'2016'!BR27</f>
        <v>4</v>
      </c>
      <c r="CC293" s="57">
        <f>'2016'!BS27</f>
        <v>1</v>
      </c>
      <c r="CD293" s="59">
        <f>'2016'!BT27</f>
        <v>5</v>
      </c>
      <c r="CE293" s="56">
        <f>'2016'!BU27</f>
        <v>273</v>
      </c>
      <c r="CF293" s="57">
        <f>'2016'!BV27</f>
        <v>3396.8</v>
      </c>
      <c r="CG293" s="57">
        <f>'2016'!BW27</f>
        <v>6</v>
      </c>
      <c r="CH293" s="57">
        <f>'2016'!BX27</f>
        <v>36.299999999999997</v>
      </c>
      <c r="CI293" s="57">
        <f>'2016'!BY27</f>
        <v>0</v>
      </c>
      <c r="CJ293" s="57">
        <f>'2016'!BZ27</f>
        <v>0</v>
      </c>
      <c r="CK293" s="58">
        <f>'2016'!CA27</f>
        <v>0</v>
      </c>
      <c r="CL293" s="58">
        <f>'2016'!CB27</f>
        <v>0</v>
      </c>
      <c r="CM293" s="58">
        <f>'2016'!CC27</f>
        <v>0</v>
      </c>
      <c r="CN293" s="58">
        <f>'2016'!CD27</f>
        <v>0</v>
      </c>
      <c r="CO293" s="57">
        <f>'2016'!CE27</f>
        <v>68</v>
      </c>
      <c r="CP293" s="57">
        <f>'2016'!CF27</f>
        <v>1251.8</v>
      </c>
      <c r="CQ293" s="57">
        <f>'2016'!CG27</f>
        <v>6</v>
      </c>
      <c r="CR293" s="57">
        <f>'2016'!CH27</f>
        <v>0</v>
      </c>
      <c r="CS293" s="59">
        <f>'2016'!CI27</f>
        <v>8.8000000000000007</v>
      </c>
      <c r="CT293" s="56">
        <f>'2016'!CJ27</f>
        <v>1086</v>
      </c>
      <c r="CU293" s="57">
        <f>'2016'!CK27</f>
        <v>3724.7999999999997</v>
      </c>
      <c r="CV293" s="57">
        <f>'2016'!CL27</f>
        <v>12</v>
      </c>
      <c r="CW293" s="57">
        <f>'2016'!CM27</f>
        <v>33.599999999999994</v>
      </c>
      <c r="CX293" s="57">
        <f>'2016'!CN27</f>
        <v>112</v>
      </c>
      <c r="CY293" s="57">
        <f>'2016'!CO27</f>
        <v>18</v>
      </c>
      <c r="CZ293" s="58">
        <f>'2016'!CP27</f>
        <v>9.6964285714285712</v>
      </c>
      <c r="DA293" s="58">
        <f>'2016'!CQ27</f>
        <v>73.099999999999994</v>
      </c>
      <c r="DB293" s="58">
        <f>'2016'!CR27</f>
        <v>3.96</v>
      </c>
      <c r="DC293" s="58">
        <f>'2016'!CS27</f>
        <v>71</v>
      </c>
      <c r="DD293" s="57">
        <f>'2016'!CT27</f>
        <v>64</v>
      </c>
      <c r="DE293" s="57">
        <f>'2016'!CU27</f>
        <v>1059.5999999999999</v>
      </c>
      <c r="DF293" s="57">
        <f>'2016'!CV27</f>
        <v>7</v>
      </c>
      <c r="DG293" s="57">
        <f>'2016'!CW27</f>
        <v>0</v>
      </c>
      <c r="DH293" s="59">
        <f>'2016'!CX27</f>
        <v>7.1999999999999993</v>
      </c>
      <c r="DI293" s="56">
        <f>'2016'!CY27</f>
        <v>889</v>
      </c>
      <c r="DJ293" s="57">
        <f>'2016'!CZ27</f>
        <v>3308.5</v>
      </c>
      <c r="DK293" s="57">
        <f>'2016'!DA27</f>
        <v>11</v>
      </c>
      <c r="DL293" s="57">
        <f>'2016'!DB27</f>
        <v>41.6</v>
      </c>
      <c r="DM293" s="57">
        <f>'2016'!DC27</f>
        <v>146</v>
      </c>
      <c r="DN293" s="57">
        <f>'2016'!DD27</f>
        <v>31</v>
      </c>
      <c r="DO293" s="58">
        <f>'2016'!DE27</f>
        <v>6.0890410958904111</v>
      </c>
      <c r="DP293" s="58">
        <f>'2016'!DF27</f>
        <v>76.599999999999994</v>
      </c>
      <c r="DQ293" s="58">
        <f>'2016'!DG27</f>
        <v>3.63</v>
      </c>
      <c r="DR293" s="58">
        <f>'2016'!DH27</f>
        <v>54.6</v>
      </c>
      <c r="DS293" s="57">
        <f>'2016'!DI27</f>
        <v>2</v>
      </c>
      <c r="DT293" s="57">
        <f>'2016'!DJ27</f>
        <v>1747.2</v>
      </c>
      <c r="DU293" s="57">
        <f>'2016'!DK27</f>
        <v>1</v>
      </c>
      <c r="DV293" s="57">
        <f>'2016'!DL27</f>
        <v>0</v>
      </c>
      <c r="DW293" s="59">
        <f>'2016'!DM27</f>
        <v>6.5</v>
      </c>
    </row>
    <row r="294" spans="1:127" ht="15.75" customHeight="1" x14ac:dyDescent="0.2">
      <c r="A294" s="33">
        <f t="shared" si="49"/>
        <v>292</v>
      </c>
      <c r="B294" s="11">
        <f>'2026 - WIP'!A28</f>
        <v>26</v>
      </c>
      <c r="C294" s="11">
        <v>2026</v>
      </c>
      <c r="D294" s="34" t="str">
        <f>'2026 - WIP'!B28</f>
        <v>Kedrick Reescano</v>
      </c>
      <c r="E294" s="224" t="str" cm="1">
        <f t="array" ref="E294">_xlfn.IFS(F294&gt;=13,"Cornerstone",AND(F294&gt;=12,F294&lt;13),"Elite",AND(F294&gt;=11,F294&lt;12),"Elite Upside",AND(F294&gt;=9,F294&lt;11),"Upside",AND(F294&gt;=7,F294&lt;9),"Upside Lite",AND(F294&gt;=6,F294&lt;7),"Outlier",AND(F294&gt;=5,F294&lt;6),"Outlier Lite",F294&lt;5,"Purgatory")</f>
        <v>Purgatory</v>
      </c>
      <c r="F294" s="14">
        <f>'2026 - WIP'!C28</f>
        <v>3.3333333333333335</v>
      </c>
      <c r="G294" s="14">
        <f t="shared" si="54"/>
        <v>10.299999999999999</v>
      </c>
      <c r="H294" s="35">
        <f t="shared" si="50"/>
        <v>-1.9760704703943774</v>
      </c>
      <c r="I294" s="36" t="str">
        <f>'2026 - WIP'!D28</f>
        <v>Arizona</v>
      </c>
      <c r="J294" s="37">
        <f>'2026 - WIP'!E28</f>
        <v>3</v>
      </c>
      <c r="K294" s="38">
        <f>'2026 - WIP'!F28</f>
        <v>38504</v>
      </c>
      <c r="L294" s="39">
        <f>'2026 - WIP'!G28</f>
        <v>20.336986301369862</v>
      </c>
      <c r="M294" s="39" t="str">
        <f>'2026 - WIP'!H28</f>
        <v>JR</v>
      </c>
      <c r="N294" s="39">
        <f>'2026 - WIP'!I28</f>
        <v>20.917808219178081</v>
      </c>
      <c r="O294" s="39" t="str">
        <f t="shared" si="51"/>
        <v>DYNAMIC</v>
      </c>
      <c r="P294" s="39" t="str">
        <f>IF(OR(AND($AA294&lt;0.25,$AO294&gt;=0.133,AE294&gt;4%),(AND($O294="JITTERBUG",$AO294&gt;0.11)),(AND($O294="JITTERBUG",$AE294&gt;9.5%))),"+RECEIVER",IF(AND($AJ294&gt;=0.25,$AQ294&gt;=3.81),"3DOWN",IF($AQ294&gt;=3.81,"HORSE",IF(OR(AJ294&gt;0.28,AK294&gt;7,AR294&gt;47),"SLASHER",IF(AO294&gt;0.19,"+RECEIVER","PLODDER")))))</f>
        <v>SLASHER</v>
      </c>
      <c r="Q294" s="37">
        <f>'2026 - WIP'!J28</f>
        <v>72</v>
      </c>
      <c r="R294" s="37">
        <f>'2026 - WIP'!K28</f>
        <v>213</v>
      </c>
      <c r="S294" s="39">
        <f t="shared" si="53"/>
        <v>28.887673284605828</v>
      </c>
      <c r="T294" s="39">
        <f>'2026 - WIP'!L28</f>
        <v>4.5</v>
      </c>
      <c r="U294" s="55">
        <f>'2026 - WIP'!M28</f>
        <v>0</v>
      </c>
      <c r="V294" s="41">
        <f>'2026 - WIP'!N28</f>
        <v>0</v>
      </c>
      <c r="W294" s="42">
        <f>'2026 - WIP'!O28</f>
        <v>0</v>
      </c>
      <c r="X294" s="42">
        <f>'2026 - WIP'!P28</f>
        <v>0</v>
      </c>
      <c r="Y294" s="42">
        <f>'2026 - WIP'!Q28</f>
        <v>9.4734367653972737E-2</v>
      </c>
      <c r="Z294" s="42">
        <f>'2026 - WIP'!R28</f>
        <v>0</v>
      </c>
      <c r="AA294" s="42">
        <f>'2026 - WIP'!S28</f>
        <v>9.4734367653972737E-2</v>
      </c>
      <c r="AB294" s="42">
        <f>'2026 - WIP'!T28</f>
        <v>8.5260930888575462E-2</v>
      </c>
      <c r="AC294" s="42">
        <f>'2026 - WIP'!U28</f>
        <v>1.5798319327731094E-2</v>
      </c>
      <c r="AD294" s="42">
        <f>'2026 - WIP'!V28</f>
        <v>0</v>
      </c>
      <c r="AE294" s="42">
        <f>'2026 - WIP'!W28</f>
        <v>1.5798319327731094E-2</v>
      </c>
      <c r="AF294" s="43">
        <f>'2026 - WIP'!X28</f>
        <v>1.4218487394957985E-2</v>
      </c>
      <c r="AG294" s="44" t="str">
        <f>'2026 - WIP'!Y28</f>
        <v>N/A</v>
      </c>
      <c r="AH294" s="45">
        <f>'2026 - WIP'!Z28</f>
        <v>103.88660265203475</v>
      </c>
      <c r="AI294" s="45">
        <f>'2026 - WIP'!AA28</f>
        <v>28.884837962962965</v>
      </c>
      <c r="AJ294" s="45">
        <f>'2026 - WIP'!AB28</f>
        <v>0.36363636363636365</v>
      </c>
      <c r="AK294" s="45">
        <f>'2026 - WIP'!AC28</f>
        <v>4.6233766233766236</v>
      </c>
      <c r="AL294" s="45">
        <f t="shared" si="52"/>
        <v>5.875</v>
      </c>
      <c r="AM294" s="45" t="e">
        <f t="shared" si="56"/>
        <v>#DIV/0!</v>
      </c>
      <c r="AN294" s="45">
        <f>'2026 - WIP'!AD28</f>
        <v>133.5</v>
      </c>
      <c r="AO294" s="45">
        <f>'2026 - WIP'!AE28</f>
        <v>3.55</v>
      </c>
      <c r="AP294" s="46">
        <f>'2026 - WIP'!AF28</f>
        <v>37.6</v>
      </c>
      <c r="AQ294" s="47">
        <f>'2026 - WIP'!AG28</f>
        <v>0</v>
      </c>
      <c r="AR294" s="48">
        <f>'2026 - WIP'!AH28</f>
        <v>1</v>
      </c>
      <c r="AS294" s="48">
        <f>'2026 - WIP'!AI28</f>
        <v>0</v>
      </c>
      <c r="AT294" s="48">
        <f>'2026 - WIP'!AJ28</f>
        <v>7</v>
      </c>
      <c r="AU294" s="48">
        <f>'2026 - WIP'!AK28</f>
        <v>9</v>
      </c>
      <c r="AV294" s="48">
        <f>'2026 - WIP'!AL28</f>
        <v>0</v>
      </c>
      <c r="AW294" s="48">
        <f>'2026 - WIP'!AM28</f>
        <v>7</v>
      </c>
      <c r="AX294" s="48">
        <f>'2026 - WIP'!AN28</f>
        <v>2</v>
      </c>
      <c r="AY294" s="49">
        <f>'2026 - WIP'!AO28</f>
        <v>0</v>
      </c>
      <c r="AZ294" s="50">
        <f>'2026 - WIP'!AP28</f>
        <v>0</v>
      </c>
      <c r="BA294" s="56">
        <f>'2026 - WIP'!AQ28</f>
        <v>0</v>
      </c>
      <c r="BB294" s="57">
        <f>'2026 - WIP'!AR28</f>
        <v>1</v>
      </c>
      <c r="BC294" s="57">
        <f>'2026 - WIP'!AS28</f>
        <v>0</v>
      </c>
      <c r="BD294" s="57">
        <f>'2026 - WIP'!AT28</f>
        <v>0</v>
      </c>
      <c r="BE294" s="57">
        <f>'2026 - WIP'!AU28</f>
        <v>0</v>
      </c>
      <c r="BF294" s="57">
        <f>'2026 - WIP'!AV28</f>
        <v>0</v>
      </c>
      <c r="BG294" s="58">
        <f>'2026 - WIP'!AW28</f>
        <v>0</v>
      </c>
      <c r="BH294" s="58">
        <f>'2026 - WIP'!AX28</f>
        <v>0</v>
      </c>
      <c r="BI294" s="58">
        <f>'2026 - WIP'!AY28</f>
        <v>0</v>
      </c>
      <c r="BJ294" s="58">
        <f>'2026 - WIP'!AZ28</f>
        <v>0</v>
      </c>
      <c r="BK294" s="57">
        <f>'2026 - WIP'!BA28</f>
        <v>0</v>
      </c>
      <c r="BL294" s="57">
        <f>'2026 - WIP'!BB28</f>
        <v>1</v>
      </c>
      <c r="BM294" s="57">
        <f>'2026 - WIP'!BC28</f>
        <v>0</v>
      </c>
      <c r="BN294" s="57">
        <f>'2026 - WIP'!BD28</f>
        <v>0</v>
      </c>
      <c r="BO294" s="59">
        <f>'2026 - WIP'!BE28</f>
        <v>0</v>
      </c>
      <c r="BP294" s="56">
        <f>'2026 - WIP'!BF28</f>
        <v>0</v>
      </c>
      <c r="BQ294" s="57">
        <f>'2026 - WIP'!BG28</f>
        <v>1</v>
      </c>
      <c r="BR294" s="57">
        <f>'2026 - WIP'!BH28</f>
        <v>0</v>
      </c>
      <c r="BS294" s="57">
        <f>'2026 - WIP'!BI28</f>
        <v>0</v>
      </c>
      <c r="BT294" s="57">
        <f>'2026 - WIP'!BJ28</f>
        <v>0</v>
      </c>
      <c r="BU294" s="57">
        <f>'2026 - WIP'!BK28</f>
        <v>0</v>
      </c>
      <c r="BV294" s="58">
        <f>'2026 - WIP'!BL28</f>
        <v>0</v>
      </c>
      <c r="BW294" s="58">
        <f>'2026 - WIP'!BM28</f>
        <v>0</v>
      </c>
      <c r="BX294" s="58">
        <f>'2026 - WIP'!BN28</f>
        <v>0</v>
      </c>
      <c r="BY294" s="58">
        <f>'2026 - WIP'!BO28</f>
        <v>0</v>
      </c>
      <c r="BZ294" s="57">
        <f>'2026 - WIP'!BP28</f>
        <v>0</v>
      </c>
      <c r="CA294" s="57">
        <f>'2026 - WIP'!BQ28</f>
        <v>1</v>
      </c>
      <c r="CB294" s="57">
        <f>'2026 - WIP'!BR28</f>
        <v>0</v>
      </c>
      <c r="CC294" s="57">
        <f>'2026 - WIP'!BS28</f>
        <v>0</v>
      </c>
      <c r="CD294" s="59">
        <f>'2026 - WIP'!BT28</f>
        <v>0</v>
      </c>
      <c r="CE294" s="56">
        <f>'2026 - WIP'!BU28</f>
        <v>0</v>
      </c>
      <c r="CF294" s="57">
        <f>'2026 - WIP'!BV28</f>
        <v>1</v>
      </c>
      <c r="CG294" s="57">
        <f>'2026 - WIP'!BW28</f>
        <v>0</v>
      </c>
      <c r="CH294" s="57">
        <f>'2026 - WIP'!BX28</f>
        <v>0</v>
      </c>
      <c r="CI294" s="57">
        <f>'2026 - WIP'!BY28</f>
        <v>0</v>
      </c>
      <c r="CJ294" s="57">
        <f>'2026 - WIP'!BZ28</f>
        <v>0</v>
      </c>
      <c r="CK294" s="58">
        <f>'2026 - WIP'!CA28</f>
        <v>0</v>
      </c>
      <c r="CL294" s="58">
        <f>'2026 - WIP'!CB28</f>
        <v>0</v>
      </c>
      <c r="CM294" s="58">
        <f>'2026 - WIP'!CC28</f>
        <v>0</v>
      </c>
      <c r="CN294" s="58">
        <f>'2026 - WIP'!CD28</f>
        <v>0</v>
      </c>
      <c r="CO294" s="57">
        <f>'2026 - WIP'!CE28</f>
        <v>0</v>
      </c>
      <c r="CP294" s="57">
        <f>'2026 - WIP'!CF28</f>
        <v>1</v>
      </c>
      <c r="CQ294" s="57">
        <f>'2026 - WIP'!CG28</f>
        <v>0</v>
      </c>
      <c r="CR294" s="57">
        <f>'2026 - WIP'!CH28</f>
        <v>0</v>
      </c>
      <c r="CS294" s="59">
        <f>'2026 - WIP'!CI28</f>
        <v>0</v>
      </c>
      <c r="CT294" s="56">
        <f>'2026 - WIP'!CJ28</f>
        <v>356</v>
      </c>
      <c r="CU294" s="57">
        <f>'2026 - WIP'!CK28</f>
        <v>1279</v>
      </c>
      <c r="CV294" s="57">
        <f>'2026 - WIP'!CL28</f>
        <v>1</v>
      </c>
      <c r="CW294" s="57">
        <f>'2026 - WIP'!CM28</f>
        <v>11</v>
      </c>
      <c r="CX294" s="57">
        <f>'2026 - WIP'!CN28</f>
        <v>77</v>
      </c>
      <c r="CY294" s="57">
        <f>'2026 - WIP'!CO28</f>
        <v>28</v>
      </c>
      <c r="CZ294" s="58">
        <f>'2026 - WIP'!CP28</f>
        <v>4.6233766233766236</v>
      </c>
      <c r="DA294" s="58">
        <f>'2026 - WIP'!CQ28</f>
        <v>133.5</v>
      </c>
      <c r="DB294" s="58">
        <f>'2026 - WIP'!CR28</f>
        <v>3.55</v>
      </c>
      <c r="DC294" s="58">
        <f>'2026 - WIP'!CS28</f>
        <v>37.6</v>
      </c>
      <c r="DD294" s="57">
        <f>'2026 - WIP'!CT28</f>
        <v>47</v>
      </c>
      <c r="DE294" s="57">
        <f>'2026 - WIP'!CU28</f>
        <v>2975</v>
      </c>
      <c r="DF294" s="57">
        <f>'2026 - WIP'!CV28</f>
        <v>8</v>
      </c>
      <c r="DG294" s="57">
        <f>'2026 - WIP'!CW28</f>
        <v>0</v>
      </c>
      <c r="DH294" s="59">
        <f>'2026 - WIP'!CX28</f>
        <v>18</v>
      </c>
      <c r="DI294" s="56">
        <f>'2026 - WIP'!CY28</f>
        <v>0</v>
      </c>
      <c r="DJ294" s="57">
        <f>'2026 - WIP'!CZ28</f>
        <v>1</v>
      </c>
      <c r="DK294" s="57">
        <f>'2026 - WIP'!DA28</f>
        <v>0</v>
      </c>
      <c r="DL294" s="57">
        <f>'2026 - WIP'!DB28</f>
        <v>0</v>
      </c>
      <c r="DM294" s="57">
        <f>'2026 - WIP'!DC28</f>
        <v>0</v>
      </c>
      <c r="DN294" s="57">
        <f>'2026 - WIP'!DD28</f>
        <v>0</v>
      </c>
      <c r="DO294" s="58">
        <f>'2026 - WIP'!DE28</f>
        <v>0</v>
      </c>
      <c r="DP294" s="58">
        <f>'2026 - WIP'!DF28</f>
        <v>0</v>
      </c>
      <c r="DQ294" s="58">
        <f>'2026 - WIP'!DG28</f>
        <v>0</v>
      </c>
      <c r="DR294" s="58">
        <f>'2026 - WIP'!DH28</f>
        <v>0</v>
      </c>
      <c r="DS294" s="57">
        <f>'2026 - WIP'!DI28</f>
        <v>0</v>
      </c>
      <c r="DT294" s="57">
        <f>'2026 - WIP'!DJ28</f>
        <v>1</v>
      </c>
      <c r="DU294" s="57">
        <f>'2026 - WIP'!DK28</f>
        <v>0</v>
      </c>
      <c r="DV294" s="57">
        <f>'2026 - WIP'!DL28</f>
        <v>0</v>
      </c>
      <c r="DW294" s="59">
        <f>'2026 - WIP'!DM28</f>
        <v>0</v>
      </c>
    </row>
    <row r="295" spans="1:127" ht="15.75" customHeight="1" x14ac:dyDescent="0.2">
      <c r="A295" s="33">
        <f t="shared" si="49"/>
        <v>292</v>
      </c>
      <c r="B295" s="11">
        <f>'2022'!A32</f>
        <v>30</v>
      </c>
      <c r="C295" s="11">
        <v>2022</v>
      </c>
      <c r="D295" s="34" t="str">
        <f>'2022'!B32</f>
        <v>Snoop Conner</v>
      </c>
      <c r="E295" s="224" t="str" cm="1">
        <f t="array" ref="E295">_xlfn.IFS(F295&gt;=13,"Cornerstone",AND(F295&gt;=12,F295&lt;13),"Elite",AND(F295&gt;=11,F295&lt;12),"Elite Upside",AND(F295&gt;=9,F295&lt;11),"Upside",AND(F295&gt;=7,F295&lt;9),"Upside Lite",AND(F295&gt;=6,F295&lt;7),"Outlier",AND(F295&gt;=5,F295&lt;6),"Outlier Lite",F295&lt;5,"Purgatory")</f>
        <v>Purgatory</v>
      </c>
      <c r="F295" s="14">
        <f>'2022'!C32</f>
        <v>3.3333333333333335</v>
      </c>
      <c r="G295" s="14">
        <f t="shared" si="54"/>
        <v>10.299999999999999</v>
      </c>
      <c r="H295" s="35">
        <f t="shared" si="50"/>
        <v>-1.9760704703943774</v>
      </c>
      <c r="I295" s="36" t="str">
        <f>'2022'!D32</f>
        <v>Ole Miss</v>
      </c>
      <c r="J295" s="37">
        <f>'2022'!E32</f>
        <v>1</v>
      </c>
      <c r="K295" s="38">
        <f>'2022'!F32</f>
        <v>36739</v>
      </c>
      <c r="L295" s="39">
        <f>'2022'!G32</f>
        <v>25.172602739726027</v>
      </c>
      <c r="M295" s="39" t="str">
        <f>'2022'!H32</f>
        <v>JR</v>
      </c>
      <c r="N295" s="39">
        <f>'2022'!I32</f>
        <v>21.753424657534246</v>
      </c>
      <c r="O295" s="39" t="str">
        <f t="shared" si="51"/>
        <v>BELL CALF</v>
      </c>
      <c r="P295" s="39" t="str">
        <f>IF(OR(AND($AA295&lt;0.25,$AM295&gt;=0.133,AE295&gt;4%),(AND($O295="JITTERBUG",$AM295&gt;0.11)),(AND($O295="JITTERBUG",$AE295&gt;9.5%))),"+RECEIVER",IF(AND($AJ295&gt;=0.25,$AO295&gt;=3.81),"3DOWN",IF($AO295&gt;=3.81,"HORSE",IF(OR(AJ295&gt;0.28,AK295&gt;7,AP295&gt;47),"SLASHER",IF(AM295&gt;0.19,"+RECEIVER","PLODDER")))))</f>
        <v>SLASHER</v>
      </c>
      <c r="Q295" s="37">
        <f>'2022'!J32</f>
        <v>70</v>
      </c>
      <c r="R295" s="37">
        <f>'2022'!K32</f>
        <v>222</v>
      </c>
      <c r="S295" s="39">
        <f t="shared" si="53"/>
        <v>31.853330482171167</v>
      </c>
      <c r="T295" s="37">
        <f>'2022'!L32</f>
        <v>4.59</v>
      </c>
      <c r="U295" s="40">
        <f>'2022'!M32</f>
        <v>5</v>
      </c>
      <c r="V295" s="41">
        <f>'2022'!N32</f>
        <v>0</v>
      </c>
      <c r="W295" s="42">
        <f>'2022'!O32</f>
        <v>0</v>
      </c>
      <c r="X295" s="42">
        <f>'2022'!P32</f>
        <v>0.1070559610705596</v>
      </c>
      <c r="Y295" s="42">
        <f>'2022'!Q32</f>
        <v>9.0729072907290723E-2</v>
      </c>
      <c r="Z295" s="42">
        <f>'2022'!R32</f>
        <v>0.11308965948141206</v>
      </c>
      <c r="AA295" s="42">
        <f>'2022'!S32</f>
        <v>0.11308965948141206</v>
      </c>
      <c r="AB295" s="42">
        <f>'2022'!T32</f>
        <v>0.11308965948141206</v>
      </c>
      <c r="AC295" s="42">
        <f>'2022'!U32</f>
        <v>2.493476369962308E-2</v>
      </c>
      <c r="AD295" s="42">
        <f>'2022'!V32</f>
        <v>2.2949902043101034E-2</v>
      </c>
      <c r="AE295" s="42">
        <f>'2022'!W32</f>
        <v>2.3942332871362056E-2</v>
      </c>
      <c r="AF295" s="43">
        <f>'2022'!X32</f>
        <v>2.3942332871362056E-2</v>
      </c>
      <c r="AG295" s="44" t="str">
        <f>'2022'!Y32</f>
        <v>N/A</v>
      </c>
      <c r="AH295" s="45">
        <f>'2022'!Z32</f>
        <v>100.03045124969302</v>
      </c>
      <c r="AI295" s="45">
        <f>'2022'!AA32</f>
        <v>31.850204081632654</v>
      </c>
      <c r="AJ295" s="45">
        <f>'2022'!AB32</f>
        <v>0.19148936170212766</v>
      </c>
      <c r="AK295" s="45">
        <f>'2022'!AC32</f>
        <v>4.9000000000000004</v>
      </c>
      <c r="AL295" s="45">
        <f t="shared" si="52"/>
        <v>7.354838709677419</v>
      </c>
      <c r="AM295" s="45">
        <f t="shared" si="56"/>
        <v>9.7222222222222224E-2</v>
      </c>
      <c r="AN295" s="45">
        <f>'2022'!AD32</f>
        <v>46.8</v>
      </c>
      <c r="AO295" s="45">
        <f>'2022'!AE32</f>
        <v>2.59</v>
      </c>
      <c r="AP295" s="46">
        <f>'2022'!AF32</f>
        <v>50.2</v>
      </c>
      <c r="AQ295" s="47">
        <f>'2022'!AG32</f>
        <v>0</v>
      </c>
      <c r="AR295" s="48">
        <f>'2022'!AH32</f>
        <v>2</v>
      </c>
      <c r="AS295" s="48">
        <f>'2022'!AI32</f>
        <v>0</v>
      </c>
      <c r="AT295" s="48">
        <f>IF(AH295&gt;113.25,10,IF(AH295&gt;=107.84,9,IF(AH295&gt;=105.37,8,IF(AH295&gt;=103.25,7,IF(AH295&gt;=100.55,6,IF(AH295&gt;=98.75,5,IF(AH295&gt;=96.08,4,IF(AH295&gt;=94.39,3,IF(AH295&gt;=88.43,2,IF(AH295&gt;=85.16,1,IF(AH295&lt;85.16,0,FALSE)))))))))))</f>
        <v>5</v>
      </c>
      <c r="AU295" s="48">
        <f>'2022'!AK32</f>
        <v>3</v>
      </c>
      <c r="AV295" s="48">
        <f>'2022'!AL32</f>
        <v>1</v>
      </c>
      <c r="AW295" s="48">
        <f>'2022'!AM32</f>
        <v>0</v>
      </c>
      <c r="AX295" s="48">
        <f>'2022'!AN32</f>
        <v>0</v>
      </c>
      <c r="AY295" s="49">
        <f>IF(U295=1,10,IF(U295=2,7,IF(U295=3,6,IF(U295=4,4,IF(U295=5,3,IF(U295=6,2,IF(U295=7,1,IF(U295=0,0,"-"))))))))</f>
        <v>3</v>
      </c>
      <c r="AZ295" s="50">
        <f>'2022'!AP32</f>
        <v>0.5</v>
      </c>
      <c r="BA295" s="56">
        <f>'2022'!AQ32</f>
        <v>0</v>
      </c>
      <c r="BB295" s="57">
        <f>'2022'!AR32</f>
        <v>2102</v>
      </c>
      <c r="BC295" s="57">
        <f>'2022'!AS32</f>
        <v>0</v>
      </c>
      <c r="BD295" s="57">
        <f>'2022'!AT32</f>
        <v>27</v>
      </c>
      <c r="BE295" s="57">
        <f>'2022'!AU32</f>
        <v>0</v>
      </c>
      <c r="BF295" s="57">
        <f>'2022'!AV32</f>
        <v>0</v>
      </c>
      <c r="BG295" s="58">
        <f>'2022'!AW32</f>
        <v>0</v>
      </c>
      <c r="BH295" s="58">
        <f>'2022'!AX32</f>
        <v>0</v>
      </c>
      <c r="BI295" s="58">
        <f>'2022'!AY32</f>
        <v>0</v>
      </c>
      <c r="BJ295" s="58">
        <f>'2022'!AZ32</f>
        <v>0</v>
      </c>
      <c r="BK295" s="57">
        <f>'2022'!BA32</f>
        <v>0</v>
      </c>
      <c r="BL295" s="57">
        <f>'2022'!BB32</f>
        <v>3941</v>
      </c>
      <c r="BM295" s="57">
        <f>'2022'!BC32</f>
        <v>0</v>
      </c>
      <c r="BN295" s="57">
        <f>'2022'!BD32</f>
        <v>0</v>
      </c>
      <c r="BO295" s="59">
        <f>'2022'!BE32</f>
        <v>28</v>
      </c>
      <c r="BP295" s="56">
        <f>'2022'!BF32</f>
        <v>0</v>
      </c>
      <c r="BQ295" s="57">
        <f>'2022'!BG32</f>
        <v>2592</v>
      </c>
      <c r="BR295" s="57">
        <f>'2022'!BH32</f>
        <v>0</v>
      </c>
      <c r="BS295" s="57">
        <f>'2022'!BI32</f>
        <v>27</v>
      </c>
      <c r="BT295" s="57">
        <f>'2022'!BJ32</f>
        <v>0</v>
      </c>
      <c r="BU295" s="57">
        <f>'2022'!BK32</f>
        <v>0</v>
      </c>
      <c r="BV295" s="58">
        <f>'2022'!BL32</f>
        <v>0</v>
      </c>
      <c r="BW295" s="58">
        <f>'2022'!BM32</f>
        <v>0</v>
      </c>
      <c r="BX295" s="58">
        <f>'2022'!BN32</f>
        <v>0</v>
      </c>
      <c r="BY295" s="58">
        <f>'2022'!BO32</f>
        <v>0</v>
      </c>
      <c r="BZ295" s="57">
        <f>'2022'!BP32</f>
        <v>0</v>
      </c>
      <c r="CA295" s="57">
        <f>'2022'!BQ32</f>
        <v>4157</v>
      </c>
      <c r="CB295" s="57">
        <f>'2022'!BR32</f>
        <v>0</v>
      </c>
      <c r="CC295" s="57">
        <f>'2022'!BS32</f>
        <v>0</v>
      </c>
      <c r="CD295" s="59">
        <f>'2022'!BT32</f>
        <v>21</v>
      </c>
      <c r="CE295" s="56">
        <f>'2022'!BU32</f>
        <v>512</v>
      </c>
      <c r="CF295" s="57">
        <f>'2022'!BV32</f>
        <v>3015</v>
      </c>
      <c r="CG295" s="57">
        <f>'2022'!BW32</f>
        <v>5</v>
      </c>
      <c r="CH295" s="57">
        <f>'2022'!BX32</f>
        <v>29</v>
      </c>
      <c r="CI295" s="57">
        <f>'2022'!BY32</f>
        <v>81</v>
      </c>
      <c r="CJ295" s="57">
        <f>'2022'!BZ32</f>
        <v>18</v>
      </c>
      <c r="CK295" s="58">
        <f>'2022'!CA32</f>
        <v>6.3</v>
      </c>
      <c r="CL295" s="58">
        <f>'2022'!CB32</f>
        <v>104.3</v>
      </c>
      <c r="CM295" s="58">
        <f>'2022'!CC32</f>
        <v>4.78</v>
      </c>
      <c r="CN295" s="58">
        <f>'2022'!CD32</f>
        <v>57.6</v>
      </c>
      <c r="CO295" s="57">
        <f>'2022'!CE32</f>
        <v>60</v>
      </c>
      <c r="CP295" s="57">
        <f>'2022'!CF32</f>
        <v>2328</v>
      </c>
      <c r="CQ295" s="57">
        <f>'2022'!CG32</f>
        <v>6</v>
      </c>
      <c r="CR295" s="57">
        <f>'2022'!CH32</f>
        <v>0</v>
      </c>
      <c r="CS295" s="59">
        <f>'2022'!CI32</f>
        <v>11</v>
      </c>
      <c r="CT295" s="56">
        <f>'2022'!CJ32</f>
        <v>418</v>
      </c>
      <c r="CU295" s="57">
        <f>'2022'!CK32</f>
        <v>2106</v>
      </c>
      <c r="CV295" s="57">
        <f>'2022'!CL32</f>
        <v>8</v>
      </c>
      <c r="CW295" s="57">
        <f>'2022'!CM32</f>
        <v>23</v>
      </c>
      <c r="CX295" s="57">
        <f>'2022'!CN32</f>
        <v>94</v>
      </c>
      <c r="CY295" s="57">
        <f>'2022'!CO32</f>
        <v>18</v>
      </c>
      <c r="CZ295" s="58">
        <f>'2022'!CP32</f>
        <v>4.4000000000000004</v>
      </c>
      <c r="DA295" s="58">
        <f>'2022'!CQ32</f>
        <v>46.8</v>
      </c>
      <c r="DB295" s="58">
        <f>'2022'!CR32</f>
        <v>2.59</v>
      </c>
      <c r="DC295" s="58">
        <f>'2022'!CS32</f>
        <v>50.2</v>
      </c>
      <c r="DD295" s="57">
        <f>'2022'!CT32</f>
        <v>86</v>
      </c>
      <c r="DE295" s="57">
        <f>'2022'!CU32</f>
        <v>3449</v>
      </c>
      <c r="DF295" s="57">
        <f>'2022'!CV32</f>
        <v>11</v>
      </c>
      <c r="DG295" s="57">
        <f>'2022'!CW32</f>
        <v>0</v>
      </c>
      <c r="DH295" s="59">
        <f>'2022'!CX32</f>
        <v>30</v>
      </c>
      <c r="DI295" s="56">
        <f>'2022'!CY32</f>
        <v>642</v>
      </c>
      <c r="DJ295" s="57">
        <f>'2022'!CZ32</f>
        <v>2829</v>
      </c>
      <c r="DK295" s="57">
        <f>'2022'!DA32</f>
        <v>13</v>
      </c>
      <c r="DL295" s="57">
        <f>'2022'!DB32</f>
        <v>33</v>
      </c>
      <c r="DM295" s="57">
        <f>'2022'!DC32</f>
        <v>130</v>
      </c>
      <c r="DN295" s="57">
        <f>'2022'!DD32</f>
        <v>24</v>
      </c>
      <c r="DO295" s="58">
        <f>'2022'!DE32</f>
        <v>4.9000000000000004</v>
      </c>
      <c r="DP295" s="58">
        <f>'2022'!DF32</f>
        <v>44.9</v>
      </c>
      <c r="DQ295" s="58">
        <f>'2022'!DG32</f>
        <v>2.48</v>
      </c>
      <c r="DR295" s="58">
        <f>'2022'!DH32</f>
        <v>30.8</v>
      </c>
      <c r="DS295" s="57">
        <f>'2022'!DI32</f>
        <v>82</v>
      </c>
      <c r="DT295" s="57">
        <f>'2022'!DJ32</f>
        <v>3573</v>
      </c>
      <c r="DU295" s="57">
        <f>'2022'!DK32</f>
        <v>14</v>
      </c>
      <c r="DV295" s="57">
        <f>'2022'!DL32</f>
        <v>0</v>
      </c>
      <c r="DW295" s="59">
        <f>'2022'!DM32</f>
        <v>21</v>
      </c>
    </row>
    <row r="296" spans="1:127" ht="15.75" customHeight="1" x14ac:dyDescent="0.2">
      <c r="A296" s="33">
        <f t="shared" si="49"/>
        <v>294</v>
      </c>
      <c r="B296" s="11">
        <f>'2018'!A24</f>
        <v>22</v>
      </c>
      <c r="C296" s="11">
        <v>2018</v>
      </c>
      <c r="D296" s="34" t="str">
        <f>'2018'!B24</f>
        <v>Chase Edmonds</v>
      </c>
      <c r="E296" s="224" t="str" cm="1">
        <f t="array" ref="E296">_xlfn.IFS(F296&gt;=13,"Cornerstone",AND(F296&gt;=12,F296&lt;13),"Elite",AND(F296&gt;=11,F296&lt;12),"Elite Upside",AND(F296&gt;=9,F296&lt;11),"Upside",AND(F296&gt;=7,F296&lt;9),"Upside Lite",AND(F296&gt;=6,F296&lt;7),"Outlier",AND(F296&gt;=5,F296&lt;6),"Outlier Lite",F296&lt;5,"Purgatory")</f>
        <v>Purgatory</v>
      </c>
      <c r="F296" s="14">
        <f>'2018'!C24</f>
        <v>3.2944444444444443</v>
      </c>
      <c r="G296" s="14">
        <f t="shared" si="54"/>
        <v>10</v>
      </c>
      <c r="H296" s="35">
        <f t="shared" si="50"/>
        <v>-1.9925292228925859</v>
      </c>
      <c r="I296" s="36" t="str">
        <f>'2018'!D24</f>
        <v>Fordham</v>
      </c>
      <c r="J296" s="37">
        <f>'2018'!E24</f>
        <v>11</v>
      </c>
      <c r="K296" s="38">
        <f>'2018'!F24</f>
        <v>35168</v>
      </c>
      <c r="L296" s="39">
        <f>'2018'!G24</f>
        <v>29.476712328767125</v>
      </c>
      <c r="M296" s="39" t="str">
        <f>'2018'!H24</f>
        <v>SR</v>
      </c>
      <c r="N296" s="39">
        <f>'2018'!I24</f>
        <v>22.049315068493151</v>
      </c>
      <c r="O296" s="39" t="str">
        <f t="shared" si="51"/>
        <v>BELL CALF</v>
      </c>
      <c r="P296" s="39" t="str">
        <f>IF(OR(AND($AA296&lt;0.25,$AM296&gt;=0.133,AE296&gt;4%),(AND($O296="JITTERBUG",$AM296&gt;0.11)),(AND($O296="JITTERBUG",$AE296&gt;9.5%))),"+RECEIVER",IF(AND($AJ296&gt;=0.25,$AO296&gt;=3.81),"3DOWN",IF($AO296&gt;=3.81,"HORSE",IF(OR(AJ296&gt;0.28,AK296&gt;7,AP296&gt;47),"SLASHER",IF(AM296&gt;0.19,"+RECEIVER","PLODDER")))))</f>
        <v>+RECEIVER</v>
      </c>
      <c r="Q296" s="37">
        <f>'2018'!J24</f>
        <v>69</v>
      </c>
      <c r="R296" s="37">
        <f>'2018'!K24</f>
        <v>205</v>
      </c>
      <c r="S296" s="39">
        <f t="shared" si="53"/>
        <v>30.272872560027835</v>
      </c>
      <c r="T296" s="37">
        <f>'2018'!L24</f>
        <v>4.55</v>
      </c>
      <c r="U296" s="40">
        <f>'2018'!M24</f>
        <v>4</v>
      </c>
      <c r="V296" s="41">
        <f>'2018'!N24</f>
        <v>0</v>
      </c>
      <c r="W296" s="42">
        <f>'2018'!O24</f>
        <v>0.2831743278404163</v>
      </c>
      <c r="X296" s="42">
        <f>'2018'!P24</f>
        <v>0.37341423055708772</v>
      </c>
      <c r="Y296" s="42">
        <f>'2018'!Q24</f>
        <v>0.3557807936780622</v>
      </c>
      <c r="Z296" s="42">
        <f>'2018'!R24</f>
        <v>0.15619469026548671</v>
      </c>
      <c r="AA296" s="42">
        <f>'2018'!S24</f>
        <v>0.26480446041128725</v>
      </c>
      <c r="AB296" s="42">
        <f>'2018'!T24</f>
        <v>0.145642453226208</v>
      </c>
      <c r="AC296" s="42">
        <f>'2018'!U24</f>
        <v>9.2109718929901802E-2</v>
      </c>
      <c r="AD296" s="42">
        <f>'2018'!V24</f>
        <v>4.9086757990867577E-2</v>
      </c>
      <c r="AE296" s="42">
        <f>'2018'!W24</f>
        <v>7.0598238460384682E-2</v>
      </c>
      <c r="AF296" s="43">
        <f>'2018'!X24</f>
        <v>3.8829031153211575E-2</v>
      </c>
      <c r="AG296" s="44">
        <f>'2018'!Y24</f>
        <v>18.394520547945206</v>
      </c>
      <c r="AH296" s="45">
        <f>'2018'!Z24</f>
        <v>95.661738692057028</v>
      </c>
      <c r="AI296" s="45">
        <f>'2018'!AA24</f>
        <v>30.269901281243438</v>
      </c>
      <c r="AJ296" s="45">
        <f>'2018'!AB24</f>
        <v>0.16</v>
      </c>
      <c r="AK296" s="45">
        <f>'2018'!AC24</f>
        <v>0</v>
      </c>
      <c r="AL296" s="45">
        <f t="shared" si="52"/>
        <v>10.523255813953488</v>
      </c>
      <c r="AM296" s="45">
        <f t="shared" si="56"/>
        <v>1</v>
      </c>
      <c r="AN296" s="45">
        <f>'2018'!AD24</f>
        <v>0</v>
      </c>
      <c r="AO296" s="45">
        <f>'2018'!AE24</f>
        <v>0</v>
      </c>
      <c r="AP296" s="46">
        <f>'2018'!AF24</f>
        <v>0</v>
      </c>
      <c r="AQ296" s="47">
        <f>'2018'!AG24</f>
        <v>1</v>
      </c>
      <c r="AR296" s="48">
        <f>'2018'!AH24</f>
        <v>4</v>
      </c>
      <c r="AS296" s="48">
        <f>'2018'!AI24</f>
        <v>9</v>
      </c>
      <c r="AT296" s="48">
        <f>IF(AH296&gt;113.25,10,IF(AH296&gt;=107.84,9,IF(AH296&gt;=105.37,8,IF(AH296&gt;=103.25,7,IF(AH296&gt;=100.55,6,IF(AH296&gt;=98.75,5,IF(AH296&gt;=96.08,4,IF(AH296&gt;=94.39,3,IF(AH296&gt;=88.43,2,IF(AH296&gt;=85.16,1,IF(AH296&lt;85.16,0,FALSE)))))))))))</f>
        <v>3</v>
      </c>
      <c r="AU296" s="48">
        <f>'2018'!AK24</f>
        <v>2</v>
      </c>
      <c r="AV296" s="48">
        <f>'2018'!AL24</f>
        <v>0</v>
      </c>
      <c r="AW296" s="48">
        <f>'2018'!AM24</f>
        <v>0</v>
      </c>
      <c r="AX296" s="48">
        <f>'2018'!AN24</f>
        <v>0</v>
      </c>
      <c r="AY296" s="49">
        <f>IF(U296=1,10,IF(U296=2,7,IF(U296=3,6,IF(U296=4,4,IF(U296=5,3,IF(U296=6,2,IF(U296=7,1,IF(U296=0,0,"-"))))))))</f>
        <v>4</v>
      </c>
      <c r="AZ296" s="50">
        <f>'2018'!AP24</f>
        <v>0</v>
      </c>
      <c r="BA296" s="56">
        <f>'2018'!AQ24</f>
        <v>0</v>
      </c>
      <c r="BB296" s="57">
        <f>'2018'!AR24</f>
        <v>1</v>
      </c>
      <c r="BC296" s="57">
        <f>'2018'!AS24</f>
        <v>0</v>
      </c>
      <c r="BD296" s="57">
        <f>'2018'!AT24</f>
        <v>0</v>
      </c>
      <c r="BE296" s="57">
        <f>'2018'!AU24</f>
        <v>0</v>
      </c>
      <c r="BF296" s="57">
        <f>'2018'!AV24</f>
        <v>0</v>
      </c>
      <c r="BG296" s="58">
        <f>'2018'!AW24</f>
        <v>0</v>
      </c>
      <c r="BH296" s="58">
        <f>'2018'!AX24</f>
        <v>0</v>
      </c>
      <c r="BI296" s="58">
        <f>'2018'!AY24</f>
        <v>0</v>
      </c>
      <c r="BJ296" s="58">
        <f>'2018'!AZ24</f>
        <v>0</v>
      </c>
      <c r="BK296" s="57">
        <f>'2018'!BA24</f>
        <v>0</v>
      </c>
      <c r="BL296" s="57">
        <f>'2018'!BB24</f>
        <v>1</v>
      </c>
      <c r="BM296" s="57">
        <f>'2018'!BC24</f>
        <v>0</v>
      </c>
      <c r="BN296" s="57">
        <f>'2018'!BD24</f>
        <v>0</v>
      </c>
      <c r="BO296" s="59">
        <f>'2018'!BE24</f>
        <v>0</v>
      </c>
      <c r="BP296" s="56">
        <f>'2018'!BF24</f>
        <v>1838</v>
      </c>
      <c r="BQ296" s="57">
        <f>'2018'!BG24</f>
        <v>2353</v>
      </c>
      <c r="BR296" s="57">
        <f>'2018'!BH24</f>
        <v>0</v>
      </c>
      <c r="BS296" s="57">
        <f>'2018'!BI24</f>
        <v>0</v>
      </c>
      <c r="BT296" s="57">
        <f>'2018'!BJ24</f>
        <v>0</v>
      </c>
      <c r="BU296" s="57">
        <f>'2018'!BK24</f>
        <v>0</v>
      </c>
      <c r="BV296" s="58">
        <f>'2018'!BL24</f>
        <v>0</v>
      </c>
      <c r="BW296" s="58">
        <f>'2018'!BM24</f>
        <v>0</v>
      </c>
      <c r="BX296" s="58">
        <f>'2018'!BN24</f>
        <v>0</v>
      </c>
      <c r="BY296" s="58">
        <f>'2018'!BO24</f>
        <v>0</v>
      </c>
      <c r="BZ296" s="57">
        <f>'2018'!BP24</f>
        <v>121</v>
      </c>
      <c r="CA296" s="57">
        <f>'2018'!BQ24</f>
        <v>4565</v>
      </c>
      <c r="CB296" s="57">
        <f>'2018'!BR24</f>
        <v>19</v>
      </c>
      <c r="CC296" s="57">
        <f>'2018'!BS24</f>
        <v>0</v>
      </c>
      <c r="CD296" s="59">
        <f>'2018'!BT24</f>
        <v>0</v>
      </c>
      <c r="CE296" s="56">
        <f>'2018'!BU24</f>
        <v>1648</v>
      </c>
      <c r="CF296" s="57">
        <f>'2018'!BV24</f>
        <v>2171</v>
      </c>
      <c r="CG296" s="57">
        <f>'2018'!BW24</f>
        <v>0</v>
      </c>
      <c r="CH296" s="57">
        <f>'2018'!BX24</f>
        <v>0</v>
      </c>
      <c r="CI296" s="57">
        <f>'2018'!BY24</f>
        <v>0</v>
      </c>
      <c r="CJ296" s="57">
        <f>'2018'!BZ24</f>
        <v>0</v>
      </c>
      <c r="CK296" s="58">
        <f>'2018'!CA24</f>
        <v>0</v>
      </c>
      <c r="CL296" s="58">
        <f>'2018'!CB24</f>
        <v>0</v>
      </c>
      <c r="CM296" s="58">
        <f>'2018'!CC24</f>
        <v>0</v>
      </c>
      <c r="CN296" s="58">
        <f>'2018'!CD24</f>
        <v>0</v>
      </c>
      <c r="CO296" s="57">
        <f>'2018'!CE24</f>
        <v>383</v>
      </c>
      <c r="CP296" s="57">
        <f>'2018'!CF24</f>
        <v>3268</v>
      </c>
      <c r="CQ296" s="57">
        <f>'2018'!CG24</f>
        <v>31</v>
      </c>
      <c r="CR296" s="57">
        <f>'2018'!CH24</f>
        <v>0</v>
      </c>
      <c r="CS296" s="59">
        <f>'2018'!CI24</f>
        <v>0</v>
      </c>
      <c r="CT296" s="56">
        <f>'2018'!CJ24</f>
        <v>1799</v>
      </c>
      <c r="CU296" s="57">
        <f>'2018'!CK24</f>
        <v>2868</v>
      </c>
      <c r="CV296" s="57">
        <f>'2018'!CL24</f>
        <v>0</v>
      </c>
      <c r="CW296" s="57">
        <f>'2018'!CM24</f>
        <v>0</v>
      </c>
      <c r="CX296" s="57">
        <f>'2018'!CN24</f>
        <v>0</v>
      </c>
      <c r="CY296" s="57">
        <f>'2018'!CO24</f>
        <v>0</v>
      </c>
      <c r="CZ296" s="58">
        <f>'2018'!CP24</f>
        <v>0</v>
      </c>
      <c r="DA296" s="58">
        <f>'2018'!CQ24</f>
        <v>0</v>
      </c>
      <c r="DB296" s="58">
        <f>'2018'!CR24</f>
        <v>0</v>
      </c>
      <c r="DC296" s="58">
        <f>'2018'!CS24</f>
        <v>0</v>
      </c>
      <c r="DD296" s="57">
        <f>'2018'!CT24</f>
        <v>272</v>
      </c>
      <c r="DE296" s="57">
        <f>'2018'!CU24</f>
        <v>2953</v>
      </c>
      <c r="DF296" s="57">
        <f>'2018'!CV24</f>
        <v>25</v>
      </c>
      <c r="DG296" s="57">
        <f>'2018'!CW24</f>
        <v>0</v>
      </c>
      <c r="DH296" s="59">
        <f>'2018'!CX24</f>
        <v>0</v>
      </c>
      <c r="DI296" s="56">
        <f>'2018'!CY24</f>
        <v>577</v>
      </c>
      <c r="DJ296" s="57">
        <f>'2018'!CZ24</f>
        <v>1892</v>
      </c>
      <c r="DK296" s="57">
        <f>'2018'!DA24</f>
        <v>0</v>
      </c>
      <c r="DL296" s="57">
        <f>'2018'!DB24</f>
        <v>0</v>
      </c>
      <c r="DM296" s="57">
        <f>'2018'!DC24</f>
        <v>0</v>
      </c>
      <c r="DN296" s="57">
        <f>'2018'!DD24</f>
        <v>0</v>
      </c>
      <c r="DO296" s="58">
        <f>'2018'!DE24</f>
        <v>0</v>
      </c>
      <c r="DP296" s="58">
        <f>'2018'!DF24</f>
        <v>0</v>
      </c>
      <c r="DQ296" s="58">
        <f>'2018'!DG24</f>
        <v>0</v>
      </c>
      <c r="DR296" s="58">
        <f>'2018'!DH24</f>
        <v>0</v>
      </c>
      <c r="DS296" s="57">
        <f>'2018'!DI24</f>
        <v>129</v>
      </c>
      <c r="DT296" s="57">
        <f>'2018'!DJ24</f>
        <v>2628</v>
      </c>
      <c r="DU296" s="57">
        <f>'2018'!DK24</f>
        <v>11</v>
      </c>
      <c r="DV296" s="57">
        <f>'2018'!DL24</f>
        <v>0</v>
      </c>
      <c r="DW296" s="59">
        <f>'2018'!DM24</f>
        <v>0</v>
      </c>
    </row>
    <row r="297" spans="1:127" ht="15.75" customHeight="1" x14ac:dyDescent="0.2">
      <c r="A297" s="33">
        <f t="shared" si="49"/>
        <v>295</v>
      </c>
      <c r="B297" s="11">
        <f>'2022'!A33</f>
        <v>31</v>
      </c>
      <c r="C297" s="11">
        <v>2022</v>
      </c>
      <c r="D297" s="34" t="str">
        <f>'2022'!B33</f>
        <v>Abram Smith</v>
      </c>
      <c r="E297" s="224" t="str" cm="1">
        <f t="array" ref="E297">_xlfn.IFS(F297&gt;=13,"Cornerstone",AND(F297&gt;=12,F297&lt;13),"Elite",AND(F297&gt;=11,F297&lt;12),"Elite Upside",AND(F297&gt;=9,F297&lt;11),"Upside",AND(F297&gt;=7,F297&lt;9),"Upside Lite",AND(F297&gt;=6,F297&lt;7),"Outlier",AND(F297&gt;=5,F297&lt;6),"Outlier Lite",F297&lt;5,"Purgatory")</f>
        <v>Purgatory</v>
      </c>
      <c r="F297" s="14">
        <f>'2022'!C33</f>
        <v>3.2888888888888888</v>
      </c>
      <c r="G297" s="14">
        <f t="shared" si="54"/>
        <v>9.7000000000000011</v>
      </c>
      <c r="H297" s="35">
        <f t="shared" si="50"/>
        <v>-1.9948804732494727</v>
      </c>
      <c r="I297" s="36" t="str">
        <f>'2022'!D33</f>
        <v>Baylor</v>
      </c>
      <c r="J297" s="37">
        <f>'2022'!E33</f>
        <v>3</v>
      </c>
      <c r="K297" s="38">
        <f>'2022'!F33</f>
        <v>36052</v>
      </c>
      <c r="L297" s="39">
        <f>'2022'!G33</f>
        <v>27.054794520547944</v>
      </c>
      <c r="M297" s="39" t="str">
        <f>'2022'!H33</f>
        <v>SR</v>
      </c>
      <c r="N297" s="39">
        <f>'2022'!I33</f>
        <v>23.635616438356163</v>
      </c>
      <c r="O297" s="39" t="str">
        <f t="shared" si="51"/>
        <v>BELL COW</v>
      </c>
      <c r="P297" s="39" t="str">
        <f>IF(OR(AND($AA297&lt;0.25,$AM297&gt;=0.133,AE297&gt;4%),(AND($O297="JITTERBUG",$AM297&gt;0.11)),(AND($O297="JITTERBUG",$AE297&gt;9.5%))),"+RECEIVER",IF(AND($AJ297&gt;=0.25,$AO297&gt;=3.81),"3DOWN",IF($AO297&gt;=3.81,"HORSE",IF(OR(AJ297&gt;0.28,AK297&gt;7,AP297&gt;47),"SLASHER",IF(AM297&gt;0.19,"+RECEIVER","PLODDER")))))</f>
        <v>HORSE</v>
      </c>
      <c r="Q297" s="37">
        <f>'2022'!J33</f>
        <v>72</v>
      </c>
      <c r="R297" s="37">
        <f>'2022'!K33</f>
        <v>213</v>
      </c>
      <c r="S297" s="39">
        <f t="shared" si="53"/>
        <v>28.887673284605828</v>
      </c>
      <c r="T297" s="37">
        <f>'2022'!L33</f>
        <v>4.59</v>
      </c>
      <c r="U297" s="40">
        <f>'2022'!M33</f>
        <v>0</v>
      </c>
      <c r="V297" s="41">
        <f>'2022'!N33</f>
        <v>0</v>
      </c>
      <c r="W297" s="42">
        <f>'2022'!O33</f>
        <v>2.3458445040214475E-3</v>
      </c>
      <c r="X297" s="42">
        <f>'2022'!P33</f>
        <v>5.9311981020166073E-3</v>
      </c>
      <c r="Y297" s="42">
        <f>'2022'!Q33</f>
        <v>0</v>
      </c>
      <c r="Z297" s="42">
        <f>'2022'!R33</f>
        <v>0.28276678504989006</v>
      </c>
      <c r="AA297" s="42">
        <f>'2022'!S33</f>
        <v>0.28276678504989006</v>
      </c>
      <c r="AB297" s="42">
        <f>'2022'!T33</f>
        <v>0.25449010654490106</v>
      </c>
      <c r="AC297" s="42">
        <f>'2022'!U33</f>
        <v>0</v>
      </c>
      <c r="AD297" s="42">
        <f>'2022'!V33</f>
        <v>2.6028842771720014E-2</v>
      </c>
      <c r="AE297" s="42">
        <f>'2022'!W33</f>
        <v>2.6028842771720014E-2</v>
      </c>
      <c r="AF297" s="43">
        <f>'2022'!X33</f>
        <v>2.3425958494548014E-2</v>
      </c>
      <c r="AG297" s="44">
        <f>'2022'!Y33</f>
        <v>22.989041095890411</v>
      </c>
      <c r="AH297" s="45">
        <f>'2022'!Z33</f>
        <v>95.975162685516267</v>
      </c>
      <c r="AI297" s="45">
        <f>'2022'!AA33</f>
        <v>28.884837962962965</v>
      </c>
      <c r="AJ297" s="45">
        <f>'2022'!AB33</f>
        <v>0.18217054263565891</v>
      </c>
      <c r="AK297" s="45">
        <f>'2022'!AC33</f>
        <v>6.2</v>
      </c>
      <c r="AL297" s="45">
        <f t="shared" si="52"/>
        <v>6.416666666666667</v>
      </c>
      <c r="AM297" s="45">
        <f t="shared" si="56"/>
        <v>4.4444444444444446E-2</v>
      </c>
      <c r="AN297" s="45">
        <f>'2022'!AD33</f>
        <v>71.099999999999994</v>
      </c>
      <c r="AO297" s="45">
        <f>'2022'!AE33</f>
        <v>3.92</v>
      </c>
      <c r="AP297" s="46">
        <f>'2022'!AF33</f>
        <v>42.9</v>
      </c>
      <c r="AQ297" s="47">
        <f>'2022'!AG33</f>
        <v>6</v>
      </c>
      <c r="AR297" s="48">
        <f>'2022'!AH33</f>
        <v>2</v>
      </c>
      <c r="AS297" s="48">
        <f>'2022'!AI33</f>
        <v>0</v>
      </c>
      <c r="AT297" s="48">
        <f>IF(AH297&gt;113.25,10,IF(AH297&gt;=107.84,9,IF(AH297&gt;=105.37,8,IF(AH297&gt;=103.25,7,IF(AH297&gt;=100.55,6,IF(AH297&gt;=98.75,5,IF(AH297&gt;=96.08,4,IF(AH297&gt;=94.39,3,IF(AH297&gt;=88.43,2,IF(AH297&gt;=85.16,1,IF(AH297&lt;85.16,0,FALSE)))))))))))</f>
        <v>3</v>
      </c>
      <c r="AU297" s="48">
        <f>'2022'!AK33</f>
        <v>2</v>
      </c>
      <c r="AV297" s="48">
        <f>'2022'!AL33</f>
        <v>5</v>
      </c>
      <c r="AW297" s="48">
        <f>'2022'!AM33</f>
        <v>1</v>
      </c>
      <c r="AX297" s="48">
        <f>'2022'!AN33</f>
        <v>4</v>
      </c>
      <c r="AY297" s="49">
        <f>IF(U297=1,10,IF(U297=2,7,IF(U297=3,6,IF(U297=4,4,IF(U297=5,3,IF(U297=6,2,IF(U297=7,1,IF(U297=0,0,"-"))))))))</f>
        <v>0</v>
      </c>
      <c r="AZ297" s="50">
        <f>'2022'!AP33</f>
        <v>0.5</v>
      </c>
      <c r="BA297" s="56">
        <f>'2022'!AQ33</f>
        <v>0</v>
      </c>
      <c r="BB297" s="57">
        <f>'2022'!AR33</f>
        <v>1407</v>
      </c>
      <c r="BC297" s="57">
        <f>'2022'!AS33</f>
        <v>0</v>
      </c>
      <c r="BD297" s="57">
        <f>'2022'!AT33</f>
        <v>10</v>
      </c>
      <c r="BE297" s="57">
        <f>'2022'!AU33</f>
        <v>0</v>
      </c>
      <c r="BF297" s="57">
        <f>'2022'!AV33</f>
        <v>0</v>
      </c>
      <c r="BG297" s="58">
        <f>'2022'!AW33</f>
        <v>0</v>
      </c>
      <c r="BH297" s="58">
        <f>'2022'!AX33</f>
        <v>0</v>
      </c>
      <c r="BI297" s="58">
        <f>'2022'!AY33</f>
        <v>0</v>
      </c>
      <c r="BJ297" s="58">
        <f>'2022'!AZ33</f>
        <v>0</v>
      </c>
      <c r="BK297" s="57">
        <f>'2022'!BA33</f>
        <v>0</v>
      </c>
      <c r="BL297" s="57">
        <f>'2022'!BB33</f>
        <v>3452</v>
      </c>
      <c r="BM297" s="57">
        <f>'2022'!BC33</f>
        <v>0</v>
      </c>
      <c r="BN297" s="57">
        <f>'2022'!BD33</f>
        <v>0</v>
      </c>
      <c r="BO297" s="59">
        <f>'2022'!BE33</f>
        <v>23</v>
      </c>
      <c r="BP297" s="56">
        <f>'2022'!BF33</f>
        <v>11</v>
      </c>
      <c r="BQ297" s="57">
        <f>'2022'!BG33</f>
        <v>2198</v>
      </c>
      <c r="BR297" s="57">
        <f>'2022'!BH33</f>
        <v>0</v>
      </c>
      <c r="BS297" s="57">
        <f>'2022'!BI33</f>
        <v>25</v>
      </c>
      <c r="BT297" s="57">
        <f>'2022'!BJ33</f>
        <v>4</v>
      </c>
      <c r="BU297" s="57">
        <f>'2022'!BK33</f>
        <v>1</v>
      </c>
      <c r="BV297" s="58">
        <f>'2022'!BL33</f>
        <v>2.8</v>
      </c>
      <c r="BW297" s="58">
        <f>'2022'!BM33</f>
        <v>40</v>
      </c>
      <c r="BX297" s="58">
        <f>'2022'!BN33</f>
        <v>2</v>
      </c>
      <c r="BY297" s="58">
        <f>'2022'!BO33</f>
        <v>0</v>
      </c>
      <c r="BZ297" s="57">
        <f>'2022'!BP33</f>
        <v>3</v>
      </c>
      <c r="CA297" s="57">
        <f>'2022'!BQ33</f>
        <v>3770</v>
      </c>
      <c r="CB297" s="57">
        <f>'2022'!BR33</f>
        <v>0</v>
      </c>
      <c r="CC297" s="57">
        <f>'2022'!BS33</f>
        <v>0</v>
      </c>
      <c r="CD297" s="59">
        <f>'2022'!BT33</f>
        <v>22</v>
      </c>
      <c r="CE297" s="56">
        <f>'2022'!BU33</f>
        <v>35</v>
      </c>
      <c r="CF297" s="57">
        <f>'2022'!BV33</f>
        <v>2330</v>
      </c>
      <c r="CG297" s="57">
        <f>'2022'!BW33</f>
        <v>1</v>
      </c>
      <c r="CH297" s="57">
        <f>'2022'!BX33</f>
        <v>35</v>
      </c>
      <c r="CI297" s="57">
        <f>'2022'!BY33</f>
        <v>8</v>
      </c>
      <c r="CJ297" s="57">
        <f>'2022'!BZ33</f>
        <v>6</v>
      </c>
      <c r="CK297" s="58">
        <f>'2022'!CA33</f>
        <v>4.4000000000000004</v>
      </c>
      <c r="CL297" s="58">
        <f>'2022'!CB33</f>
        <v>375</v>
      </c>
      <c r="CM297" s="58">
        <f>'2022'!CC33</f>
        <v>5</v>
      </c>
      <c r="CN297" s="58">
        <f>'2022'!CD33</f>
        <v>42.9</v>
      </c>
      <c r="CO297" s="57">
        <f>'2022'!CE33</f>
        <v>0</v>
      </c>
      <c r="CP297" s="57">
        <f>'2022'!CF33</f>
        <v>3571</v>
      </c>
      <c r="CQ297" s="57">
        <f>'2022'!CG33</f>
        <v>0</v>
      </c>
      <c r="CR297" s="57">
        <f>'2022'!CH33</f>
        <v>0</v>
      </c>
      <c r="CS297" s="59">
        <f>'2022'!CI33</f>
        <v>24</v>
      </c>
      <c r="CT297" s="56">
        <f>'2022'!CJ33</f>
        <v>0</v>
      </c>
      <c r="CU297" s="57">
        <f>'2022'!CK33</f>
        <v>813</v>
      </c>
      <c r="CV297" s="57">
        <f>'2022'!CL33</f>
        <v>0</v>
      </c>
      <c r="CW297" s="57">
        <f>'2022'!CM33</f>
        <v>8</v>
      </c>
      <c r="CX297" s="57">
        <f>'2022'!CN33</f>
        <v>0</v>
      </c>
      <c r="CY297" s="57">
        <f>'2022'!CO33</f>
        <v>0</v>
      </c>
      <c r="CZ297" s="58">
        <f>'2022'!CP33</f>
        <v>0</v>
      </c>
      <c r="DA297" s="58">
        <f>'2022'!CQ33</f>
        <v>0</v>
      </c>
      <c r="DB297" s="58">
        <f>'2022'!CR33</f>
        <v>0</v>
      </c>
      <c r="DC297" s="58">
        <f>'2022'!CS33</f>
        <v>0</v>
      </c>
      <c r="DD297" s="57">
        <f>'2022'!CT33</f>
        <v>0</v>
      </c>
      <c r="DE297" s="57">
        <f>'2022'!CU33</f>
        <v>1979</v>
      </c>
      <c r="DF297" s="57">
        <f>'2022'!CV33</f>
        <v>0</v>
      </c>
      <c r="DG297" s="57">
        <f>'2022'!CW33</f>
        <v>0</v>
      </c>
      <c r="DH297" s="59">
        <f>'2022'!CX33</f>
        <v>14</v>
      </c>
      <c r="DI297" s="56">
        <f>'2022'!CY33</f>
        <v>1598</v>
      </c>
      <c r="DJ297" s="57">
        <f>'2022'!CZ33</f>
        <v>3070</v>
      </c>
      <c r="DK297" s="57">
        <f>'2022'!DA33</f>
        <v>12</v>
      </c>
      <c r="DL297" s="57">
        <f>'2022'!DB33</f>
        <v>29</v>
      </c>
      <c r="DM297" s="57">
        <f>'2022'!DC33</f>
        <v>258</v>
      </c>
      <c r="DN297" s="57">
        <f>'2022'!DD33</f>
        <v>47</v>
      </c>
      <c r="DO297" s="58">
        <f>'2022'!DE33</f>
        <v>6.2</v>
      </c>
      <c r="DP297" s="58">
        <f>'2022'!DF33</f>
        <v>71.099999999999994</v>
      </c>
      <c r="DQ297" s="58">
        <f>'2022'!DG33</f>
        <v>3.92</v>
      </c>
      <c r="DR297" s="58">
        <f>'2022'!DH33</f>
        <v>42.9</v>
      </c>
      <c r="DS297" s="57">
        <f>'2022'!DI33</f>
        <v>74</v>
      </c>
      <c r="DT297" s="57">
        <f>'2022'!DJ33</f>
        <v>2843</v>
      </c>
      <c r="DU297" s="57">
        <f>'2022'!DK33</f>
        <v>12</v>
      </c>
      <c r="DV297" s="57">
        <f>'2022'!DL33</f>
        <v>0</v>
      </c>
      <c r="DW297" s="59">
        <f>'2022'!DM33</f>
        <v>24</v>
      </c>
    </row>
    <row r="298" spans="1:127" ht="15.75" customHeight="1" x14ac:dyDescent="0.2">
      <c r="A298" s="33">
        <f t="shared" si="49"/>
        <v>296</v>
      </c>
      <c r="B298" s="11">
        <f>'2016'!A28</f>
        <v>26</v>
      </c>
      <c r="C298" s="11">
        <v>2016</v>
      </c>
      <c r="D298" s="34" t="str">
        <f>'2016'!B28</f>
        <v>Tre Madden</v>
      </c>
      <c r="E298" s="224" t="str" cm="1">
        <f t="array" ref="E298">_xlfn.IFS(F298&gt;=13,"Cornerstone",AND(F298&gt;=12,F298&lt;13),"Elite",AND(F298&gt;=11,F298&lt;12),"Elite Upside",AND(F298&gt;=9,F298&lt;11),"Upside",AND(F298&gt;=7,F298&lt;9),"Upside Lite",AND(F298&gt;=6,F298&lt;7),"Outlier",AND(F298&gt;=5,F298&lt;6),"Outlier Lite",F298&lt;5,"Purgatory")</f>
        <v>Purgatory</v>
      </c>
      <c r="F298" s="14">
        <f>'2016'!C28</f>
        <v>3.2388888888888889</v>
      </c>
      <c r="G298" s="14">
        <f t="shared" si="54"/>
        <v>9.4</v>
      </c>
      <c r="H298" s="35">
        <f t="shared" si="50"/>
        <v>-2.0160417264614545</v>
      </c>
      <c r="I298" s="36" t="str">
        <f>'2016'!D28</f>
        <v>USC</v>
      </c>
      <c r="J298" s="37">
        <f>'2016'!E28</f>
        <v>5</v>
      </c>
      <c r="K298" s="38">
        <f>'2016'!F28</f>
        <v>34197</v>
      </c>
      <c r="L298" s="39">
        <f>'2016'!G28</f>
        <v>32.136986301369866</v>
      </c>
      <c r="M298" s="39" t="str">
        <f>'2016'!H28</f>
        <v>SR</v>
      </c>
      <c r="N298" s="39">
        <f>'2016'!I28</f>
        <v>22.712328767123289</v>
      </c>
      <c r="O298" s="39" t="str">
        <f t="shared" si="51"/>
        <v>BELL COW</v>
      </c>
      <c r="P298" s="39" t="str">
        <f>IF(OR(AND($AA298&lt;0.25,$AM298&gt;=0.133,AE298&gt;4%),(AND($O298="JITTERBUG",$AM298&gt;0.11)),(AND($O298="JITTERBUG",$AE298&gt;9.5%))),"+RECEIVER",IF(AND($AJ298&gt;=0.25,$AO298&gt;=3.81),"3DOWN",IF($AO298&gt;=3.81,"HORSE",IF(OR(AJ298&gt;0.28,AK298&gt;7,AP298&gt;47),"SLASHER",IF(AM298&gt;0.19,"+RECEIVER","PLODDER")))))</f>
        <v>+RECEIVER</v>
      </c>
      <c r="Q298" s="37">
        <f>'2016'!J28</f>
        <v>72</v>
      </c>
      <c r="R298" s="37">
        <f>'2016'!K28</f>
        <v>223</v>
      </c>
      <c r="S298" s="39">
        <f t="shared" si="53"/>
        <v>30.243902077310327</v>
      </c>
      <c r="T298" s="37">
        <f>'2016'!L28</f>
        <v>4.53</v>
      </c>
      <c r="U298" s="55">
        <f>'2016'!M28</f>
        <v>0</v>
      </c>
      <c r="V298" s="41">
        <f>'2016'!N28</f>
        <v>0</v>
      </c>
      <c r="W298" s="42">
        <f>'2016'!O28</f>
        <v>0</v>
      </c>
      <c r="X298" s="42">
        <f>'2016'!P28</f>
        <v>0.20591786064098766</v>
      </c>
      <c r="Y298" s="42">
        <f>'2016'!Q28</f>
        <v>0</v>
      </c>
      <c r="Z298" s="42">
        <f>'2016'!R28</f>
        <v>0.13336378168531629</v>
      </c>
      <c r="AA298" s="42">
        <f>'2016'!S28</f>
        <v>0.16964082116315199</v>
      </c>
      <c r="AB298" s="42">
        <f>'2016'!T28</f>
        <v>0.14419469798867918</v>
      </c>
      <c r="AC298" s="42">
        <f>'2016'!U28</f>
        <v>0</v>
      </c>
      <c r="AD298" s="42">
        <f>'2016'!V28</f>
        <v>4.9314052651093808E-2</v>
      </c>
      <c r="AE298" s="42">
        <f>'2016'!W28</f>
        <v>4.9314052651093808E-2</v>
      </c>
      <c r="AF298" s="43">
        <f>'2016'!X28</f>
        <v>4.1916944753429733E-2</v>
      </c>
      <c r="AG298" s="44">
        <f>'2016'!Y28</f>
        <v>20.057534246575344</v>
      </c>
      <c r="AH298" s="45">
        <f>'2016'!Z28</f>
        <v>105.91123949028494</v>
      </c>
      <c r="AI298" s="45">
        <f>'2016'!AA28</f>
        <v>30.240933641975307</v>
      </c>
      <c r="AJ298" s="45">
        <f>'2016'!AB28</f>
        <v>0.10588235294117647</v>
      </c>
      <c r="AK298" s="45">
        <f>'2016'!AC28</f>
        <v>5.3058823529411763</v>
      </c>
      <c r="AL298" s="45">
        <f t="shared" si="52"/>
        <v>10.4375</v>
      </c>
      <c r="AM298" s="45">
        <f t="shared" si="56"/>
        <v>0.16666666666666666</v>
      </c>
      <c r="AN298" s="45">
        <f>'2016'!AD28</f>
        <v>27.7</v>
      </c>
      <c r="AO298" s="45">
        <f>'2016'!AE28</f>
        <v>2.82</v>
      </c>
      <c r="AP298" s="46">
        <f>'2016'!AF28</f>
        <v>33.5</v>
      </c>
      <c r="AQ298" s="47">
        <f>'2016'!AG28</f>
        <v>1</v>
      </c>
      <c r="AR298" s="48">
        <f>'2016'!AH28</f>
        <v>4</v>
      </c>
      <c r="AS298" s="48">
        <f>'2016'!AI28</f>
        <v>4</v>
      </c>
      <c r="AT298" s="48">
        <f>'2016'!AJ28</f>
        <v>8</v>
      </c>
      <c r="AU298" s="48">
        <f>'2016'!AK28</f>
        <v>1</v>
      </c>
      <c r="AV298" s="48">
        <f>'2016'!AL28</f>
        <v>2</v>
      </c>
      <c r="AW298" s="48">
        <f>'2016'!AM28</f>
        <v>0</v>
      </c>
      <c r="AX298" s="48">
        <f>'2016'!AN28</f>
        <v>2</v>
      </c>
      <c r="AY298" s="49">
        <f>'2016'!AO28</f>
        <v>0</v>
      </c>
      <c r="AZ298" s="50">
        <f>'2016'!AP28</f>
        <v>0.5</v>
      </c>
      <c r="BA298" s="56">
        <f>'2016'!AQ28</f>
        <v>0</v>
      </c>
      <c r="BB298" s="57">
        <f>'2016'!AR28</f>
        <v>1</v>
      </c>
      <c r="BC298" s="57">
        <f>'2016'!AS28</f>
        <v>0</v>
      </c>
      <c r="BD298" s="57">
        <f>'2016'!AT28</f>
        <v>0</v>
      </c>
      <c r="BE298" s="57">
        <f>'2016'!AU28</f>
        <v>0</v>
      </c>
      <c r="BF298" s="57">
        <f>'2016'!AV28</f>
        <v>0</v>
      </c>
      <c r="BG298" s="58">
        <f>'2016'!AW28</f>
        <v>0</v>
      </c>
      <c r="BH298" s="58">
        <f>'2016'!AX28</f>
        <v>0</v>
      </c>
      <c r="BI298" s="58">
        <f>'2016'!AY28</f>
        <v>0</v>
      </c>
      <c r="BJ298" s="58">
        <f>'2016'!AZ28</f>
        <v>0</v>
      </c>
      <c r="BK298" s="57">
        <f>'2016'!BA28</f>
        <v>0</v>
      </c>
      <c r="BL298" s="57">
        <f>'2016'!BB28</f>
        <v>1</v>
      </c>
      <c r="BM298" s="57">
        <f>'2016'!BC28</f>
        <v>0</v>
      </c>
      <c r="BN298" s="57">
        <f>'2016'!BD28</f>
        <v>0</v>
      </c>
      <c r="BO298" s="59">
        <f>'2016'!BE28</f>
        <v>0</v>
      </c>
      <c r="BP298" s="56">
        <f>'2016'!BF28</f>
        <v>0</v>
      </c>
      <c r="BQ298" s="57">
        <f>'2016'!BG28</f>
        <v>1</v>
      </c>
      <c r="BR298" s="57">
        <f>'2016'!BH28</f>
        <v>0</v>
      </c>
      <c r="BS298" s="57">
        <f>'2016'!BI28</f>
        <v>0</v>
      </c>
      <c r="BT298" s="57">
        <f>'2016'!BJ28</f>
        <v>0</v>
      </c>
      <c r="BU298" s="57">
        <f>'2016'!BK28</f>
        <v>0</v>
      </c>
      <c r="BV298" s="58">
        <f>'2016'!BL28</f>
        <v>0</v>
      </c>
      <c r="BW298" s="58">
        <f>'2016'!BM28</f>
        <v>0</v>
      </c>
      <c r="BX298" s="58">
        <f>'2016'!BN28</f>
        <v>0</v>
      </c>
      <c r="BY298" s="58">
        <f>'2016'!BO28</f>
        <v>0</v>
      </c>
      <c r="BZ298" s="57">
        <f>'2016'!BP28</f>
        <v>0</v>
      </c>
      <c r="CA298" s="57">
        <f>'2016'!BQ28</f>
        <v>1</v>
      </c>
      <c r="CB298" s="57">
        <f>'2016'!BR28</f>
        <v>0</v>
      </c>
      <c r="CC298" s="57">
        <f>'2016'!BS28</f>
        <v>0</v>
      </c>
      <c r="CD298" s="59">
        <f>'2016'!BT28</f>
        <v>0</v>
      </c>
      <c r="CE298" s="56">
        <f>'2016'!BU28</f>
        <v>703</v>
      </c>
      <c r="CF298" s="57">
        <f>'2016'!BV28</f>
        <v>1892</v>
      </c>
      <c r="CG298" s="57">
        <f>'2016'!BW28</f>
        <v>3</v>
      </c>
      <c r="CH298" s="57">
        <f>'2016'!BX28</f>
        <v>23.1</v>
      </c>
      <c r="CI298" s="57">
        <f>'2016'!BY28</f>
        <v>0</v>
      </c>
      <c r="CJ298" s="57">
        <f>'2016'!BZ28</f>
        <v>0</v>
      </c>
      <c r="CK298" s="58">
        <f>'2016'!CA28</f>
        <v>0</v>
      </c>
      <c r="CL298" s="58">
        <f>'2016'!CB28</f>
        <v>0</v>
      </c>
      <c r="CM298" s="58">
        <f>'2016'!CC28</f>
        <v>0</v>
      </c>
      <c r="CN298" s="58">
        <f>'2016'!CD28</f>
        <v>0</v>
      </c>
      <c r="CO298" s="57">
        <f>'2016'!CE28</f>
        <v>201</v>
      </c>
      <c r="CP298" s="57">
        <f>'2016'!CF28</f>
        <v>2498.1</v>
      </c>
      <c r="CQ298" s="57">
        <f>'2016'!CG28</f>
        <v>15</v>
      </c>
      <c r="CR298" s="57">
        <f>'2016'!CH28</f>
        <v>4</v>
      </c>
      <c r="CS298" s="59">
        <f>'2016'!CI28</f>
        <v>15.399999999999999</v>
      </c>
      <c r="CT298" s="56">
        <f>'2016'!CJ28</f>
        <v>0</v>
      </c>
      <c r="CU298" s="57">
        <f>'2016'!CK28</f>
        <v>0</v>
      </c>
      <c r="CV298" s="57">
        <f>'2016'!CL28</f>
        <v>0</v>
      </c>
      <c r="CW298" s="57">
        <f>'2016'!CM28</f>
        <v>0</v>
      </c>
      <c r="CX298" s="57">
        <f>'2016'!CN28</f>
        <v>0</v>
      </c>
      <c r="CY298" s="57">
        <f>'2016'!CO28</f>
        <v>0</v>
      </c>
      <c r="CZ298" s="58">
        <f>'2016'!CP28</f>
        <v>0</v>
      </c>
      <c r="DA298" s="58">
        <f>'2016'!CQ28</f>
        <v>0</v>
      </c>
      <c r="DB298" s="58">
        <f>'2016'!CR28</f>
        <v>0</v>
      </c>
      <c r="DC298" s="58">
        <f>'2016'!CS28</f>
        <v>0</v>
      </c>
      <c r="DD298" s="57">
        <f>'2016'!CT28</f>
        <v>0</v>
      </c>
      <c r="DE298" s="57">
        <f>'2016'!CU28</f>
        <v>1</v>
      </c>
      <c r="DF298" s="57">
        <f>'2016'!CV28</f>
        <v>0</v>
      </c>
      <c r="DG298" s="57">
        <f>'2016'!CW28</f>
        <v>0</v>
      </c>
      <c r="DH298" s="59">
        <f>'2016'!CX28</f>
        <v>0</v>
      </c>
      <c r="DI298" s="56">
        <f>'2016'!CY28</f>
        <v>451</v>
      </c>
      <c r="DJ298" s="57">
        <f>'2016'!CZ28</f>
        <v>1682</v>
      </c>
      <c r="DK298" s="57">
        <f>'2016'!DA28</f>
        <v>5</v>
      </c>
      <c r="DL298" s="57">
        <f>'2016'!DB28</f>
        <v>19</v>
      </c>
      <c r="DM298" s="57">
        <f>'2016'!DC28</f>
        <v>85</v>
      </c>
      <c r="DN298" s="57">
        <f>'2016'!DD28</f>
        <v>9</v>
      </c>
      <c r="DO298" s="58">
        <f>'2016'!DE28</f>
        <v>5.3058823529411763</v>
      </c>
      <c r="DP298" s="58">
        <f>'2016'!DF28</f>
        <v>27.7</v>
      </c>
      <c r="DQ298" s="58">
        <f>'2016'!DG28</f>
        <v>2.82</v>
      </c>
      <c r="DR298" s="58">
        <f>'2016'!DH28</f>
        <v>33.5</v>
      </c>
      <c r="DS298" s="57">
        <f>'2016'!DI28</f>
        <v>133</v>
      </c>
      <c r="DT298" s="57">
        <f>'2016'!DJ28</f>
        <v>2697</v>
      </c>
      <c r="DU298" s="57">
        <f>'2016'!DK28</f>
        <v>17</v>
      </c>
      <c r="DV298" s="57">
        <f>'2016'!DL28</f>
        <v>1</v>
      </c>
      <c r="DW298" s="59">
        <f>'2016'!DM28</f>
        <v>21</v>
      </c>
    </row>
    <row r="299" spans="1:127" ht="15.75" customHeight="1" x14ac:dyDescent="0.2">
      <c r="A299" s="33">
        <f t="shared" si="49"/>
        <v>297</v>
      </c>
      <c r="B299" s="11">
        <f>'2018'!A25</f>
        <v>23</v>
      </c>
      <c r="C299" s="11">
        <v>2018</v>
      </c>
      <c r="D299" s="34" t="str">
        <f>'2018'!B25</f>
        <v>David Williams</v>
      </c>
      <c r="E299" s="224" t="str" cm="1">
        <f t="array" ref="E299">_xlfn.IFS(F299&gt;=13,"Cornerstone",AND(F299&gt;=12,F299&lt;13),"Elite",AND(F299&gt;=11,F299&lt;12),"Elite Upside",AND(F299&gt;=9,F299&lt;11),"Upside",AND(F299&gt;=7,F299&lt;9),"Upside Lite",AND(F299&gt;=6,F299&lt;7),"Outlier",AND(F299&gt;=5,F299&lt;6),"Outlier Lite",F299&lt;5,"Purgatory")</f>
        <v>Purgatory</v>
      </c>
      <c r="F299" s="14">
        <f>'2018'!C25</f>
        <v>3.2166666666666668</v>
      </c>
      <c r="G299" s="14">
        <f t="shared" si="54"/>
        <v>9.1</v>
      </c>
      <c r="H299" s="35">
        <f t="shared" si="50"/>
        <v>-2.025446727889002</v>
      </c>
      <c r="I299" s="36" t="str">
        <f>'2018'!D25</f>
        <v>Arkansas</v>
      </c>
      <c r="J299" s="37">
        <f>'2018'!E25</f>
        <v>1</v>
      </c>
      <c r="K299" s="38">
        <f>'2018'!F25</f>
        <v>34502</v>
      </c>
      <c r="L299" s="39">
        <f>'2018'!G25</f>
        <v>31.301369863013697</v>
      </c>
      <c r="M299" s="39" t="str">
        <f>'2018'!H25</f>
        <v>SR</v>
      </c>
      <c r="N299" s="39">
        <f>'2018'!I25</f>
        <v>23.873972602739727</v>
      </c>
      <c r="O299" s="39" t="str">
        <f t="shared" si="51"/>
        <v>FREAK</v>
      </c>
      <c r="P299" s="39" t="str">
        <f>IF(OR(AND($AA299&lt;0.25,$AM299&gt;=0.133,AE299&gt;4%),(AND($O299="JITTERBUG",$AM299&gt;0.11)),(AND($O299="JITTERBUG",$AE299&gt;9.5%))),"+RECEIVER",IF(AND($AJ299&gt;=0.25,$AO299&gt;=3.81),"3DOWN",IF($AO299&gt;=3.81,"HORSE",IF(OR(AJ299&gt;0.28,AK299&gt;7,AP299&gt;47),"SLASHER",IF(AM299&gt;0.19,"+RECEIVER","PLODDER")))))</f>
        <v>PLODDER</v>
      </c>
      <c r="Q299" s="37">
        <f>'2018'!J25</f>
        <v>71</v>
      </c>
      <c r="R299" s="37">
        <f>'2018'!K25</f>
        <v>229</v>
      </c>
      <c r="S299" s="39">
        <f t="shared" si="53"/>
        <v>31.938663440905543</v>
      </c>
      <c r="T299" s="37">
        <f>'2018'!L25</f>
        <v>4.5</v>
      </c>
      <c r="U299" s="40">
        <f>'2018'!M25</f>
        <v>7</v>
      </c>
      <c r="V299" s="41">
        <f>'2018'!N25</f>
        <v>0</v>
      </c>
      <c r="W299" s="42">
        <f>'2018'!O25</f>
        <v>6.1911405650505756E-2</v>
      </c>
      <c r="X299" s="42">
        <f>'2018'!P25</f>
        <v>9.3879429360331335E-2</v>
      </c>
      <c r="Y299" s="42">
        <f>'2018'!Q25</f>
        <v>6.8835768038955289E-2</v>
      </c>
      <c r="Z299" s="42">
        <f>'2018'!R25</f>
        <v>0.17741575541173846</v>
      </c>
      <c r="AA299" s="42">
        <f>'2018'!S25</f>
        <v>0.17741575541173846</v>
      </c>
      <c r="AB299" s="42">
        <f>'2018'!T25</f>
        <v>0.17741575541173846</v>
      </c>
      <c r="AC299" s="42">
        <f>'2018'!U25</f>
        <v>2.5983399494767231E-2</v>
      </c>
      <c r="AD299" s="42">
        <f>'2018'!V25</f>
        <v>6.9371196754563894E-2</v>
      </c>
      <c r="AE299" s="42">
        <f>'2018'!W25</f>
        <v>6.9371196754563894E-2</v>
      </c>
      <c r="AF299" s="43">
        <f>'2018'!X25</f>
        <v>6.9371196754563894E-2</v>
      </c>
      <c r="AG299" s="44">
        <f>'2018'!Y25</f>
        <v>23.235616438356164</v>
      </c>
      <c r="AH299" s="45">
        <f>'2018'!Z25</f>
        <v>111.69029111415942</v>
      </c>
      <c r="AI299" s="45">
        <f>'2018'!AA25</f>
        <v>31.93552866494743</v>
      </c>
      <c r="AJ299" s="45">
        <f>'2018'!AB25</f>
        <v>9.4017094017094016E-2</v>
      </c>
      <c r="AK299" s="45">
        <f>'2018'!AC25</f>
        <v>5.3</v>
      </c>
      <c r="AL299" s="45">
        <f t="shared" si="52"/>
        <v>11.72972972972973</v>
      </c>
      <c r="AM299" s="45">
        <f t="shared" si="56"/>
        <v>7.874015748031496E-2</v>
      </c>
      <c r="AN299" s="45">
        <f>'2018'!AD25</f>
        <v>39.799999999999997</v>
      </c>
      <c r="AO299" s="45">
        <f>'2018'!AE25</f>
        <v>3.16</v>
      </c>
      <c r="AP299" s="46">
        <f>'2018'!AF25</f>
        <v>38.9</v>
      </c>
      <c r="AQ299" s="47">
        <f>'2018'!AG25</f>
        <v>3</v>
      </c>
      <c r="AR299" s="48">
        <f>'2018'!AH25</f>
        <v>7</v>
      </c>
      <c r="AS299" s="48">
        <f>'2018'!AI25</f>
        <v>0</v>
      </c>
      <c r="AT299" s="48">
        <f>IF(AH299&gt;113.25,10,IF(AH299&gt;=107.84,9,IF(AH299&gt;=105.37,8,IF(AH299&gt;=103.25,7,IF(AH299&gt;=100.55,6,IF(AH299&gt;=98.75,5,IF(AH299&gt;=96.08,4,IF(AH299&gt;=94.39,3,IF(AH299&gt;=88.43,2,IF(AH299&gt;=85.16,1,IF(AH299&lt;85.16,0,FALSE)))))))))))</f>
        <v>9</v>
      </c>
      <c r="AU299" s="48">
        <f>'2018'!AK25</f>
        <v>0</v>
      </c>
      <c r="AV299" s="48">
        <f>'2018'!AL25</f>
        <v>2</v>
      </c>
      <c r="AW299" s="48">
        <f>'2018'!AM25</f>
        <v>0</v>
      </c>
      <c r="AX299" s="48">
        <f>'2018'!AN25</f>
        <v>0</v>
      </c>
      <c r="AY299" s="49">
        <f>IF(U299=1,10,IF(U299=2,7,IF(U299=3,6,IF(U299=4,4,IF(U299=5,3,IF(U299=6,2,IF(U299=7,1,IF(U299=0,0,"-"))))))))</f>
        <v>1</v>
      </c>
      <c r="AZ299" s="50">
        <f>'2018'!AP25</f>
        <v>0</v>
      </c>
      <c r="BA299" s="56">
        <f>'2018'!AQ25</f>
        <v>0</v>
      </c>
      <c r="BB299" s="57">
        <f>'2018'!AR25</f>
        <v>2504</v>
      </c>
      <c r="BC299" s="57">
        <f>'2018'!AS25</f>
        <v>0</v>
      </c>
      <c r="BD299" s="57">
        <f>'2018'!AT25</f>
        <v>0</v>
      </c>
      <c r="BE299" s="57">
        <f>'2018'!AU25</f>
        <v>0</v>
      </c>
      <c r="BF299" s="57">
        <f>'2018'!AV25</f>
        <v>0</v>
      </c>
      <c r="BG299" s="58">
        <f>'2018'!AW25</f>
        <v>0</v>
      </c>
      <c r="BH299" s="58">
        <f>'2018'!AX25</f>
        <v>0</v>
      </c>
      <c r="BI299" s="58">
        <f>'2018'!AY25</f>
        <v>0</v>
      </c>
      <c r="BJ299" s="58">
        <f>'2018'!AZ25</f>
        <v>0</v>
      </c>
      <c r="BK299" s="57">
        <f>'2018'!BA25</f>
        <v>0</v>
      </c>
      <c r="BL299" s="57">
        <f>'2018'!BB25</f>
        <v>1782</v>
      </c>
      <c r="BM299" s="57">
        <f>'2018'!BC25</f>
        <v>0</v>
      </c>
      <c r="BN299" s="57">
        <f>'2018'!BD25</f>
        <v>0</v>
      </c>
      <c r="BO299" s="59">
        <f>'2018'!BE25</f>
        <v>0</v>
      </c>
      <c r="BP299" s="56">
        <f>'2018'!BF25</f>
        <v>256</v>
      </c>
      <c r="BQ299" s="57">
        <f>'2018'!BG25</f>
        <v>2073</v>
      </c>
      <c r="BR299" s="57">
        <f>'2018'!BH25</f>
        <v>2</v>
      </c>
      <c r="BS299" s="57">
        <f>'2018'!BI25</f>
        <v>0</v>
      </c>
      <c r="BT299" s="57">
        <f>'2018'!BJ25</f>
        <v>45</v>
      </c>
      <c r="BU299" s="57">
        <f>'2018'!BK25</f>
        <v>5</v>
      </c>
      <c r="BV299" s="58">
        <f>'2018'!BL25</f>
        <v>5.7</v>
      </c>
      <c r="BW299" s="58">
        <f>'2018'!BM25</f>
        <v>53.3</v>
      </c>
      <c r="BX299" s="58">
        <f>'2018'!BN25</f>
        <v>3.47</v>
      </c>
      <c r="BY299" s="58">
        <f>'2018'!BO25</f>
        <v>35.5</v>
      </c>
      <c r="BZ299" s="57">
        <f>'2018'!BP25</f>
        <v>99</v>
      </c>
      <c r="CA299" s="57">
        <f>'2018'!BQ25</f>
        <v>3661</v>
      </c>
      <c r="CB299" s="57">
        <f>'2018'!BR25</f>
        <v>7</v>
      </c>
      <c r="CC299" s="57">
        <f>'2018'!BS25</f>
        <v>0</v>
      </c>
      <c r="CD299" s="59">
        <f>'2018'!BT25</f>
        <v>0</v>
      </c>
      <c r="CE299" s="56">
        <f>'2018'!BU25</f>
        <v>316</v>
      </c>
      <c r="CF299" s="57">
        <f>'2018'!BV25</f>
        <v>1856</v>
      </c>
      <c r="CG299" s="57">
        <f>'2018'!BW25</f>
        <v>0</v>
      </c>
      <c r="CH299" s="57">
        <f>'2018'!BX25</f>
        <v>0</v>
      </c>
      <c r="CI299" s="57">
        <f>'2018'!BY25</f>
        <v>86</v>
      </c>
      <c r="CJ299" s="57">
        <f>'2018'!BZ25</f>
        <v>10</v>
      </c>
      <c r="CK299" s="58">
        <f>'2018'!CA25</f>
        <v>3.7</v>
      </c>
      <c r="CL299" s="58">
        <f>'2018'!CB25</f>
        <v>22.5</v>
      </c>
      <c r="CM299" s="58">
        <f>'2018'!CC25</f>
        <v>1.99</v>
      </c>
      <c r="CN299" s="58">
        <f>'2018'!CD25</f>
        <v>20.3</v>
      </c>
      <c r="CO299" s="57">
        <f>'2018'!CE25</f>
        <v>92</v>
      </c>
      <c r="CP299" s="57">
        <f>'2018'!CF25</f>
        <v>2490</v>
      </c>
      <c r="CQ299" s="57">
        <f>'2018'!CG25</f>
        <v>11</v>
      </c>
      <c r="CR299" s="57">
        <f>'2018'!CH25</f>
        <v>0</v>
      </c>
      <c r="CS299" s="59">
        <f>'2018'!CI25</f>
        <v>0</v>
      </c>
      <c r="CT299" s="56">
        <f>'2018'!CJ25</f>
        <v>239</v>
      </c>
      <c r="CU299" s="57">
        <f>'2018'!CK25</f>
        <v>1747</v>
      </c>
      <c r="CV299" s="57">
        <f>'2018'!CL25</f>
        <v>3</v>
      </c>
      <c r="CW299" s="57">
        <f>'2018'!CM25</f>
        <v>0</v>
      </c>
      <c r="CX299" s="57">
        <f>'2018'!CN25</f>
        <v>56</v>
      </c>
      <c r="CY299" s="57">
        <f>'2018'!CO25</f>
        <v>5</v>
      </c>
      <c r="CZ299" s="58">
        <f>'2018'!CP25</f>
        <v>4.3</v>
      </c>
      <c r="DA299" s="58">
        <f>'2018'!CQ25</f>
        <v>24.2</v>
      </c>
      <c r="DB299" s="58">
        <f>'2018'!CR25</f>
        <v>2.63</v>
      </c>
      <c r="DC299" s="58">
        <f>'2018'!CS25</f>
        <v>38.9</v>
      </c>
      <c r="DD299" s="57">
        <f>'2018'!CT25</f>
        <v>72</v>
      </c>
      <c r="DE299" s="57">
        <f>'2018'!CU25</f>
        <v>2771</v>
      </c>
      <c r="DF299" s="57">
        <f>'2018'!CV25</f>
        <v>9</v>
      </c>
      <c r="DG299" s="57">
        <f>'2018'!CW25</f>
        <v>0</v>
      </c>
      <c r="DH299" s="59">
        <f>'2018'!CX25</f>
        <v>0</v>
      </c>
      <c r="DI299" s="56">
        <f>'2018'!CY25</f>
        <v>624</v>
      </c>
      <c r="DJ299" s="57">
        <f>'2018'!CZ25</f>
        <v>2016</v>
      </c>
      <c r="DK299" s="57">
        <f>'2018'!DA25</f>
        <v>8</v>
      </c>
      <c r="DL299" s="57">
        <f>'2018'!DB25</f>
        <v>0</v>
      </c>
      <c r="DM299" s="57">
        <f>'2018'!DC25</f>
        <v>117</v>
      </c>
      <c r="DN299" s="57">
        <f>'2018'!DD25</f>
        <v>11</v>
      </c>
      <c r="DO299" s="58">
        <f>'2018'!DE25</f>
        <v>5.3</v>
      </c>
      <c r="DP299" s="58">
        <f>'2018'!DF25</f>
        <v>39.799999999999997</v>
      </c>
      <c r="DQ299" s="58">
        <f>'2018'!DG25</f>
        <v>3.16</v>
      </c>
      <c r="DR299" s="58">
        <f>'2018'!DH25</f>
        <v>28.7</v>
      </c>
      <c r="DS299" s="57">
        <f>'2018'!DI25</f>
        <v>171</v>
      </c>
      <c r="DT299" s="57">
        <f>'2018'!DJ25</f>
        <v>2465</v>
      </c>
      <c r="DU299" s="57">
        <f>'2018'!DK25</f>
        <v>10</v>
      </c>
      <c r="DV299" s="57">
        <f>'2018'!DL25</f>
        <v>0</v>
      </c>
      <c r="DW299" s="59">
        <f>'2018'!DM25</f>
        <v>0</v>
      </c>
    </row>
    <row r="300" spans="1:127" ht="15.75" customHeight="1" x14ac:dyDescent="0.2">
      <c r="A300" s="33">
        <f t="shared" si="49"/>
        <v>298</v>
      </c>
      <c r="B300" s="11">
        <f>'2026 - WIP'!A29</f>
        <v>27</v>
      </c>
      <c r="C300" s="11">
        <v>2026</v>
      </c>
      <c r="D300" s="34" t="str">
        <f>'2026 - WIP'!B29</f>
        <v>Josh McCray</v>
      </c>
      <c r="E300" s="224" t="str" cm="1">
        <f t="array" ref="E300">_xlfn.IFS(F300&gt;=13,"Cornerstone",AND(F300&gt;=12,F300&lt;13),"Elite",AND(F300&gt;=11,F300&lt;12),"Elite Upside",AND(F300&gt;=9,F300&lt;11),"Upside",AND(F300&gt;=7,F300&lt;9),"Upside Lite",AND(F300&gt;=6,F300&lt;7),"Outlier",AND(F300&gt;=5,F300&lt;6),"Outlier Lite",F300&lt;5,"Purgatory")</f>
        <v>Purgatory</v>
      </c>
      <c r="F300" s="14">
        <f>'2026 - WIP'!C29</f>
        <v>3.1944444444444446</v>
      </c>
      <c r="G300" s="14">
        <f t="shared" si="54"/>
        <v>8.7999999999999989</v>
      </c>
      <c r="H300" s="35">
        <f t="shared" si="50"/>
        <v>-2.0348517293165496</v>
      </c>
      <c r="I300" s="36" t="str">
        <f>'2026 - WIP'!D29</f>
        <v>Georgia</v>
      </c>
      <c r="J300" s="37">
        <f>'2026 - WIP'!E29</f>
        <v>1</v>
      </c>
      <c r="K300" s="38">
        <f>'2026 - WIP'!F29</f>
        <v>37311</v>
      </c>
      <c r="L300" s="39">
        <f>'2026 - WIP'!G29</f>
        <v>23.605479452054794</v>
      </c>
      <c r="M300" s="39" t="str">
        <f>'2026 - WIP'!H29</f>
        <v>RS SR</v>
      </c>
      <c r="N300" s="39">
        <f>'2026 - WIP'!I29</f>
        <v>24.186301369863013</v>
      </c>
      <c r="O300" s="39" t="str">
        <f t="shared" si="51"/>
        <v>FREAK</v>
      </c>
      <c r="P300" s="39" t="str">
        <f>IF(OR(AND($AA300&lt;0.25,$AO300&gt;=0.133,AE300&gt;4%),(AND($O300="JITTERBUG",$AO300&gt;0.11)),(AND($O300="JITTERBUG",$AE300&gt;9.5%))),"+RECEIVER",IF(AND($AJ300&gt;=0.25,$AQ300&gt;=3.81),"3DOWN",IF($AQ300&gt;=3.81,"HORSE",IF(OR(AJ300&gt;0.28,AK300&gt;7,AR300&gt;47),"SLASHER",IF(AO300&gt;0.19,"+RECEIVER","PLODDER")))))</f>
        <v>+RECEIVER</v>
      </c>
      <c r="Q300" s="37">
        <f>'2026 - WIP'!J29</f>
        <v>73</v>
      </c>
      <c r="R300" s="37">
        <f>'2026 - WIP'!K29</f>
        <v>235</v>
      </c>
      <c r="S300" s="39">
        <f t="shared" si="53"/>
        <v>31.004168970244496</v>
      </c>
      <c r="T300" s="39">
        <f>'2026 - WIP'!L29</f>
        <v>4.5</v>
      </c>
      <c r="U300" s="55">
        <f>'2026 - WIP'!M29</f>
        <v>0</v>
      </c>
      <c r="V300" s="41">
        <f>'2026 - WIP'!N29</f>
        <v>0.1630853994490358</v>
      </c>
      <c r="W300" s="42">
        <f>'2026 - WIP'!O29</f>
        <v>4.96031746031746E-2</v>
      </c>
      <c r="X300" s="42">
        <f>'2026 - WIP'!P29</f>
        <v>9.5140664961636826E-2</v>
      </c>
      <c r="Y300" s="42">
        <f>'2026 - WIP'!Q29</f>
        <v>0.15264600463841452</v>
      </c>
      <c r="Z300" s="42">
        <f>'2026 - WIP'!R29</f>
        <v>0</v>
      </c>
      <c r="AA300" s="42">
        <f>'2026 - WIP'!S29</f>
        <v>0.15786570204372516</v>
      </c>
      <c r="AB300" s="42">
        <f>'2026 - WIP'!T29</f>
        <v>0.15786570204372516</v>
      </c>
      <c r="AC300" s="42">
        <f>'2026 - WIP'!U29</f>
        <v>4.2243262927895119E-2</v>
      </c>
      <c r="AD300" s="42">
        <f>'2026 - WIP'!V29</f>
        <v>0</v>
      </c>
      <c r="AE300" s="42">
        <f>'2026 - WIP'!W29</f>
        <v>4.2243262927895119E-2</v>
      </c>
      <c r="AF300" s="43">
        <f>'2026 - WIP'!X29</f>
        <v>4.2243262927895119E-2</v>
      </c>
      <c r="AG300" s="44">
        <f>'2026 - WIP'!Y29</f>
        <v>19.528767123287672</v>
      </c>
      <c r="AH300" s="45">
        <f>'2026 - WIP'!Z29</f>
        <v>114.61667428745618</v>
      </c>
      <c r="AI300" s="45">
        <f>'2026 - WIP'!AA29</f>
        <v>31.00112591480578</v>
      </c>
      <c r="AJ300" s="45">
        <f>'2026 - WIP'!AB29</f>
        <v>0.1623931623931624</v>
      </c>
      <c r="AK300" s="45">
        <f>'2026 - WIP'!AC29</f>
        <v>5.1965811965811968</v>
      </c>
      <c r="AL300" s="45">
        <f t="shared" si="52"/>
        <v>8.32</v>
      </c>
      <c r="AM300" s="45" t="e">
        <f t="shared" si="56"/>
        <v>#DIV/0!</v>
      </c>
      <c r="AN300" s="45">
        <f>'2026 - WIP'!AD29</f>
        <v>50</v>
      </c>
      <c r="AO300" s="45">
        <f>'2026 - WIP'!AE29</f>
        <v>3.25</v>
      </c>
      <c r="AP300" s="46">
        <f>'2026 - WIP'!AF29</f>
        <v>35.5</v>
      </c>
      <c r="AQ300" s="47">
        <f>'2026 - WIP'!AG29</f>
        <v>2</v>
      </c>
      <c r="AR300" s="48">
        <f>'2026 - WIP'!AH29</f>
        <v>4</v>
      </c>
      <c r="AS300" s="48">
        <f>'2026 - WIP'!AI29</f>
        <v>6</v>
      </c>
      <c r="AT300" s="48">
        <f>'2026 - WIP'!AJ29</f>
        <v>10</v>
      </c>
      <c r="AU300" s="48">
        <f>'2026 - WIP'!AK29</f>
        <v>2</v>
      </c>
      <c r="AV300" s="48">
        <f>'2026 - WIP'!AL29</f>
        <v>1</v>
      </c>
      <c r="AW300" s="48">
        <f>'2026 - WIP'!AM29</f>
        <v>0</v>
      </c>
      <c r="AX300" s="48">
        <f>'2026 - WIP'!AN29</f>
        <v>1</v>
      </c>
      <c r="AY300" s="49">
        <f>'2026 - WIP'!AO29</f>
        <v>0</v>
      </c>
      <c r="AZ300" s="50">
        <f>'2026 - WIP'!AP29</f>
        <v>0</v>
      </c>
      <c r="BA300" s="56">
        <f>'2026 - WIP'!AQ29</f>
        <v>549</v>
      </c>
      <c r="BB300" s="57">
        <f>'2026 - WIP'!AR29</f>
        <v>1911.8000000000002</v>
      </c>
      <c r="BC300" s="57">
        <f>'2026 - WIP'!AS29</f>
        <v>2</v>
      </c>
      <c r="BD300" s="57">
        <f>'2026 - WIP'!AT29</f>
        <v>11</v>
      </c>
      <c r="BE300" s="57">
        <f>'2026 - WIP'!AU29</f>
        <v>112</v>
      </c>
      <c r="BF300" s="57">
        <f>'2026 - WIP'!AV29</f>
        <v>31</v>
      </c>
      <c r="BG300" s="58">
        <f>'2026 - WIP'!AW29</f>
        <v>4.9017857142857144</v>
      </c>
      <c r="BH300" s="58">
        <f>'2026 - WIP'!AX29</f>
        <v>107.3</v>
      </c>
      <c r="BI300" s="58">
        <f>'2026 - WIP'!AY29</f>
        <v>3.95</v>
      </c>
      <c r="BJ300" s="58">
        <f>'2026 - WIP'!AZ29</f>
        <v>31.5</v>
      </c>
      <c r="BK300" s="57">
        <f>'2026 - WIP'!BA29</f>
        <v>43</v>
      </c>
      <c r="BL300" s="57">
        <f>'2026 - WIP'!BB29</f>
        <v>1718.1999999999998</v>
      </c>
      <c r="BM300" s="57">
        <f>'2026 - WIP'!BC29</f>
        <v>2</v>
      </c>
      <c r="BN300" s="57">
        <f>'2026 - WIP'!BD29</f>
        <v>0</v>
      </c>
      <c r="BO300" s="59">
        <f>'2026 - WIP'!BE29</f>
        <v>12.100000000000001</v>
      </c>
      <c r="BP300" s="56">
        <f>'2026 - WIP'!BF29</f>
        <v>56</v>
      </c>
      <c r="BQ300" s="57">
        <f>'2026 - WIP'!BG29</f>
        <v>664.8</v>
      </c>
      <c r="BR300" s="57">
        <f>'2026 - WIP'!BH29</f>
        <v>0</v>
      </c>
      <c r="BS300" s="57">
        <f>'2026 - WIP'!BI29</f>
        <v>5.6</v>
      </c>
      <c r="BT300" s="57">
        <f>'2026 - WIP'!BJ29</f>
        <v>19</v>
      </c>
      <c r="BU300" s="57">
        <f>'2026 - WIP'!BK29</f>
        <v>6</v>
      </c>
      <c r="BV300" s="58">
        <f>'2026 - WIP'!BL29</f>
        <v>2.9473684210526314</v>
      </c>
      <c r="BW300" s="58">
        <f>'2026 - WIP'!BM29</f>
        <v>71.400000000000006</v>
      </c>
      <c r="BX300" s="58">
        <f>'2026 - WIP'!BN29</f>
        <v>2.74</v>
      </c>
      <c r="BY300" s="58">
        <f>'2026 - WIP'!BO29</f>
        <v>0</v>
      </c>
      <c r="BZ300" s="57">
        <f>'2026 - WIP'!BP29</f>
        <v>19</v>
      </c>
      <c r="CA300" s="57">
        <f>'2026 - WIP'!BQ29</f>
        <v>847.2</v>
      </c>
      <c r="CB300" s="57">
        <f>'2026 - WIP'!BR29</f>
        <v>4</v>
      </c>
      <c r="CC300" s="57">
        <f>'2026 - WIP'!BS29</f>
        <v>0</v>
      </c>
      <c r="CD300" s="59">
        <f>'2026 - WIP'!BT29</f>
        <v>4.8</v>
      </c>
      <c r="CE300" s="56">
        <f>'2026 - WIP'!BU29</f>
        <v>156</v>
      </c>
      <c r="CF300" s="57">
        <f>'2026 - WIP'!BV29</f>
        <v>632</v>
      </c>
      <c r="CG300" s="57">
        <f>'2026 - WIP'!BW29</f>
        <v>2</v>
      </c>
      <c r="CH300" s="57">
        <f>'2026 - WIP'!BX29</f>
        <v>5</v>
      </c>
      <c r="CI300" s="57">
        <f>'2026 - WIP'!BY29</f>
        <v>43</v>
      </c>
      <c r="CJ300" s="57">
        <f>'2026 - WIP'!BZ29</f>
        <v>9</v>
      </c>
      <c r="CK300" s="58">
        <f>'2026 - WIP'!CA29</f>
        <v>3.6279069767441858</v>
      </c>
      <c r="CL300" s="58">
        <f>'2026 - WIP'!CB29</f>
        <v>67.900000000000006</v>
      </c>
      <c r="CM300" s="58">
        <f>'2026 - WIP'!CC29</f>
        <v>3.02</v>
      </c>
      <c r="CN300" s="58">
        <f>'2026 - WIP'!CD29</f>
        <v>0</v>
      </c>
      <c r="CO300" s="57">
        <f>'2026 - WIP'!CE29</f>
        <v>30</v>
      </c>
      <c r="CP300" s="57">
        <f>'2026 - WIP'!CF29</f>
        <v>1323</v>
      </c>
      <c r="CQ300" s="57">
        <f>'2026 - WIP'!CG29</f>
        <v>6</v>
      </c>
      <c r="CR300" s="57">
        <f>'2026 - WIP'!CH29</f>
        <v>0</v>
      </c>
      <c r="CS300" s="59">
        <f>'2026 - WIP'!CI29</f>
        <v>9.5</v>
      </c>
      <c r="CT300" s="56">
        <f>'2026 - WIP'!CJ29</f>
        <v>608</v>
      </c>
      <c r="CU300" s="57">
        <f>'2026 - WIP'!CK29</f>
        <v>1997</v>
      </c>
      <c r="CV300" s="57">
        <f>'2026 - WIP'!CL29</f>
        <v>10</v>
      </c>
      <c r="CW300" s="57">
        <f>'2026 - WIP'!CM29</f>
        <v>22</v>
      </c>
      <c r="CX300" s="57">
        <f>'2026 - WIP'!CN29</f>
        <v>117</v>
      </c>
      <c r="CY300" s="57">
        <f>'2026 - WIP'!CO29</f>
        <v>19</v>
      </c>
      <c r="CZ300" s="58">
        <f>'2026 - WIP'!CP29</f>
        <v>5.1965811965811968</v>
      </c>
      <c r="DA300" s="58">
        <f>'2026 - WIP'!CQ29</f>
        <v>50</v>
      </c>
      <c r="DB300" s="58">
        <f>'2026 - WIP'!CR29</f>
        <v>3.25</v>
      </c>
      <c r="DC300" s="58">
        <f>'2026 - WIP'!CS29</f>
        <v>35.5</v>
      </c>
      <c r="DD300" s="57">
        <f>'2026 - WIP'!CT29</f>
        <v>116</v>
      </c>
      <c r="DE300" s="57">
        <f>'2026 - WIP'!CU29</f>
        <v>2746</v>
      </c>
      <c r="DF300" s="57">
        <f>'2026 - WIP'!CV29</f>
        <v>13</v>
      </c>
      <c r="DG300" s="57">
        <f>'2026 - WIP'!CW29</f>
        <v>1</v>
      </c>
      <c r="DH300" s="59">
        <f>'2026 - WIP'!CX29</f>
        <v>22</v>
      </c>
      <c r="DI300" s="56">
        <f>'2026 - WIP'!CY29</f>
        <v>0</v>
      </c>
      <c r="DJ300" s="57">
        <f>'2026 - WIP'!CZ29</f>
        <v>1</v>
      </c>
      <c r="DK300" s="57">
        <f>'2026 - WIP'!DA29</f>
        <v>0</v>
      </c>
      <c r="DL300" s="57">
        <f>'2026 - WIP'!DB29</f>
        <v>0</v>
      </c>
      <c r="DM300" s="57">
        <f>'2026 - WIP'!DC29</f>
        <v>0</v>
      </c>
      <c r="DN300" s="57">
        <f>'2026 - WIP'!DD29</f>
        <v>0</v>
      </c>
      <c r="DO300" s="58">
        <f>'2026 - WIP'!DE29</f>
        <v>0</v>
      </c>
      <c r="DP300" s="58">
        <f>'2026 - WIP'!DF29</f>
        <v>0</v>
      </c>
      <c r="DQ300" s="58">
        <f>'2026 - WIP'!DG29</f>
        <v>0</v>
      </c>
      <c r="DR300" s="58">
        <f>'2026 - WIP'!DH29</f>
        <v>0</v>
      </c>
      <c r="DS300" s="57">
        <f>'2026 - WIP'!DI29</f>
        <v>0</v>
      </c>
      <c r="DT300" s="57">
        <f>'2026 - WIP'!DJ29</f>
        <v>1</v>
      </c>
      <c r="DU300" s="57">
        <f>'2026 - WIP'!DK29</f>
        <v>0</v>
      </c>
      <c r="DV300" s="57">
        <f>'2026 - WIP'!DL29</f>
        <v>0</v>
      </c>
      <c r="DW300" s="59">
        <f>'2026 - WIP'!DM29</f>
        <v>0</v>
      </c>
    </row>
    <row r="301" spans="1:127" ht="15.75" customHeight="1" x14ac:dyDescent="0.2">
      <c r="A301" s="33">
        <f t="shared" si="49"/>
        <v>299</v>
      </c>
      <c r="B301" s="11">
        <f>'2016'!A29</f>
        <v>27</v>
      </c>
      <c r="C301" s="11">
        <v>2016</v>
      </c>
      <c r="D301" s="34" t="str">
        <f>'2016'!B29</f>
        <v>Darius Jackson</v>
      </c>
      <c r="E301" s="224" t="str" cm="1">
        <f t="array" ref="E301">_xlfn.IFS(F301&gt;=13,"Cornerstone",AND(F301&gt;=12,F301&lt;13),"Elite",AND(F301&gt;=11,F301&lt;12),"Elite Upside",AND(F301&gt;=9,F301&lt;11),"Upside",AND(F301&gt;=7,F301&lt;9),"Upside Lite",AND(F301&gt;=6,F301&lt;7),"Outlier",AND(F301&gt;=5,F301&lt;6),"Outlier Lite",F301&lt;5,"Purgatory")</f>
        <v>Purgatory</v>
      </c>
      <c r="F301" s="14">
        <f>'2016'!C29</f>
        <v>3.1833333333333336</v>
      </c>
      <c r="G301" s="14">
        <f t="shared" si="54"/>
        <v>8.5</v>
      </c>
      <c r="H301" s="35">
        <f t="shared" si="50"/>
        <v>-2.0395542300303235</v>
      </c>
      <c r="I301" s="36" t="str">
        <f>'2016'!D29</f>
        <v>Eastern Michigan</v>
      </c>
      <c r="J301" s="37">
        <f>'2016'!E29</f>
        <v>9</v>
      </c>
      <c r="K301" s="38">
        <f>'2016'!F29</f>
        <v>34304</v>
      </c>
      <c r="L301" s="39">
        <f>'2016'!G29</f>
        <v>31.843835616438355</v>
      </c>
      <c r="M301" s="39" t="str">
        <f>'2016'!H29</f>
        <v>SR</v>
      </c>
      <c r="N301" s="39">
        <f>'2016'!I29</f>
        <v>22.419178082191781</v>
      </c>
      <c r="O301" s="39" t="str">
        <f t="shared" si="51"/>
        <v>FREAK</v>
      </c>
      <c r="P301" s="39" t="str">
        <f t="shared" ref="P301:P326" si="58">IF(OR(AND($AA301&lt;0.25,$AM301&gt;=0.133,AE301&gt;4%),(AND($O301="JITTERBUG",$AM301&gt;0.11)),(AND($O301="JITTERBUG",$AE301&gt;9.5%))),"+RECEIVER",IF(AND($AJ301&gt;=0.25,$AO301&gt;=3.81),"3DOWN",IF($AO301&gt;=3.81,"HORSE",IF(OR(AJ301&gt;0.28,AK301&gt;7,AP301&gt;47),"SLASHER",IF(AM301&gt;0.19,"+RECEIVER","PLODDER")))))</f>
        <v>PLODDER</v>
      </c>
      <c r="Q301" s="37">
        <f>'2016'!J29</f>
        <v>72</v>
      </c>
      <c r="R301" s="37">
        <f>'2016'!K29</f>
        <v>220</v>
      </c>
      <c r="S301" s="39">
        <f t="shared" si="53"/>
        <v>29.837033439498978</v>
      </c>
      <c r="T301" s="37">
        <f>'2016'!L29</f>
        <v>4.3499999999999996</v>
      </c>
      <c r="U301" s="55">
        <f>'2016'!M29</f>
        <v>6</v>
      </c>
      <c r="V301" s="41">
        <f>'2016'!N29</f>
        <v>0</v>
      </c>
      <c r="W301" s="42">
        <f>'2016'!O29</f>
        <v>2.9784065524944155E-3</v>
      </c>
      <c r="X301" s="42">
        <f>'2016'!P29</f>
        <v>9.6542338280950962E-2</v>
      </c>
      <c r="Y301" s="42">
        <f>'2016'!Q29</f>
        <v>0.12661141804788212</v>
      </c>
      <c r="Z301" s="42">
        <f>'2016'!R29</f>
        <v>0.28244508619935238</v>
      </c>
      <c r="AA301" s="42">
        <f>'2016'!S29</f>
        <v>0.28244508619935238</v>
      </c>
      <c r="AB301" s="42">
        <f>'2016'!T29</f>
        <v>0.18358930602957904</v>
      </c>
      <c r="AC301" s="42">
        <f>'2016'!U29</f>
        <v>7.9051383399209474E-2</v>
      </c>
      <c r="AD301" s="42">
        <f>'2016'!V29</f>
        <v>7.6379388964888273E-2</v>
      </c>
      <c r="AE301" s="42">
        <f>'2016'!W29</f>
        <v>7.7715386182048873E-2</v>
      </c>
      <c r="AF301" s="43">
        <f>'2016'!X29</f>
        <v>5.051500101833177E-2</v>
      </c>
      <c r="AG301" s="44">
        <f>'2016'!Y29</f>
        <v>21.764383561643836</v>
      </c>
      <c r="AH301" s="45">
        <f>'2016'!Z29</f>
        <v>122.8840874375441</v>
      </c>
      <c r="AI301" s="45">
        <f>'2016'!AA29</f>
        <v>29.834104938271604</v>
      </c>
      <c r="AJ301" s="45">
        <f>'2016'!AB29</f>
        <v>0.13461538461538461</v>
      </c>
      <c r="AK301" s="45">
        <f>'2016'!AC29</f>
        <v>5.240384615384615</v>
      </c>
      <c r="AL301" s="45">
        <f t="shared" si="52"/>
        <v>8.6279069767441854</v>
      </c>
      <c r="AM301" s="45">
        <f t="shared" si="56"/>
        <v>9.1703056768558958E-2</v>
      </c>
      <c r="AN301" s="45">
        <f>'2016'!AD29</f>
        <v>42.1</v>
      </c>
      <c r="AO301" s="45">
        <f>'2016'!AE29</f>
        <v>2.41</v>
      </c>
      <c r="AP301" s="46">
        <f>'2016'!AF29</f>
        <v>46.3</v>
      </c>
      <c r="AQ301" s="47">
        <f>'2016'!AG29</f>
        <v>3</v>
      </c>
      <c r="AR301" s="48">
        <f>'2016'!AH29</f>
        <v>5</v>
      </c>
      <c r="AS301" s="48">
        <f>'2016'!AI29</f>
        <v>2</v>
      </c>
      <c r="AT301" s="48">
        <f>'2016'!AJ29</f>
        <v>10</v>
      </c>
      <c r="AU301" s="48">
        <f>'2016'!AK29</f>
        <v>2</v>
      </c>
      <c r="AV301" s="48">
        <f>'2016'!AL29</f>
        <v>1</v>
      </c>
      <c r="AW301" s="48">
        <f>'2016'!AM29</f>
        <v>2</v>
      </c>
      <c r="AX301" s="48">
        <f>'2016'!AN29</f>
        <v>0</v>
      </c>
      <c r="AY301" s="49">
        <f>'2016'!AO29</f>
        <v>2</v>
      </c>
      <c r="AZ301" s="50">
        <f>'2016'!AP29</f>
        <v>0</v>
      </c>
      <c r="BA301" s="56">
        <f>'2016'!AQ29</f>
        <v>0</v>
      </c>
      <c r="BB301" s="57">
        <f>'2016'!AR29</f>
        <v>1</v>
      </c>
      <c r="BC301" s="57">
        <f>'2016'!AS29</f>
        <v>0</v>
      </c>
      <c r="BD301" s="57">
        <f>'2016'!AT29</f>
        <v>0</v>
      </c>
      <c r="BE301" s="57">
        <f>'2016'!AU29</f>
        <v>0</v>
      </c>
      <c r="BF301" s="57">
        <f>'2016'!AV29</f>
        <v>0</v>
      </c>
      <c r="BG301" s="58">
        <f>'2016'!AW29</f>
        <v>0</v>
      </c>
      <c r="BH301" s="58">
        <f>'2016'!AX29</f>
        <v>0</v>
      </c>
      <c r="BI301" s="58">
        <f>'2016'!AY29</f>
        <v>0</v>
      </c>
      <c r="BJ301" s="58">
        <f>'2016'!AZ29</f>
        <v>0</v>
      </c>
      <c r="BK301" s="57">
        <f>'2016'!BA29</f>
        <v>0</v>
      </c>
      <c r="BL301" s="57">
        <f>'2016'!BB29</f>
        <v>1</v>
      </c>
      <c r="BM301" s="57">
        <f>'2016'!BC29</f>
        <v>0</v>
      </c>
      <c r="BN301" s="57">
        <f>'2016'!BD29</f>
        <v>0</v>
      </c>
      <c r="BO301" s="59">
        <f>'2016'!BE29</f>
        <v>0</v>
      </c>
      <c r="BP301" s="56">
        <f>'2016'!BF29</f>
        <v>12</v>
      </c>
      <c r="BQ301" s="57">
        <f>'2016'!BG29</f>
        <v>1970</v>
      </c>
      <c r="BR301" s="57">
        <f>'2016'!BH29</f>
        <v>0</v>
      </c>
      <c r="BS301" s="57">
        <f>'2016'!BI29</f>
        <v>13</v>
      </c>
      <c r="BT301" s="57">
        <f>'2016'!BJ29</f>
        <v>0</v>
      </c>
      <c r="BU301" s="57">
        <f>'2016'!BK29</f>
        <v>0</v>
      </c>
      <c r="BV301" s="58">
        <f>'2016'!BL29</f>
        <v>0</v>
      </c>
      <c r="BW301" s="58">
        <f>'2016'!BM29</f>
        <v>0</v>
      </c>
      <c r="BX301" s="58">
        <f>'2016'!BN29</f>
        <v>0</v>
      </c>
      <c r="BY301" s="58">
        <f>'2016'!BO29</f>
        <v>0</v>
      </c>
      <c r="BZ301" s="57">
        <f>'2016'!BP29</f>
        <v>0</v>
      </c>
      <c r="CA301" s="57">
        <f>'2016'!BQ29</f>
        <v>2059</v>
      </c>
      <c r="CB301" s="57">
        <f>'2016'!BR29</f>
        <v>0</v>
      </c>
      <c r="CC301" s="57">
        <f>'2016'!BS29</f>
        <v>0</v>
      </c>
      <c r="CD301" s="59">
        <f>'2016'!BT29</f>
        <v>19</v>
      </c>
      <c r="CE301" s="56">
        <f>'2016'!BU29</f>
        <v>201</v>
      </c>
      <c r="CF301" s="57">
        <f>'2016'!BV29</f>
        <v>1104.6000000000001</v>
      </c>
      <c r="CG301" s="57">
        <f>'2016'!BW29</f>
        <v>2</v>
      </c>
      <c r="CH301" s="57">
        <f>'2016'!BX29</f>
        <v>7.7000000000000011</v>
      </c>
      <c r="CI301" s="57">
        <f>'2016'!BY29</f>
        <v>0</v>
      </c>
      <c r="CJ301" s="57">
        <f>'2016'!BZ29</f>
        <v>0</v>
      </c>
      <c r="CK301" s="58">
        <f>'2016'!CA29</f>
        <v>0</v>
      </c>
      <c r="CL301" s="58">
        <f>'2016'!CB29</f>
        <v>0</v>
      </c>
      <c r="CM301" s="58">
        <f>'2016'!CC29</f>
        <v>0</v>
      </c>
      <c r="CN301" s="58">
        <f>'2016'!CD29</f>
        <v>0</v>
      </c>
      <c r="CO301" s="57">
        <f>'2016'!CE29</f>
        <v>26</v>
      </c>
      <c r="CP301" s="57">
        <f>'2016'!CF29</f>
        <v>1246.7</v>
      </c>
      <c r="CQ301" s="57">
        <f>'2016'!CG29</f>
        <v>3</v>
      </c>
      <c r="CR301" s="57">
        <f>'2016'!CH29</f>
        <v>0</v>
      </c>
      <c r="CS301" s="59">
        <f>'2016'!CI29</f>
        <v>8.4</v>
      </c>
      <c r="CT301" s="56">
        <f>'2016'!CJ29</f>
        <v>296</v>
      </c>
      <c r="CU301" s="57">
        <f>'2016'!CK29</f>
        <v>1653.6000000000001</v>
      </c>
      <c r="CV301" s="57">
        <f>'2016'!CL29</f>
        <v>1</v>
      </c>
      <c r="CW301" s="57">
        <f>'2016'!CM29</f>
        <v>9.6000000000000014</v>
      </c>
      <c r="CX301" s="57">
        <f>'2016'!CN29</f>
        <v>60</v>
      </c>
      <c r="CY301" s="57">
        <f>'2016'!CO29</f>
        <v>3</v>
      </c>
      <c r="CZ301" s="58">
        <f>'2016'!CP29</f>
        <v>4.9333333333333336</v>
      </c>
      <c r="DA301" s="58">
        <f>'2016'!CQ29</f>
        <v>18.100000000000001</v>
      </c>
      <c r="DB301" s="58">
        <f>'2016'!CR29</f>
        <v>2.38</v>
      </c>
      <c r="DC301" s="58">
        <f>'2016'!CS29</f>
        <v>32.4</v>
      </c>
      <c r="DD301" s="57">
        <f>'2016'!CT29</f>
        <v>144</v>
      </c>
      <c r="DE301" s="57">
        <f>'2016'!CU29</f>
        <v>1821.6000000000001</v>
      </c>
      <c r="DF301" s="57">
        <f>'2016'!CV29</f>
        <v>19</v>
      </c>
      <c r="DG301" s="57">
        <f>'2016'!CW29</f>
        <v>2</v>
      </c>
      <c r="DH301" s="59">
        <f>'2016'!CX29</f>
        <v>13.200000000000001</v>
      </c>
      <c r="DI301" s="56">
        <f>'2016'!CY29</f>
        <v>1090</v>
      </c>
      <c r="DJ301" s="57">
        <f>'2016'!CZ29</f>
        <v>1939.1999999999998</v>
      </c>
      <c r="DK301" s="57">
        <f>'2016'!DA29</f>
        <v>14</v>
      </c>
      <c r="DL301" s="57">
        <f>'2016'!DB29</f>
        <v>20.399999999999999</v>
      </c>
      <c r="DM301" s="57">
        <f>'2016'!DC29</f>
        <v>208</v>
      </c>
      <c r="DN301" s="57">
        <f>'2016'!DD29</f>
        <v>28</v>
      </c>
      <c r="DO301" s="58">
        <f>'2016'!DE29</f>
        <v>5.240384615384615</v>
      </c>
      <c r="DP301" s="58">
        <f>'2016'!DF29</f>
        <v>42.1</v>
      </c>
      <c r="DQ301" s="58">
        <f>'2016'!DG29</f>
        <v>2.41</v>
      </c>
      <c r="DR301" s="58">
        <f>'2016'!DH29</f>
        <v>46.3</v>
      </c>
      <c r="DS301" s="57">
        <f>'2016'!DI29</f>
        <v>201</v>
      </c>
      <c r="DT301" s="57">
        <f>'2016'!DJ29</f>
        <v>2631.6000000000004</v>
      </c>
      <c r="DU301" s="57">
        <f>'2016'!DK29</f>
        <v>21</v>
      </c>
      <c r="DV301" s="57">
        <f>'2016'!DL29</f>
        <v>2</v>
      </c>
      <c r="DW301" s="59">
        <f>'2016'!DM29</f>
        <v>18</v>
      </c>
    </row>
    <row r="302" spans="1:127" ht="15.75" customHeight="1" x14ac:dyDescent="0.2">
      <c r="A302" s="33">
        <f t="shared" si="49"/>
        <v>300</v>
      </c>
      <c r="B302" s="11">
        <f>'2023'!A25</f>
        <v>23</v>
      </c>
      <c r="C302" s="11">
        <v>2023</v>
      </c>
      <c r="D302" s="34" t="str">
        <f>'2023'!B25</f>
        <v>Tiyon Evans</v>
      </c>
      <c r="E302" s="224" t="str" cm="1">
        <f t="array" ref="E302">_xlfn.IFS(F302&gt;=13,"Cornerstone",AND(F302&gt;=12,F302&lt;13),"Elite",AND(F302&gt;=11,F302&lt;12),"Elite Upside",AND(F302&gt;=9,F302&lt;11),"Upside",AND(F302&gt;=7,F302&lt;9),"Upside Lite",AND(F302&gt;=6,F302&lt;7),"Outlier",AND(F302&gt;=5,F302&lt;6),"Outlier Lite",F302&lt;5,"Purgatory")</f>
        <v>Purgatory</v>
      </c>
      <c r="F302" s="14">
        <f>'2023'!C25</f>
        <v>3.1666666666666665</v>
      </c>
      <c r="G302" s="14">
        <f t="shared" si="54"/>
        <v>8.2000000000000011</v>
      </c>
      <c r="H302" s="35">
        <f t="shared" si="50"/>
        <v>-2.0466079811009843</v>
      </c>
      <c r="I302" s="36" t="str">
        <f>'2023'!D25</f>
        <v>Louisville</v>
      </c>
      <c r="J302" s="37">
        <f>'2023'!E25</f>
        <v>4</v>
      </c>
      <c r="K302" s="38">
        <f>'2023'!F25</f>
        <v>37043</v>
      </c>
      <c r="L302" s="39">
        <f>'2023'!G25</f>
        <v>24.339726027397262</v>
      </c>
      <c r="M302" s="39" t="str">
        <f>'2023'!H25</f>
        <v>JR</v>
      </c>
      <c r="N302" s="39">
        <f>'2023'!I25</f>
        <v>21.917808219178081</v>
      </c>
      <c r="O302" s="39" t="str">
        <f t="shared" si="51"/>
        <v>BRUISER</v>
      </c>
      <c r="P302" s="39" t="str">
        <f t="shared" si="58"/>
        <v>SLASHER</v>
      </c>
      <c r="Q302" s="37">
        <f>'2023'!J25</f>
        <v>69</v>
      </c>
      <c r="R302" s="37">
        <f>'2023'!K25</f>
        <v>225</v>
      </c>
      <c r="S302" s="39">
        <f t="shared" si="53"/>
        <v>33.226323541493961</v>
      </c>
      <c r="T302" s="37">
        <f>'2023'!L25</f>
        <v>4.5199999999999996</v>
      </c>
      <c r="U302" s="40">
        <f>'2023'!M25</f>
        <v>0</v>
      </c>
      <c r="V302" s="41">
        <f>'2023'!N25</f>
        <v>0</v>
      </c>
      <c r="W302" s="42">
        <f>'2023'!O25</f>
        <v>0</v>
      </c>
      <c r="X302" s="42">
        <f>'2023'!P25</f>
        <v>0</v>
      </c>
      <c r="Y302" s="42">
        <f>'2023'!Q25</f>
        <v>9.8963394881762229E-2</v>
      </c>
      <c r="Z302" s="42">
        <f>'2023'!R25</f>
        <v>0.10047303689687796</v>
      </c>
      <c r="AA302" s="42">
        <f>'2023'!S25</f>
        <v>0.10047303689687796</v>
      </c>
      <c r="AB302" s="42">
        <f>'2023'!T25</f>
        <v>9.0425733207190162E-2</v>
      </c>
      <c r="AC302" s="42">
        <f>'2023'!U25</f>
        <v>2.3040095751047276E-2</v>
      </c>
      <c r="AD302" s="42">
        <f>'2023'!V25</f>
        <v>4.8652694610778445E-3</v>
      </c>
      <c r="AE302" s="42">
        <f>'2023'!W25</f>
        <v>1.395268260606256E-2</v>
      </c>
      <c r="AF302" s="43">
        <f>'2023'!X25</f>
        <v>1.2557414345456305E-2</v>
      </c>
      <c r="AG302" s="44" t="str">
        <f>'2023'!Y25</f>
        <v>N/A</v>
      </c>
      <c r="AH302" s="45">
        <f>'2023'!Z25</f>
        <v>107.80993259989046</v>
      </c>
      <c r="AI302" s="45">
        <f>'2023'!AA25</f>
        <v>33.22306238185255</v>
      </c>
      <c r="AJ302" s="45">
        <f>'2023'!AB25</f>
        <v>0.27160493827160492</v>
      </c>
      <c r="AK302" s="45">
        <f>'2023'!AC25</f>
        <v>6.6</v>
      </c>
      <c r="AL302" s="45">
        <f t="shared" si="52"/>
        <v>8.1818181818181817</v>
      </c>
      <c r="AM302" s="45">
        <f t="shared" si="56"/>
        <v>6.741573033707865E-2</v>
      </c>
      <c r="AN302" s="45">
        <f>'2023'!AD25</f>
        <v>89.4</v>
      </c>
      <c r="AO302" s="45">
        <f>'2023'!AE25</f>
        <v>3.07</v>
      </c>
      <c r="AP302" s="46">
        <f>'2023'!AF25</f>
        <v>47.1</v>
      </c>
      <c r="AQ302" s="47">
        <f>'2023'!AG25</f>
        <v>0</v>
      </c>
      <c r="AR302" s="48">
        <f>'2023'!AH25</f>
        <v>1</v>
      </c>
      <c r="AS302" s="48">
        <f>'2023'!AI25</f>
        <v>0</v>
      </c>
      <c r="AT302" s="48">
        <f>IF(AH302&gt;113.25,10,IF(AH302&gt;=107.84,9,IF(AH302&gt;=105.37,8,IF(AH302&gt;=103.25,7,IF(AH302&gt;=100.55,6,IF(AH302&gt;=98.75,5,IF(AH302&gt;=96.08,4,IF(AH302&gt;=94.39,3,IF(AH302&gt;=88.43,2,IF(AH302&gt;=85.16,1,IF(AH302&lt;85.16,0,FALSE)))))))))))</f>
        <v>8</v>
      </c>
      <c r="AU302" s="48">
        <f>'2023'!AK25</f>
        <v>7</v>
      </c>
      <c r="AV302" s="48">
        <f>'2023'!AL25</f>
        <v>6</v>
      </c>
      <c r="AW302" s="48">
        <f>'2023'!AM25</f>
        <v>3</v>
      </c>
      <c r="AX302" s="48">
        <f>'2023'!AN25</f>
        <v>0</v>
      </c>
      <c r="AY302" s="49">
        <f>'2023'!AO25</f>
        <v>0</v>
      </c>
      <c r="AZ302" s="50">
        <f>'2023'!AP25</f>
        <v>0</v>
      </c>
      <c r="BA302" s="56">
        <f>'2023'!AQ25</f>
        <v>0</v>
      </c>
      <c r="BB302" s="57">
        <f>'2023'!AR25</f>
        <v>1549</v>
      </c>
      <c r="BC302" s="57">
        <f>'2023'!AS25</f>
        <v>0</v>
      </c>
      <c r="BD302" s="57">
        <f>'2023'!AT25</f>
        <v>15</v>
      </c>
      <c r="BE302" s="57">
        <f>'2023'!AU25</f>
        <v>0</v>
      </c>
      <c r="BF302" s="57">
        <f>'2023'!AV25</f>
        <v>0</v>
      </c>
      <c r="BG302" s="58">
        <f>'2023'!AW25</f>
        <v>0</v>
      </c>
      <c r="BH302" s="58">
        <f>'2023'!AX25</f>
        <v>0</v>
      </c>
      <c r="BI302" s="58">
        <f>'2023'!AY25</f>
        <v>0</v>
      </c>
      <c r="BJ302" s="58">
        <f>'2023'!AZ25</f>
        <v>0</v>
      </c>
      <c r="BK302" s="57">
        <f>'2023'!BA25</f>
        <v>0</v>
      </c>
      <c r="BL302" s="57">
        <f>'2023'!BB25</f>
        <v>2357</v>
      </c>
      <c r="BM302" s="57">
        <f>'2023'!BC25</f>
        <v>0</v>
      </c>
      <c r="BN302" s="57">
        <f>'2023'!BD25</f>
        <v>0</v>
      </c>
      <c r="BO302" s="59">
        <f>'2023'!BE25</f>
        <v>15</v>
      </c>
      <c r="BP302" s="56">
        <f>'2023'!BF25</f>
        <v>0</v>
      </c>
      <c r="BQ302" s="57">
        <f>'2023'!BG25</f>
        <v>1874</v>
      </c>
      <c r="BR302" s="57">
        <f>'2023'!BH25</f>
        <v>0</v>
      </c>
      <c r="BS302" s="57">
        <f>'2023'!BI25</f>
        <v>13</v>
      </c>
      <c r="BT302" s="57">
        <f>'2023'!BJ25</f>
        <v>0</v>
      </c>
      <c r="BU302" s="57">
        <f>'2023'!BK25</f>
        <v>0</v>
      </c>
      <c r="BV302" s="58">
        <f>'2023'!BL25</f>
        <v>0</v>
      </c>
      <c r="BW302" s="58">
        <f>'2023'!BM25</f>
        <v>0</v>
      </c>
      <c r="BX302" s="58">
        <f>'2023'!BN25</f>
        <v>0</v>
      </c>
      <c r="BY302" s="58">
        <f>'2023'!BO25</f>
        <v>0</v>
      </c>
      <c r="BZ302" s="57">
        <f>'2023'!BP25</f>
        <v>0</v>
      </c>
      <c r="CA302" s="57">
        <f>'2023'!BQ25</f>
        <v>2878</v>
      </c>
      <c r="CB302" s="57">
        <f>'2023'!BR25</f>
        <v>0</v>
      </c>
      <c r="CC302" s="57">
        <f>'2023'!BS25</f>
        <v>0</v>
      </c>
      <c r="CD302" s="59">
        <f>'2023'!BT25</f>
        <v>19</v>
      </c>
      <c r="CE302" s="56">
        <f>'2023'!BU25</f>
        <v>0</v>
      </c>
      <c r="CF302" s="57">
        <f>'2023'!BV25</f>
        <v>1415</v>
      </c>
      <c r="CG302" s="57">
        <f>'2023'!BW25</f>
        <v>0</v>
      </c>
      <c r="CH302" s="57">
        <f>'2023'!BX25</f>
        <v>12</v>
      </c>
      <c r="CI302" s="57">
        <f>'2023'!BY25</f>
        <v>0</v>
      </c>
      <c r="CJ302" s="57">
        <f>'2023'!BZ25</f>
        <v>0</v>
      </c>
      <c r="CK302" s="58">
        <f>'2023'!CA25</f>
        <v>0</v>
      </c>
      <c r="CL302" s="58">
        <f>'2023'!CB25</f>
        <v>0</v>
      </c>
      <c r="CM302" s="58">
        <f>'2023'!CC25</f>
        <v>0</v>
      </c>
      <c r="CN302" s="58">
        <f>'2023'!CD25</f>
        <v>0</v>
      </c>
      <c r="CO302" s="57">
        <f>'2023'!CE25</f>
        <v>0</v>
      </c>
      <c r="CP302" s="57">
        <f>'2023'!CF25</f>
        <v>2047</v>
      </c>
      <c r="CQ302" s="57">
        <f>'2023'!CG25</f>
        <v>0</v>
      </c>
      <c r="CR302" s="57">
        <f>'2023'!CH25</f>
        <v>0</v>
      </c>
      <c r="CS302" s="59">
        <f>'2023'!CI25</f>
        <v>14</v>
      </c>
      <c r="CT302" s="56">
        <f>'2023'!CJ25</f>
        <v>534</v>
      </c>
      <c r="CU302" s="57">
        <f>'2023'!CK25</f>
        <v>2832</v>
      </c>
      <c r="CV302" s="57">
        <f>'2023'!CL25</f>
        <v>6</v>
      </c>
      <c r="CW302" s="57">
        <f>'2023'!CM25</f>
        <v>30</v>
      </c>
      <c r="CX302" s="57">
        <f>'2023'!CN25</f>
        <v>81</v>
      </c>
      <c r="CY302" s="57">
        <f>'2023'!CO25</f>
        <v>22</v>
      </c>
      <c r="CZ302" s="58">
        <f>'2023'!CP25</f>
        <v>6.6</v>
      </c>
      <c r="DA302" s="58">
        <f>'2023'!CQ25</f>
        <v>89.4</v>
      </c>
      <c r="DB302" s="58">
        <f>'2023'!CR25</f>
        <v>3.07</v>
      </c>
      <c r="DC302" s="58">
        <f>'2023'!CS25</f>
        <v>36</v>
      </c>
      <c r="DD302" s="57">
        <f>'2023'!CT25</f>
        <v>77</v>
      </c>
      <c r="DE302" s="57">
        <f>'2023'!CU25</f>
        <v>3342</v>
      </c>
      <c r="DF302" s="57">
        <f>'2023'!CV25</f>
        <v>5</v>
      </c>
      <c r="DG302" s="57">
        <f>'2023'!CW25</f>
        <v>0</v>
      </c>
      <c r="DH302" s="59">
        <f>'2023'!CX25</f>
        <v>33</v>
      </c>
      <c r="DI302" s="56">
        <f>'2023'!CY25</f>
        <v>518</v>
      </c>
      <c r="DJ302" s="57">
        <f>'2023'!CZ25</f>
        <v>2613</v>
      </c>
      <c r="DK302" s="57">
        <f>'2023'!DA25</f>
        <v>6</v>
      </c>
      <c r="DL302" s="57">
        <f>'2023'!DB25</f>
        <v>25</v>
      </c>
      <c r="DM302" s="57">
        <f>'2023'!DC25</f>
        <v>83</v>
      </c>
      <c r="DN302" s="57">
        <f>'2023'!DD25</f>
        <v>22</v>
      </c>
      <c r="DO302" s="58">
        <f>'2023'!DE25</f>
        <v>6.2</v>
      </c>
      <c r="DP302" s="58">
        <f>'2023'!DF25</f>
        <v>83.6</v>
      </c>
      <c r="DQ302" s="58">
        <f>'2023'!DG25</f>
        <v>2.98</v>
      </c>
      <c r="DR302" s="58">
        <f>'2023'!DH25</f>
        <v>47.1</v>
      </c>
      <c r="DS302" s="57">
        <f>'2023'!DI25</f>
        <v>13</v>
      </c>
      <c r="DT302" s="57">
        <f>'2023'!DJ25</f>
        <v>2672</v>
      </c>
      <c r="DU302" s="57">
        <f>'2023'!DK25</f>
        <v>6</v>
      </c>
      <c r="DV302" s="57">
        <f>'2023'!DL25</f>
        <v>0</v>
      </c>
      <c r="DW302" s="59">
        <f>'2023'!DM25</f>
        <v>13</v>
      </c>
    </row>
    <row r="303" spans="1:127" ht="15.75" customHeight="1" x14ac:dyDescent="0.2">
      <c r="A303" s="33">
        <f t="shared" si="49"/>
        <v>301</v>
      </c>
      <c r="B303" s="11">
        <f>'2021'!A23</f>
        <v>21</v>
      </c>
      <c r="C303" s="11">
        <v>2021</v>
      </c>
      <c r="D303" s="34" t="str">
        <f>'2021'!B23</f>
        <v>Gerrid Doaks</v>
      </c>
      <c r="E303" s="224" t="str" cm="1">
        <f t="array" ref="E303">_xlfn.IFS(F303&gt;=13,"Cornerstone",AND(F303&gt;=12,F303&lt;13),"Elite",AND(F303&gt;=11,F303&lt;12),"Elite Upside",AND(F303&gt;=9,F303&lt;11),"Upside",AND(F303&gt;=7,F303&lt;9),"Upside Lite",AND(F303&gt;=6,F303&lt;7),"Outlier",AND(F303&gt;=5,F303&lt;6),"Outlier Lite",F303&lt;5,"Purgatory")</f>
        <v>Purgatory</v>
      </c>
      <c r="F303" s="14">
        <f>'2021'!C23</f>
        <v>3.1500000000000004</v>
      </c>
      <c r="G303" s="14">
        <f t="shared" si="54"/>
        <v>7.9</v>
      </c>
      <c r="H303" s="35">
        <f t="shared" si="50"/>
        <v>-2.0536617321716446</v>
      </c>
      <c r="I303" s="36" t="str">
        <f>'2021'!D23</f>
        <v>Cincinnati</v>
      </c>
      <c r="J303" s="37">
        <f>'2021'!E23</f>
        <v>6</v>
      </c>
      <c r="K303" s="38">
        <f>'2021'!F23</f>
        <v>35955</v>
      </c>
      <c r="L303" s="39">
        <f>'2021'!G23</f>
        <v>27.32054794520548</v>
      </c>
      <c r="M303" s="39" t="str">
        <f>'2021'!H23</f>
        <v>SR</v>
      </c>
      <c r="N303" s="39">
        <f>'2021'!I23</f>
        <v>22.904109589041095</v>
      </c>
      <c r="O303" s="39" t="str">
        <f t="shared" si="51"/>
        <v>BRUISER</v>
      </c>
      <c r="P303" s="39" t="str">
        <f t="shared" si="58"/>
        <v>PLODDER</v>
      </c>
      <c r="Q303" s="37">
        <f>'2021'!J23</f>
        <v>71</v>
      </c>
      <c r="R303" s="37">
        <f>'2021'!K23</f>
        <v>228</v>
      </c>
      <c r="S303" s="39">
        <f t="shared" si="53"/>
        <v>31.799193294875387</v>
      </c>
      <c r="T303" s="37">
        <f>'2021'!L23</f>
        <v>4.58</v>
      </c>
      <c r="U303" s="40">
        <f>'2021'!M23</f>
        <v>7</v>
      </c>
      <c r="V303" s="41">
        <f>'2021'!N23</f>
        <v>0</v>
      </c>
      <c r="W303" s="42">
        <f>'2021'!O23</f>
        <v>0.15351812366737741</v>
      </c>
      <c r="X303" s="42">
        <f>'2021'!P23</f>
        <v>0</v>
      </c>
      <c r="Y303" s="42">
        <f>'2021'!Q23</f>
        <v>0.10889458272327965</v>
      </c>
      <c r="Z303" s="42">
        <f>'2021'!R23</f>
        <v>0.19401330376940132</v>
      </c>
      <c r="AA303" s="42">
        <f>'2021'!S23</f>
        <v>0.19401330376940132</v>
      </c>
      <c r="AB303" s="42">
        <f>'2021'!T23</f>
        <v>0.145509977827051</v>
      </c>
      <c r="AC303" s="42">
        <f>'2021'!U23</f>
        <v>2.7429467084639499E-2</v>
      </c>
      <c r="AD303" s="42">
        <f>'2021'!V23</f>
        <v>8.4660519698239733E-2</v>
      </c>
      <c r="AE303" s="42">
        <f>'2021'!W23</f>
        <v>8.4660519698239733E-2</v>
      </c>
      <c r="AF303" s="43">
        <f>'2021'!X23</f>
        <v>6.34953897736798E-2</v>
      </c>
      <c r="AG303" s="44">
        <f>'2021'!Y23</f>
        <v>19.241095890410961</v>
      </c>
      <c r="AH303" s="45">
        <f>'2021'!Z23</f>
        <v>103.63415977116451</v>
      </c>
      <c r="AI303" s="45">
        <f>'2021'!AA23</f>
        <v>31.796072207895257</v>
      </c>
      <c r="AJ303" s="45">
        <f>'2021'!AB23</f>
        <v>0.1736111111111111</v>
      </c>
      <c r="AK303" s="45">
        <f>'2021'!AC23</f>
        <v>5.3</v>
      </c>
      <c r="AL303" s="45">
        <f t="shared" si="52"/>
        <v>11.305555555555555</v>
      </c>
      <c r="AM303" s="45">
        <f t="shared" si="56"/>
        <v>8.8607594936708861E-2</v>
      </c>
      <c r="AN303" s="45">
        <f>'2021'!AD23</f>
        <v>44.5</v>
      </c>
      <c r="AO303" s="45">
        <f>'2021'!AE23</f>
        <v>3.57</v>
      </c>
      <c r="AP303" s="46">
        <f>'2021'!AF23</f>
        <v>36.1</v>
      </c>
      <c r="AQ303" s="47">
        <f>'2021'!AG23</f>
        <v>1</v>
      </c>
      <c r="AR303" s="48">
        <f>'2021'!AH23</f>
        <v>7</v>
      </c>
      <c r="AS303" s="48">
        <f>'2021'!AI23</f>
        <v>7</v>
      </c>
      <c r="AT303" s="48">
        <f>IF(AH303&gt;113.25,10,IF(AH303&gt;=107.84,9,IF(AH303&gt;=105.37,8,IF(AH303&gt;=103.25,7,IF(AH303&gt;=100.55,6,IF(AH303&gt;=98.75,5,IF(AH303&gt;=96.08,4,IF(AH303&gt;=94.39,3,IF(AH303&gt;=88.43,2,IF(AH303&gt;=85.16,1,IF(AH303&lt;85.16,0,FALSE)))))))))))</f>
        <v>7</v>
      </c>
      <c r="AU303" s="48">
        <f>'2021'!AK23</f>
        <v>2</v>
      </c>
      <c r="AV303" s="48">
        <f>'2021'!AL23</f>
        <v>2</v>
      </c>
      <c r="AW303" s="48">
        <f>'2021'!AM23</f>
        <v>0</v>
      </c>
      <c r="AX303" s="48">
        <f>'2021'!AN23</f>
        <v>2</v>
      </c>
      <c r="AY303" s="49">
        <f>IF(U303=1,10,IF(U303=2,7,IF(U303=3,6,IF(U303=4,4,IF(U303=5,3,IF(U303=6,2,IF(U303=7,1,IF(U303=0,0,"-"))))))))</f>
        <v>1</v>
      </c>
      <c r="AZ303" s="50">
        <f>'2021'!AP23</f>
        <v>0</v>
      </c>
      <c r="BA303" s="56">
        <f>'2021'!AQ23</f>
        <v>0</v>
      </c>
      <c r="BB303" s="57">
        <f>'2021'!AR23</f>
        <v>1418</v>
      </c>
      <c r="BC303" s="57">
        <f>'2021'!AS23</f>
        <v>0</v>
      </c>
      <c r="BD303" s="57">
        <f>'2021'!AT23</f>
        <v>8</v>
      </c>
      <c r="BE303" s="57">
        <f>'2021'!AU23</f>
        <v>0</v>
      </c>
      <c r="BF303" s="57">
        <f>'2021'!AV23</f>
        <v>0</v>
      </c>
      <c r="BG303" s="58">
        <f>'2021'!AW23</f>
        <v>0</v>
      </c>
      <c r="BH303" s="58">
        <f>'2021'!AX23</f>
        <v>0</v>
      </c>
      <c r="BI303" s="58">
        <f>'2021'!AY23</f>
        <v>0</v>
      </c>
      <c r="BJ303" s="58">
        <f>'2021'!AZ23</f>
        <v>0</v>
      </c>
      <c r="BK303" s="57">
        <f>'2021'!BA23</f>
        <v>0</v>
      </c>
      <c r="BL303" s="57">
        <f>'2021'!BB23</f>
        <v>3071</v>
      </c>
      <c r="BM303" s="57">
        <f>'2021'!BC23</f>
        <v>0</v>
      </c>
      <c r="BN303" s="57">
        <f>'2021'!BD23</f>
        <v>0</v>
      </c>
      <c r="BO303" s="59">
        <f>'2021'!BE23</f>
        <v>19</v>
      </c>
      <c r="BP303" s="56">
        <f>'2021'!BF23</f>
        <v>513</v>
      </c>
      <c r="BQ303" s="57">
        <f>'2021'!BG23</f>
        <v>1624</v>
      </c>
      <c r="BR303" s="57">
        <f>'2021'!BH23</f>
        <v>2</v>
      </c>
      <c r="BS303" s="57">
        <f>'2021'!BI23</f>
        <v>11</v>
      </c>
      <c r="BT303" s="57">
        <f>'2021'!BJ23</f>
        <v>87</v>
      </c>
      <c r="BU303" s="57">
        <f>'2021'!BK23</f>
        <v>17</v>
      </c>
      <c r="BV303" s="58">
        <f>'2021'!BL23</f>
        <v>5.9</v>
      </c>
      <c r="BW303" s="58">
        <f>'2021'!BM23</f>
        <v>83.3</v>
      </c>
      <c r="BX303" s="58">
        <f>'2021'!BN23</f>
        <v>4.21</v>
      </c>
      <c r="BY303" s="58">
        <f>'2021'!BO23</f>
        <v>44.4</v>
      </c>
      <c r="BZ303" s="57">
        <f>'2021'!BP23</f>
        <v>135</v>
      </c>
      <c r="CA303" s="57">
        <f>'2021'!BQ23</f>
        <v>2597</v>
      </c>
      <c r="CB303" s="57">
        <f>'2021'!BR23</f>
        <v>14</v>
      </c>
      <c r="CC303" s="57">
        <f>'2021'!BS23</f>
        <v>0</v>
      </c>
      <c r="CD303" s="59">
        <f>'2021'!BT23</f>
        <v>20</v>
      </c>
      <c r="CE303" s="56">
        <f>'2021'!BU23</f>
        <v>0</v>
      </c>
      <c r="CF303" s="57">
        <f>'2021'!BV23</f>
        <v>3113</v>
      </c>
      <c r="CG303" s="57">
        <f>'2021'!BW23</f>
        <v>0</v>
      </c>
      <c r="CH303" s="57">
        <f>'2021'!BX23</f>
        <v>38</v>
      </c>
      <c r="CI303" s="57">
        <f>'2021'!BY23</f>
        <v>0</v>
      </c>
      <c r="CJ303" s="57">
        <f>'2021'!BZ23</f>
        <v>0</v>
      </c>
      <c r="CK303" s="58">
        <f>'2021'!CA23</f>
        <v>0</v>
      </c>
      <c r="CL303" s="58">
        <f>'2021'!CB23</f>
        <v>0</v>
      </c>
      <c r="CM303" s="58">
        <f>'2021'!CC23</f>
        <v>0</v>
      </c>
      <c r="CN303" s="58">
        <f>'2021'!CD23</f>
        <v>0</v>
      </c>
      <c r="CO303" s="57">
        <f>'2021'!CE23</f>
        <v>0</v>
      </c>
      <c r="CP303" s="57">
        <f>'2021'!CF23</f>
        <v>2847</v>
      </c>
      <c r="CQ303" s="57">
        <f>'2021'!CG23</f>
        <v>0</v>
      </c>
      <c r="CR303" s="57">
        <f>'2021'!CH23</f>
        <v>0</v>
      </c>
      <c r="CS303" s="59">
        <f>'2021'!CI23</f>
        <v>22</v>
      </c>
      <c r="CT303" s="56">
        <f>'2021'!CJ23</f>
        <v>525</v>
      </c>
      <c r="CU303" s="57">
        <f>'2021'!CK23</f>
        <v>2912</v>
      </c>
      <c r="CV303" s="57">
        <f>'2021'!CL23</f>
        <v>5</v>
      </c>
      <c r="CW303" s="57">
        <f>'2021'!CM23</f>
        <v>30</v>
      </c>
      <c r="CX303" s="57">
        <f>'2021'!CN23</f>
        <v>100</v>
      </c>
      <c r="CY303" s="57">
        <f>'2021'!CO23</f>
        <v>11</v>
      </c>
      <c r="CZ303" s="58">
        <f>'2021'!CP23</f>
        <v>5.3</v>
      </c>
      <c r="DA303" s="58">
        <f>'2021'!CQ23</f>
        <v>43</v>
      </c>
      <c r="DB303" s="58">
        <f>'2021'!CR23</f>
        <v>3.57</v>
      </c>
      <c r="DC303" s="58">
        <f>'2021'!CS23</f>
        <v>18.3</v>
      </c>
      <c r="DD303" s="57">
        <f>'2021'!CT23</f>
        <v>70</v>
      </c>
      <c r="DE303" s="57">
        <f>'2021'!CU23</f>
        <v>2552</v>
      </c>
      <c r="DF303" s="57">
        <f>'2021'!CV23</f>
        <v>8</v>
      </c>
      <c r="DG303" s="57">
        <f>'2021'!CW23</f>
        <v>0</v>
      </c>
      <c r="DH303" s="59">
        <f>'2021'!CX23</f>
        <v>19</v>
      </c>
      <c r="DI303" s="56">
        <f>'2021'!CY23</f>
        <v>673</v>
      </c>
      <c r="DJ303" s="57">
        <f>'2021'!CZ23</f>
        <v>2124</v>
      </c>
      <c r="DK303" s="57">
        <f>'2021'!DA23</f>
        <v>7</v>
      </c>
      <c r="DL303" s="57">
        <f>'2021'!DB23</f>
        <v>29</v>
      </c>
      <c r="DM303" s="57">
        <f>'2021'!DC23</f>
        <v>144</v>
      </c>
      <c r="DN303" s="57">
        <f>'2021'!DD23</f>
        <v>25</v>
      </c>
      <c r="DO303" s="58">
        <f>'2021'!DE23</f>
        <v>4.7</v>
      </c>
      <c r="DP303" s="58">
        <f>'2021'!DF23</f>
        <v>44.5</v>
      </c>
      <c r="DQ303" s="58">
        <f>'2021'!DG23</f>
        <v>2.7</v>
      </c>
      <c r="DR303" s="58">
        <f>'2021'!DH23</f>
        <v>36.1</v>
      </c>
      <c r="DS303" s="57">
        <f>'2021'!DI23</f>
        <v>202</v>
      </c>
      <c r="DT303" s="57">
        <f>'2021'!DJ23</f>
        <v>2386</v>
      </c>
      <c r="DU303" s="57">
        <f>'2021'!DK23</f>
        <v>14</v>
      </c>
      <c r="DV303" s="57">
        <f>'2021'!DL23</f>
        <v>0</v>
      </c>
      <c r="DW303" s="59">
        <f>'2021'!DM23</f>
        <v>20</v>
      </c>
    </row>
    <row r="304" spans="1:127" ht="15.75" customHeight="1" x14ac:dyDescent="0.2">
      <c r="A304" s="33">
        <f t="shared" si="49"/>
        <v>302</v>
      </c>
      <c r="B304" s="11">
        <f>'2025'!A36</f>
        <v>34</v>
      </c>
      <c r="C304" s="11">
        <v>2025</v>
      </c>
      <c r="D304" s="34" t="str">
        <f>'2025'!B36</f>
        <v>Kay'ron Lynch-Adams</v>
      </c>
      <c r="E304" s="224" t="str" cm="1">
        <f t="array" ref="E304">_xlfn.IFS(F304&gt;=13,"Cornerstone",AND(F304&gt;=12,F304&lt;13),"Elite",AND(F304&gt;=11,F304&lt;12),"Elite Upside",AND(F304&gt;=9,F304&lt;11),"Upside",AND(F304&gt;=7,F304&lt;9),"Upside Lite",AND(F304&gt;=6,F304&lt;7),"Outlier",AND(F304&gt;=5,F304&lt;6),"Outlier Lite",F304&lt;5,"Purgatory")</f>
        <v>Purgatory</v>
      </c>
      <c r="F304" s="14">
        <f>'2025'!C36</f>
        <v>3.1166666666666663</v>
      </c>
      <c r="G304" s="14">
        <f t="shared" si="54"/>
        <v>7.6</v>
      </c>
      <c r="H304" s="35">
        <f t="shared" si="50"/>
        <v>-2.0677692343129666</v>
      </c>
      <c r="I304" s="36" t="str">
        <f>'2025'!D36</f>
        <v>Michigan State</v>
      </c>
      <c r="J304" s="37">
        <f>'2025'!E36</f>
        <v>2</v>
      </c>
      <c r="K304" s="38">
        <f>'2025'!F36</f>
        <v>36681</v>
      </c>
      <c r="L304" s="39">
        <f>'2025'!G36</f>
        <v>25.331506849315069</v>
      </c>
      <c r="M304" s="39" t="str">
        <f>'2025'!H36</f>
        <v>RS SR</v>
      </c>
      <c r="N304" s="39">
        <f>'2025'!I36</f>
        <v>24.912328767123288</v>
      </c>
      <c r="O304" s="39" t="str">
        <f t="shared" si="51"/>
        <v>DYNAMIC</v>
      </c>
      <c r="P304" s="39" t="str">
        <f t="shared" si="58"/>
        <v>SLASHER</v>
      </c>
      <c r="Q304" s="37">
        <f>'2025'!J36</f>
        <v>68</v>
      </c>
      <c r="R304" s="37">
        <f>'2025'!K36</f>
        <v>185</v>
      </c>
      <c r="S304" s="39">
        <f t="shared" si="53"/>
        <v>28.128842157338298</v>
      </c>
      <c r="T304" s="37">
        <f>'2025'!L36</f>
        <v>4.55</v>
      </c>
      <c r="U304" s="40">
        <f>'2025'!M36</f>
        <v>0</v>
      </c>
      <c r="V304" s="41">
        <f>'2025'!N36</f>
        <v>7.5550345186921969E-2</v>
      </c>
      <c r="W304" s="42">
        <f>'2025'!O36</f>
        <v>0.12703420790435072</v>
      </c>
      <c r="X304" s="42">
        <f>'2025'!P36</f>
        <v>4.1776439593526532E-2</v>
      </c>
      <c r="Y304" s="42">
        <f>'2025'!Q36</f>
        <v>0.29750210496772389</v>
      </c>
      <c r="Z304" s="42">
        <f>'2025'!R36</f>
        <v>0.18344496651004699</v>
      </c>
      <c r="AA304" s="42">
        <f>'2025'!S36</f>
        <v>0.24047353573888544</v>
      </c>
      <c r="AB304" s="42">
        <f>'2025'!T36</f>
        <v>0.24047353573888544</v>
      </c>
      <c r="AC304" s="42">
        <f>'2025'!U36</f>
        <v>4.592869375681146E-2</v>
      </c>
      <c r="AD304" s="42">
        <f>'2025'!V36</f>
        <v>3.2477456824086814E-2</v>
      </c>
      <c r="AE304" s="42">
        <f>'2025'!W36</f>
        <v>3.9203075290449141E-2</v>
      </c>
      <c r="AF304" s="43">
        <f>'2025'!X36</f>
        <v>3.9203075290449141E-2</v>
      </c>
      <c r="AG304" s="44">
        <f>'2025'!Y36</f>
        <v>23.265753424657536</v>
      </c>
      <c r="AH304" s="45">
        <f>'2025'!Z36</f>
        <v>86.328886136734383</v>
      </c>
      <c r="AI304" s="45">
        <f>'2025'!AA36</f>
        <v>28.126081314878896</v>
      </c>
      <c r="AJ304" s="45">
        <f>'2025'!AB36</f>
        <v>0.34586466165413532</v>
      </c>
      <c r="AK304" s="45">
        <f>'2025'!AC36</f>
        <v>4.9106382978723406</v>
      </c>
      <c r="AL304" s="45">
        <f t="shared" si="52"/>
        <v>6.5306122448979593</v>
      </c>
      <c r="AM304" s="45">
        <f t="shared" si="56"/>
        <v>0.10135135135135136</v>
      </c>
      <c r="AN304" s="45">
        <f>'2025'!AD36</f>
        <v>109.3</v>
      </c>
      <c r="AO304" s="45">
        <f>'2025'!AE36</f>
        <v>3.4</v>
      </c>
      <c r="AP304" s="46">
        <f>'2025'!AF36</f>
        <v>43</v>
      </c>
      <c r="AQ304" s="47">
        <f>'2025'!AG36</f>
        <v>6</v>
      </c>
      <c r="AR304" s="48">
        <f>'2025'!AH36</f>
        <v>4</v>
      </c>
      <c r="AS304" s="48">
        <f>'2025'!AI36</f>
        <v>0</v>
      </c>
      <c r="AT304" s="48">
        <f>'2025'!AJ36</f>
        <v>1</v>
      </c>
      <c r="AU304" s="48">
        <f>'2025'!AK36</f>
        <v>9</v>
      </c>
      <c r="AV304" s="48">
        <f>'2025'!AL36</f>
        <v>1</v>
      </c>
      <c r="AW304" s="48">
        <f>'2025'!AM36</f>
        <v>5</v>
      </c>
      <c r="AX304" s="48">
        <f>'2025'!AN36</f>
        <v>1</v>
      </c>
      <c r="AY304" s="49">
        <f>'2025'!AO36</f>
        <v>0</v>
      </c>
      <c r="AZ304" s="50">
        <f>'2025'!AP36</f>
        <v>0</v>
      </c>
      <c r="BA304" s="56">
        <f>'2025'!AQ36</f>
        <v>159</v>
      </c>
      <c r="BB304" s="57">
        <f>'2025'!AR36</f>
        <v>1281.6000000000001</v>
      </c>
      <c r="BC304" s="57">
        <f>'2025'!AS36</f>
        <v>1</v>
      </c>
      <c r="BD304" s="57">
        <f>'2025'!AT36</f>
        <v>12.6</v>
      </c>
      <c r="BE304" s="57">
        <f>'2025'!AU36</f>
        <v>35</v>
      </c>
      <c r="BF304" s="57">
        <f>'2025'!AV36</f>
        <v>3</v>
      </c>
      <c r="BG304" s="58">
        <f>'2025'!AW36</f>
        <v>4.5428571428571427</v>
      </c>
      <c r="BH304" s="58">
        <f>'2025'!AX36</f>
        <v>24</v>
      </c>
      <c r="BI304" s="58">
        <f>'2025'!AY36</f>
        <v>3.11</v>
      </c>
      <c r="BJ304" s="58">
        <f>'2025'!AZ36</f>
        <v>34.6</v>
      </c>
      <c r="BK304" s="57">
        <f>'2025'!BA36</f>
        <v>73</v>
      </c>
      <c r="BL304" s="57">
        <f>'2025'!BB36</f>
        <v>1789.2</v>
      </c>
      <c r="BM304" s="57">
        <f>'2025'!BC36</f>
        <v>4</v>
      </c>
      <c r="BN304" s="57">
        <f>'2025'!BD36</f>
        <v>1</v>
      </c>
      <c r="BO304" s="59">
        <f>'2025'!BE36</f>
        <v>14.4</v>
      </c>
      <c r="BP304" s="56">
        <f>'2025'!BF36</f>
        <v>110</v>
      </c>
      <c r="BQ304" s="57">
        <f>'2025'!BG36</f>
        <v>592</v>
      </c>
      <c r="BR304" s="57">
        <f>'2025'!BH36</f>
        <v>1</v>
      </c>
      <c r="BS304" s="57">
        <f>'2025'!BI36</f>
        <v>4.8</v>
      </c>
      <c r="BT304" s="57">
        <f>'2025'!BJ36</f>
        <v>40</v>
      </c>
      <c r="BU304" s="57">
        <f>'2025'!BK36</f>
        <v>10</v>
      </c>
      <c r="BV304" s="58">
        <f>'2025'!BL36</f>
        <v>2.75</v>
      </c>
      <c r="BW304" s="58">
        <f>'2025'!BM36</f>
        <v>61.4</v>
      </c>
      <c r="BX304" s="58">
        <f>'2025'!BN36</f>
        <v>2.63</v>
      </c>
      <c r="BY304" s="58">
        <f>'2025'!BO36</f>
        <v>36.4</v>
      </c>
      <c r="BZ304" s="57">
        <f>'2025'!BP36</f>
        <v>43</v>
      </c>
      <c r="CA304" s="57">
        <f>'2025'!BQ36</f>
        <v>612.4</v>
      </c>
      <c r="CB304" s="57">
        <f>'2025'!BR36</f>
        <v>7</v>
      </c>
      <c r="CC304" s="57">
        <f>'2025'!BS36</f>
        <v>0</v>
      </c>
      <c r="CD304" s="59">
        <f>'2025'!BT36</f>
        <v>3.6</v>
      </c>
      <c r="CE304" s="56">
        <f>'2025'!BU36</f>
        <v>110</v>
      </c>
      <c r="CF304" s="57">
        <f>'2025'!BV36</f>
        <v>1488</v>
      </c>
      <c r="CG304" s="57">
        <f>'2025'!BW36</f>
        <v>1</v>
      </c>
      <c r="CH304" s="57">
        <f>'2025'!BX36</f>
        <v>8</v>
      </c>
      <c r="CI304" s="57">
        <f>'2025'!BY36</f>
        <v>82</v>
      </c>
      <c r="CJ304" s="57">
        <f>'2025'!BZ36</f>
        <v>13</v>
      </c>
      <c r="CK304" s="58">
        <f>'2025'!CA36</f>
        <v>1.3414634146341464</v>
      </c>
      <c r="CL304" s="58">
        <f>'2025'!CB36</f>
        <v>43.6</v>
      </c>
      <c r="CM304" s="58">
        <f>'2025'!CC36</f>
        <v>2.85</v>
      </c>
      <c r="CN304" s="58">
        <f>'2025'!CD36</f>
        <v>27.3</v>
      </c>
      <c r="CO304" s="57">
        <f>'2025'!CE36</f>
        <v>1</v>
      </c>
      <c r="CP304" s="57">
        <f>'2025'!CF36</f>
        <v>1169</v>
      </c>
      <c r="CQ304" s="57">
        <f>'2025'!CG36</f>
        <v>3</v>
      </c>
      <c r="CR304" s="57">
        <f>'2025'!CH36</f>
        <v>0</v>
      </c>
      <c r="CS304" s="59">
        <f>'2025'!CI36</f>
        <v>3</v>
      </c>
      <c r="CT304" s="56">
        <f>'2025'!CJ36</f>
        <v>1154</v>
      </c>
      <c r="CU304" s="57">
        <f>'2025'!CK36</f>
        <v>1706.3999999999999</v>
      </c>
      <c r="CV304" s="57">
        <f>'2025'!CL36</f>
        <v>12</v>
      </c>
      <c r="CW304" s="57">
        <f>'2025'!CM36</f>
        <v>19.200000000000003</v>
      </c>
      <c r="CX304" s="57">
        <f>'2025'!CN36</f>
        <v>235</v>
      </c>
      <c r="CY304" s="57">
        <f>'2025'!CO36</f>
        <v>74</v>
      </c>
      <c r="CZ304" s="58">
        <f>'2025'!CP36</f>
        <v>4.9106382978723406</v>
      </c>
      <c r="DA304" s="58">
        <f>'2025'!CQ36</f>
        <v>108.1</v>
      </c>
      <c r="DB304" s="58">
        <f>'2025'!CR36</f>
        <v>3.4</v>
      </c>
      <c r="DC304" s="58">
        <f>'2025'!CS36</f>
        <v>43</v>
      </c>
      <c r="DD304" s="57">
        <f>'2025'!CT36</f>
        <v>118</v>
      </c>
      <c r="DE304" s="57">
        <f>'2025'!CU36</f>
        <v>2569.1999999999998</v>
      </c>
      <c r="DF304" s="57">
        <f>'2025'!CV36</f>
        <v>20</v>
      </c>
      <c r="DG304" s="57">
        <f>'2025'!CW36</f>
        <v>0</v>
      </c>
      <c r="DH304" s="59">
        <f>'2025'!CX36</f>
        <v>14.399999999999999</v>
      </c>
      <c r="DI304" s="56">
        <f>'2025'!CY36</f>
        <v>649</v>
      </c>
      <c r="DJ304" s="57">
        <f>'2025'!CZ36</f>
        <v>1384</v>
      </c>
      <c r="DK304" s="57">
        <f>'2025'!DA36</f>
        <v>2</v>
      </c>
      <c r="DL304" s="57">
        <f>'2025'!DB36</f>
        <v>10.8</v>
      </c>
      <c r="DM304" s="57">
        <f>'2025'!DC36</f>
        <v>133</v>
      </c>
      <c r="DN304" s="57">
        <f>'2025'!DD36</f>
        <v>46</v>
      </c>
      <c r="DO304" s="58">
        <f>'2025'!DE36</f>
        <v>4.8796992481203008</v>
      </c>
      <c r="DP304" s="58">
        <f>'2025'!DF36</f>
        <v>109.3</v>
      </c>
      <c r="DQ304" s="58">
        <f>'2025'!DG36</f>
        <v>3.3</v>
      </c>
      <c r="DR304" s="58">
        <f>'2025'!DH36</f>
        <v>31.4</v>
      </c>
      <c r="DS304" s="57">
        <f>'2025'!DI36</f>
        <v>85</v>
      </c>
      <c r="DT304" s="57">
        <f>'2025'!DJ36</f>
        <v>2617.1999999999998</v>
      </c>
      <c r="DU304" s="57">
        <f>'2025'!DK36</f>
        <v>15</v>
      </c>
      <c r="DV304" s="57">
        <f>'2025'!DL36</f>
        <v>0</v>
      </c>
      <c r="DW304" s="59">
        <f>'2025'!DM36</f>
        <v>13.200000000000001</v>
      </c>
    </row>
    <row r="305" spans="1:127" ht="15.75" customHeight="1" x14ac:dyDescent="0.2">
      <c r="A305" s="33">
        <f t="shared" si="49"/>
        <v>303</v>
      </c>
      <c r="B305" s="11">
        <f>'2023'!A26</f>
        <v>24</v>
      </c>
      <c r="C305" s="11">
        <v>2023</v>
      </c>
      <c r="D305" s="34" t="str">
        <f>'2023'!B26</f>
        <v>Tavion Thomas</v>
      </c>
      <c r="E305" s="224" t="str" cm="1">
        <f t="array" ref="E305">_xlfn.IFS(F305&gt;=13,"Cornerstone",AND(F305&gt;=12,F305&lt;13),"Elite",AND(F305&gt;=11,F305&lt;12),"Elite Upside",AND(F305&gt;=9,F305&lt;11),"Upside",AND(F305&gt;=7,F305&lt;9),"Upside Lite",AND(F305&gt;=6,F305&lt;7),"Outlier",AND(F305&gt;=5,F305&lt;6),"Outlier Lite",F305&lt;5,"Purgatory")</f>
        <v>Purgatory</v>
      </c>
      <c r="F305" s="14">
        <f>'2023'!C26</f>
        <v>3.0944444444444446</v>
      </c>
      <c r="G305" s="14">
        <f t="shared" si="54"/>
        <v>7.3</v>
      </c>
      <c r="H305" s="35">
        <f t="shared" si="50"/>
        <v>-2.0771742357405136</v>
      </c>
      <c r="I305" s="36" t="str">
        <f>'2023'!D26</f>
        <v>Utah</v>
      </c>
      <c r="J305" s="37">
        <f>'2023'!E26</f>
        <v>5</v>
      </c>
      <c r="K305" s="38">
        <f>'2023'!F26</f>
        <v>36668</v>
      </c>
      <c r="L305" s="39">
        <f>'2023'!G26</f>
        <v>25.367123287671234</v>
      </c>
      <c r="M305" s="39" t="str">
        <f>'2023'!H26</f>
        <v>RS JR</v>
      </c>
      <c r="N305" s="39">
        <f>'2023'!I26</f>
        <v>22.945205479452056</v>
      </c>
      <c r="O305" s="39" t="str">
        <f t="shared" si="51"/>
        <v>BRUISER</v>
      </c>
      <c r="P305" s="39" t="str">
        <f t="shared" si="58"/>
        <v>3DOWN</v>
      </c>
      <c r="Q305" s="37">
        <f>'2023'!J26</f>
        <v>72</v>
      </c>
      <c r="R305" s="37">
        <f>'2023'!K26</f>
        <v>237</v>
      </c>
      <c r="S305" s="39">
        <f t="shared" si="53"/>
        <v>32.14262238709663</v>
      </c>
      <c r="T305" s="37">
        <f>'2023'!L26</f>
        <v>4.74</v>
      </c>
      <c r="U305" s="40">
        <f>'2023'!M26</f>
        <v>0</v>
      </c>
      <c r="V305" s="41">
        <f>'2023'!N26</f>
        <v>8.8792636708175415E-2</v>
      </c>
      <c r="W305" s="42">
        <f>'2023'!O26</f>
        <v>3.2467532467532464E-2</v>
      </c>
      <c r="X305" s="42">
        <f>'2023'!P26</f>
        <v>0</v>
      </c>
      <c r="Y305" s="42">
        <f>'2023'!Q26</f>
        <v>0.18376139188069593</v>
      </c>
      <c r="Z305" s="42">
        <f>'2023'!R26</f>
        <v>0.11000611995104038</v>
      </c>
      <c r="AA305" s="42">
        <f>'2023'!S26</f>
        <v>0.14688375591586816</v>
      </c>
      <c r="AB305" s="42">
        <f>'2023'!T26</f>
        <v>0.12485119252848793</v>
      </c>
      <c r="AC305" s="42">
        <f>'2023'!U26</f>
        <v>1E-3</v>
      </c>
      <c r="AD305" s="42">
        <f>'2023'!V26</f>
        <v>1.2324448265978791E-2</v>
      </c>
      <c r="AE305" s="42">
        <f>'2023'!W26</f>
        <v>1.2324448265978791E-2</v>
      </c>
      <c r="AF305" s="43">
        <f>'2023'!X26</f>
        <v>1.0475781026081972E-2</v>
      </c>
      <c r="AG305" s="44">
        <f>'2023'!Y26</f>
        <v>21.304109589041097</v>
      </c>
      <c r="AH305" s="45">
        <f>'2023'!Z26</f>
        <v>93.899866534485696</v>
      </c>
      <c r="AI305" s="45">
        <f>'2023'!AA26</f>
        <v>32.139467592592595</v>
      </c>
      <c r="AJ305" s="45">
        <f>'2023'!AB26</f>
        <v>0.30392156862745096</v>
      </c>
      <c r="AK305" s="45">
        <f>'2023'!AC26</f>
        <v>5.4</v>
      </c>
      <c r="AL305" s="45">
        <f t="shared" si="52"/>
        <v>5.5555555555555554</v>
      </c>
      <c r="AM305" s="45">
        <f t="shared" si="56"/>
        <v>4.0540540540540543E-2</v>
      </c>
      <c r="AN305" s="45">
        <f>'2023'!AD26</f>
        <v>114.8</v>
      </c>
      <c r="AO305" s="45">
        <f>'2023'!AE26</f>
        <v>3.81</v>
      </c>
      <c r="AP305" s="46">
        <f>'2023'!AF26</f>
        <v>29.7</v>
      </c>
      <c r="AQ305" s="47">
        <f>'2023'!AG26</f>
        <v>1</v>
      </c>
      <c r="AR305" s="48">
        <f>'2023'!AH26</f>
        <v>1</v>
      </c>
      <c r="AS305" s="48">
        <f>'2023'!AI26</f>
        <v>2</v>
      </c>
      <c r="AT305" s="48">
        <f>IF(AH305&gt;113.25,10,IF(AH305&gt;=107.84,9,IF(AH305&gt;=105.37,8,IF(AH305&gt;=103.25,7,IF(AH305&gt;=100.55,6,IF(AH305&gt;=98.75,5,IF(AH305&gt;=96.08,4,IF(AH305&gt;=94.39,3,IF(AH305&gt;=88.43,2,IF(AH305&gt;=85.16,1,IF(AH305&lt;85.16,0,FALSE)))))))))))</f>
        <v>2</v>
      </c>
      <c r="AU305" s="48">
        <f>'2023'!AK26</f>
        <v>8</v>
      </c>
      <c r="AV305" s="48">
        <f>'2023'!AL26</f>
        <v>2</v>
      </c>
      <c r="AW305" s="48">
        <f>'2023'!AM26</f>
        <v>5</v>
      </c>
      <c r="AX305" s="48">
        <f>'2023'!AN26</f>
        <v>3</v>
      </c>
      <c r="AY305" s="49">
        <f>'2023'!AO26</f>
        <v>0</v>
      </c>
      <c r="AZ305" s="50">
        <f>'2023'!AP26</f>
        <v>0</v>
      </c>
      <c r="BA305" s="56">
        <f>'2023'!AQ26</f>
        <v>494</v>
      </c>
      <c r="BB305" s="57">
        <f>'2023'!AR26</f>
        <v>2520</v>
      </c>
      <c r="BC305" s="57">
        <f>'2023'!AS26</f>
        <v>6</v>
      </c>
      <c r="BD305" s="57">
        <f>'2023'!AT26</f>
        <v>23</v>
      </c>
      <c r="BE305" s="57">
        <f>'2023'!AU26</f>
        <v>90</v>
      </c>
      <c r="BF305" s="57">
        <f>'2023'!AV26</f>
        <v>19</v>
      </c>
      <c r="BG305" s="58">
        <f>'2023'!AW26</f>
        <v>5.5</v>
      </c>
      <c r="BH305" s="58">
        <f>'2023'!AX26</f>
        <v>86.5</v>
      </c>
      <c r="BI305" s="58">
        <f>'2023'!AY26</f>
        <v>4.1399999999999997</v>
      </c>
      <c r="BJ305" s="58">
        <f>'2023'!AZ26</f>
        <v>30.4</v>
      </c>
      <c r="BK305" s="57">
        <f>'2023'!BA26</f>
        <v>-2</v>
      </c>
      <c r="BL305" s="57">
        <f>'2023'!BB26</f>
        <v>3021</v>
      </c>
      <c r="BM305" s="57">
        <f>'2023'!BC26</f>
        <v>0</v>
      </c>
      <c r="BN305" s="57">
        <f>'2023'!BD26</f>
        <v>0</v>
      </c>
      <c r="BO305" s="59">
        <f>'2023'!BE26</f>
        <v>19</v>
      </c>
      <c r="BP305" s="56">
        <f>'2023'!BF26</f>
        <v>189</v>
      </c>
      <c r="BQ305" s="57">
        <f>'2023'!BG26</f>
        <v>2819</v>
      </c>
      <c r="BR305" s="57">
        <f>'2023'!BH26</f>
        <v>1</v>
      </c>
      <c r="BS305" s="57">
        <f>'2023'!BI26</f>
        <v>34</v>
      </c>
      <c r="BT305" s="57">
        <f>'2023'!BJ26</f>
        <v>40</v>
      </c>
      <c r="BU305" s="57">
        <f>'2023'!BK26</f>
        <v>11</v>
      </c>
      <c r="BV305" s="58">
        <f>'2023'!BL26</f>
        <v>4.7</v>
      </c>
      <c r="BW305" s="58">
        <f>'2023'!BM26</f>
        <v>71.8</v>
      </c>
      <c r="BX305" s="58">
        <f>'2023'!BN26</f>
        <v>2.68</v>
      </c>
      <c r="BY305" s="58">
        <f>'2023'!BO26</f>
        <v>28</v>
      </c>
      <c r="BZ305" s="57">
        <f>'2023'!BP26</f>
        <v>6</v>
      </c>
      <c r="CA305" s="57">
        <f>'2023'!BQ26</f>
        <v>3187</v>
      </c>
      <c r="CB305" s="57">
        <f>'2023'!BR26</f>
        <v>1</v>
      </c>
      <c r="CC305" s="57">
        <f>'2023'!BS26</f>
        <v>0</v>
      </c>
      <c r="CD305" s="59">
        <f>'2023'!BT26</f>
        <v>20</v>
      </c>
      <c r="CE305" s="56">
        <f>'2023'!BU26</f>
        <v>0</v>
      </c>
      <c r="CF305" s="57">
        <f>'2023'!BV26</f>
        <v>970</v>
      </c>
      <c r="CG305" s="57">
        <f>'2023'!BW26</f>
        <v>0</v>
      </c>
      <c r="CH305" s="57">
        <f>'2023'!BX26</f>
        <v>9</v>
      </c>
      <c r="CI305" s="57">
        <f>'2023'!BY26</f>
        <v>0</v>
      </c>
      <c r="CJ305" s="57">
        <f>'2023'!BZ26</f>
        <v>0</v>
      </c>
      <c r="CK305" s="58">
        <f>'2023'!CA26</f>
        <v>0</v>
      </c>
      <c r="CL305" s="58">
        <f>'2023'!CB26</f>
        <v>0</v>
      </c>
      <c r="CM305" s="58">
        <f>'2023'!CC26</f>
        <v>0</v>
      </c>
      <c r="CN305" s="58">
        <f>'2023'!CD26</f>
        <v>0</v>
      </c>
      <c r="CO305" s="57">
        <f>'2023'!CE26</f>
        <v>0</v>
      </c>
      <c r="CP305" s="57">
        <f>'2023'!CF26</f>
        <v>1079</v>
      </c>
      <c r="CQ305" s="57">
        <f>'2023'!CG26</f>
        <v>0</v>
      </c>
      <c r="CR305" s="57">
        <f>'2023'!CH26</f>
        <v>0</v>
      </c>
      <c r="CS305" s="59">
        <f>'2023'!CI26</f>
        <v>6</v>
      </c>
      <c r="CT305" s="56">
        <f>'2023'!CJ26</f>
        <v>1106</v>
      </c>
      <c r="CU305" s="57">
        <f>'2023'!CK26</f>
        <v>3035</v>
      </c>
      <c r="CV305" s="57">
        <f>'2023'!CL26</f>
        <v>21</v>
      </c>
      <c r="CW305" s="57">
        <f>'2023'!CM26</f>
        <v>37</v>
      </c>
      <c r="CX305" s="57">
        <f>'2023'!CN26</f>
        <v>204</v>
      </c>
      <c r="CY305" s="57">
        <f>'2023'!CO26</f>
        <v>62</v>
      </c>
      <c r="CZ305" s="58">
        <f>'2023'!CP26</f>
        <v>5.4</v>
      </c>
      <c r="DA305" s="58">
        <f>'2023'!CQ26</f>
        <v>114.8</v>
      </c>
      <c r="DB305" s="58">
        <f>'2023'!CR26</f>
        <v>3.81</v>
      </c>
      <c r="DC305" s="58">
        <f>'2023'!CS26</f>
        <v>29.7</v>
      </c>
      <c r="DD305" s="57">
        <f>'2023'!CT26</f>
        <v>3</v>
      </c>
      <c r="DE305" s="57">
        <f>'2023'!CU26</f>
        <v>3000</v>
      </c>
      <c r="DF305" s="57">
        <f>'2023'!CV26</f>
        <v>2</v>
      </c>
      <c r="DG305" s="57">
        <f>'2023'!CW26</f>
        <v>0</v>
      </c>
      <c r="DH305" s="59">
        <f>'2023'!CX26</f>
        <v>24</v>
      </c>
      <c r="DI305" s="56">
        <f>'2023'!CY26</f>
        <v>676</v>
      </c>
      <c r="DJ305" s="57">
        <f>'2023'!CZ26</f>
        <v>3047</v>
      </c>
      <c r="DK305" s="57">
        <f>'2023'!DA26</f>
        <v>7</v>
      </c>
      <c r="DL305" s="57">
        <f>'2023'!DB26</f>
        <v>38</v>
      </c>
      <c r="DM305" s="57">
        <f>'2023'!DC26</f>
        <v>142</v>
      </c>
      <c r="DN305" s="57">
        <f>'2023'!DD26</f>
        <v>29</v>
      </c>
      <c r="DO305" s="58">
        <f>'2023'!DE26</f>
        <v>4.8</v>
      </c>
      <c r="DP305" s="58">
        <f>'2023'!DF26</f>
        <v>59.8</v>
      </c>
      <c r="DQ305" s="58">
        <f>'2023'!DG26</f>
        <v>2.95</v>
      </c>
      <c r="DR305" s="58">
        <f>'2023'!DH26</f>
        <v>25.6</v>
      </c>
      <c r="DS305" s="57">
        <f>'2023'!DI26</f>
        <v>43</v>
      </c>
      <c r="DT305" s="57">
        <f>'2023'!DJ26</f>
        <v>3489</v>
      </c>
      <c r="DU305" s="57">
        <f>'2023'!DK26</f>
        <v>6</v>
      </c>
      <c r="DV305" s="57">
        <f>'2023'!DL26</f>
        <v>0</v>
      </c>
      <c r="DW305" s="59">
        <f>'2023'!DM26</f>
        <v>31</v>
      </c>
    </row>
    <row r="306" spans="1:127" ht="15.75" customHeight="1" x14ac:dyDescent="0.2">
      <c r="A306" s="33">
        <f t="shared" si="49"/>
        <v>304</v>
      </c>
      <c r="B306" s="11">
        <f>'2025'!A37</f>
        <v>35</v>
      </c>
      <c r="C306" s="11">
        <v>2025</v>
      </c>
      <c r="D306" s="34" t="str">
        <f>'2025'!B37</f>
        <v>Ulysses Bentley IV</v>
      </c>
      <c r="E306" s="224" t="str" cm="1">
        <f t="array" ref="E306">_xlfn.IFS(F306&gt;=13,"Cornerstone",AND(F306&gt;=12,F306&lt;13),"Elite",AND(F306&gt;=11,F306&lt;12),"Elite Upside",AND(F306&gt;=9,F306&lt;11),"Upside",AND(F306&gt;=7,F306&lt;9),"Upside Lite",AND(F306&gt;=6,F306&lt;7),"Outlier",AND(F306&gt;=5,F306&lt;6),"Outlier Lite",F306&lt;5,"Purgatory")</f>
        <v>Purgatory</v>
      </c>
      <c r="F306" s="14">
        <f>'2025'!C37</f>
        <v>3.0333333333333332</v>
      </c>
      <c r="G306" s="14">
        <f t="shared" si="54"/>
        <v>7.0000000000000009</v>
      </c>
      <c r="H306" s="35">
        <f t="shared" si="50"/>
        <v>-2.1030379896662694</v>
      </c>
      <c r="I306" s="36" t="str">
        <f>'2025'!D37</f>
        <v>Ole Miss</v>
      </c>
      <c r="J306" s="37">
        <f>'2025'!E37</f>
        <v>1</v>
      </c>
      <c r="K306" s="38">
        <f>'2025'!F37</f>
        <v>36890</v>
      </c>
      <c r="L306" s="39">
        <f>'2025'!G37</f>
        <v>24.758904109589039</v>
      </c>
      <c r="M306" s="39" t="str">
        <f>'2025'!H37</f>
        <v>RS SR</v>
      </c>
      <c r="N306" s="39">
        <f>'2025'!I37</f>
        <v>24.339726027397262</v>
      </c>
      <c r="O306" s="39" t="str">
        <f t="shared" si="51"/>
        <v>BELL CALF</v>
      </c>
      <c r="P306" s="39" t="str">
        <f t="shared" si="58"/>
        <v>SLASHER</v>
      </c>
      <c r="Q306" s="37">
        <f>'2025'!J37</f>
        <v>70</v>
      </c>
      <c r="R306" s="37">
        <f>'2025'!K37</f>
        <v>200</v>
      </c>
      <c r="S306" s="39">
        <f t="shared" si="53"/>
        <v>28.696694128082132</v>
      </c>
      <c r="T306" s="37">
        <f>'2025'!L37</f>
        <v>4.62</v>
      </c>
      <c r="U306" s="40">
        <f>'2025'!M37</f>
        <v>0</v>
      </c>
      <c r="V306" s="41">
        <f>'2025'!N37</f>
        <v>0.21981799797775531</v>
      </c>
      <c r="W306" s="42">
        <f>'2025'!O37</f>
        <v>0.1372984342136013</v>
      </c>
      <c r="X306" s="42">
        <f>'2025'!P37</f>
        <v>2.4509803921568624E-2</v>
      </c>
      <c r="Y306" s="42">
        <f>'2025'!Q37</f>
        <v>0.10441298917568692</v>
      </c>
      <c r="Z306" s="42">
        <f>'2025'!R37</f>
        <v>7.567567567567568E-2</v>
      </c>
      <c r="AA306" s="42">
        <f>'2025'!S37</f>
        <v>0.14774683682671549</v>
      </c>
      <c r="AB306" s="42">
        <f>'2025'!T37</f>
        <v>0.14774683682671549</v>
      </c>
      <c r="AC306" s="42">
        <f>'2025'!U37</f>
        <v>2.3431187718825748E-2</v>
      </c>
      <c r="AD306" s="42">
        <f>'2025'!V37</f>
        <v>2.1705766279324711E-2</v>
      </c>
      <c r="AE306" s="42">
        <f>'2025'!W37</f>
        <v>2.2568476999075229E-2</v>
      </c>
      <c r="AF306" s="43">
        <f>'2025'!X37</f>
        <v>2.2568476999075229E-2</v>
      </c>
      <c r="AG306" s="44">
        <f>'2025'!Y37</f>
        <v>19.684931506849313</v>
      </c>
      <c r="AH306" s="45">
        <f>'2025'!Z37</f>
        <v>87.799509382030976</v>
      </c>
      <c r="AI306" s="45">
        <f>'2025'!AA37</f>
        <v>28.693877551020407</v>
      </c>
      <c r="AJ306" s="45">
        <f>'2025'!AB37</f>
        <v>0.30526315789473685</v>
      </c>
      <c r="AK306" s="45">
        <f>'2025'!AC37</f>
        <v>5.6842105263157894</v>
      </c>
      <c r="AL306" s="45">
        <f t="shared" si="52"/>
        <v>7.046875</v>
      </c>
      <c r="AM306" s="45">
        <f t="shared" si="56"/>
        <v>0.13402061855670103</v>
      </c>
      <c r="AN306" s="45">
        <f>'2025'!AD37</f>
        <v>112.4</v>
      </c>
      <c r="AO306" s="45">
        <f>'2025'!AE37</f>
        <v>3.51</v>
      </c>
      <c r="AP306" s="46">
        <f>'2025'!AF37</f>
        <v>37.5</v>
      </c>
      <c r="AQ306" s="47">
        <f>'2025'!AG37</f>
        <v>1</v>
      </c>
      <c r="AR306" s="48">
        <f>'2025'!AH37</f>
        <v>2</v>
      </c>
      <c r="AS306" s="48">
        <f>'2025'!AI37</f>
        <v>6</v>
      </c>
      <c r="AT306" s="48">
        <f>'2025'!AJ37</f>
        <v>1</v>
      </c>
      <c r="AU306" s="48">
        <f>'2025'!AK37</f>
        <v>8</v>
      </c>
      <c r="AV306" s="48">
        <f>'2025'!AL37</f>
        <v>3</v>
      </c>
      <c r="AW306" s="48">
        <f>'2025'!AM37</f>
        <v>5</v>
      </c>
      <c r="AX306" s="48">
        <f>'2025'!AN37</f>
        <v>2</v>
      </c>
      <c r="AY306" s="49">
        <f>'2025'!AO37</f>
        <v>0</v>
      </c>
      <c r="AZ306" s="50">
        <f>'2025'!AP37</f>
        <v>0</v>
      </c>
      <c r="BA306" s="56">
        <f>'2025'!AQ37</f>
        <v>913</v>
      </c>
      <c r="BB306" s="57">
        <f>'2025'!AR37</f>
        <v>1765</v>
      </c>
      <c r="BC306" s="57">
        <f>'2025'!AS37</f>
        <v>11</v>
      </c>
      <c r="BD306" s="57">
        <f>'2025'!AT37</f>
        <v>24</v>
      </c>
      <c r="BE306" s="57">
        <f>'2025'!AU37</f>
        <v>170</v>
      </c>
      <c r="BF306" s="57">
        <f>'2025'!AV37</f>
        <v>31</v>
      </c>
      <c r="BG306" s="58">
        <f>'2025'!AW37</f>
        <v>5.3705882352941172</v>
      </c>
      <c r="BH306" s="58">
        <f>'2025'!AX37</f>
        <v>48.9</v>
      </c>
      <c r="BI306" s="58">
        <f>'2025'!AY37</f>
        <v>2.83</v>
      </c>
      <c r="BJ306" s="58">
        <f>'2025'!AZ37</f>
        <v>43.6</v>
      </c>
      <c r="BK306" s="57">
        <f>'2025'!BA37</f>
        <v>174</v>
      </c>
      <c r="BL306" s="57">
        <f>'2025'!BB37</f>
        <v>3180</v>
      </c>
      <c r="BM306" s="57">
        <f>'2025'!BC37</f>
        <v>21</v>
      </c>
      <c r="BN306" s="57">
        <f>'2025'!BD37</f>
        <v>1</v>
      </c>
      <c r="BO306" s="59">
        <f>'2025'!BE37</f>
        <v>23</v>
      </c>
      <c r="BP306" s="56">
        <f>'2025'!BF37</f>
        <v>618</v>
      </c>
      <c r="BQ306" s="57">
        <f>'2025'!BG37</f>
        <v>1785.3000000000002</v>
      </c>
      <c r="BR306" s="57">
        <f>'2025'!BH37</f>
        <v>4</v>
      </c>
      <c r="BS306" s="57">
        <f>'2025'!BI37</f>
        <v>18.7</v>
      </c>
      <c r="BT306" s="57">
        <f>'2025'!BJ37</f>
        <v>96</v>
      </c>
      <c r="BU306" s="57">
        <f>'2025'!BK37</f>
        <v>30</v>
      </c>
      <c r="BV306" s="58">
        <f>'2025'!BL37</f>
        <v>6.4375</v>
      </c>
      <c r="BW306" s="58">
        <f>'2025'!BM37</f>
        <v>121.5</v>
      </c>
      <c r="BX306" s="58">
        <f>'2025'!BN37</f>
        <v>4.2</v>
      </c>
      <c r="BY306" s="58">
        <f>'2025'!BO37</f>
        <v>46.4</v>
      </c>
      <c r="BZ306" s="57">
        <f>'2025'!BP37</f>
        <v>87</v>
      </c>
      <c r="CA306" s="57">
        <f>'2025'!BQ37</f>
        <v>3349.5</v>
      </c>
      <c r="CB306" s="57">
        <f>'2025'!BR37</f>
        <v>18</v>
      </c>
      <c r="CC306" s="57">
        <f>'2025'!BS37</f>
        <v>1</v>
      </c>
      <c r="CD306" s="59">
        <f>'2025'!BT37</f>
        <v>36.299999999999997</v>
      </c>
      <c r="CE306" s="56">
        <f>'2025'!BU37</f>
        <v>69</v>
      </c>
      <c r="CF306" s="57">
        <f>'2025'!BV37</f>
        <v>1539.6000000000001</v>
      </c>
      <c r="CG306" s="57">
        <f>'2025'!BW37</f>
        <v>4</v>
      </c>
      <c r="CH306" s="57">
        <f>'2025'!BX37</f>
        <v>15</v>
      </c>
      <c r="CI306" s="57">
        <f>'2025'!BY37</f>
        <v>15</v>
      </c>
      <c r="CJ306" s="57">
        <f>'2025'!BZ37</f>
        <v>5</v>
      </c>
      <c r="CK306" s="58">
        <f>'2025'!CA37</f>
        <v>4.5999999999999996</v>
      </c>
      <c r="CL306" s="58">
        <f>'2025'!CB37</f>
        <v>43.8</v>
      </c>
      <c r="CM306" s="58">
        <f>'2025'!CC37</f>
        <v>1.4</v>
      </c>
      <c r="CN306" s="58">
        <f>'2025'!CD37</f>
        <v>29.6</v>
      </c>
      <c r="CO306" s="57">
        <f>'2025'!CE37</f>
        <v>4</v>
      </c>
      <c r="CP306" s="57">
        <f>'2025'!CF37</f>
        <v>1438.8000000000002</v>
      </c>
      <c r="CQ306" s="57">
        <f>'2025'!CG37</f>
        <v>1</v>
      </c>
      <c r="CR306" s="57">
        <f>'2025'!CH37</f>
        <v>0</v>
      </c>
      <c r="CS306" s="59">
        <f>'2025'!CI37</f>
        <v>10.199999999999999</v>
      </c>
      <c r="CT306" s="56">
        <f>'2025'!CJ37</f>
        <v>540</v>
      </c>
      <c r="CU306" s="57">
        <f>'2025'!CK37</f>
        <v>2292</v>
      </c>
      <c r="CV306" s="57">
        <f>'2025'!CL37</f>
        <v>4</v>
      </c>
      <c r="CW306" s="57">
        <f>'2025'!CM37</f>
        <v>29</v>
      </c>
      <c r="CX306" s="57">
        <f>'2025'!CN37</f>
        <v>95</v>
      </c>
      <c r="CY306" s="57">
        <f>'2025'!CO37</f>
        <v>29</v>
      </c>
      <c r="CZ306" s="58">
        <f>'2025'!CP37</f>
        <v>5.6842105263157894</v>
      </c>
      <c r="DA306" s="58">
        <f>'2025'!CQ37</f>
        <v>112.4</v>
      </c>
      <c r="DB306" s="58">
        <f>'2025'!CR37</f>
        <v>3.51</v>
      </c>
      <c r="DC306" s="58">
        <f>'2025'!CS37</f>
        <v>29.6</v>
      </c>
      <c r="DD306" s="57">
        <f>'2025'!CT37</f>
        <v>87</v>
      </c>
      <c r="DE306" s="57">
        <f>'2025'!CU37</f>
        <v>3713</v>
      </c>
      <c r="DF306" s="57">
        <f>'2025'!CV37</f>
        <v>11</v>
      </c>
      <c r="DG306" s="57">
        <f>'2025'!CW37</f>
        <v>1</v>
      </c>
      <c r="DH306" s="59">
        <f>'2025'!CX37</f>
        <v>26</v>
      </c>
      <c r="DI306" s="56">
        <f>'2025'!CY37</f>
        <v>419</v>
      </c>
      <c r="DJ306" s="57">
        <f>'2025'!CZ37</f>
        <v>2284</v>
      </c>
      <c r="DK306" s="57">
        <f>'2025'!DA37</f>
        <v>5</v>
      </c>
      <c r="DL306" s="57">
        <f>'2025'!DB37</f>
        <v>29</v>
      </c>
      <c r="DM306" s="57">
        <f>'2025'!DC37</f>
        <v>84</v>
      </c>
      <c r="DN306" s="57">
        <f>'2025'!DD37</f>
        <v>16</v>
      </c>
      <c r="DO306" s="58">
        <f>'2025'!DE37</f>
        <v>4.9880952380952381</v>
      </c>
      <c r="DP306" s="58">
        <f>'2025'!DF37</f>
        <v>49</v>
      </c>
      <c r="DQ306" s="58">
        <f>'2025'!DG37</f>
        <v>2.64</v>
      </c>
      <c r="DR306" s="58">
        <f>'2025'!DH37</f>
        <v>37.5</v>
      </c>
      <c r="DS306" s="57">
        <f>'2025'!DI37</f>
        <v>99</v>
      </c>
      <c r="DT306" s="57">
        <f>'2025'!DJ37</f>
        <v>4561</v>
      </c>
      <c r="DU306" s="57">
        <f>'2025'!DK37</f>
        <v>13</v>
      </c>
      <c r="DV306" s="57">
        <f>'2025'!DL37</f>
        <v>0</v>
      </c>
      <c r="DW306" s="59">
        <f>'2025'!DM37</f>
        <v>31</v>
      </c>
    </row>
    <row r="307" spans="1:127" ht="15.75" customHeight="1" x14ac:dyDescent="0.2">
      <c r="A307" s="33">
        <f t="shared" si="49"/>
        <v>305</v>
      </c>
      <c r="B307" s="11">
        <f>'2020'!A22</f>
        <v>20</v>
      </c>
      <c r="C307" s="11">
        <v>2020</v>
      </c>
      <c r="D307" s="34" t="str">
        <f>'2020'!B22</f>
        <v>Tony Jones Jr.</v>
      </c>
      <c r="E307" s="224" t="str" cm="1">
        <f t="array" ref="E307">_xlfn.IFS(F307&gt;=13,"Cornerstone",AND(F307&gt;=12,F307&lt;13),"Elite",AND(F307&gt;=11,F307&lt;12),"Elite Upside",AND(F307&gt;=9,F307&lt;11),"Upside",AND(F307&gt;=7,F307&lt;9),"Upside Lite",AND(F307&gt;=6,F307&lt;7),"Outlier",AND(F307&gt;=5,F307&lt;6),"Outlier Lite",F307&lt;5,"Purgatory")</f>
        <v>Purgatory</v>
      </c>
      <c r="F307" s="14">
        <f>'2020'!C22</f>
        <v>2.9722222222222223</v>
      </c>
      <c r="G307" s="14">
        <f t="shared" si="54"/>
        <v>6.7</v>
      </c>
      <c r="H307" s="35">
        <f t="shared" si="50"/>
        <v>-2.1289017435920252</v>
      </c>
      <c r="I307" s="36" t="str">
        <f>'2020'!D22</f>
        <v>Notre Dame</v>
      </c>
      <c r="J307" s="37">
        <f>'2020'!E22</f>
        <v>2</v>
      </c>
      <c r="K307" s="38">
        <f>'2020'!F22</f>
        <v>35758</v>
      </c>
      <c r="L307" s="39">
        <f>'2020'!G22</f>
        <v>27.860273972602741</v>
      </c>
      <c r="M307" s="39" t="str">
        <f>'2020'!H22</f>
        <v>SR</v>
      </c>
      <c r="N307" s="39">
        <f>'2020'!I22</f>
        <v>22.427397260273974</v>
      </c>
      <c r="O307" s="39" t="str">
        <f t="shared" si="51"/>
        <v>BELL CALF</v>
      </c>
      <c r="P307" s="39" t="str">
        <f t="shared" si="58"/>
        <v>HORSE</v>
      </c>
      <c r="Q307" s="37">
        <f>'2020'!J22</f>
        <v>70</v>
      </c>
      <c r="R307" s="37">
        <f>'2020'!K22</f>
        <v>220</v>
      </c>
      <c r="S307" s="39">
        <f t="shared" si="53"/>
        <v>31.566363540890343</v>
      </c>
      <c r="T307" s="37">
        <f>'2020'!L22</f>
        <v>4.68</v>
      </c>
      <c r="U307" s="40">
        <f>'2020'!M22</f>
        <v>0</v>
      </c>
      <c r="V307" s="41">
        <f>'2020'!N22</f>
        <v>0</v>
      </c>
      <c r="W307" s="42">
        <f>'2020'!O22</f>
        <v>0</v>
      </c>
      <c r="X307" s="42">
        <f>'2020'!P22</f>
        <v>4.187403466620903E-2</v>
      </c>
      <c r="Y307" s="42">
        <f>'2020'!Q22</f>
        <v>9.5962244362873622E-2</v>
      </c>
      <c r="Z307" s="42">
        <f>'2020'!R22</f>
        <v>0.17127564674397858</v>
      </c>
      <c r="AA307" s="42">
        <f>'2020'!S22</f>
        <v>0.17127564674397858</v>
      </c>
      <c r="AB307" s="42">
        <f>'2020'!T22</f>
        <v>0.17127564674397858</v>
      </c>
      <c r="AC307" s="42">
        <f>'2020'!U22</f>
        <v>4.6907678518075889E-2</v>
      </c>
      <c r="AD307" s="42">
        <f>'2020'!V22</f>
        <v>3.1726662599145819E-2</v>
      </c>
      <c r="AE307" s="42">
        <f>'2020'!W22</f>
        <v>3.9317170558610851E-2</v>
      </c>
      <c r="AF307" s="43">
        <f>'2020'!X22</f>
        <v>3.9317170558610851E-2</v>
      </c>
      <c r="AG307" s="44">
        <f>'2020'!Y22</f>
        <v>21.794520547945204</v>
      </c>
      <c r="AH307" s="45">
        <f>'2020'!Z22</f>
        <v>91.721102040074257</v>
      </c>
      <c r="AI307" s="45">
        <f>'2020'!AA22</f>
        <v>31.563265306122446</v>
      </c>
      <c r="AJ307" s="45">
        <f>'2020'!AB22</f>
        <v>0.22916666666666666</v>
      </c>
      <c r="AK307" s="45">
        <f>'2020'!AC22</f>
        <v>5.9</v>
      </c>
      <c r="AL307" s="45">
        <f t="shared" si="52"/>
        <v>12.409090909090908</v>
      </c>
      <c r="AM307" s="45">
        <f t="shared" ref="AM307:AM328" si="59">DU307/SUM(DM307,DU307)</f>
        <v>9.4339622641509441E-2</v>
      </c>
      <c r="AN307" s="45">
        <f>'2020'!AD22</f>
        <v>81.5</v>
      </c>
      <c r="AO307" s="45">
        <f>'2020'!AE22</f>
        <v>3.81</v>
      </c>
      <c r="AP307" s="46">
        <f>'2020'!AF22</f>
        <v>45.7</v>
      </c>
      <c r="AQ307" s="47">
        <f>'2020'!AG22</f>
        <v>3</v>
      </c>
      <c r="AR307" s="48">
        <f>'2020'!AH22</f>
        <v>4</v>
      </c>
      <c r="AS307" s="48">
        <f>'2020'!AI22</f>
        <v>2</v>
      </c>
      <c r="AT307" s="48">
        <f>IF(AH307&gt;113.25,10,IF(AH307&gt;=107.84,9,IF(AH307&gt;=105.37,8,IF(AH307&gt;=103.25,7,IF(AH307&gt;=100.55,6,IF(AH307&gt;=98.75,5,IF(AH307&gt;=96.08,4,IF(AH307&gt;=94.39,3,IF(AH307&gt;=88.43,2,IF(AH307&gt;=85.16,1,IF(AH307&lt;85.16,0,FALSE)))))))))))</f>
        <v>2</v>
      </c>
      <c r="AU307" s="48">
        <f>'2020'!AK22</f>
        <v>5</v>
      </c>
      <c r="AV307" s="48">
        <f>'2020'!AL22</f>
        <v>4</v>
      </c>
      <c r="AW307" s="48">
        <f>'2020'!AM22</f>
        <v>2</v>
      </c>
      <c r="AX307" s="48">
        <f>'2020'!AN22</f>
        <v>3</v>
      </c>
      <c r="AY307" s="49">
        <f>IF(U307=1,10,IF(U307=2,7,IF(U307=3,6,IF(U307=4,4,IF(U307=5,3,IF(U307=6,2,IF(U307=7,1,IF(U307=0,0,"-"))))))))</f>
        <v>0</v>
      </c>
      <c r="AZ307" s="50">
        <f>'2020'!AP22</f>
        <v>0</v>
      </c>
      <c r="BA307" s="56">
        <f>'2020'!AQ22</f>
        <v>0</v>
      </c>
      <c r="BB307" s="57">
        <f>'2020'!AR22</f>
        <v>2699</v>
      </c>
      <c r="BC307" s="57">
        <f>'2020'!AS22</f>
        <v>0</v>
      </c>
      <c r="BD307" s="57">
        <f>'2020'!AT22</f>
        <v>29</v>
      </c>
      <c r="BE307" s="57">
        <f>'2020'!AU22</f>
        <v>0</v>
      </c>
      <c r="BF307" s="57">
        <f>'2020'!AV22</f>
        <v>0</v>
      </c>
      <c r="BG307" s="58">
        <f>'2020'!AW22</f>
        <v>0</v>
      </c>
      <c r="BH307" s="58">
        <f>'2020'!AX22</f>
        <v>0</v>
      </c>
      <c r="BI307" s="58">
        <f>'2020'!AY22</f>
        <v>0</v>
      </c>
      <c r="BJ307" s="58">
        <f>'2020'!AZ22</f>
        <v>0</v>
      </c>
      <c r="BK307" s="57">
        <f>'2020'!BA22</f>
        <v>0</v>
      </c>
      <c r="BL307" s="57">
        <f>'2020'!BB22</f>
        <v>3364</v>
      </c>
      <c r="BM307" s="57">
        <f>'2020'!BC22</f>
        <v>0</v>
      </c>
      <c r="BN307" s="57">
        <f>'2020'!BD22</f>
        <v>0</v>
      </c>
      <c r="BO307" s="59">
        <f>'2020'!BE22</f>
        <v>25</v>
      </c>
      <c r="BP307" s="56">
        <f>'2020'!BF22</f>
        <v>0</v>
      </c>
      <c r="BQ307" s="57">
        <f>'2020'!BG22</f>
        <v>1960</v>
      </c>
      <c r="BR307" s="57">
        <f>'2020'!BH22</f>
        <v>0</v>
      </c>
      <c r="BS307" s="57">
        <f>'2020'!BI22</f>
        <v>18</v>
      </c>
      <c r="BT307" s="57">
        <f>'2020'!BJ22</f>
        <v>0</v>
      </c>
      <c r="BU307" s="57">
        <f>'2020'!BK22</f>
        <v>0</v>
      </c>
      <c r="BV307" s="58">
        <f>'2020'!BL22</f>
        <v>0</v>
      </c>
      <c r="BW307" s="58">
        <f>'2020'!BM22</f>
        <v>0</v>
      </c>
      <c r="BX307" s="58">
        <f>'2020'!BN22</f>
        <v>0</v>
      </c>
      <c r="BY307" s="58">
        <f>'2020'!BO22</f>
        <v>0</v>
      </c>
      <c r="BZ307" s="57">
        <f>'2020'!BP22</f>
        <v>0</v>
      </c>
      <c r="CA307" s="57">
        <f>'2020'!BQ22</f>
        <v>3051</v>
      </c>
      <c r="CB307" s="57">
        <f>'2020'!BR22</f>
        <v>0</v>
      </c>
      <c r="CC307" s="57">
        <f>'2020'!BS22</f>
        <v>0</v>
      </c>
      <c r="CD307" s="59">
        <f>'2020'!BT22</f>
        <v>27</v>
      </c>
      <c r="CE307" s="56">
        <f>'2020'!BU22</f>
        <v>232</v>
      </c>
      <c r="CF307" s="57">
        <f>'2020'!BV22</f>
        <v>3501</v>
      </c>
      <c r="CG307" s="57">
        <f>'2020'!BW22</f>
        <v>3</v>
      </c>
      <c r="CH307" s="57">
        <f>'2020'!BX22</f>
        <v>35</v>
      </c>
      <c r="CI307" s="57">
        <f>'2020'!BY22</f>
        <v>44</v>
      </c>
      <c r="CJ307" s="57">
        <f>'2020'!BZ22</f>
        <v>2</v>
      </c>
      <c r="CK307" s="58">
        <f>'2020'!CA22</f>
        <v>5.3</v>
      </c>
      <c r="CL307" s="58">
        <f>'2020'!CB22</f>
        <v>13.5</v>
      </c>
      <c r="CM307" s="58">
        <f>'2020'!CC22</f>
        <v>2.25</v>
      </c>
      <c r="CN307" s="58">
        <f>'2020'!CD22</f>
        <v>27.6</v>
      </c>
      <c r="CO307" s="57">
        <f>'2020'!CE22</f>
        <v>12</v>
      </c>
      <c r="CP307" s="57">
        <f>'2020'!CF22</f>
        <v>2326</v>
      </c>
      <c r="CQ307" s="57">
        <f>'2020'!CG22</f>
        <v>6</v>
      </c>
      <c r="CR307" s="57">
        <f>'2020'!CH22</f>
        <v>0</v>
      </c>
      <c r="CS307" s="59">
        <f>'2020'!CI22</f>
        <v>20</v>
      </c>
      <c r="CT307" s="56">
        <f>'2020'!CJ22</f>
        <v>392</v>
      </c>
      <c r="CU307" s="57">
        <f>'2020'!CK22</f>
        <v>2374</v>
      </c>
      <c r="CV307" s="57">
        <f>'2020'!CL22</f>
        <v>3</v>
      </c>
      <c r="CW307" s="57">
        <f>'2020'!CM22</f>
        <v>27</v>
      </c>
      <c r="CX307" s="57">
        <f>'2020'!CN22</f>
        <v>83</v>
      </c>
      <c r="CY307" s="57">
        <f>'2020'!CO22</f>
        <v>9</v>
      </c>
      <c r="CZ307" s="58">
        <f>'2020'!CP22</f>
        <v>4.7</v>
      </c>
      <c r="DA307" s="58">
        <f>'2020'!CQ22</f>
        <v>30.7</v>
      </c>
      <c r="DB307" s="58">
        <f>'2020'!CR22</f>
        <v>2.73</v>
      </c>
      <c r="DC307" s="58">
        <f>'2020'!CS22</f>
        <v>30.4</v>
      </c>
      <c r="DD307" s="57">
        <f>'2020'!CT22</f>
        <v>157</v>
      </c>
      <c r="DE307" s="57">
        <f>'2020'!CU22</f>
        <v>3347</v>
      </c>
      <c r="DF307" s="57">
        <f>'2020'!CV22</f>
        <v>1</v>
      </c>
      <c r="DG307" s="57">
        <f>'2020'!CW22</f>
        <v>0</v>
      </c>
      <c r="DH307" s="59">
        <f>'2020'!CX22</f>
        <v>23</v>
      </c>
      <c r="DI307" s="56">
        <f>'2020'!CY22</f>
        <v>856</v>
      </c>
      <c r="DJ307" s="57">
        <f>'2020'!CZ22</f>
        <v>2327</v>
      </c>
      <c r="DK307" s="57">
        <f>'2020'!DA22</f>
        <v>6</v>
      </c>
      <c r="DL307" s="57">
        <f>'2020'!DB22</f>
        <v>20</v>
      </c>
      <c r="DM307" s="57">
        <f>'2020'!DC22</f>
        <v>144</v>
      </c>
      <c r="DN307" s="57">
        <f>'2020'!DD22</f>
        <v>33</v>
      </c>
      <c r="DO307" s="58">
        <f>'2020'!DE22</f>
        <v>5.9</v>
      </c>
      <c r="DP307" s="58">
        <f>'2020'!DF22</f>
        <v>81.5</v>
      </c>
      <c r="DQ307" s="58">
        <f>'2020'!DG22</f>
        <v>3.81</v>
      </c>
      <c r="DR307" s="58">
        <f>'2020'!DH22</f>
        <v>45.7</v>
      </c>
      <c r="DS307" s="57">
        <f>'2020'!DI22</f>
        <v>104</v>
      </c>
      <c r="DT307" s="57">
        <f>'2020'!DJ22</f>
        <v>3278</v>
      </c>
      <c r="DU307" s="57">
        <f>'2020'!DK22</f>
        <v>15</v>
      </c>
      <c r="DV307" s="57">
        <f>'2020'!DL22</f>
        <v>0</v>
      </c>
      <c r="DW307" s="59">
        <f>'2020'!DM22</f>
        <v>37</v>
      </c>
    </row>
    <row r="308" spans="1:127" ht="15.75" customHeight="1" x14ac:dyDescent="0.2">
      <c r="A308" s="33">
        <f t="shared" si="49"/>
        <v>306</v>
      </c>
      <c r="B308" s="11">
        <f>'2015'!A23</f>
        <v>21</v>
      </c>
      <c r="C308" s="11">
        <v>2015</v>
      </c>
      <c r="D308" s="34" t="str">
        <f>'2015'!B23</f>
        <v>Dominique Brown</v>
      </c>
      <c r="E308" s="224" t="str" cm="1">
        <f t="array" ref="E308">_xlfn.IFS(F308&gt;=13,"Cornerstone",AND(F308&gt;=12,F308&lt;13),"Elite",AND(F308&gt;=11,F308&lt;12),"Elite Upside",AND(F308&gt;=9,F308&lt;11),"Upside",AND(F308&gt;=7,F308&lt;9),"Upside Lite",AND(F308&gt;=6,F308&lt;7),"Outlier",AND(F308&gt;=5,F308&lt;6),"Outlier Lite",F308&lt;5,"Purgatory")</f>
        <v>Purgatory</v>
      </c>
      <c r="F308" s="14">
        <f>'2015'!C23</f>
        <v>2.95</v>
      </c>
      <c r="G308" s="14">
        <f t="shared" si="54"/>
        <v>6.4</v>
      </c>
      <c r="H308" s="35">
        <f t="shared" si="50"/>
        <v>-2.1383067450195727</v>
      </c>
      <c r="I308" s="36" t="str">
        <f>'2015'!D23</f>
        <v>Louisville</v>
      </c>
      <c r="J308" s="37">
        <f>'2015'!E23</f>
        <v>4</v>
      </c>
      <c r="K308" s="38">
        <f>'2015'!F23</f>
        <v>33599</v>
      </c>
      <c r="L308" s="39">
        <f>'2015'!G23</f>
        <v>33.775342465753425</v>
      </c>
      <c r="M308" s="39" t="str">
        <f>'2015'!H23</f>
        <v>SR</v>
      </c>
      <c r="N308" s="39">
        <f>'2015'!I23</f>
        <v>23.347945205479451</v>
      </c>
      <c r="O308" s="39" t="str">
        <f t="shared" si="51"/>
        <v>BRUISER</v>
      </c>
      <c r="P308" s="39" t="str">
        <f t="shared" si="58"/>
        <v>PLODDER</v>
      </c>
      <c r="Q308" s="37">
        <f>'2015'!J23</f>
        <v>74</v>
      </c>
      <c r="R308" s="37">
        <f>'2015'!K23</f>
        <v>234</v>
      </c>
      <c r="S308" s="39">
        <f t="shared" si="53"/>
        <v>30.04348930538621</v>
      </c>
      <c r="T308" s="39">
        <f>'2015'!L23</f>
        <v>4.63</v>
      </c>
      <c r="U308" s="55">
        <f>'2015'!M23</f>
        <v>0</v>
      </c>
      <c r="V308" s="41">
        <f>'2015'!N23</f>
        <v>0</v>
      </c>
      <c r="W308" s="42">
        <f>'2015'!O23</f>
        <v>0.1579079079079079</v>
      </c>
      <c r="X308" s="42">
        <f>'2015'!P23</f>
        <v>0</v>
      </c>
      <c r="Y308" s="42">
        <f>'2015'!Q23</f>
        <v>0.17576364546820231</v>
      </c>
      <c r="Z308" s="42">
        <f>'2015'!R23</f>
        <v>0.12639698223686061</v>
      </c>
      <c r="AA308" s="42">
        <f>'2015'!S23</f>
        <v>0.15108031385253146</v>
      </c>
      <c r="AB308" s="42">
        <f>'2015'!T23</f>
        <v>0.13597228246727833</v>
      </c>
      <c r="AC308" s="42">
        <f>'2015'!U23</f>
        <v>0.11943425877422735</v>
      </c>
      <c r="AD308" s="42">
        <f>'2015'!V23</f>
        <v>3.0864197530864196E-2</v>
      </c>
      <c r="AE308" s="42">
        <f>'2015'!W23</f>
        <v>7.5149228152545766E-2</v>
      </c>
      <c r="AF308" s="43">
        <f>'2015'!X23</f>
        <v>6.7634305337291187E-2</v>
      </c>
      <c r="AG308" s="44">
        <f>'2015'!Y23</f>
        <v>19.693150684931506</v>
      </c>
      <c r="AH308" s="45">
        <f>'2015'!Z23</f>
        <v>101.8408203513915</v>
      </c>
      <c r="AI308" s="45">
        <f>'2015'!AA23</f>
        <v>30.04054054054054</v>
      </c>
      <c r="AJ308" s="45">
        <f>'2015'!AB23</f>
        <v>0.15625</v>
      </c>
      <c r="AK308" s="45">
        <f>'2015'!AC23</f>
        <v>5.0613496932515334</v>
      </c>
      <c r="AL308" s="45">
        <f t="shared" si="52"/>
        <v>8.6086956521739122</v>
      </c>
      <c r="AM308" s="45">
        <f t="shared" si="59"/>
        <v>5.8823529411764705E-2</v>
      </c>
      <c r="AN308" s="45">
        <f>'2015'!AD23</f>
        <v>35.5</v>
      </c>
      <c r="AO308" s="45">
        <f>'2015'!AE23</f>
        <v>2.2599999999999998</v>
      </c>
      <c r="AP308" s="46">
        <f>'2015'!AF23</f>
        <v>22.4</v>
      </c>
      <c r="AQ308" s="47">
        <f>'2015'!AG23</f>
        <v>1</v>
      </c>
      <c r="AR308" s="48">
        <f>'2015'!AH23</f>
        <v>7</v>
      </c>
      <c r="AS308" s="48">
        <f>'2015'!AI23</f>
        <v>6</v>
      </c>
      <c r="AT308" s="48">
        <f>'2015'!AJ23</f>
        <v>6</v>
      </c>
      <c r="AU308" s="48">
        <f>'2015'!AK23</f>
        <v>1</v>
      </c>
      <c r="AV308" s="48">
        <f>'2015'!AL23</f>
        <v>1</v>
      </c>
      <c r="AW308" s="48">
        <f>'2015'!AM23</f>
        <v>0</v>
      </c>
      <c r="AX308" s="48">
        <f>'2015'!AN23</f>
        <v>0</v>
      </c>
      <c r="AY308" s="49">
        <f>'2015'!AO23</f>
        <v>0</v>
      </c>
      <c r="AZ308" s="50">
        <f>'2015'!AP23</f>
        <v>0</v>
      </c>
      <c r="BA308" s="56">
        <f>'2015'!AQ23</f>
        <v>0</v>
      </c>
      <c r="BB308" s="57">
        <f>'2015'!AR23</f>
        <v>1</v>
      </c>
      <c r="BC308" s="57">
        <f>'2015'!AS23</f>
        <v>0</v>
      </c>
      <c r="BD308" s="57">
        <f>'2015'!AT23</f>
        <v>0</v>
      </c>
      <c r="BE308" s="57">
        <f>'2015'!AU23</f>
        <v>0</v>
      </c>
      <c r="BF308" s="57">
        <f>'2015'!AV23</f>
        <v>0</v>
      </c>
      <c r="BG308" s="58">
        <f>'2015'!AW23</f>
        <v>0</v>
      </c>
      <c r="BH308" s="58">
        <f>'2015'!AX23</f>
        <v>0</v>
      </c>
      <c r="BI308" s="58">
        <f>'2015'!AY23</f>
        <v>0</v>
      </c>
      <c r="BJ308" s="58">
        <f>'2015'!AZ23</f>
        <v>0</v>
      </c>
      <c r="BK308" s="57">
        <f>'2015'!BA23</f>
        <v>0</v>
      </c>
      <c r="BL308" s="57">
        <f>'2015'!BB23</f>
        <v>1</v>
      </c>
      <c r="BM308" s="57">
        <f>'2015'!BC23</f>
        <v>0</v>
      </c>
      <c r="BN308" s="57">
        <f>'2015'!BD23</f>
        <v>0</v>
      </c>
      <c r="BO308" s="59">
        <f>'2015'!BE23</f>
        <v>0</v>
      </c>
      <c r="BP308" s="56">
        <f>'2015'!BF23</f>
        <v>533</v>
      </c>
      <c r="BQ308" s="57">
        <f>'2015'!BG23</f>
        <v>1458</v>
      </c>
      <c r="BR308" s="57">
        <f>'2015'!BH23</f>
        <v>4</v>
      </c>
      <c r="BS308" s="57">
        <f>'2015'!BI23</f>
        <v>0</v>
      </c>
      <c r="BT308" s="57">
        <f>'2015'!BJ23</f>
        <v>140</v>
      </c>
      <c r="BU308" s="57">
        <f>'2015'!BK23</f>
        <v>0</v>
      </c>
      <c r="BV308" s="58">
        <f>'2015'!BL23</f>
        <v>0</v>
      </c>
      <c r="BW308" s="58">
        <f>'2015'!BM23</f>
        <v>0</v>
      </c>
      <c r="BX308" s="58">
        <f>'2015'!BN23</f>
        <v>0</v>
      </c>
      <c r="BY308" s="58">
        <f>'2015'!BO23</f>
        <v>0</v>
      </c>
      <c r="BZ308" s="57">
        <f>'2015'!BP23</f>
        <v>98</v>
      </c>
      <c r="CA308" s="57">
        <f>'2015'!BQ23</f>
        <v>2538</v>
      </c>
      <c r="CB308" s="57">
        <f>'2015'!BR23</f>
        <v>16</v>
      </c>
      <c r="CC308" s="57">
        <f>'2015'!BS23</f>
        <v>1</v>
      </c>
      <c r="CD308" s="59">
        <f>'2015'!BT23</f>
        <v>0</v>
      </c>
      <c r="CE308" s="56">
        <f>'2015'!BU23</f>
        <v>0</v>
      </c>
      <c r="CF308" s="57">
        <f>'2015'!BV23</f>
        <v>1</v>
      </c>
      <c r="CG308" s="57">
        <f>'2015'!BW23</f>
        <v>0</v>
      </c>
      <c r="CH308" s="57">
        <f>'2015'!BX23</f>
        <v>0</v>
      </c>
      <c r="CI308" s="57">
        <f>'2015'!BY23</f>
        <v>0</v>
      </c>
      <c r="CJ308" s="57">
        <f>'2015'!BZ23</f>
        <v>0</v>
      </c>
      <c r="CK308" s="58">
        <f>'2015'!CA23</f>
        <v>0</v>
      </c>
      <c r="CL308" s="58">
        <f>'2015'!CB23</f>
        <v>0</v>
      </c>
      <c r="CM308" s="58">
        <f>'2015'!CC23</f>
        <v>0</v>
      </c>
      <c r="CN308" s="58">
        <f>'2015'!CD23</f>
        <v>0</v>
      </c>
      <c r="CO308" s="57">
        <f>'2015'!CE23</f>
        <v>0</v>
      </c>
      <c r="CP308" s="57">
        <f>'2015'!CF23</f>
        <v>1</v>
      </c>
      <c r="CQ308" s="57">
        <f>'2015'!CG23</f>
        <v>0</v>
      </c>
      <c r="CR308" s="57">
        <f>'2015'!CH23</f>
        <v>0</v>
      </c>
      <c r="CS308" s="59">
        <f>'2015'!CI23</f>
        <v>0</v>
      </c>
      <c r="CT308" s="56">
        <f>'2015'!CJ23</f>
        <v>825</v>
      </c>
      <c r="CU308" s="57">
        <f>'2015'!CK23</f>
        <v>4082</v>
      </c>
      <c r="CV308" s="57">
        <f>'2015'!CL23</f>
        <v>8</v>
      </c>
      <c r="CW308" s="57">
        <f>'2015'!CM23</f>
        <v>0</v>
      </c>
      <c r="CX308" s="57">
        <f>'2015'!CN23</f>
        <v>163</v>
      </c>
      <c r="CY308" s="57">
        <f>'2015'!CO23</f>
        <v>0</v>
      </c>
      <c r="CZ308" s="58">
        <f>'2015'!CP23</f>
        <v>5.0613496932515334</v>
      </c>
      <c r="DA308" s="58">
        <f>'2015'!CQ23</f>
        <v>0</v>
      </c>
      <c r="DB308" s="58">
        <f>'2015'!CR23</f>
        <v>0</v>
      </c>
      <c r="DC308" s="58">
        <f>'2015'!CS23</f>
        <v>0</v>
      </c>
      <c r="DD308" s="57">
        <f>'2015'!CT23</f>
        <v>228</v>
      </c>
      <c r="DE308" s="57">
        <f>'2015'!CU23</f>
        <v>1909</v>
      </c>
      <c r="DF308" s="57">
        <f>'2015'!CV23</f>
        <v>24</v>
      </c>
      <c r="DG308" s="57">
        <f>'2015'!CW23</f>
        <v>1</v>
      </c>
      <c r="DH308" s="59">
        <f>'2015'!CX23</f>
        <v>0</v>
      </c>
      <c r="DI308" s="56">
        <f>'2015'!CY23</f>
        <v>379</v>
      </c>
      <c r="DJ308" s="57">
        <f>'2015'!CZ23</f>
        <v>1284.3</v>
      </c>
      <c r="DK308" s="57">
        <f>'2015'!DA23</f>
        <v>4</v>
      </c>
      <c r="DL308" s="57">
        <f>'2015'!DB23</f>
        <v>19.8</v>
      </c>
      <c r="DM308" s="57">
        <f>'2015'!DC23</f>
        <v>96</v>
      </c>
      <c r="DN308" s="57">
        <f>'2015'!DD23</f>
        <v>15</v>
      </c>
      <c r="DO308" s="58">
        <f>'2015'!DE23</f>
        <v>3.9479166666666665</v>
      </c>
      <c r="DP308" s="58">
        <f>'2015'!DF23</f>
        <v>35.5</v>
      </c>
      <c r="DQ308" s="58">
        <f>'2015'!DG23</f>
        <v>2.2599999999999998</v>
      </c>
      <c r="DR308" s="58">
        <f>'2015'!DH23</f>
        <v>22.4</v>
      </c>
      <c r="DS308" s="57">
        <f>'2015'!DI23</f>
        <v>70</v>
      </c>
      <c r="DT308" s="57">
        <f>'2015'!DJ23</f>
        <v>2268</v>
      </c>
      <c r="DU308" s="57">
        <f>'2015'!DK23</f>
        <v>6</v>
      </c>
      <c r="DV308" s="57">
        <f>'2015'!DL23</f>
        <v>0</v>
      </c>
      <c r="DW308" s="59">
        <f>'2015'!DM23</f>
        <v>14.4</v>
      </c>
    </row>
    <row r="309" spans="1:127" ht="15.75" customHeight="1" x14ac:dyDescent="0.2">
      <c r="A309" s="33">
        <f t="shared" si="49"/>
        <v>307</v>
      </c>
      <c r="B309" s="11">
        <f>'2024'!A31</f>
        <v>29</v>
      </c>
      <c r="C309" s="11">
        <v>2024</v>
      </c>
      <c r="D309" s="34" t="str">
        <f>'2024'!B31</f>
        <v>Jawhar Jordan</v>
      </c>
      <c r="E309" s="224" t="str" cm="1">
        <f t="array" ref="E309">_xlfn.IFS(F309&gt;=13,"Cornerstone",AND(F309&gt;=12,F309&lt;13),"Elite",AND(F309&gt;=11,F309&lt;12),"Elite Upside",AND(F309&gt;=9,F309&lt;11),"Upside",AND(F309&gt;=7,F309&lt;9),"Upside Lite",AND(F309&gt;=6,F309&lt;7),"Outlier",AND(F309&gt;=5,F309&lt;6),"Outlier Lite",F309&lt;5,"Purgatory")</f>
        <v>Purgatory</v>
      </c>
      <c r="F309" s="14">
        <f>'2024'!C31</f>
        <v>2.8388888888888886</v>
      </c>
      <c r="G309" s="14">
        <f t="shared" si="54"/>
        <v>6.1</v>
      </c>
      <c r="H309" s="35">
        <f t="shared" si="50"/>
        <v>-2.1853317521573108</v>
      </c>
      <c r="I309" s="36" t="str">
        <f>'2024'!D31</f>
        <v>Louisville</v>
      </c>
      <c r="J309" s="37">
        <f>'2024'!E31</f>
        <v>4</v>
      </c>
      <c r="K309" s="38">
        <f>'2024'!F31</f>
        <v>36390</v>
      </c>
      <c r="L309" s="39">
        <f>'2024'!G31</f>
        <v>26.12876712328767</v>
      </c>
      <c r="M309" s="39" t="str">
        <f>'2024'!H31</f>
        <v>RS SR</v>
      </c>
      <c r="N309" s="39">
        <f>'2024'!I31</f>
        <v>24.709589041095889</v>
      </c>
      <c r="O309" s="39" t="str">
        <f t="shared" si="51"/>
        <v>DYNAMIC</v>
      </c>
      <c r="P309" s="39" t="str">
        <f t="shared" si="58"/>
        <v>SLASHER</v>
      </c>
      <c r="Q309" s="37">
        <f>'2024'!J31</f>
        <v>69</v>
      </c>
      <c r="R309" s="37">
        <f>'2024'!K31</f>
        <v>193</v>
      </c>
      <c r="S309" s="39">
        <f t="shared" si="53"/>
        <v>28.500801971148157</v>
      </c>
      <c r="T309" s="37">
        <f>'2024'!L31</f>
        <v>4.5599999999999996</v>
      </c>
      <c r="U309" s="40">
        <f>'2024'!M31</f>
        <v>0</v>
      </c>
      <c r="V309" s="41">
        <f>'2024'!N31</f>
        <v>0.12164216928535225</v>
      </c>
      <c r="W309" s="42">
        <f>'2024'!O31</f>
        <v>0.13318256062319386</v>
      </c>
      <c r="X309" s="42">
        <f>'2024'!P31</f>
        <v>8.8053130363405716E-2</v>
      </c>
      <c r="Y309" s="42">
        <f>'2024'!Q31</f>
        <v>3.3906010266512611E-2</v>
      </c>
      <c r="Z309" s="42">
        <f>'2024'!R31</f>
        <v>0.2536923447547394</v>
      </c>
      <c r="AA309" s="42">
        <f>'2024'!S31</f>
        <v>0.2536923447547394</v>
      </c>
      <c r="AB309" s="42">
        <f>'2024'!T31</f>
        <v>0.22832311027926547</v>
      </c>
      <c r="AC309" s="42">
        <f>'2024'!U31</f>
        <v>3.1817331087404081E-2</v>
      </c>
      <c r="AD309" s="42">
        <f>'2024'!V31</f>
        <v>7.9979192405227911E-2</v>
      </c>
      <c r="AE309" s="42">
        <f>'2024'!W31</f>
        <v>7.9979192405227911E-2</v>
      </c>
      <c r="AF309" s="43">
        <f>'2024'!X31</f>
        <v>7.1981273164705123E-2</v>
      </c>
      <c r="AG309" s="44">
        <f>'2024'!Y31</f>
        <v>24.063013698630137</v>
      </c>
      <c r="AH309" s="45">
        <f>'2024'!Z31</f>
        <v>89.274604322223936</v>
      </c>
      <c r="AI309" s="45">
        <f>'2024'!AA31</f>
        <v>28.498004620877968</v>
      </c>
      <c r="AJ309" s="45">
        <f>'2024'!AB31</f>
        <v>0.23239436619718309</v>
      </c>
      <c r="AK309" s="45">
        <f>'2024'!AC31</f>
        <v>6.2</v>
      </c>
      <c r="AL309" s="45">
        <f t="shared" si="52"/>
        <v>12.05</v>
      </c>
      <c r="AM309" s="45">
        <f t="shared" si="59"/>
        <v>0.10396039603960396</v>
      </c>
      <c r="AN309" s="45">
        <f>'2024'!AD31</f>
        <v>73.599999999999994</v>
      </c>
      <c r="AO309" s="45">
        <f>'2024'!AE31</f>
        <v>3.29</v>
      </c>
      <c r="AP309" s="46">
        <f>'2024'!AF31</f>
        <v>48.2</v>
      </c>
      <c r="AQ309" s="47">
        <f>'2024'!AG31</f>
        <v>4</v>
      </c>
      <c r="AR309" s="48">
        <f>'2024'!AH31</f>
        <v>7</v>
      </c>
      <c r="AS309" s="48">
        <f>'2024'!AI31</f>
        <v>0</v>
      </c>
      <c r="AT309" s="48">
        <f>'2024'!AJ31</f>
        <v>2</v>
      </c>
      <c r="AU309" s="48">
        <f>'2024'!AK31</f>
        <v>5</v>
      </c>
      <c r="AV309" s="48">
        <f>'2024'!AL31</f>
        <v>5</v>
      </c>
      <c r="AW309" s="48">
        <f>'2024'!AM31</f>
        <v>1</v>
      </c>
      <c r="AX309" s="48">
        <f>'2024'!AN31</f>
        <v>1</v>
      </c>
      <c r="AY309" s="49">
        <f>'2024'!AO31</f>
        <v>0</v>
      </c>
      <c r="AZ309" s="50">
        <f>'2024'!AP31</f>
        <v>0</v>
      </c>
      <c r="BA309" s="56">
        <f>'2024'!AQ31</f>
        <v>105</v>
      </c>
      <c r="BB309" s="57">
        <f>'2024'!AR31</f>
        <v>616</v>
      </c>
      <c r="BC309" s="57">
        <f>'2024'!AS31</f>
        <v>1</v>
      </c>
      <c r="BD309" s="57">
        <f>'2024'!AT31</f>
        <v>5.2</v>
      </c>
      <c r="BE309" s="57">
        <f>'2024'!AU31</f>
        <v>15</v>
      </c>
      <c r="BF309" s="57">
        <f>'2024'!AV31</f>
        <v>4</v>
      </c>
      <c r="BG309" s="58">
        <f>'2024'!AW31</f>
        <v>7</v>
      </c>
      <c r="BH309" s="58">
        <f>'2024'!AX31</f>
        <v>153.69999999999999</v>
      </c>
      <c r="BI309" s="58">
        <f>'2024'!AY31</f>
        <v>3.73</v>
      </c>
      <c r="BJ309" s="58">
        <f>'2024'!AZ31</f>
        <v>33.299999999999997</v>
      </c>
      <c r="BK309" s="57">
        <f>'2024'!BA31</f>
        <v>87</v>
      </c>
      <c r="BL309" s="57">
        <f>'2024'!BB31</f>
        <v>962.4</v>
      </c>
      <c r="BM309" s="57">
        <f>'2024'!BC31</f>
        <v>2</v>
      </c>
      <c r="BN309" s="57">
        <f>'2024'!BD31</f>
        <v>0</v>
      </c>
      <c r="BO309" s="59">
        <f>'2024'!BE31</f>
        <v>7.6</v>
      </c>
      <c r="BP309" s="56">
        <f>'2024'!BF31</f>
        <v>66</v>
      </c>
      <c r="BQ309" s="57">
        <f>'2024'!BG31</f>
        <v>276</v>
      </c>
      <c r="BR309" s="57">
        <f>'2024'!BH31</f>
        <v>0</v>
      </c>
      <c r="BS309" s="57">
        <f>'2024'!BI31</f>
        <v>1.5</v>
      </c>
      <c r="BT309" s="57">
        <f>'2024'!BJ31</f>
        <v>28</v>
      </c>
      <c r="BU309" s="57">
        <f>'2024'!BK31</f>
        <v>3</v>
      </c>
      <c r="BV309" s="58">
        <f>'2024'!BL31</f>
        <v>2.4</v>
      </c>
      <c r="BW309" s="58">
        <f>'2024'!BM31</f>
        <v>33.1</v>
      </c>
      <c r="BX309" s="58">
        <f>'2024'!BN31</f>
        <v>2.25</v>
      </c>
      <c r="BY309" s="58">
        <f>'2024'!BO31</f>
        <v>0</v>
      </c>
      <c r="BZ309" s="57">
        <f>'2024'!BP31</f>
        <v>40</v>
      </c>
      <c r="CA309" s="57">
        <f>'2024'!BQ31</f>
        <v>519.90000000000009</v>
      </c>
      <c r="CB309" s="57">
        <f>'2024'!BR31</f>
        <v>6</v>
      </c>
      <c r="CC309" s="57">
        <f>'2024'!BS31</f>
        <v>0</v>
      </c>
      <c r="CD309" s="59">
        <f>'2024'!BT31</f>
        <v>4.1999999999999993</v>
      </c>
      <c r="CE309" s="56">
        <f>'2024'!BU31</f>
        <v>94</v>
      </c>
      <c r="CF309" s="57">
        <f>'2024'!BV31</f>
        <v>630.59999999999991</v>
      </c>
      <c r="CG309" s="57">
        <f>'2024'!BW31</f>
        <v>0</v>
      </c>
      <c r="CH309" s="57">
        <f>'2024'!BX31</f>
        <v>6.6000000000000005</v>
      </c>
      <c r="CI309" s="57">
        <f>'2024'!BY31</f>
        <v>14</v>
      </c>
      <c r="CJ309" s="57">
        <f>'2024'!BZ31</f>
        <v>2</v>
      </c>
      <c r="CK309" s="58">
        <f>'2024'!CA31</f>
        <v>6.7</v>
      </c>
      <c r="CL309" s="58">
        <f>'2024'!CB31</f>
        <v>59</v>
      </c>
      <c r="CM309" s="58">
        <f>'2024'!CC31</f>
        <v>4.43</v>
      </c>
      <c r="CN309" s="58">
        <f>'2024'!CD31</f>
        <v>38.299999999999997</v>
      </c>
      <c r="CO309" s="57">
        <f>'2024'!CE31</f>
        <v>24</v>
      </c>
      <c r="CP309" s="57">
        <f>'2024'!CF31</f>
        <v>709.5</v>
      </c>
      <c r="CQ309" s="57">
        <f>'2024'!CG31</f>
        <v>1</v>
      </c>
      <c r="CR309" s="57">
        <f>'2024'!CH31</f>
        <v>0</v>
      </c>
      <c r="CS309" s="59">
        <f>'2024'!CI31</f>
        <v>4.8000000000000007</v>
      </c>
      <c r="CT309" s="56">
        <f>'2024'!CJ31</f>
        <v>94</v>
      </c>
      <c r="CU309" s="57">
        <f>'2024'!CK31</f>
        <v>2607.7999999999997</v>
      </c>
      <c r="CV309" s="57">
        <f>'2024'!CL31</f>
        <v>4</v>
      </c>
      <c r="CW309" s="57">
        <f>'2024'!CM31</f>
        <v>24.7</v>
      </c>
      <c r="CX309" s="57">
        <f>'2024'!CN31</f>
        <v>142</v>
      </c>
      <c r="CY309" s="57">
        <f>'2024'!CO31</f>
        <v>33</v>
      </c>
      <c r="CZ309" s="58">
        <f>'2024'!CP31</f>
        <v>5.7</v>
      </c>
      <c r="DA309" s="58">
        <f>'2024'!CQ31</f>
        <v>73.599999999999994</v>
      </c>
      <c r="DB309" s="58">
        <f>'2024'!CR31</f>
        <v>3.29</v>
      </c>
      <c r="DC309" s="58">
        <f>'2024'!CS31</f>
        <v>48.2</v>
      </c>
      <c r="DD309" s="57">
        <f>'2024'!CT31</f>
        <v>85</v>
      </c>
      <c r="DE309" s="57">
        <f>'2024'!CU31</f>
        <v>2671.5</v>
      </c>
      <c r="DF309" s="57">
        <f>'2024'!CV31</f>
        <v>10</v>
      </c>
      <c r="DG309" s="57">
        <f>'2024'!CW31</f>
        <v>0</v>
      </c>
      <c r="DH309" s="59">
        <f>'2024'!CX31</f>
        <v>13</v>
      </c>
      <c r="DI309" s="56">
        <f>'2024'!CY31</f>
        <v>1123</v>
      </c>
      <c r="DJ309" s="57">
        <f>'2024'!CZ31</f>
        <v>2320.5</v>
      </c>
      <c r="DK309" s="57">
        <f>'2024'!DA31</f>
        <v>13</v>
      </c>
      <c r="DL309" s="57">
        <f>'2024'!DB31</f>
        <v>28.6</v>
      </c>
      <c r="DM309" s="57">
        <f>'2024'!DC31</f>
        <v>181</v>
      </c>
      <c r="DN309" s="57">
        <f>'2024'!DD31</f>
        <v>32</v>
      </c>
      <c r="DO309" s="58">
        <f>'2024'!DE31</f>
        <v>6.2</v>
      </c>
      <c r="DP309" s="58">
        <f>'2024'!DF31</f>
        <v>60</v>
      </c>
      <c r="DQ309" s="58">
        <f>'2024'!DG31</f>
        <v>3.19</v>
      </c>
      <c r="DR309" s="58">
        <f>'2024'!DH31</f>
        <v>44.9</v>
      </c>
      <c r="DS309" s="57">
        <f>'2024'!DI31</f>
        <v>246</v>
      </c>
      <c r="DT309" s="57">
        <f>'2024'!DJ31</f>
        <v>3075.7999999999997</v>
      </c>
      <c r="DU309" s="57">
        <f>'2024'!DK31</f>
        <v>21</v>
      </c>
      <c r="DV309" s="57">
        <f>'2024'!DL31</f>
        <v>1</v>
      </c>
      <c r="DW309" s="59">
        <f>'2024'!DM31</f>
        <v>20.8</v>
      </c>
    </row>
    <row r="310" spans="1:127" ht="15.75" customHeight="1" x14ac:dyDescent="0.2">
      <c r="A310" s="33">
        <f t="shared" si="49"/>
        <v>308</v>
      </c>
      <c r="B310" s="11">
        <f>'2015'!A24</f>
        <v>22</v>
      </c>
      <c r="C310" s="11">
        <v>2015</v>
      </c>
      <c r="D310" s="34" t="str">
        <f>'2015'!B24</f>
        <v>Michael Dyer</v>
      </c>
      <c r="E310" s="224" t="str" cm="1">
        <f t="array" ref="E310">_xlfn.IFS(F310&gt;=13,"Cornerstone",AND(F310&gt;=12,F310&lt;13),"Elite",AND(F310&gt;=11,F310&lt;12),"Elite Upside",AND(F310&gt;=9,F310&lt;11),"Upside",AND(F310&gt;=7,F310&lt;9),"Upside Lite",AND(F310&gt;=6,F310&lt;7),"Outlier",AND(F310&gt;=5,F310&lt;6),"Outlier Lite",F310&lt;5,"Purgatory")</f>
        <v>Purgatory</v>
      </c>
      <c r="F310" s="14">
        <f>'2015'!C24</f>
        <v>2.8333333333333335</v>
      </c>
      <c r="G310" s="14">
        <f t="shared" si="54"/>
        <v>5.8000000000000007</v>
      </c>
      <c r="H310" s="35">
        <f t="shared" si="50"/>
        <v>-2.1876830025141971</v>
      </c>
      <c r="I310" s="36" t="str">
        <f>'2015'!D24</f>
        <v>Louisville</v>
      </c>
      <c r="J310" s="37">
        <f>'2015'!E24</f>
        <v>4</v>
      </c>
      <c r="K310" s="38">
        <f>'2015'!F24</f>
        <v>33159</v>
      </c>
      <c r="L310" s="39">
        <f>'2015'!G24</f>
        <v>34.980821917808221</v>
      </c>
      <c r="M310" s="39" t="str">
        <f>'2015'!H24</f>
        <v>SR</v>
      </c>
      <c r="N310" s="39">
        <f>'2015'!I24</f>
        <v>24.553424657534247</v>
      </c>
      <c r="O310" s="39" t="str">
        <f t="shared" si="51"/>
        <v>BELL CALF</v>
      </c>
      <c r="P310" s="39" t="str">
        <f t="shared" si="58"/>
        <v>PLODDER</v>
      </c>
      <c r="Q310" s="37">
        <f>'2015'!J24</f>
        <v>68</v>
      </c>
      <c r="R310" s="37">
        <f>'2015'!K24</f>
        <v>218</v>
      </c>
      <c r="S310" s="39">
        <f t="shared" si="53"/>
        <v>33.146419407025668</v>
      </c>
      <c r="T310" s="39">
        <f>'2015'!L24</f>
        <v>4.58</v>
      </c>
      <c r="U310" s="55">
        <f>'2015'!M24</f>
        <v>0</v>
      </c>
      <c r="V310" s="41">
        <f>'2015'!N24</f>
        <v>0.15767634854771784</v>
      </c>
      <c r="W310" s="42">
        <f>'2015'!O24</f>
        <v>0.30812117623840535</v>
      </c>
      <c r="X310" s="42">
        <f>'2015'!P24</f>
        <v>0</v>
      </c>
      <c r="Y310" s="42">
        <f>'2015'!Q24</f>
        <v>7.1614583333333329E-2</v>
      </c>
      <c r="Z310" s="42">
        <f>'2015'!R24</f>
        <v>0.16689891056498607</v>
      </c>
      <c r="AA310" s="42">
        <f>'2015'!S24</f>
        <v>0.23751004340169571</v>
      </c>
      <c r="AB310" s="42">
        <f>'2015'!T24</f>
        <v>0.21375903906152613</v>
      </c>
      <c r="AC310" s="42">
        <f>'2015'!U24</f>
        <v>3.6396724294813468E-3</v>
      </c>
      <c r="AD310" s="42">
        <f>'2015'!V24</f>
        <v>1.984126984126984E-2</v>
      </c>
      <c r="AE310" s="42">
        <f>'2015'!W24</f>
        <v>1.984126984126984E-2</v>
      </c>
      <c r="AF310" s="43">
        <f>'2015'!X24</f>
        <v>1.7857142857142856E-2</v>
      </c>
      <c r="AG310" s="44">
        <f>'2015'!Y24</f>
        <v>19.898630136986302</v>
      </c>
      <c r="AH310" s="45">
        <f>'2015'!Z24</f>
        <v>99.08880188646431</v>
      </c>
      <c r="AI310" s="45">
        <f>'2015'!AA24</f>
        <v>33.143166089965398</v>
      </c>
      <c r="AJ310" s="45">
        <f>'2015'!AB24</f>
        <v>0.16513761467889909</v>
      </c>
      <c r="AK310" s="45">
        <f>'2015'!AC24</f>
        <v>5.0681818181818183</v>
      </c>
      <c r="AL310" s="45">
        <f t="shared" si="52"/>
        <v>8</v>
      </c>
      <c r="AM310" s="45">
        <f t="shared" si="59"/>
        <v>2.6785714285714284E-2</v>
      </c>
      <c r="AN310" s="45">
        <f>'2015'!AD24</f>
        <v>38.1</v>
      </c>
      <c r="AO310" s="45">
        <f>'2015'!AE24</f>
        <v>2.25</v>
      </c>
      <c r="AP310" s="46">
        <f>'2015'!AF24</f>
        <v>33.700000000000003</v>
      </c>
      <c r="AQ310" s="47">
        <f>'2015'!AG24</f>
        <v>4</v>
      </c>
      <c r="AR310" s="48">
        <f>'2015'!AH24</f>
        <v>1</v>
      </c>
      <c r="AS310" s="48">
        <f>'2015'!AI24</f>
        <v>5</v>
      </c>
      <c r="AT310" s="48">
        <f>'2015'!AJ24</f>
        <v>5</v>
      </c>
      <c r="AU310" s="48">
        <f>'2015'!AK24</f>
        <v>2</v>
      </c>
      <c r="AV310" s="48">
        <f>'2015'!AL24</f>
        <v>1</v>
      </c>
      <c r="AW310" s="48">
        <f>'2015'!AM24</f>
        <v>0</v>
      </c>
      <c r="AX310" s="48">
        <f>'2015'!AN24</f>
        <v>0</v>
      </c>
      <c r="AY310" s="49">
        <f>'2015'!AO24</f>
        <v>0</v>
      </c>
      <c r="AZ310" s="50">
        <f>'2015'!AP24</f>
        <v>0.5</v>
      </c>
      <c r="BA310" s="56">
        <f>'2015'!AQ24</f>
        <v>1093</v>
      </c>
      <c r="BB310" s="57">
        <f>'2015'!AR24</f>
        <v>3002</v>
      </c>
      <c r="BC310" s="57">
        <f>'2015'!AS24</f>
        <v>5</v>
      </c>
      <c r="BD310" s="57">
        <f>'2015'!AT24</f>
        <v>0</v>
      </c>
      <c r="BE310" s="57">
        <f>'2015'!AU24</f>
        <v>182</v>
      </c>
      <c r="BF310" s="57">
        <f>'2015'!AV24</f>
        <v>0</v>
      </c>
      <c r="BG310" s="58">
        <f>'2015'!AW24</f>
        <v>0</v>
      </c>
      <c r="BH310" s="58">
        <f>'2015'!AX24</f>
        <v>0</v>
      </c>
      <c r="BI310" s="58">
        <f>'2015'!AY24</f>
        <v>0</v>
      </c>
      <c r="BJ310" s="58">
        <f>'2015'!AZ24</f>
        <v>0</v>
      </c>
      <c r="BK310" s="57">
        <f>'2015'!BA24</f>
        <v>9</v>
      </c>
      <c r="BL310" s="57">
        <f>'2015'!BB24</f>
        <v>3987</v>
      </c>
      <c r="BM310" s="57">
        <f>'2015'!BC24</f>
        <v>1</v>
      </c>
      <c r="BN310" s="57">
        <f>'2015'!BD24</f>
        <v>0</v>
      </c>
      <c r="BO310" s="59">
        <f>'2015'!BE24</f>
        <v>0</v>
      </c>
      <c r="BP310" s="56">
        <f>'2015'!BF24</f>
        <v>1242</v>
      </c>
      <c r="BQ310" s="57">
        <f>'2015'!BG24</f>
        <v>2187.6000000000004</v>
      </c>
      <c r="BR310" s="57">
        <f>'2015'!BH24</f>
        <v>2</v>
      </c>
      <c r="BS310" s="57">
        <f>'2015'!BI24</f>
        <v>0</v>
      </c>
      <c r="BT310" s="57">
        <f>'2015'!BJ24</f>
        <v>242</v>
      </c>
      <c r="BU310" s="57">
        <f>'2015'!BK24</f>
        <v>0</v>
      </c>
      <c r="BV310" s="58">
        <f>'2015'!BL24</f>
        <v>0</v>
      </c>
      <c r="BW310" s="58">
        <f>'2015'!BM24</f>
        <v>0</v>
      </c>
      <c r="BX310" s="58">
        <f>'2015'!BN24</f>
        <v>0</v>
      </c>
      <c r="BY310" s="58">
        <f>'2015'!BO24</f>
        <v>0</v>
      </c>
      <c r="BZ310" s="57">
        <f>'2015'!BP24</f>
        <v>7</v>
      </c>
      <c r="CA310" s="57">
        <f>'2015'!BQ24</f>
        <v>1866</v>
      </c>
      <c r="CB310" s="57">
        <f>'2015'!BR24</f>
        <v>2</v>
      </c>
      <c r="CC310" s="57">
        <f>'2015'!BS24</f>
        <v>0</v>
      </c>
      <c r="CD310" s="59">
        <f>'2015'!BT24</f>
        <v>0</v>
      </c>
      <c r="CE310" s="56">
        <f>'2015'!BU24</f>
        <v>0</v>
      </c>
      <c r="CF310" s="57">
        <f>'2015'!BV24</f>
        <v>1</v>
      </c>
      <c r="CG310" s="57">
        <f>'2015'!BW24</f>
        <v>0</v>
      </c>
      <c r="CH310" s="57">
        <f>'2015'!BX24</f>
        <v>0</v>
      </c>
      <c r="CI310" s="57">
        <f>'2015'!BY24</f>
        <v>0</v>
      </c>
      <c r="CJ310" s="57">
        <f>'2015'!BZ24</f>
        <v>0</v>
      </c>
      <c r="CK310" s="58">
        <f>'2015'!CA24</f>
        <v>0</v>
      </c>
      <c r="CL310" s="58">
        <f>'2015'!CB24</f>
        <v>0</v>
      </c>
      <c r="CM310" s="58">
        <f>'2015'!CC24</f>
        <v>0</v>
      </c>
      <c r="CN310" s="58">
        <f>'2015'!CD24</f>
        <v>0</v>
      </c>
      <c r="CO310" s="57">
        <f>'2015'!CE24</f>
        <v>0</v>
      </c>
      <c r="CP310" s="57">
        <f>'2015'!CF24</f>
        <v>1</v>
      </c>
      <c r="CQ310" s="57">
        <f>'2015'!CG24</f>
        <v>0</v>
      </c>
      <c r="CR310" s="57">
        <f>'2015'!CH24</f>
        <v>0</v>
      </c>
      <c r="CS310" s="59">
        <f>'2015'!CI24</f>
        <v>0</v>
      </c>
      <c r="CT310" s="56">
        <f>'2015'!CJ24</f>
        <v>223</v>
      </c>
      <c r="CU310" s="57">
        <f>'2015'!CK24</f>
        <v>1027.6000000000001</v>
      </c>
      <c r="CV310" s="57">
        <f>'2015'!CL24</f>
        <v>2</v>
      </c>
      <c r="CW310" s="57">
        <f>'2015'!CM24</f>
        <v>0</v>
      </c>
      <c r="CX310" s="57">
        <f>'2015'!CN24</f>
        <v>44</v>
      </c>
      <c r="CY310" s="57">
        <f>'2015'!CO24</f>
        <v>0</v>
      </c>
      <c r="CZ310" s="58">
        <f>'2015'!CP24</f>
        <v>5.0681818181818183</v>
      </c>
      <c r="DA310" s="58">
        <f>'2015'!CQ24</f>
        <v>0</v>
      </c>
      <c r="DB310" s="58">
        <f>'2015'!CR24</f>
        <v>0</v>
      </c>
      <c r="DC310" s="58">
        <f>'2015'!CS24</f>
        <v>0</v>
      </c>
      <c r="DD310" s="57">
        <f>'2015'!CT24</f>
        <v>8</v>
      </c>
      <c r="DE310" s="57">
        <f>'2015'!CU24</f>
        <v>2198</v>
      </c>
      <c r="DF310" s="57">
        <f>'2015'!CV24</f>
        <v>2</v>
      </c>
      <c r="DG310" s="57">
        <f>'2015'!CW24</f>
        <v>0</v>
      </c>
      <c r="DH310" s="59">
        <f>'2015'!CX24</f>
        <v>0</v>
      </c>
      <c r="DI310" s="56">
        <f>'2015'!CY24</f>
        <v>487</v>
      </c>
      <c r="DJ310" s="57">
        <f>'2015'!CZ24</f>
        <v>1141.5999999999999</v>
      </c>
      <c r="DK310" s="57">
        <f>'2015'!DA24</f>
        <v>5</v>
      </c>
      <c r="DL310" s="57">
        <f>'2015'!DB24</f>
        <v>17.600000000000001</v>
      </c>
      <c r="DM310" s="57">
        <f>'2015'!DC24</f>
        <v>109</v>
      </c>
      <c r="DN310" s="57">
        <f>'2015'!DD24</f>
        <v>18</v>
      </c>
      <c r="DO310" s="58">
        <f>'2015'!DE24</f>
        <v>4.4678899082568808</v>
      </c>
      <c r="DP310" s="58">
        <f>'2015'!DF24</f>
        <v>38.1</v>
      </c>
      <c r="DQ310" s="58">
        <f>'2015'!DG24</f>
        <v>2.25</v>
      </c>
      <c r="DR310" s="58">
        <f>'2015'!DH24</f>
        <v>33.700000000000003</v>
      </c>
      <c r="DS310" s="57">
        <f>'2015'!DI24</f>
        <v>40</v>
      </c>
      <c r="DT310" s="57">
        <f>'2015'!DJ24</f>
        <v>2016</v>
      </c>
      <c r="DU310" s="57">
        <f>'2015'!DK24</f>
        <v>3</v>
      </c>
      <c r="DV310" s="57">
        <f>'2015'!DL24</f>
        <v>0</v>
      </c>
      <c r="DW310" s="59">
        <f>'2015'!DM24</f>
        <v>12.8</v>
      </c>
    </row>
    <row r="311" spans="1:127" ht="15.75" customHeight="1" x14ac:dyDescent="0.2">
      <c r="A311" s="33">
        <f t="shared" si="49"/>
        <v>309</v>
      </c>
      <c r="B311" s="11">
        <f>'2023'!A27</f>
        <v>25</v>
      </c>
      <c r="C311" s="11">
        <v>2023</v>
      </c>
      <c r="D311" s="34" t="str">
        <f>'2023'!B27</f>
        <v>SaRodorick Thompson</v>
      </c>
      <c r="E311" s="224" t="str" cm="1">
        <f t="array" ref="E311">_xlfn.IFS(F311&gt;=13,"Cornerstone",AND(F311&gt;=12,F311&lt;13),"Elite",AND(F311&gt;=11,F311&lt;12),"Elite Upside",AND(F311&gt;=9,F311&lt;11),"Upside",AND(F311&gt;=7,F311&lt;9),"Upside Lite",AND(F311&gt;=6,F311&lt;7),"Outlier",AND(F311&gt;=5,F311&lt;6),"Outlier Lite",F311&lt;5,"Purgatory")</f>
        <v>Purgatory</v>
      </c>
      <c r="F311" s="14">
        <f>'2023'!C27</f>
        <v>2.7888888888888892</v>
      </c>
      <c r="G311" s="14">
        <f t="shared" si="54"/>
        <v>5.0999999999999996</v>
      </c>
      <c r="H311" s="35">
        <f t="shared" si="50"/>
        <v>-2.2064930053692922</v>
      </c>
      <c r="I311" s="36" t="str">
        <f>'2023'!D27</f>
        <v>Texas Tech</v>
      </c>
      <c r="J311" s="37">
        <f>'2023'!E27</f>
        <v>3</v>
      </c>
      <c r="K311" s="38">
        <f>'2023'!F27</f>
        <v>36434</v>
      </c>
      <c r="L311" s="39">
        <f>'2023'!G27</f>
        <v>26.008219178082193</v>
      </c>
      <c r="M311" s="39" t="str">
        <f>'2023'!H27</f>
        <v>RS SR</v>
      </c>
      <c r="N311" s="39">
        <f>'2023'!I27</f>
        <v>23.586301369863012</v>
      </c>
      <c r="O311" s="39" t="str">
        <f t="shared" si="51"/>
        <v>BELL COW</v>
      </c>
      <c r="P311" s="39" t="str">
        <f t="shared" si="58"/>
        <v>SLASHER</v>
      </c>
      <c r="Q311" s="37">
        <f>'2023'!J27</f>
        <v>71</v>
      </c>
      <c r="R311" s="37">
        <f>'2023'!K27</f>
        <v>207</v>
      </c>
      <c r="S311" s="39">
        <f t="shared" si="53"/>
        <v>28.870320228242129</v>
      </c>
      <c r="T311" s="37">
        <f>'2023'!L27</f>
        <v>4.67</v>
      </c>
      <c r="U311" s="40">
        <f>'2023'!M27</f>
        <v>0</v>
      </c>
      <c r="V311" s="41">
        <f>'2023'!N27</f>
        <v>1.9267822736030824E-2</v>
      </c>
      <c r="W311" s="42">
        <f>'2023'!O27</f>
        <v>0.16076323002319209</v>
      </c>
      <c r="X311" s="42">
        <f>'2023'!P27</f>
        <v>0.17112299465240641</v>
      </c>
      <c r="Y311" s="42">
        <f>'2023'!Q27</f>
        <v>0.11287223823246878</v>
      </c>
      <c r="Z311" s="42">
        <f>'2023'!R27</f>
        <v>0.13354006201860558</v>
      </c>
      <c r="AA311" s="42">
        <f>'2023'!S27</f>
        <v>0.15233152833550601</v>
      </c>
      <c r="AB311" s="42">
        <f>'2023'!T27</f>
        <v>0.13709837550195542</v>
      </c>
      <c r="AC311" s="42">
        <f>'2023'!U27</f>
        <v>3.2001435578418475E-2</v>
      </c>
      <c r="AD311" s="42">
        <f>'2023'!V27</f>
        <v>3.0260648442466623E-2</v>
      </c>
      <c r="AE311" s="42">
        <f>'2023'!W27</f>
        <v>3.1131042010442547E-2</v>
      </c>
      <c r="AF311" s="43">
        <f>'2023'!X27</f>
        <v>2.8017937809398295E-2</v>
      </c>
      <c r="AG311" s="44">
        <f>'2023'!Y27</f>
        <v>19.931506849315067</v>
      </c>
      <c r="AH311" s="45">
        <f>'2023'!Z27</f>
        <v>87.042793156897062</v>
      </c>
      <c r="AI311" s="45">
        <f>'2023'!AA27</f>
        <v>28.867486609799645</v>
      </c>
      <c r="AJ311" s="45">
        <f>'2023'!AB27</f>
        <v>0.29710144927536231</v>
      </c>
      <c r="AK311" s="45">
        <f>'2023'!AC27</f>
        <v>4.9000000000000004</v>
      </c>
      <c r="AL311" s="45">
        <f t="shared" si="52"/>
        <v>5.8850574712643677</v>
      </c>
      <c r="AM311" s="45">
        <f t="shared" si="59"/>
        <v>0.14285714285714285</v>
      </c>
      <c r="AN311" s="45">
        <f>'2023'!AD27</f>
        <v>103.9</v>
      </c>
      <c r="AO311" s="45">
        <f>'2023'!AE27</f>
        <v>3.75</v>
      </c>
      <c r="AP311" s="46">
        <f>'2023'!AF27</f>
        <v>48.4</v>
      </c>
      <c r="AQ311" s="47">
        <f>'2023'!AG27</f>
        <v>1</v>
      </c>
      <c r="AR311" s="48">
        <f>'2023'!AH27</f>
        <v>3</v>
      </c>
      <c r="AS311" s="48">
        <f>'2023'!AI27</f>
        <v>5</v>
      </c>
      <c r="AT311" s="48">
        <f>IF(AH311&gt;113.25,10,IF(AH311&gt;=107.84,9,IF(AH311&gt;=105.37,8,IF(AH311&gt;=103.25,7,IF(AH311&gt;=100.55,6,IF(AH311&gt;=98.75,5,IF(AH311&gt;=96.08,4,IF(AH311&gt;=94.39,3,IF(AH311&gt;=88.43,2,IF(AH311&gt;=85.16,1,IF(AH311&lt;85.16,0,FALSE)))))))))))</f>
        <v>1</v>
      </c>
      <c r="AU311" s="48">
        <f>'2023'!AK27</f>
        <v>8</v>
      </c>
      <c r="AV311" s="48">
        <f>'2023'!AL27</f>
        <v>1</v>
      </c>
      <c r="AW311" s="48">
        <f>'2023'!AM27</f>
        <v>4</v>
      </c>
      <c r="AX311" s="48">
        <f>'2023'!AN27</f>
        <v>3</v>
      </c>
      <c r="AY311" s="49">
        <f>'2023'!AO27</f>
        <v>0</v>
      </c>
      <c r="AZ311" s="50">
        <f>'2023'!AP27</f>
        <v>0</v>
      </c>
      <c r="BA311" s="56">
        <f>'2023'!AQ27</f>
        <v>102</v>
      </c>
      <c r="BB311" s="57">
        <f>'2023'!AR27</f>
        <v>1581.6000000000001</v>
      </c>
      <c r="BC311" s="57">
        <f>'2023'!AS27</f>
        <v>3</v>
      </c>
      <c r="BD311" s="57">
        <f>'2023'!AT27</f>
        <v>26.400000000000002</v>
      </c>
      <c r="BE311" s="57">
        <f>'2023'!AU27</f>
        <v>23</v>
      </c>
      <c r="BF311" s="57">
        <f>'2023'!AV27</f>
        <v>3</v>
      </c>
      <c r="BG311" s="58">
        <f>'2023'!AW27</f>
        <v>4.4000000000000004</v>
      </c>
      <c r="BH311" s="58">
        <f>'2023'!AX27</f>
        <v>41.7</v>
      </c>
      <c r="BI311" s="58">
        <f>'2023'!AY27</f>
        <v>3.48</v>
      </c>
      <c r="BJ311" s="58">
        <f>'2023'!AZ27</f>
        <v>38.200000000000003</v>
      </c>
      <c r="BK311" s="57">
        <f>'2023'!BA27</f>
        <v>10</v>
      </c>
      <c r="BL311" s="57">
        <f>'2023'!BB27</f>
        <v>4231.2000000000007</v>
      </c>
      <c r="BM311" s="57">
        <f>'2023'!BC27</f>
        <v>0</v>
      </c>
      <c r="BN311" s="57">
        <f>'2023'!BD27</f>
        <v>0</v>
      </c>
      <c r="BO311" s="59">
        <f>'2023'!BE27</f>
        <v>28</v>
      </c>
      <c r="BP311" s="56">
        <f>'2023'!BF27</f>
        <v>763</v>
      </c>
      <c r="BQ311" s="57">
        <f>'2023'!BG27</f>
        <v>1795.1999999999998</v>
      </c>
      <c r="BR311" s="57">
        <f>'2023'!BH27</f>
        <v>12</v>
      </c>
      <c r="BS311" s="57">
        <f>'2023'!BI27</f>
        <v>20.399999999999999</v>
      </c>
      <c r="BT311" s="57">
        <f>'2023'!BJ27</f>
        <v>159</v>
      </c>
      <c r="BU311" s="57">
        <f>'2023'!BK27</f>
        <v>41</v>
      </c>
      <c r="BV311" s="58">
        <f>'2023'!BL27</f>
        <v>4.8</v>
      </c>
      <c r="BW311" s="58">
        <f>'2023'!BM27</f>
        <v>70.900000000000006</v>
      </c>
      <c r="BX311" s="58">
        <f>'2023'!BN27</f>
        <v>2.85</v>
      </c>
      <c r="BY311" s="58">
        <f>'2023'!BO27</f>
        <v>28</v>
      </c>
      <c r="BZ311" s="57">
        <f>'2023'!BP27</f>
        <v>152</v>
      </c>
      <c r="CA311" s="57">
        <f>'2023'!BQ27</f>
        <v>3896.3999999999996</v>
      </c>
      <c r="CB311" s="57">
        <f>'2023'!BR27</f>
        <v>38</v>
      </c>
      <c r="CC311" s="57">
        <f>'2023'!BS27</f>
        <v>0</v>
      </c>
      <c r="CD311" s="59">
        <f>'2023'!BT27</f>
        <v>24</v>
      </c>
      <c r="CE311" s="56">
        <f>'2023'!BU27</f>
        <v>612</v>
      </c>
      <c r="CF311" s="57">
        <f>'2023'!BV27</f>
        <v>1634</v>
      </c>
      <c r="CG311" s="57">
        <f>'2023'!BW27</f>
        <v>8</v>
      </c>
      <c r="CH311" s="57">
        <f>'2023'!BX27</f>
        <v>17</v>
      </c>
      <c r="CI311" s="57">
        <f>'2023'!BY27</f>
        <v>109</v>
      </c>
      <c r="CJ311" s="57">
        <f>'2023'!BZ27</f>
        <v>27</v>
      </c>
      <c r="CK311" s="58">
        <f>'2023'!CA27</f>
        <v>5.6</v>
      </c>
      <c r="CL311" s="58">
        <f>'2023'!CB27</f>
        <v>103.9</v>
      </c>
      <c r="CM311" s="58">
        <f>'2023'!CC27</f>
        <v>3.75</v>
      </c>
      <c r="CN311" s="58">
        <f>'2023'!CD27</f>
        <v>48.4</v>
      </c>
      <c r="CO311" s="57">
        <f>'2023'!CE27</f>
        <v>124</v>
      </c>
      <c r="CP311" s="57">
        <f>'2023'!CF27</f>
        <v>2667</v>
      </c>
      <c r="CQ311" s="57">
        <f>'2023'!CG27</f>
        <v>21</v>
      </c>
      <c r="CR311" s="57">
        <f>'2023'!CH27</f>
        <v>0</v>
      </c>
      <c r="CS311" s="59">
        <f>'2023'!CI27</f>
        <v>18</v>
      </c>
      <c r="CT311" s="56">
        <f>'2023'!CJ27</f>
        <v>504</v>
      </c>
      <c r="CU311" s="57">
        <f>'2023'!CK27</f>
        <v>2069.6</v>
      </c>
      <c r="CV311" s="57">
        <f>'2023'!CL27</f>
        <v>10</v>
      </c>
      <c r="CW311" s="57">
        <f>'2023'!CM27</f>
        <v>29.9</v>
      </c>
      <c r="CX311" s="57">
        <f>'2023'!CN27</f>
        <v>109</v>
      </c>
      <c r="CY311" s="57">
        <f>'2023'!CO27</f>
        <v>24</v>
      </c>
      <c r="CZ311" s="58">
        <f>'2023'!CP27</f>
        <v>4.5999999999999996</v>
      </c>
      <c r="DA311" s="58">
        <f>'2023'!CQ27</f>
        <v>68</v>
      </c>
      <c r="DB311" s="58">
        <f>'2023'!CR27</f>
        <v>2.87</v>
      </c>
      <c r="DC311" s="58">
        <f>'2023'!CS27</f>
        <v>36.5</v>
      </c>
      <c r="DD311" s="57">
        <f>'2023'!CT27</f>
        <v>107</v>
      </c>
      <c r="DE311" s="57">
        <f>'2023'!CU27</f>
        <v>3343.6</v>
      </c>
      <c r="DF311" s="57">
        <f>'2023'!CV27</f>
        <v>5</v>
      </c>
      <c r="DG311" s="57">
        <f>'2023'!CW27</f>
        <v>0</v>
      </c>
      <c r="DH311" s="59">
        <f>'2023'!CX27</f>
        <v>18</v>
      </c>
      <c r="DI311" s="56">
        <f>'2023'!CY27</f>
        <v>682</v>
      </c>
      <c r="DJ311" s="57">
        <f>'2023'!CZ27</f>
        <v>2065.7000000000003</v>
      </c>
      <c r="DK311" s="57">
        <f>'2023'!DA27</f>
        <v>7</v>
      </c>
      <c r="DL311" s="57">
        <f>'2023'!DB27</f>
        <v>28.6</v>
      </c>
      <c r="DM311" s="57">
        <f>'2023'!DC27</f>
        <v>138</v>
      </c>
      <c r="DN311" s="57">
        <f>'2023'!DD27</f>
        <v>41</v>
      </c>
      <c r="DO311" s="58">
        <f>'2023'!DE27</f>
        <v>4.9000000000000004</v>
      </c>
      <c r="DP311" s="58">
        <f>'2023'!DF27</f>
        <v>84.4</v>
      </c>
      <c r="DQ311" s="58">
        <f>'2023'!DG27</f>
        <v>3.09</v>
      </c>
      <c r="DR311" s="58">
        <f>'2023'!DH27</f>
        <v>33.4</v>
      </c>
      <c r="DS311" s="57">
        <f>'2023'!DI27</f>
        <v>119</v>
      </c>
      <c r="DT311" s="57">
        <f>'2023'!DJ27</f>
        <v>3932.5</v>
      </c>
      <c r="DU311" s="57">
        <f>'2023'!DK27</f>
        <v>23</v>
      </c>
      <c r="DV311" s="57">
        <f>'2023'!DL27</f>
        <v>0</v>
      </c>
      <c r="DW311" s="59">
        <f>'2023'!DM27</f>
        <v>26</v>
      </c>
    </row>
    <row r="312" spans="1:127" ht="15.75" customHeight="1" x14ac:dyDescent="0.2">
      <c r="A312" s="33">
        <f t="shared" si="49"/>
        <v>309</v>
      </c>
      <c r="B312" s="11">
        <f>'2018'!A26</f>
        <v>24</v>
      </c>
      <c r="C312" s="11">
        <v>2018</v>
      </c>
      <c r="D312" s="34" t="str">
        <f>'2018'!B26</f>
        <v>Darrel Williams</v>
      </c>
      <c r="E312" s="224" t="str" cm="1">
        <f t="array" ref="E312">_xlfn.IFS(F312&gt;=13,"Cornerstone",AND(F312&gt;=12,F312&lt;13),"Elite",AND(F312&gt;=11,F312&lt;12),"Elite Upside",AND(F312&gt;=9,F312&lt;11),"Upside",AND(F312&gt;=7,F312&lt;9),"Upside Lite",AND(F312&gt;=6,F312&lt;7),"Outlier",AND(F312&gt;=5,F312&lt;6),"Outlier Lite",F312&lt;5,"Purgatory")</f>
        <v>Purgatory</v>
      </c>
      <c r="F312" s="14">
        <f>'2018'!C26</f>
        <v>2.7888888888888892</v>
      </c>
      <c r="G312" s="14">
        <f t="shared" si="54"/>
        <v>5.0999999999999996</v>
      </c>
      <c r="H312" s="35">
        <f t="shared" si="50"/>
        <v>-2.2064930053692922</v>
      </c>
      <c r="I312" s="36" t="str">
        <f>'2018'!D26</f>
        <v>LSU</v>
      </c>
      <c r="J312" s="37">
        <f>'2018'!E26</f>
        <v>1</v>
      </c>
      <c r="K312" s="38">
        <f>'2018'!F26</f>
        <v>34804</v>
      </c>
      <c r="L312" s="39">
        <f>'2018'!G26</f>
        <v>30.473972602739725</v>
      </c>
      <c r="M312" s="39" t="str">
        <f>'2018'!H26</f>
        <v>SR</v>
      </c>
      <c r="N312" s="39">
        <f>'2018'!I26</f>
        <v>23.046575342465754</v>
      </c>
      <c r="O312" s="39" t="str">
        <f t="shared" si="51"/>
        <v>BRUISER</v>
      </c>
      <c r="P312" s="39" t="str">
        <f t="shared" si="58"/>
        <v>+RECEIVER</v>
      </c>
      <c r="Q312" s="37">
        <f>'2018'!J26</f>
        <v>70</v>
      </c>
      <c r="R312" s="37">
        <f>'2018'!K26</f>
        <v>229</v>
      </c>
      <c r="S312" s="39">
        <f t="shared" si="53"/>
        <v>32.857714776654042</v>
      </c>
      <c r="T312" s="37">
        <f>'2018'!L26</f>
        <v>4.72</v>
      </c>
      <c r="U312" s="40">
        <f>'2018'!M26</f>
        <v>0</v>
      </c>
      <c r="V312" s="41">
        <f>'2018'!N26</f>
        <v>0</v>
      </c>
      <c r="W312" s="42">
        <f>'2018'!O26</f>
        <v>7.3257891602144132E-2</v>
      </c>
      <c r="X312" s="42">
        <f>'2018'!P26</f>
        <v>6.2511911568515335E-2</v>
      </c>
      <c r="Y312" s="42">
        <f>'2018'!Q26</f>
        <v>5.3181012408902897E-2</v>
      </c>
      <c r="Z312" s="42">
        <f>'2018'!R26</f>
        <v>0.21538173652694612</v>
      </c>
      <c r="AA312" s="42">
        <f>'2018'!S26</f>
        <v>0.21538173652694612</v>
      </c>
      <c r="AB312" s="42">
        <f>'2018'!T26</f>
        <v>0.21538173652694612</v>
      </c>
      <c r="AC312" s="42">
        <f>'2018'!U26</f>
        <v>1.6220955721174924E-2</v>
      </c>
      <c r="AD312" s="42">
        <f>'2018'!V26</f>
        <v>0.12514177693761816</v>
      </c>
      <c r="AE312" s="42">
        <f>'2018'!W26</f>
        <v>0.12514177693761816</v>
      </c>
      <c r="AF312" s="43">
        <f>'2018'!X26</f>
        <v>0.12514177693761816</v>
      </c>
      <c r="AG312" s="44">
        <f>'2018'!Y26</f>
        <v>22.408219178082192</v>
      </c>
      <c r="AH312" s="45">
        <f>'2018'!Z26</f>
        <v>92.277853445151976</v>
      </c>
      <c r="AI312" s="45">
        <f>'2018'!AA26</f>
        <v>32.854489795918369</v>
      </c>
      <c r="AJ312" s="45">
        <f>'2018'!AB26</f>
        <v>0.17307692307692307</v>
      </c>
      <c r="AK312" s="45">
        <f>'2018'!AC26</f>
        <v>5.7</v>
      </c>
      <c r="AL312" s="45">
        <f t="shared" si="52"/>
        <v>12.157894736842104</v>
      </c>
      <c r="AM312" s="45">
        <f t="shared" si="59"/>
        <v>0.1377245508982036</v>
      </c>
      <c r="AN312" s="45">
        <f>'2018'!AD26</f>
        <v>54.2</v>
      </c>
      <c r="AO312" s="45">
        <f>'2018'!AE26</f>
        <v>2.97</v>
      </c>
      <c r="AP312" s="46">
        <f>'2018'!AF26</f>
        <v>35.6</v>
      </c>
      <c r="AQ312" s="47">
        <f>'2018'!AG26</f>
        <v>4</v>
      </c>
      <c r="AR312" s="48">
        <f>'2018'!AH26</f>
        <v>9</v>
      </c>
      <c r="AS312" s="48">
        <f>'2018'!AI26</f>
        <v>1</v>
      </c>
      <c r="AT312" s="48">
        <f>IF(AH312&gt;113.25,10,IF(AH312&gt;=107.84,9,IF(AH312&gt;=105.37,8,IF(AH312&gt;=103.25,7,IF(AH312&gt;=100.55,6,IF(AH312&gt;=98.75,5,IF(AH312&gt;=96.08,4,IF(AH312&gt;=94.39,3,IF(AH312&gt;=88.43,2,IF(AH312&gt;=85.16,1,IF(AH312&lt;85.16,0,FALSE)))))))))))</f>
        <v>2</v>
      </c>
      <c r="AU312" s="48">
        <f>'2018'!AK26</f>
        <v>2</v>
      </c>
      <c r="AV312" s="48">
        <f>'2018'!AL26</f>
        <v>3</v>
      </c>
      <c r="AW312" s="48">
        <f>'2018'!AM26</f>
        <v>0</v>
      </c>
      <c r="AX312" s="48">
        <f>'2018'!AN26</f>
        <v>0</v>
      </c>
      <c r="AY312" s="49">
        <f>IF(U312=1,10,IF(U312=2,7,IF(U312=3,6,IF(U312=4,4,IF(U312=5,3,IF(U312=6,2,IF(U312=7,1,IF(U312=0,0,"-"))))))))</f>
        <v>0</v>
      </c>
      <c r="AZ312" s="50">
        <f>'2018'!AP26</f>
        <v>0</v>
      </c>
      <c r="BA312" s="56">
        <f>'2018'!AQ26</f>
        <v>0</v>
      </c>
      <c r="BB312" s="57">
        <f>'2018'!AR26</f>
        <v>2630</v>
      </c>
      <c r="BC312" s="57">
        <f>'2018'!AS26</f>
        <v>0</v>
      </c>
      <c r="BD312" s="57">
        <f>'2018'!AT26</f>
        <v>0</v>
      </c>
      <c r="BE312" s="57">
        <f>'2018'!AU26</f>
        <v>0</v>
      </c>
      <c r="BF312" s="57">
        <f>'2018'!AV26</f>
        <v>0</v>
      </c>
      <c r="BG312" s="58">
        <f>'2018'!AW26</f>
        <v>0</v>
      </c>
      <c r="BH312" s="58">
        <f>'2018'!AX26</f>
        <v>0</v>
      </c>
      <c r="BI312" s="58">
        <f>'2018'!AY26</f>
        <v>0</v>
      </c>
      <c r="BJ312" s="58">
        <f>'2018'!AZ26</f>
        <v>0</v>
      </c>
      <c r="BK312" s="57">
        <f>'2018'!BA26</f>
        <v>0</v>
      </c>
      <c r="BL312" s="57">
        <f>'2018'!BB26</f>
        <v>3263</v>
      </c>
      <c r="BM312" s="57">
        <f>'2018'!BC26</f>
        <v>0</v>
      </c>
      <c r="BN312" s="57">
        <f>'2018'!BD26</f>
        <v>0</v>
      </c>
      <c r="BO312" s="59">
        <f>'2018'!BE26</f>
        <v>0</v>
      </c>
      <c r="BP312" s="56">
        <f>'2018'!BF26</f>
        <v>306</v>
      </c>
      <c r="BQ312" s="57">
        <f>'2018'!BG26</f>
        <v>2919</v>
      </c>
      <c r="BR312" s="57">
        <f>'2018'!BH26</f>
        <v>3</v>
      </c>
      <c r="BS312" s="57">
        <f>'2018'!BI26</f>
        <v>0</v>
      </c>
      <c r="BT312" s="57">
        <f>'2018'!BJ26</f>
        <v>64</v>
      </c>
      <c r="BU312" s="57">
        <f>'2018'!BK26</f>
        <v>12</v>
      </c>
      <c r="BV312" s="58">
        <f>'2018'!BL26</f>
        <v>4.8</v>
      </c>
      <c r="BW312" s="58">
        <f>'2018'!BM26</f>
        <v>56.9</v>
      </c>
      <c r="BX312" s="58">
        <f>'2018'!BN26</f>
        <v>2.66</v>
      </c>
      <c r="BY312" s="58">
        <f>'2018'!BO26</f>
        <v>18.3</v>
      </c>
      <c r="BZ312" s="57">
        <f>'2018'!BP26</f>
        <v>63</v>
      </c>
      <c r="CA312" s="57">
        <f>'2018'!BQ26</f>
        <v>2118</v>
      </c>
      <c r="CB312" s="57">
        <f>'2018'!BR26</f>
        <v>6</v>
      </c>
      <c r="CC312" s="57">
        <f>'2018'!BS26</f>
        <v>0</v>
      </c>
      <c r="CD312" s="59">
        <f>'2018'!BT26</f>
        <v>0</v>
      </c>
      <c r="CE312" s="56">
        <f>'2018'!BU26</f>
        <v>297</v>
      </c>
      <c r="CF312" s="57">
        <f>'2018'!BV26</f>
        <v>3082</v>
      </c>
      <c r="CG312" s="57">
        <f>'2018'!BW26</f>
        <v>4</v>
      </c>
      <c r="CH312" s="57">
        <f>'2018'!BX26</f>
        <v>0</v>
      </c>
      <c r="CI312" s="57">
        <f>'2018'!BY26</f>
        <v>60</v>
      </c>
      <c r="CJ312" s="57">
        <f>'2018'!BZ26</f>
        <v>8</v>
      </c>
      <c r="CK312" s="58">
        <f>'2018'!CA26</f>
        <v>5</v>
      </c>
      <c r="CL312" s="58">
        <f>'2018'!CB26</f>
        <v>46.9</v>
      </c>
      <c r="CM312" s="58">
        <f>'2018'!CC26</f>
        <v>3</v>
      </c>
      <c r="CN312" s="58">
        <f>'2018'!CD26</f>
        <v>22.6</v>
      </c>
      <c r="CO312" s="57">
        <f>'2018'!CE26</f>
        <v>31</v>
      </c>
      <c r="CP312" s="57">
        <f>'2018'!CF26</f>
        <v>2165</v>
      </c>
      <c r="CQ312" s="57">
        <f>'2018'!CG26</f>
        <v>4</v>
      </c>
      <c r="CR312" s="57">
        <f>'2018'!CH26</f>
        <v>0</v>
      </c>
      <c r="CS312" s="59">
        <f>'2018'!CI26</f>
        <v>0</v>
      </c>
      <c r="CT312" s="56">
        <f>'2018'!CJ26</f>
        <v>233</v>
      </c>
      <c r="CU312" s="57">
        <f>'2018'!CK26</f>
        <v>2796</v>
      </c>
      <c r="CV312" s="57">
        <f>'2018'!CL26</f>
        <v>3</v>
      </c>
      <c r="CW312" s="57">
        <f>'2018'!CM26</f>
        <v>0</v>
      </c>
      <c r="CX312" s="57">
        <f>'2018'!CN26</f>
        <v>52</v>
      </c>
      <c r="CY312" s="57">
        <f>'2018'!CO26</f>
        <v>9</v>
      </c>
      <c r="CZ312" s="58">
        <f>'2018'!CP26</f>
        <v>4.5</v>
      </c>
      <c r="DA312" s="58">
        <f>'2018'!CQ26</f>
        <v>54.2</v>
      </c>
      <c r="DB312" s="58">
        <f>'2018'!CR26</f>
        <v>2.81</v>
      </c>
      <c r="DC312" s="58">
        <f>'2018'!CS26</f>
        <v>18</v>
      </c>
      <c r="DD312" s="57">
        <f>'2018'!CT26</f>
        <v>37</v>
      </c>
      <c r="DE312" s="57">
        <f>'2018'!CU26</f>
        <v>2281</v>
      </c>
      <c r="DF312" s="57">
        <f>'2018'!CV26</f>
        <v>5</v>
      </c>
      <c r="DG312" s="57">
        <f>'2018'!CW26</f>
        <v>0</v>
      </c>
      <c r="DH312" s="59">
        <f>'2018'!CX26</f>
        <v>0</v>
      </c>
      <c r="DI312" s="56">
        <f>'2018'!CY26</f>
        <v>820</v>
      </c>
      <c r="DJ312" s="57">
        <f>'2018'!CZ26</f>
        <v>2699</v>
      </c>
      <c r="DK312" s="57">
        <f>'2018'!DA26</f>
        <v>9</v>
      </c>
      <c r="DL312" s="57">
        <f>'2018'!DB26</f>
        <v>0</v>
      </c>
      <c r="DM312" s="57">
        <f>'2018'!DC26</f>
        <v>144</v>
      </c>
      <c r="DN312" s="57">
        <f>'2018'!DD26</f>
        <v>21</v>
      </c>
      <c r="DO312" s="58">
        <f>'2018'!DE26</f>
        <v>5.7</v>
      </c>
      <c r="DP312" s="58">
        <f>'2018'!DF26</f>
        <v>44.5</v>
      </c>
      <c r="DQ312" s="58">
        <f>'2018'!DG26</f>
        <v>2.97</v>
      </c>
      <c r="DR312" s="58">
        <f>'2018'!DH26</f>
        <v>35.6</v>
      </c>
      <c r="DS312" s="57">
        <f>'2018'!DI26</f>
        <v>331</v>
      </c>
      <c r="DT312" s="57">
        <f>'2018'!DJ26</f>
        <v>2645</v>
      </c>
      <c r="DU312" s="57">
        <f>'2018'!DK26</f>
        <v>23</v>
      </c>
      <c r="DV312" s="57">
        <f>'2018'!DL26</f>
        <v>0</v>
      </c>
      <c r="DW312" s="59">
        <f>'2018'!DM26</f>
        <v>0</v>
      </c>
    </row>
    <row r="313" spans="1:127" ht="15.75" customHeight="1" x14ac:dyDescent="0.2">
      <c r="A313" s="33">
        <f t="shared" si="49"/>
        <v>311</v>
      </c>
      <c r="B313" s="11">
        <f>'2020'!A23</f>
        <v>21</v>
      </c>
      <c r="C313" s="11">
        <v>2020</v>
      </c>
      <c r="D313" s="34" t="str">
        <f>'2020'!B23</f>
        <v>Salvon Ahmed</v>
      </c>
      <c r="E313" s="224" t="str" cm="1">
        <f t="array" ref="E313">_xlfn.IFS(F313&gt;=13,"Cornerstone",AND(F313&gt;=12,F313&lt;13),"Elite",AND(F313&gt;=11,F313&lt;12),"Elite Upside",AND(F313&gt;=9,F313&lt;11),"Upside",AND(F313&gt;=7,F313&lt;9),"Upside Lite",AND(F313&gt;=6,F313&lt;7),"Outlier",AND(F313&gt;=5,F313&lt;6),"Outlier Lite",F313&lt;5,"Purgatory")</f>
        <v>Purgatory</v>
      </c>
      <c r="F313" s="14">
        <f>'2020'!C23</f>
        <v>2.7777777777777777</v>
      </c>
      <c r="G313" s="14">
        <f t="shared" si="54"/>
        <v>4.5</v>
      </c>
      <c r="H313" s="35">
        <f t="shared" si="50"/>
        <v>-2.2111955060830661</v>
      </c>
      <c r="I313" s="36" t="str">
        <f>'2020'!D23</f>
        <v>Washington</v>
      </c>
      <c r="J313" s="37">
        <f>'2020'!E23</f>
        <v>5</v>
      </c>
      <c r="K313" s="38">
        <f>'2020'!F23</f>
        <v>36159</v>
      </c>
      <c r="L313" s="39">
        <f>'2020'!G23</f>
        <v>26.761643835616439</v>
      </c>
      <c r="M313" s="39" t="str">
        <f>'2020'!H23</f>
        <v>JR</v>
      </c>
      <c r="N313" s="39">
        <f>'2020'!I23</f>
        <v>21.328767123287673</v>
      </c>
      <c r="O313" s="39" t="str">
        <f t="shared" si="51"/>
        <v>DYNAMIC</v>
      </c>
      <c r="P313" s="39" t="str">
        <f t="shared" si="58"/>
        <v>PLODDER</v>
      </c>
      <c r="Q313" s="37">
        <f>'2020'!J23</f>
        <v>70</v>
      </c>
      <c r="R313" s="37">
        <f>'2020'!K23</f>
        <v>197</v>
      </c>
      <c r="S313" s="39">
        <f t="shared" si="53"/>
        <v>28.266243716160901</v>
      </c>
      <c r="T313" s="37">
        <f>'2020'!L23</f>
        <v>4.62</v>
      </c>
      <c r="U313" s="40">
        <f>'2020'!M23</f>
        <v>0</v>
      </c>
      <c r="V313" s="41">
        <f>'2020'!N23</f>
        <v>0</v>
      </c>
      <c r="W313" s="42">
        <f>'2020'!O23</f>
        <v>0</v>
      </c>
      <c r="X313" s="42">
        <f>'2020'!P23</f>
        <v>8.8218554354012518E-2</v>
      </c>
      <c r="Y313" s="42">
        <f>'2020'!Q23</f>
        <v>0.13178294573643412</v>
      </c>
      <c r="Z313" s="42">
        <f>'2020'!R23</f>
        <v>0.21706645694062132</v>
      </c>
      <c r="AA313" s="42">
        <f>'2020'!S23</f>
        <v>0.21706645694062132</v>
      </c>
      <c r="AB313" s="42">
        <f>'2020'!T23</f>
        <v>0.18450648839952813</v>
      </c>
      <c r="AC313" s="42">
        <f>'2020'!U23</f>
        <v>5.0943961642193586E-2</v>
      </c>
      <c r="AD313" s="42">
        <f>'2020'!V23</f>
        <v>3.0025284450063212E-2</v>
      </c>
      <c r="AE313" s="42">
        <f>'2020'!W23</f>
        <v>4.0484623046128397E-2</v>
      </c>
      <c r="AF313" s="43">
        <f>'2020'!X23</f>
        <v>3.4411929589209134E-2</v>
      </c>
      <c r="AG313" s="44">
        <f>'2020'!Y23</f>
        <v>20.695890410958903</v>
      </c>
      <c r="AH313" s="45">
        <f>'2020'!Z23</f>
        <v>86.482516741300515</v>
      </c>
      <c r="AI313" s="45">
        <f>'2020'!AA23</f>
        <v>28.263469387755105</v>
      </c>
      <c r="AJ313" s="45">
        <f>'2020'!AB23</f>
        <v>0.18269230769230768</v>
      </c>
      <c r="AK313" s="45">
        <f>'2020'!AC23</f>
        <v>5.7</v>
      </c>
      <c r="AL313" s="45">
        <f t="shared" si="52"/>
        <v>9.5</v>
      </c>
      <c r="AM313" s="45">
        <f t="shared" si="59"/>
        <v>8.3333333333333329E-2</v>
      </c>
      <c r="AN313" s="45">
        <f>'2020'!AD23</f>
        <v>66</v>
      </c>
      <c r="AO313" s="45">
        <f>'2020'!AE23</f>
        <v>3.47</v>
      </c>
      <c r="AP313" s="46">
        <f>'2020'!AF23</f>
        <v>42.2</v>
      </c>
      <c r="AQ313" s="47">
        <f>'2020'!AG23</f>
        <v>3</v>
      </c>
      <c r="AR313" s="48">
        <f>'2020'!AH23</f>
        <v>3</v>
      </c>
      <c r="AS313" s="48">
        <f>'2020'!AI23</f>
        <v>3</v>
      </c>
      <c r="AT313" s="48">
        <f>IF(AH313&gt;113.25,10,IF(AH313&gt;=107.84,9,IF(AH313&gt;=105.37,8,IF(AH313&gt;=103.25,7,IF(AH313&gt;=100.55,6,IF(AH313&gt;=98.75,5,IF(AH313&gt;=96.08,4,IF(AH313&gt;=94.39,3,IF(AH313&gt;=88.43,2,IF(AH313&gt;=85.16,1,IF(AH313&lt;85.16,0,FALSE)))))))))))</f>
        <v>1</v>
      </c>
      <c r="AU313" s="48">
        <f>'2020'!AK23</f>
        <v>2</v>
      </c>
      <c r="AV313" s="48">
        <f>'2020'!AL23</f>
        <v>3</v>
      </c>
      <c r="AW313" s="48">
        <f>'2020'!AM23</f>
        <v>1</v>
      </c>
      <c r="AX313" s="48">
        <f>'2020'!AN23</f>
        <v>1</v>
      </c>
      <c r="AY313" s="49">
        <f>IF(U313=1,10,IF(U313=2,7,IF(U313=3,6,IF(U313=4,4,IF(U313=5,3,IF(U313=6,2,IF(U313=7,1,IF(U313=0,0,"-"))))))))</f>
        <v>0</v>
      </c>
      <c r="AZ313" s="50">
        <f>'2020'!AP23</f>
        <v>0.25</v>
      </c>
      <c r="BA313" s="56">
        <f>'2020'!AQ23</f>
        <v>0</v>
      </c>
      <c r="BB313" s="57">
        <f>'2020'!AR23</f>
        <v>2130</v>
      </c>
      <c r="BC313" s="57">
        <f>'2020'!AS23</f>
        <v>0</v>
      </c>
      <c r="BD313" s="57">
        <f>'2020'!AT23</f>
        <v>27</v>
      </c>
      <c r="BE313" s="57">
        <f>'2020'!AU23</f>
        <v>0</v>
      </c>
      <c r="BF313" s="57">
        <f>'2020'!AV23</f>
        <v>0</v>
      </c>
      <c r="BG313" s="58">
        <f>'2020'!AW23</f>
        <v>0</v>
      </c>
      <c r="BH313" s="58">
        <f>'2020'!AX23</f>
        <v>0</v>
      </c>
      <c r="BI313" s="58">
        <f>'2020'!AY23</f>
        <v>0</v>
      </c>
      <c r="BJ313" s="58">
        <f>'2020'!AZ23</f>
        <v>0</v>
      </c>
      <c r="BK313" s="57">
        <f>'2020'!BA23</f>
        <v>0</v>
      </c>
      <c r="BL313" s="57">
        <f>'2020'!BB23</f>
        <v>3110</v>
      </c>
      <c r="BM313" s="57">
        <f>'2020'!BC23</f>
        <v>0</v>
      </c>
      <c r="BN313" s="57">
        <f>'2020'!BD23</f>
        <v>0</v>
      </c>
      <c r="BO313" s="59">
        <f>'2020'!BE23</f>
        <v>17</v>
      </c>
      <c r="BP313" s="56">
        <f>'2020'!BF23</f>
        <v>0</v>
      </c>
      <c r="BQ313" s="57">
        <f>'2020'!BG23</f>
        <v>2774</v>
      </c>
      <c r="BR313" s="57">
        <f>'2020'!BH23</f>
        <v>0</v>
      </c>
      <c r="BS313" s="57">
        <f>'2020'!BI23</f>
        <v>24</v>
      </c>
      <c r="BT313" s="57">
        <f>'2020'!BJ23</f>
        <v>0</v>
      </c>
      <c r="BU313" s="57">
        <f>'2020'!BK23</f>
        <v>0</v>
      </c>
      <c r="BV313" s="58">
        <f>'2020'!BL23</f>
        <v>0</v>
      </c>
      <c r="BW313" s="58">
        <f>'2020'!BM23</f>
        <v>0</v>
      </c>
      <c r="BX313" s="58">
        <f>'2020'!BN23</f>
        <v>0</v>
      </c>
      <c r="BY313" s="58">
        <f>'2020'!BO23</f>
        <v>0</v>
      </c>
      <c r="BZ313" s="57">
        <f>'2020'!BP23</f>
        <v>0</v>
      </c>
      <c r="CA313" s="57">
        <f>'2020'!BQ23</f>
        <v>3623</v>
      </c>
      <c r="CB313" s="57">
        <f>'2020'!BR23</f>
        <v>0</v>
      </c>
      <c r="CC313" s="57">
        <f>'2020'!BS23</f>
        <v>0</v>
      </c>
      <c r="CD313" s="59">
        <f>'2020'!BT23</f>
        <v>47</v>
      </c>
      <c r="CE313" s="56">
        <f>'2020'!BU23</f>
        <v>388</v>
      </c>
      <c r="CF313" s="57">
        <f>'2020'!BV23</f>
        <v>2382</v>
      </c>
      <c r="CG313" s="57">
        <f>'2020'!BW23</f>
        <v>3</v>
      </c>
      <c r="CH313" s="57">
        <f>'2020'!BX23</f>
        <v>37</v>
      </c>
      <c r="CI313" s="57">
        <f>'2020'!BY23</f>
        <v>61</v>
      </c>
      <c r="CJ313" s="57">
        <f>'2020'!BZ23</f>
        <v>13</v>
      </c>
      <c r="CK313" s="58">
        <f>'2020'!CA23</f>
        <v>6.4</v>
      </c>
      <c r="CL313" s="58">
        <f>'2020'!CB23</f>
        <v>76.8</v>
      </c>
      <c r="CM313" s="58">
        <f>'2020'!CC23</f>
        <v>3.34</v>
      </c>
      <c r="CN313" s="58">
        <f>'2020'!CD23</f>
        <v>44.1</v>
      </c>
      <c r="CO313" s="57">
        <f>'2020'!CE23</f>
        <v>77</v>
      </c>
      <c r="CP313" s="57">
        <f>'2020'!CF23</f>
        <v>2889</v>
      </c>
      <c r="CQ313" s="57">
        <f>'2020'!CG23</f>
        <v>13</v>
      </c>
      <c r="CR313" s="57">
        <f>'2020'!CH23</f>
        <v>0</v>
      </c>
      <c r="CS313" s="59">
        <f>'2020'!CI23</f>
        <v>19</v>
      </c>
      <c r="CT313" s="56">
        <f>'2020'!CJ23</f>
        <v>595</v>
      </c>
      <c r="CU313" s="57">
        <f>'2020'!CK23</f>
        <v>2468</v>
      </c>
      <c r="CV313" s="57">
        <f>'2020'!CL23</f>
        <v>7</v>
      </c>
      <c r="CW313" s="57">
        <f>'2020'!CM23</f>
        <v>26</v>
      </c>
      <c r="CX313" s="57">
        <f>'2020'!CN23</f>
        <v>104</v>
      </c>
      <c r="CY313" s="57">
        <f>'2020'!CO23</f>
        <v>19</v>
      </c>
      <c r="CZ313" s="58">
        <f>'2020'!CP23</f>
        <v>5.7</v>
      </c>
      <c r="DA313" s="58">
        <f>'2020'!CQ23</f>
        <v>66</v>
      </c>
      <c r="DB313" s="58">
        <f>'2020'!CR23</f>
        <v>3.3</v>
      </c>
      <c r="DC313" s="58">
        <f>'2020'!CS23</f>
        <v>42.2</v>
      </c>
      <c r="DD313" s="57">
        <f>'2020'!CT23</f>
        <v>170</v>
      </c>
      <c r="DE313" s="57">
        <f>'2020'!CU23</f>
        <v>3337</v>
      </c>
      <c r="DF313" s="57">
        <f>'2020'!CV23</f>
        <v>6</v>
      </c>
      <c r="DG313" s="57">
        <f>'2020'!CW23</f>
        <v>0</v>
      </c>
      <c r="DH313" s="59">
        <f>'2020'!CX23</f>
        <v>19</v>
      </c>
      <c r="DI313" s="56">
        <f>'2020'!CY23</f>
        <v>1009</v>
      </c>
      <c r="DJ313" s="57">
        <f>'2020'!CZ23</f>
        <v>1922</v>
      </c>
      <c r="DK313" s="57">
        <f>'2020'!DA23</f>
        <v>11</v>
      </c>
      <c r="DL313" s="57">
        <f>'2020'!DB23</f>
        <v>24</v>
      </c>
      <c r="DM313" s="57">
        <f>'2020'!DC23</f>
        <v>187</v>
      </c>
      <c r="DN313" s="57">
        <f>'2020'!DD23</f>
        <v>30</v>
      </c>
      <c r="DO313" s="58">
        <f>'2020'!DE23</f>
        <v>5.4</v>
      </c>
      <c r="DP313" s="58">
        <f>'2020'!DF23</f>
        <v>57.8</v>
      </c>
      <c r="DQ313" s="58">
        <f>'2020'!DG23</f>
        <v>3.47</v>
      </c>
      <c r="DR313" s="58">
        <f>'2020'!DH23</f>
        <v>29.9</v>
      </c>
      <c r="DS313" s="57">
        <f>'2020'!DI23</f>
        <v>95</v>
      </c>
      <c r="DT313" s="57">
        <f>'2020'!DJ23</f>
        <v>3164</v>
      </c>
      <c r="DU313" s="57">
        <f>'2020'!DK23</f>
        <v>17</v>
      </c>
      <c r="DV313" s="57">
        <f>'2020'!DL23</f>
        <v>0</v>
      </c>
      <c r="DW313" s="59">
        <f>'2020'!DM23</f>
        <v>24</v>
      </c>
    </row>
    <row r="314" spans="1:127" ht="15.75" customHeight="1" x14ac:dyDescent="0.2">
      <c r="A314" s="33">
        <f t="shared" si="49"/>
        <v>311</v>
      </c>
      <c r="B314" s="11">
        <f>'2020'!A24</f>
        <v>21</v>
      </c>
      <c r="C314" s="11">
        <v>2020</v>
      </c>
      <c r="D314" s="34" t="str">
        <f>'2020'!B24</f>
        <v>JaMycal Hasty</v>
      </c>
      <c r="E314" s="224" t="str" cm="1">
        <f t="array" ref="E314">_xlfn.IFS(F314&gt;=13,"Cornerstone",AND(F314&gt;=12,F314&lt;13),"Elite",AND(F314&gt;=11,F314&lt;12),"Elite Upside",AND(F314&gt;=9,F314&lt;11),"Upside",AND(F314&gt;=7,F314&lt;9),"Upside Lite",AND(F314&gt;=6,F314&lt;7),"Outlier",AND(F314&gt;=5,F314&lt;6),"Outlier Lite",F314&lt;5,"Purgatory")</f>
        <v>Purgatory</v>
      </c>
      <c r="F314" s="14">
        <f>'2020'!C24</f>
        <v>2.7777777777777777</v>
      </c>
      <c r="G314" s="14">
        <f t="shared" si="54"/>
        <v>4.5</v>
      </c>
      <c r="H314" s="35">
        <f t="shared" si="50"/>
        <v>-2.2111955060830661</v>
      </c>
      <c r="I314" s="36" t="str">
        <f>'2020'!D24</f>
        <v>Baylor</v>
      </c>
      <c r="J314" s="37">
        <f>'2020'!E24</f>
        <v>3</v>
      </c>
      <c r="K314" s="38">
        <f>'2020'!F24</f>
        <v>35320</v>
      </c>
      <c r="L314" s="39">
        <f>'2020'!G24</f>
        <v>29.06027397260274</v>
      </c>
      <c r="M314" s="39" t="str">
        <f>'2020'!H24</f>
        <v>RS SR</v>
      </c>
      <c r="N314" s="39">
        <f>'2020'!I24</f>
        <v>23.627397260273973</v>
      </c>
      <c r="O314" s="39" t="str">
        <f t="shared" si="51"/>
        <v>BELL CALF</v>
      </c>
      <c r="P314" s="39" t="str">
        <f t="shared" si="58"/>
        <v>+RECEIVER</v>
      </c>
      <c r="Q314" s="37">
        <f>'2020'!J24</f>
        <v>68</v>
      </c>
      <c r="R314" s="37">
        <f>'2020'!K24</f>
        <v>205</v>
      </c>
      <c r="S314" s="39">
        <f t="shared" si="53"/>
        <v>31.169798066239739</v>
      </c>
      <c r="T314" s="37">
        <f>'2020'!L24</f>
        <v>4.55</v>
      </c>
      <c r="U314" s="40">
        <f>'2020'!M24</f>
        <v>0</v>
      </c>
      <c r="V314" s="41">
        <f>'2020'!N24</f>
        <v>0</v>
      </c>
      <c r="W314" s="42">
        <f>'2020'!O24</f>
        <v>9.5217071376011778E-2</v>
      </c>
      <c r="X314" s="42">
        <f>'2020'!P24</f>
        <v>0.10857735164550401</v>
      </c>
      <c r="Y314" s="42">
        <f>'2020'!Q24</f>
        <v>0.10237935656836461</v>
      </c>
      <c r="Z314" s="42">
        <f>'2020'!R24</f>
        <v>0.13557024233180817</v>
      </c>
      <c r="AA314" s="42">
        <f>'2020'!S24</f>
        <v>0.13557024233180817</v>
      </c>
      <c r="AB314" s="42">
        <f>'2020'!T24</f>
        <v>0.12201321809862736</v>
      </c>
      <c r="AC314" s="42">
        <f>'2020'!U24</f>
        <v>4.5092838196286469E-2</v>
      </c>
      <c r="AD314" s="42">
        <f>'2020'!V24</f>
        <v>5.1526183141977037E-2</v>
      </c>
      <c r="AE314" s="42">
        <f>'2020'!W24</f>
        <v>5.1526183141977037E-2</v>
      </c>
      <c r="AF314" s="43">
        <f>'2020'!X24</f>
        <v>4.6373564827779337E-2</v>
      </c>
      <c r="AG314" s="44" t="str">
        <f>'2020'!Y24</f>
        <v>N/A</v>
      </c>
      <c r="AH314" s="45">
        <f>'2020'!Z24</f>
        <v>95.661738692057028</v>
      </c>
      <c r="AI314" s="45">
        <f>'2020'!AA24</f>
        <v>31.166738754325259</v>
      </c>
      <c r="AJ314" s="45">
        <f>'2020'!AB24</f>
        <v>0.35365853658536583</v>
      </c>
      <c r="AK314" s="45">
        <f>'2020'!AC24</f>
        <v>5.7</v>
      </c>
      <c r="AL314" s="45">
        <f t="shared" si="52"/>
        <v>7.9508196721311473</v>
      </c>
      <c r="AM314" s="45">
        <f t="shared" si="59"/>
        <v>0.18656716417910449</v>
      </c>
      <c r="AN314" s="45">
        <f>'2020'!AD24</f>
        <v>94.8</v>
      </c>
      <c r="AO314" s="45">
        <f>'2020'!AE24</f>
        <v>3.84</v>
      </c>
      <c r="AP314" s="46">
        <f>'2020'!AF24</f>
        <v>50.2</v>
      </c>
      <c r="AQ314" s="47">
        <f>'2020'!AG24</f>
        <v>1</v>
      </c>
      <c r="AR314" s="48">
        <f>'2020'!AH24</f>
        <v>5</v>
      </c>
      <c r="AS314" s="48">
        <f>'2020'!AI24</f>
        <v>0</v>
      </c>
      <c r="AT314" s="48">
        <f>IF(AH314&gt;113.25,10,IF(AH314&gt;=107.84,9,IF(AH314&gt;=105.37,8,IF(AH314&gt;=103.25,7,IF(AH314&gt;=100.55,6,IF(AH314&gt;=98.75,5,IF(AH314&gt;=96.08,4,IF(AH314&gt;=94.39,3,IF(AH314&gt;=88.43,2,IF(AH314&gt;=85.16,1,IF(AH314&lt;85.16,0,FALSE)))))))))))</f>
        <v>3</v>
      </c>
      <c r="AU314" s="48">
        <f>'2020'!AK24</f>
        <v>9</v>
      </c>
      <c r="AV314" s="48">
        <f>'2020'!AL24</f>
        <v>3</v>
      </c>
      <c r="AW314" s="48">
        <f>'2020'!AM24</f>
        <v>3</v>
      </c>
      <c r="AX314" s="48">
        <f>'2020'!AN24</f>
        <v>3</v>
      </c>
      <c r="AY314" s="49">
        <f>IF(U314=1,10,IF(U314=2,7,IF(U314=3,6,IF(U314=4,4,IF(U314=5,3,IF(U314=6,2,IF(U314=7,1,IF(U314=0,0,"-"))))))))</f>
        <v>0</v>
      </c>
      <c r="AZ314" s="50">
        <f>'2020'!AP24</f>
        <v>0</v>
      </c>
      <c r="BA314" s="56">
        <f>'2020'!AQ24</f>
        <v>0</v>
      </c>
      <c r="BB314" s="57">
        <f>'2020'!AR24</f>
        <v>4247</v>
      </c>
      <c r="BC314" s="57">
        <f>'2020'!AS24</f>
        <v>0</v>
      </c>
      <c r="BD314" s="57">
        <f>'2020'!AT24</f>
        <v>41</v>
      </c>
      <c r="BE314" s="57">
        <f>'2020'!AU24</f>
        <v>0</v>
      </c>
      <c r="BF314" s="57">
        <f>'2020'!AV24</f>
        <v>0</v>
      </c>
      <c r="BG314" s="58">
        <f>'2020'!AW24</f>
        <v>0</v>
      </c>
      <c r="BH314" s="58">
        <f>'2020'!AX24</f>
        <v>0</v>
      </c>
      <c r="BI314" s="58">
        <f>'2020'!AY24</f>
        <v>0</v>
      </c>
      <c r="BJ314" s="58">
        <f>'2020'!AZ24</f>
        <v>0</v>
      </c>
      <c r="BK314" s="57">
        <f>'2020'!BA24</f>
        <v>0</v>
      </c>
      <c r="BL314" s="57">
        <f>'2020'!BB24</f>
        <v>3764</v>
      </c>
      <c r="BM314" s="57">
        <f>'2020'!BC24</f>
        <v>0</v>
      </c>
      <c r="BN314" s="57">
        <f>'2020'!BD24</f>
        <v>0</v>
      </c>
      <c r="BO314" s="59">
        <f>'2020'!BE24</f>
        <v>44</v>
      </c>
      <c r="BP314" s="56">
        <f>'2020'!BF24</f>
        <v>621</v>
      </c>
      <c r="BQ314" s="57">
        <f>'2020'!BG24</f>
        <v>3143</v>
      </c>
      <c r="BR314" s="57">
        <f>'2020'!BH24</f>
        <v>3</v>
      </c>
      <c r="BS314" s="57">
        <f>'2020'!BI24</f>
        <v>25</v>
      </c>
      <c r="BT314" s="57">
        <f>'2020'!BJ24</f>
        <v>119</v>
      </c>
      <c r="BU314" s="57">
        <f>'2020'!BK24</f>
        <v>21</v>
      </c>
      <c r="BV314" s="58">
        <f>'2020'!BL24</f>
        <v>5.2</v>
      </c>
      <c r="BW314" s="58">
        <f>'2020'!BM24</f>
        <v>41.2</v>
      </c>
      <c r="BX314" s="58">
        <f>'2020'!BN24</f>
        <v>2.39</v>
      </c>
      <c r="BY314" s="58">
        <f>'2020'!BO24</f>
        <v>28.7</v>
      </c>
      <c r="BZ314" s="57">
        <f>'2020'!BP24</f>
        <v>26</v>
      </c>
      <c r="CA314" s="57">
        <f>'2020'!BQ24</f>
        <v>3652</v>
      </c>
      <c r="CB314" s="57">
        <f>'2020'!BR24</f>
        <v>3</v>
      </c>
      <c r="CC314" s="57">
        <f>'2020'!BS24</f>
        <v>0</v>
      </c>
      <c r="CD314" s="59">
        <f>'2020'!BT24</f>
        <v>33</v>
      </c>
      <c r="CE314" s="56">
        <f>'2020'!BU24</f>
        <v>314</v>
      </c>
      <c r="CF314" s="57">
        <f>'2020'!BV24</f>
        <v>1407</v>
      </c>
      <c r="CG314" s="57">
        <f>'2020'!BW24</f>
        <v>1</v>
      </c>
      <c r="CH314" s="57">
        <f>'2020'!BX24</f>
        <v>10</v>
      </c>
      <c r="CI314" s="57">
        <f>'2020'!BY24</f>
        <v>76</v>
      </c>
      <c r="CJ314" s="57">
        <f>'2020'!BZ24</f>
        <v>11</v>
      </c>
      <c r="CK314" s="58">
        <f>'2020'!CA24</f>
        <v>4.0999999999999996</v>
      </c>
      <c r="CL314" s="58">
        <f>'2020'!CB24</f>
        <v>50</v>
      </c>
      <c r="CM314" s="58">
        <f>'2020'!CC24</f>
        <v>2.66</v>
      </c>
      <c r="CN314" s="58">
        <f>'2020'!CD24</f>
        <v>29</v>
      </c>
      <c r="CO314" s="57">
        <f>'2020'!CE24</f>
        <v>105</v>
      </c>
      <c r="CP314" s="57">
        <f>'2020'!CF24</f>
        <v>2452</v>
      </c>
      <c r="CQ314" s="57">
        <f>'2020'!CG24</f>
        <v>25</v>
      </c>
      <c r="CR314" s="57">
        <f>'2020'!CH24</f>
        <v>0</v>
      </c>
      <c r="CS314" s="59">
        <f>'2020'!CI24</f>
        <v>23</v>
      </c>
      <c r="CT314" s="56">
        <f>'2020'!CJ24</f>
        <v>441</v>
      </c>
      <c r="CU314" s="57">
        <f>'2020'!CK24</f>
        <v>2198</v>
      </c>
      <c r="CV314" s="57">
        <f>'2020'!CL24</f>
        <v>4</v>
      </c>
      <c r="CW314" s="57">
        <f>'2020'!CM24</f>
        <v>25</v>
      </c>
      <c r="CX314" s="57">
        <f>'2020'!CN24</f>
        <v>82</v>
      </c>
      <c r="CY314" s="57">
        <f>'2020'!CO24</f>
        <v>29</v>
      </c>
      <c r="CZ314" s="58">
        <f>'2020'!CP24</f>
        <v>5.4</v>
      </c>
      <c r="DA314" s="58">
        <f>'2020'!CQ24</f>
        <v>94.8</v>
      </c>
      <c r="DB314" s="58">
        <f>'2020'!CR24</f>
        <v>2.77</v>
      </c>
      <c r="DC314" s="58">
        <f>'2020'!CS24</f>
        <v>39.5</v>
      </c>
      <c r="DD314" s="57">
        <f>'2020'!CT24</f>
        <v>170</v>
      </c>
      <c r="DE314" s="57">
        <f>'2020'!CU24</f>
        <v>3770</v>
      </c>
      <c r="DF314" s="57">
        <f>'2020'!CV24</f>
        <v>8</v>
      </c>
      <c r="DG314" s="57">
        <f>'2020'!CW24</f>
        <v>0</v>
      </c>
      <c r="DH314" s="59">
        <f>'2020'!CX24</f>
        <v>22</v>
      </c>
      <c r="DI314" s="56">
        <f>'2020'!CY24</f>
        <v>616</v>
      </c>
      <c r="DJ314" s="57">
        <f>'2020'!CZ24</f>
        <v>2330</v>
      </c>
      <c r="DK314" s="57">
        <f>'2020'!DA24</f>
        <v>7</v>
      </c>
      <c r="DL314" s="57">
        <f>'2020'!DB24</f>
        <v>35</v>
      </c>
      <c r="DM314" s="57">
        <f>'2020'!DC24</f>
        <v>109</v>
      </c>
      <c r="DN314" s="57">
        <f>'2020'!DD24</f>
        <v>22</v>
      </c>
      <c r="DO314" s="58">
        <f>'2020'!DE24</f>
        <v>5.7</v>
      </c>
      <c r="DP314" s="58">
        <f>'2020'!DF24</f>
        <v>80.3</v>
      </c>
      <c r="DQ314" s="58">
        <f>'2020'!DG24</f>
        <v>3.84</v>
      </c>
      <c r="DR314" s="58">
        <f>'2020'!DH24</f>
        <v>50.2</v>
      </c>
      <c r="DS314" s="57">
        <f>'2020'!DI24</f>
        <v>184</v>
      </c>
      <c r="DT314" s="57">
        <f>'2020'!DJ24</f>
        <v>3571</v>
      </c>
      <c r="DU314" s="57">
        <f>'2020'!DK24</f>
        <v>25</v>
      </c>
      <c r="DV314" s="57">
        <f>'2020'!DL24</f>
        <v>0</v>
      </c>
      <c r="DW314" s="59">
        <f>'2020'!DM24</f>
        <v>24</v>
      </c>
    </row>
    <row r="315" spans="1:127" ht="15.75" customHeight="1" x14ac:dyDescent="0.2">
      <c r="A315" s="33">
        <f t="shared" si="49"/>
        <v>313</v>
      </c>
      <c r="B315" s="11">
        <f>'2016'!A30</f>
        <v>28</v>
      </c>
      <c r="C315" s="11">
        <v>2016</v>
      </c>
      <c r="D315" s="34" t="str">
        <f>'2016'!B30</f>
        <v>Zac Brooks</v>
      </c>
      <c r="E315" s="224" t="str" cm="1">
        <f t="array" ref="E315">_xlfn.IFS(F315&gt;=13,"Cornerstone",AND(F315&gt;=12,F315&lt;13),"Elite",AND(F315&gt;=11,F315&lt;12),"Elite Upside",AND(F315&gt;=9,F315&lt;11),"Upside",AND(F315&gt;=7,F315&lt;9),"Upside Lite",AND(F315&gt;=6,F315&lt;7),"Outlier",AND(F315&gt;=5,F315&lt;6),"Outlier Lite",F315&lt;5,"Purgatory")</f>
        <v>Purgatory</v>
      </c>
      <c r="F315" s="14">
        <f>'2016'!C30</f>
        <v>2.6999999999999997</v>
      </c>
      <c r="G315" s="14">
        <f t="shared" si="54"/>
        <v>4.2</v>
      </c>
      <c r="H315" s="35">
        <f t="shared" si="50"/>
        <v>-2.2441130110794831</v>
      </c>
      <c r="I315" s="36" t="str">
        <f>'2016'!D30</f>
        <v>Clemson</v>
      </c>
      <c r="J315" s="37">
        <f>'2016'!E30</f>
        <v>4</v>
      </c>
      <c r="K315" s="38">
        <f>'2016'!F30</f>
        <v>34001</v>
      </c>
      <c r="L315" s="39">
        <f>'2016'!G30</f>
        <v>32.673972602739724</v>
      </c>
      <c r="M315" s="39" t="str">
        <f>'2016'!H30</f>
        <v>SR</v>
      </c>
      <c r="N315" s="39">
        <f>'2016'!I30</f>
        <v>23.24931506849315</v>
      </c>
      <c r="O315" s="39" t="str">
        <f t="shared" si="51"/>
        <v>BELL COW</v>
      </c>
      <c r="P315" s="39" t="str">
        <f t="shared" si="58"/>
        <v>SLASHER</v>
      </c>
      <c r="Q315" s="37">
        <f>'2016'!J30</f>
        <v>72</v>
      </c>
      <c r="R315" s="37">
        <f>'2016'!K30</f>
        <v>200</v>
      </c>
      <c r="S315" s="39">
        <f t="shared" si="53"/>
        <v>27.124575854089979</v>
      </c>
      <c r="T315" s="37">
        <f>'2016'!L30</f>
        <v>4.54</v>
      </c>
      <c r="U315" s="55">
        <f>'2016'!M30</f>
        <v>7</v>
      </c>
      <c r="V315" s="41">
        <f>'2016'!N30</f>
        <v>0</v>
      </c>
      <c r="W315" s="42">
        <f>'2016'!O30</f>
        <v>3.1207333723425001E-2</v>
      </c>
      <c r="X315" s="42">
        <f>'2016'!P30</f>
        <v>7.1945592512410075E-2</v>
      </c>
      <c r="Y315" s="42">
        <f>'2016'!Q30</f>
        <v>0</v>
      </c>
      <c r="Z315" s="42">
        <f>'2016'!R30</f>
        <v>4.9414246849147747E-2</v>
      </c>
      <c r="AA315" s="42">
        <f>'2016'!S30</f>
        <v>6.0679919680778911E-2</v>
      </c>
      <c r="AB315" s="42">
        <f>'2016'!T30</f>
        <v>5.4611927712701021E-2</v>
      </c>
      <c r="AC315" s="42">
        <f>'2016'!U30</f>
        <v>0</v>
      </c>
      <c r="AD315" s="42">
        <f>'2016'!V30</f>
        <v>2.7651348309107818E-2</v>
      </c>
      <c r="AE315" s="42">
        <f>'2016'!W30</f>
        <v>2.7651348309107818E-2</v>
      </c>
      <c r="AF315" s="43">
        <f>'2016'!X30</f>
        <v>2.4886213478197038E-2</v>
      </c>
      <c r="AG315" s="44" t="str">
        <f>'2016'!Y30</f>
        <v>N/A</v>
      </c>
      <c r="AH315" s="45">
        <f>'2016'!Z30</f>
        <v>94.15352407972857</v>
      </c>
      <c r="AI315" s="45">
        <f>'2016'!AA30</f>
        <v>27.121913580246911</v>
      </c>
      <c r="AJ315" s="45">
        <f>'2016'!AB30</f>
        <v>0.12195121951219512</v>
      </c>
      <c r="AK315" s="45">
        <f>'2016'!AC30</f>
        <v>5.9268292682926829</v>
      </c>
      <c r="AL315" s="45">
        <f t="shared" si="52"/>
        <v>11.388888888888889</v>
      </c>
      <c r="AM315" s="45">
        <f t="shared" si="59"/>
        <v>0.18</v>
      </c>
      <c r="AN315" s="45">
        <f>'2016'!AD30</f>
        <v>36.6</v>
      </c>
      <c r="AO315" s="45">
        <f>'2016'!AE30</f>
        <v>3.05</v>
      </c>
      <c r="AP315" s="46">
        <f>'2016'!AF30</f>
        <v>50.6</v>
      </c>
      <c r="AQ315" s="47">
        <f>'2016'!AG30</f>
        <v>0</v>
      </c>
      <c r="AR315" s="48">
        <f>'2016'!AH30</f>
        <v>2</v>
      </c>
      <c r="AS315" s="48">
        <f>'2016'!AI30</f>
        <v>0</v>
      </c>
      <c r="AT315" s="48">
        <f>'2016'!AJ30</f>
        <v>2</v>
      </c>
      <c r="AU315" s="48">
        <f>'2016'!AK30</f>
        <v>2</v>
      </c>
      <c r="AV315" s="48">
        <f>'2016'!AL30</f>
        <v>4</v>
      </c>
      <c r="AW315" s="48">
        <f>'2016'!AM30</f>
        <v>1</v>
      </c>
      <c r="AX315" s="48">
        <f>'2016'!AN30</f>
        <v>3</v>
      </c>
      <c r="AY315" s="49">
        <f>'2016'!AO30</f>
        <v>1</v>
      </c>
      <c r="AZ315" s="50">
        <f>'2016'!AP30</f>
        <v>1</v>
      </c>
      <c r="BA315" s="56">
        <f>'2016'!AQ30</f>
        <v>0</v>
      </c>
      <c r="BB315" s="57">
        <f>'2016'!AR30</f>
        <v>1</v>
      </c>
      <c r="BC315" s="57">
        <f>'2016'!AS30</f>
        <v>0</v>
      </c>
      <c r="BD315" s="57">
        <f>'2016'!AT30</f>
        <v>0</v>
      </c>
      <c r="BE315" s="57">
        <f>'2016'!AU30</f>
        <v>0</v>
      </c>
      <c r="BF315" s="57">
        <f>'2016'!AV30</f>
        <v>0</v>
      </c>
      <c r="BG315" s="58">
        <f>'2016'!AW30</f>
        <v>0</v>
      </c>
      <c r="BH315" s="58">
        <f>'2016'!AX30</f>
        <v>0</v>
      </c>
      <c r="BI315" s="58">
        <f>'2016'!AY30</f>
        <v>0</v>
      </c>
      <c r="BJ315" s="58">
        <f>'2016'!AZ30</f>
        <v>0</v>
      </c>
      <c r="BK315" s="57">
        <f>'2016'!BA30</f>
        <v>0</v>
      </c>
      <c r="BL315" s="57">
        <f>'2016'!BB30</f>
        <v>1</v>
      </c>
      <c r="BM315" s="57">
        <f>'2016'!BC30</f>
        <v>0</v>
      </c>
      <c r="BN315" s="57">
        <f>'2016'!BD30</f>
        <v>0</v>
      </c>
      <c r="BO315" s="59">
        <f>'2016'!BE30</f>
        <v>0</v>
      </c>
      <c r="BP315" s="56">
        <f>'2016'!BF30</f>
        <v>119</v>
      </c>
      <c r="BQ315" s="57">
        <f>'2016'!BG30</f>
        <v>1528.8</v>
      </c>
      <c r="BR315" s="57">
        <f>'2016'!BH30</f>
        <v>0</v>
      </c>
      <c r="BS315" s="57">
        <f>'2016'!BI30</f>
        <v>16</v>
      </c>
      <c r="BT315" s="57">
        <f>'2016'!BJ30</f>
        <v>0</v>
      </c>
      <c r="BU315" s="57">
        <f>'2016'!BK30</f>
        <v>0</v>
      </c>
      <c r="BV315" s="58">
        <f>'2016'!BL30</f>
        <v>0</v>
      </c>
      <c r="BW315" s="58">
        <f>'2016'!BM30</f>
        <v>0</v>
      </c>
      <c r="BX315" s="58">
        <f>'2016'!BN30</f>
        <v>0</v>
      </c>
      <c r="BY315" s="58">
        <f>'2016'!BO30</f>
        <v>0</v>
      </c>
      <c r="BZ315" s="57">
        <f>'2016'!BP30</f>
        <v>9</v>
      </c>
      <c r="CA315" s="57">
        <f>'2016'!BQ30</f>
        <v>2572.8000000000002</v>
      </c>
      <c r="CB315" s="57">
        <f>'2016'!BR30</f>
        <v>3</v>
      </c>
      <c r="CC315" s="57">
        <f>'2016'!BS30</f>
        <v>0</v>
      </c>
      <c r="CD315" s="59">
        <f>'2016'!BT30</f>
        <v>24.8</v>
      </c>
      <c r="CE315" s="56">
        <f>'2016'!BU30</f>
        <v>246</v>
      </c>
      <c r="CF315" s="57">
        <f>'2016'!BV30</f>
        <v>1575</v>
      </c>
      <c r="CG315" s="57">
        <f>'2016'!BW30</f>
        <v>2</v>
      </c>
      <c r="CH315" s="57">
        <f>'2016'!BX30</f>
        <v>18</v>
      </c>
      <c r="CI315" s="57">
        <f>'2016'!BY30</f>
        <v>0</v>
      </c>
      <c r="CJ315" s="57">
        <f>'2016'!BZ30</f>
        <v>0</v>
      </c>
      <c r="CK315" s="58">
        <f>'2016'!CA30</f>
        <v>0</v>
      </c>
      <c r="CL315" s="58">
        <f>'2016'!CB30</f>
        <v>0</v>
      </c>
      <c r="CM315" s="58">
        <f>'2016'!CC30</f>
        <v>0</v>
      </c>
      <c r="CN315" s="58">
        <f>'2016'!CD30</f>
        <v>0</v>
      </c>
      <c r="CO315" s="57">
        <f>'2016'!CE30</f>
        <v>83</v>
      </c>
      <c r="CP315" s="57">
        <f>'2016'!CF30</f>
        <v>2997.9</v>
      </c>
      <c r="CQ315" s="57">
        <f>'2016'!CG30</f>
        <v>6</v>
      </c>
      <c r="CR315" s="57">
        <f>'2016'!CH30</f>
        <v>1</v>
      </c>
      <c r="CS315" s="59">
        <f>'2016'!CI30</f>
        <v>27</v>
      </c>
      <c r="CT315" s="56">
        <f>'2016'!CJ30</f>
        <v>0</v>
      </c>
      <c r="CU315" s="57">
        <f>'2016'!CK30</f>
        <v>1</v>
      </c>
      <c r="CV315" s="57">
        <f>'2016'!CL30</f>
        <v>0</v>
      </c>
      <c r="CW315" s="57">
        <f>'2016'!CM30</f>
        <v>0</v>
      </c>
      <c r="CX315" s="57">
        <f>'2016'!CN30</f>
        <v>0</v>
      </c>
      <c r="CY315" s="57">
        <f>'2016'!CO30</f>
        <v>0</v>
      </c>
      <c r="CZ315" s="58">
        <f>'2016'!CP30</f>
        <v>0</v>
      </c>
      <c r="DA315" s="58">
        <f>'2016'!CQ30</f>
        <v>0</v>
      </c>
      <c r="DB315" s="58">
        <f>'2016'!CR30</f>
        <v>0</v>
      </c>
      <c r="DC315" s="58">
        <f>'2016'!CS30</f>
        <v>0</v>
      </c>
      <c r="DD315" s="57">
        <f>'2016'!CT30</f>
        <v>0</v>
      </c>
      <c r="DE315" s="57">
        <f>'2016'!CU30</f>
        <v>1</v>
      </c>
      <c r="DF315" s="57">
        <f>'2016'!CV30</f>
        <v>0</v>
      </c>
      <c r="DG315" s="57">
        <f>'2016'!CW30</f>
        <v>0</v>
      </c>
      <c r="DH315" s="59">
        <f>'2016'!CX30</f>
        <v>0</v>
      </c>
      <c r="DI315" s="56">
        <f>'2016'!CY30</f>
        <v>243</v>
      </c>
      <c r="DJ315" s="57">
        <f>'2016'!CZ30</f>
        <v>3117.7999999999997</v>
      </c>
      <c r="DK315" s="57">
        <f>'2016'!DA30</f>
        <v>3</v>
      </c>
      <c r="DL315" s="57">
        <f>'2016'!DB30</f>
        <v>32.199999999999996</v>
      </c>
      <c r="DM315" s="57">
        <f>'2016'!DC30</f>
        <v>41</v>
      </c>
      <c r="DN315" s="57">
        <f>'2016'!DD30</f>
        <v>5</v>
      </c>
      <c r="DO315" s="58">
        <f>'2016'!DE30</f>
        <v>5.9268292682926829</v>
      </c>
      <c r="DP315" s="58">
        <f>'2016'!DF30</f>
        <v>36.6</v>
      </c>
      <c r="DQ315" s="58">
        <f>'2016'!DG30</f>
        <v>3.05</v>
      </c>
      <c r="DR315" s="58">
        <f>'2016'!DH30</f>
        <v>50.6</v>
      </c>
      <c r="DS315" s="57">
        <f>'2016'!DI30</f>
        <v>113</v>
      </c>
      <c r="DT315" s="57">
        <f>'2016'!DJ30</f>
        <v>4086.5999999999995</v>
      </c>
      <c r="DU315" s="57">
        <f>'2016'!DK30</f>
        <v>9</v>
      </c>
      <c r="DV315" s="57">
        <f>'2016'!DL30</f>
        <v>2</v>
      </c>
      <c r="DW315" s="59">
        <f>'2016'!DM30</f>
        <v>32.199999999999996</v>
      </c>
    </row>
    <row r="316" spans="1:127" ht="15.75" customHeight="1" x14ac:dyDescent="0.2">
      <c r="A316" s="33">
        <f t="shared" si="49"/>
        <v>314</v>
      </c>
      <c r="B316" s="11">
        <f>'2017'!A29</f>
        <v>27</v>
      </c>
      <c r="C316" s="11">
        <v>2017</v>
      </c>
      <c r="D316" s="34" t="str">
        <f>'2017'!B29</f>
        <v>De'Veon Smith</v>
      </c>
      <c r="E316" s="224" t="str" cm="1">
        <f t="array" ref="E316">_xlfn.IFS(F316&gt;=13,"Cornerstone",AND(F316&gt;=12,F316&lt;13),"Elite",AND(F316&gt;=11,F316&lt;12),"Elite Upside",AND(F316&gt;=9,F316&lt;11),"Upside",AND(F316&gt;=7,F316&lt;9),"Upside Lite",AND(F316&gt;=6,F316&lt;7),"Outlier",AND(F316&gt;=5,F316&lt;6),"Outlier Lite",F316&lt;5,"Purgatory")</f>
        <v>Purgatory</v>
      </c>
      <c r="F316" s="14">
        <f>'2017'!C29</f>
        <v>2.6722222222222225</v>
      </c>
      <c r="G316" s="14">
        <f t="shared" si="54"/>
        <v>3.9</v>
      </c>
      <c r="H316" s="35">
        <f t="shared" si="50"/>
        <v>-2.255869262863917</v>
      </c>
      <c r="I316" s="36" t="str">
        <f>'2017'!D29</f>
        <v>Michigan</v>
      </c>
      <c r="J316" s="37">
        <f>'2017'!E29</f>
        <v>2</v>
      </c>
      <c r="K316" s="38">
        <f>'2017'!F29</f>
        <v>34646</v>
      </c>
      <c r="L316" s="39">
        <f>'2017'!G29</f>
        <v>30.906849315068492</v>
      </c>
      <c r="M316" s="39" t="str">
        <f>'2017'!H29</f>
        <v>SR</v>
      </c>
      <c r="N316" s="39">
        <f>'2017'!I29</f>
        <v>22.482191780821918</v>
      </c>
      <c r="O316" s="39" t="str">
        <f t="shared" si="51"/>
        <v>BELL COW</v>
      </c>
      <c r="P316" s="39" t="str">
        <f t="shared" si="58"/>
        <v>PLODDER</v>
      </c>
      <c r="Q316" s="37">
        <f>'2017'!J29</f>
        <v>71</v>
      </c>
      <c r="R316" s="37">
        <f>'2017'!K29</f>
        <v>223</v>
      </c>
      <c r="S316" s="39">
        <f t="shared" si="53"/>
        <v>31.10184256472461</v>
      </c>
      <c r="T316" s="37">
        <f>'2017'!L29</f>
        <v>4.8499999999999996</v>
      </c>
      <c r="U316" s="55">
        <f>'2017'!M29</f>
        <v>0</v>
      </c>
      <c r="V316" s="41">
        <f>'2017'!N29</f>
        <v>0</v>
      </c>
      <c r="W316" s="42">
        <f>'2017'!O29</f>
        <v>2.4098867147270855E-2</v>
      </c>
      <c r="X316" s="42">
        <f>'2017'!P29</f>
        <v>0.13638638638638639</v>
      </c>
      <c r="Y316" s="42">
        <f>'2017'!Q29</f>
        <v>0.17757917233339809</v>
      </c>
      <c r="Z316" s="42">
        <f>'2017'!R29</f>
        <v>0.16509775524981898</v>
      </c>
      <c r="AA316" s="42">
        <f>'2017'!S29</f>
        <v>0.17133846379160855</v>
      </c>
      <c r="AB316" s="42">
        <f>'2017'!T29</f>
        <v>0.17133846379160855</v>
      </c>
      <c r="AC316" s="42">
        <f>'2017'!U29</f>
        <v>5.145631067961165E-2</v>
      </c>
      <c r="AD316" s="42">
        <f>'2017'!V29</f>
        <v>2.3947750362844702E-2</v>
      </c>
      <c r="AE316" s="42">
        <f>'2017'!W29</f>
        <v>3.7702030521228176E-2</v>
      </c>
      <c r="AF316" s="43">
        <f>'2017'!X29</f>
        <v>3.7702030521228176E-2</v>
      </c>
      <c r="AG316" s="44">
        <f>'2017'!Y29</f>
        <v>20.824657534246576</v>
      </c>
      <c r="AH316" s="45">
        <f>'2017'!Z29</f>
        <v>80.606099127812882</v>
      </c>
      <c r="AI316" s="45">
        <f>'2017'!AA29</f>
        <v>31.098789922634399</v>
      </c>
      <c r="AJ316" s="45">
        <f>'2017'!AB29</f>
        <v>0.24444444444444444</v>
      </c>
      <c r="AK316" s="45">
        <f>'2017'!AC29</f>
        <v>4.8</v>
      </c>
      <c r="AL316" s="45">
        <f t="shared" si="52"/>
        <v>6.6052631578947372</v>
      </c>
      <c r="AM316" s="45">
        <f t="shared" si="59"/>
        <v>8.1218274111675121E-2</v>
      </c>
      <c r="AN316" s="45">
        <f>'2017'!AD29</f>
        <v>74.900000000000006</v>
      </c>
      <c r="AO316" s="45">
        <f>'2017'!AE29</f>
        <v>3.03</v>
      </c>
      <c r="AP316" s="46">
        <f>'2017'!AF29</f>
        <v>34.9</v>
      </c>
      <c r="AQ316" s="47">
        <f>'2017'!AG29</f>
        <v>3</v>
      </c>
      <c r="AR316" s="48">
        <f>'2017'!AH29</f>
        <v>4</v>
      </c>
      <c r="AS316" s="48">
        <f>'2017'!AI29</f>
        <v>3</v>
      </c>
      <c r="AT316" s="48">
        <f>IF(AH316&gt;113.25,10,IF(AH316&gt;=107.84,9,IF(AH316&gt;=105.37,8,IF(AH316&gt;=103.25,7,IF(AH316&gt;=100.55,6,IF(AH316&gt;=98.75,5,IF(AH316&gt;=96.08,4,IF(AH316&gt;=94.39,3,IF(AH316&gt;=88.43,2,IF(AH316&gt;=85.16,1,IF(AH316&lt;85.16,0,FALSE)))))))))))</f>
        <v>0</v>
      </c>
      <c r="AU316" s="48">
        <f>'2017'!AK29</f>
        <v>6</v>
      </c>
      <c r="AV316" s="48">
        <f>'2017'!AL29</f>
        <v>0</v>
      </c>
      <c r="AW316" s="48">
        <f>'2017'!AM29</f>
        <v>4</v>
      </c>
      <c r="AX316" s="48">
        <f>'2017'!AN29</f>
        <v>2</v>
      </c>
      <c r="AY316" s="49">
        <f>IF(U316=1,10,IF(U316=2,7,IF(U316=3,6,IF(U316=4,4,IF(U316=5,3,IF(U316=6,2,IF(U316=7,1,IF(U316=0,0,"-"))))))))</f>
        <v>0</v>
      </c>
      <c r="AZ316" s="50">
        <f>'2017'!AP29</f>
        <v>0</v>
      </c>
      <c r="BA316" s="56">
        <f>'2017'!AQ29</f>
        <v>0</v>
      </c>
      <c r="BB316" s="57">
        <f>'2017'!AR29</f>
        <v>2389</v>
      </c>
      <c r="BC316" s="57">
        <f>'2017'!AS29</f>
        <v>0</v>
      </c>
      <c r="BD316" s="57">
        <f>'2017'!AT29</f>
        <v>0</v>
      </c>
      <c r="BE316" s="57">
        <f>'2017'!AU29</f>
        <v>0</v>
      </c>
      <c r="BF316" s="57">
        <f>'2017'!AV29</f>
        <v>0</v>
      </c>
      <c r="BG316" s="58">
        <f>'2017'!AW29</f>
        <v>0</v>
      </c>
      <c r="BH316" s="58">
        <f>'2017'!AX29</f>
        <v>0</v>
      </c>
      <c r="BI316" s="58">
        <f>'2017'!AY29</f>
        <v>0</v>
      </c>
      <c r="BJ316" s="58">
        <f>'2017'!AZ29</f>
        <v>0</v>
      </c>
      <c r="BK316" s="57">
        <f>'2017'!BA29</f>
        <v>0</v>
      </c>
      <c r="BL316" s="57">
        <f>'2017'!BB29</f>
        <v>2591</v>
      </c>
      <c r="BM316" s="57">
        <f>'2017'!BC29</f>
        <v>0</v>
      </c>
      <c r="BN316" s="57">
        <f>'2017'!BD29</f>
        <v>0</v>
      </c>
      <c r="BO316" s="59">
        <f>'2017'!BE29</f>
        <v>0</v>
      </c>
      <c r="BP316" s="56">
        <f>'2017'!BF29</f>
        <v>117</v>
      </c>
      <c r="BQ316" s="57">
        <f>'2017'!BG29</f>
        <v>1634</v>
      </c>
      <c r="BR316" s="57">
        <f>'2017'!BH29</f>
        <v>0</v>
      </c>
      <c r="BS316" s="57">
        <f>'2017'!BI29</f>
        <v>0</v>
      </c>
      <c r="BT316" s="57">
        <f>'2017'!BJ29</f>
        <v>0</v>
      </c>
      <c r="BU316" s="57">
        <f>'2017'!BK29</f>
        <v>0</v>
      </c>
      <c r="BV316" s="58">
        <f>'2017'!BL29</f>
        <v>0</v>
      </c>
      <c r="BW316" s="58">
        <f>'2017'!BM29</f>
        <v>0</v>
      </c>
      <c r="BX316" s="58">
        <f>'2017'!BN29</f>
        <v>0</v>
      </c>
      <c r="BY316" s="58">
        <f>'2017'!BO29</f>
        <v>0</v>
      </c>
      <c r="BZ316" s="57">
        <f>'2017'!BP29</f>
        <v>0</v>
      </c>
      <c r="CA316" s="57">
        <f>'2017'!BQ29</f>
        <v>3221</v>
      </c>
      <c r="CB316" s="57">
        <f>'2017'!BR29</f>
        <v>0</v>
      </c>
      <c r="CC316" s="57">
        <f>'2017'!BS29</f>
        <v>0</v>
      </c>
      <c r="CD316" s="59">
        <f>'2017'!BT29</f>
        <v>0</v>
      </c>
      <c r="CE316" s="56">
        <f>'2017'!BU29</f>
        <v>519</v>
      </c>
      <c r="CF316" s="57">
        <f>'2017'!BV29</f>
        <v>1954</v>
      </c>
      <c r="CG316" s="57">
        <f>'2017'!BW29</f>
        <v>6</v>
      </c>
      <c r="CH316" s="57">
        <f>'2017'!BX29</f>
        <v>0</v>
      </c>
      <c r="CI316" s="57">
        <f>'2017'!BY29</f>
        <v>108</v>
      </c>
      <c r="CJ316" s="57">
        <f>'2017'!BZ29</f>
        <v>21</v>
      </c>
      <c r="CK316" s="58">
        <f>'2017'!CA29</f>
        <v>4.8</v>
      </c>
      <c r="CL316" s="58">
        <f>'2017'!CB29</f>
        <v>56.1</v>
      </c>
      <c r="CM316" s="58">
        <f>'2017'!CC29</f>
        <v>2.96</v>
      </c>
      <c r="CN316" s="58">
        <f>'2017'!CD29</f>
        <v>32.6</v>
      </c>
      <c r="CO316" s="57">
        <f>'2017'!CE29</f>
        <v>26</v>
      </c>
      <c r="CP316" s="57">
        <f>'2017'!CF29</f>
        <v>2042</v>
      </c>
      <c r="CQ316" s="57">
        <f>'2017'!CG29</f>
        <v>3</v>
      </c>
      <c r="CR316" s="57">
        <f>'2017'!CH29</f>
        <v>0</v>
      </c>
      <c r="CS316" s="59">
        <f>'2017'!CI29</f>
        <v>0</v>
      </c>
      <c r="CT316" s="56">
        <f>'2017'!CJ29</f>
        <v>755</v>
      </c>
      <c r="CU316" s="57">
        <f>'2017'!CK29</f>
        <v>2057</v>
      </c>
      <c r="CV316" s="57">
        <f>'2017'!CL29</f>
        <v>5</v>
      </c>
      <c r="CW316" s="57">
        <f>'2017'!CM29</f>
        <v>0</v>
      </c>
      <c r="CX316" s="57">
        <f>'2017'!CN29</f>
        <v>180</v>
      </c>
      <c r="CY316" s="57">
        <f>'2017'!CO29</f>
        <v>44</v>
      </c>
      <c r="CZ316" s="58">
        <f>'2017'!CP29</f>
        <v>4.2</v>
      </c>
      <c r="DA316" s="58">
        <f>'2017'!CQ29</f>
        <v>74.900000000000006</v>
      </c>
      <c r="DB316" s="58">
        <f>'2017'!CR29</f>
        <v>2.87</v>
      </c>
      <c r="DC316" s="58">
        <f>'2017'!CS29</f>
        <v>30.7</v>
      </c>
      <c r="DD316" s="57">
        <f>'2017'!CT29</f>
        <v>159</v>
      </c>
      <c r="DE316" s="57">
        <f>'2017'!CU29</f>
        <v>3090</v>
      </c>
      <c r="DF316" s="57">
        <f>'2017'!CV29</f>
        <v>19</v>
      </c>
      <c r="DG316" s="57">
        <f>'2017'!CW29</f>
        <v>0</v>
      </c>
      <c r="DH316" s="59">
        <f>'2017'!CX29</f>
        <v>0</v>
      </c>
      <c r="DI316" s="56">
        <f>'2017'!CY29</f>
        <v>846</v>
      </c>
      <c r="DJ316" s="57">
        <f>'2017'!CZ29</f>
        <v>2768</v>
      </c>
      <c r="DK316" s="57">
        <f>'2017'!DA29</f>
        <v>10</v>
      </c>
      <c r="DL316" s="57">
        <f>'2017'!DB29</f>
        <v>0</v>
      </c>
      <c r="DM316" s="57">
        <f>'2017'!DC29</f>
        <v>181</v>
      </c>
      <c r="DN316" s="57">
        <f>'2017'!DD29</f>
        <v>42</v>
      </c>
      <c r="DO316" s="58">
        <f>'2017'!DE29</f>
        <v>4.7</v>
      </c>
      <c r="DP316" s="58">
        <f>'2017'!DF29</f>
        <v>73.900000000000006</v>
      </c>
      <c r="DQ316" s="58">
        <f>'2017'!DG29</f>
        <v>3.03</v>
      </c>
      <c r="DR316" s="58">
        <f>'2017'!DH29</f>
        <v>34.9</v>
      </c>
      <c r="DS316" s="57">
        <f>'2017'!DI29</f>
        <v>66</v>
      </c>
      <c r="DT316" s="57">
        <f>'2017'!DJ29</f>
        <v>2756</v>
      </c>
      <c r="DU316" s="57">
        <f>'2017'!DK29</f>
        <v>16</v>
      </c>
      <c r="DV316" s="57">
        <f>'2017'!DL29</f>
        <v>0</v>
      </c>
      <c r="DW316" s="59">
        <f>'2017'!DM29</f>
        <v>0</v>
      </c>
    </row>
    <row r="317" spans="1:127" ht="15.75" customHeight="1" x14ac:dyDescent="0.2">
      <c r="A317" s="33">
        <f t="shared" si="49"/>
        <v>315</v>
      </c>
      <c r="B317" s="11">
        <f>'2015'!A25</f>
        <v>23</v>
      </c>
      <c r="C317" s="11">
        <v>2015</v>
      </c>
      <c r="D317" s="34" t="str">
        <f>'2015'!B25</f>
        <v>Trey Williams</v>
      </c>
      <c r="E317" s="224" t="str" cm="1">
        <f t="array" ref="E317">_xlfn.IFS(F317&gt;=13,"Cornerstone",AND(F317&gt;=12,F317&lt;13),"Elite",AND(F317&gt;=11,F317&lt;12),"Elite Upside",AND(F317&gt;=9,F317&lt;11),"Upside",AND(F317&gt;=7,F317&lt;9),"Upside Lite",AND(F317&gt;=6,F317&lt;7),"Outlier",AND(F317&gt;=5,F317&lt;6),"Outlier Lite",F317&lt;5,"Purgatory")</f>
        <v>Purgatory</v>
      </c>
      <c r="F317" s="14">
        <f>'2015'!C25</f>
        <v>2.6444444444444439</v>
      </c>
      <c r="G317" s="14">
        <f t="shared" si="54"/>
        <v>3.5999999999999996</v>
      </c>
      <c r="H317" s="35">
        <f t="shared" si="50"/>
        <v>-2.2676255146483517</v>
      </c>
      <c r="I317" s="36" t="str">
        <f>'2015'!D25</f>
        <v>Texas A&amp;M</v>
      </c>
      <c r="J317" s="37">
        <f>'2015'!E25</f>
        <v>1</v>
      </c>
      <c r="K317" s="38">
        <f>'2015'!F25</f>
        <v>33949</v>
      </c>
      <c r="L317" s="39">
        <f>'2015'!G25</f>
        <v>32.816438356164383</v>
      </c>
      <c r="M317" s="39" t="str">
        <f>'2015'!H25</f>
        <v>JR</v>
      </c>
      <c r="N317" s="39">
        <f>'2015'!I25</f>
        <v>22.389041095890413</v>
      </c>
      <c r="O317" s="39" t="str">
        <f t="shared" si="51"/>
        <v>JITTERBUG</v>
      </c>
      <c r="P317" s="39" t="str">
        <f t="shared" si="58"/>
        <v>+RECEIVER</v>
      </c>
      <c r="Q317" s="37">
        <f>'2015'!J25</f>
        <v>67</v>
      </c>
      <c r="R317" s="37">
        <f>'2015'!K25</f>
        <v>195</v>
      </c>
      <c r="S317" s="39">
        <f t="shared" si="53"/>
        <v>30.54097932655656</v>
      </c>
      <c r="T317" s="39">
        <f>'2015'!L25</f>
        <v>4.49</v>
      </c>
      <c r="U317" s="55">
        <f>'2015'!M25</f>
        <v>0</v>
      </c>
      <c r="V317" s="41">
        <f>'2015'!N25</f>
        <v>0</v>
      </c>
      <c r="W317" s="42">
        <f>'2015'!O25</f>
        <v>0</v>
      </c>
      <c r="X317" s="42">
        <f>'2015'!P25</f>
        <v>7.5333976036358621E-2</v>
      </c>
      <c r="Y317" s="42">
        <f>'2015'!Q25</f>
        <v>7.7840064838578957E-2</v>
      </c>
      <c r="Z317" s="42">
        <f>'2015'!R25</f>
        <v>0.11839408578539012</v>
      </c>
      <c r="AA317" s="42">
        <f>'2015'!S25</f>
        <v>0.11839408578539012</v>
      </c>
      <c r="AB317" s="42">
        <f>'2015'!T25</f>
        <v>0.11839408578539012</v>
      </c>
      <c r="AC317" s="42">
        <f>'2015'!U25</f>
        <v>1.3894964361989552E-2</v>
      </c>
      <c r="AD317" s="42">
        <f>'2015'!V25</f>
        <v>2.8641571194762683E-2</v>
      </c>
      <c r="AE317" s="42">
        <f>'2015'!W25</f>
        <v>2.8641571194762683E-2</v>
      </c>
      <c r="AF317" s="43">
        <f>'2015'!X25</f>
        <v>2.8641571194762683E-2</v>
      </c>
      <c r="AG317" s="44" t="str">
        <f>'2015'!Y25</f>
        <v>N/A</v>
      </c>
      <c r="AH317" s="45">
        <f>'2015'!Z25</f>
        <v>95.957570335423796</v>
      </c>
      <c r="AI317" s="45">
        <f>'2015'!AA25</f>
        <v>30.537981733125417</v>
      </c>
      <c r="AJ317" s="45">
        <f>'2015'!AB25</f>
        <v>0.22222222222222221</v>
      </c>
      <c r="AK317" s="45">
        <f>'2015'!AC25</f>
        <v>7.0172413793103452</v>
      </c>
      <c r="AL317" s="45">
        <f t="shared" si="52"/>
        <v>8.6842105263157894</v>
      </c>
      <c r="AM317" s="45">
        <f t="shared" si="59"/>
        <v>0.16494845360824742</v>
      </c>
      <c r="AN317" s="45">
        <f>'2015'!AD25</f>
        <v>57.1</v>
      </c>
      <c r="AO317" s="45">
        <f>'2015'!AE25</f>
        <v>2.31</v>
      </c>
      <c r="AP317" s="46">
        <f>'2015'!AF25</f>
        <v>47.2</v>
      </c>
      <c r="AQ317" s="47">
        <f>'2015'!AG25</f>
        <v>0</v>
      </c>
      <c r="AR317" s="48">
        <f>'2015'!AH25</f>
        <v>3</v>
      </c>
      <c r="AS317" s="48">
        <f>'2015'!AI25</f>
        <v>0</v>
      </c>
      <c r="AT317" s="48">
        <f>'2015'!AJ25</f>
        <v>3</v>
      </c>
      <c r="AU317" s="48">
        <f>'2015'!AK25</f>
        <v>5</v>
      </c>
      <c r="AV317" s="48">
        <f>'2015'!AL25</f>
        <v>8</v>
      </c>
      <c r="AW317" s="48">
        <f>'2015'!AM25</f>
        <v>2</v>
      </c>
      <c r="AX317" s="48">
        <f>'2015'!AN25</f>
        <v>0</v>
      </c>
      <c r="AY317" s="49">
        <f>'2015'!AO25</f>
        <v>0</v>
      </c>
      <c r="AZ317" s="50">
        <f>'2015'!AP25</f>
        <v>0</v>
      </c>
      <c r="BA317" s="56">
        <f>'2015'!AQ25</f>
        <v>0</v>
      </c>
      <c r="BB317" s="57">
        <f>'2015'!AR25</f>
        <v>1</v>
      </c>
      <c r="BC317" s="57">
        <f>'2015'!AS25</f>
        <v>0</v>
      </c>
      <c r="BD317" s="57">
        <f>'2015'!AT25</f>
        <v>0</v>
      </c>
      <c r="BE317" s="57">
        <f>'2015'!AU25</f>
        <v>0</v>
      </c>
      <c r="BF317" s="57">
        <f>'2015'!AV25</f>
        <v>0</v>
      </c>
      <c r="BG317" s="58">
        <f>'2015'!AW25</f>
        <v>0</v>
      </c>
      <c r="BH317" s="58">
        <f>'2015'!AX25</f>
        <v>0</v>
      </c>
      <c r="BI317" s="58">
        <f>'2015'!AY25</f>
        <v>0</v>
      </c>
      <c r="BJ317" s="58">
        <f>'2015'!AZ25</f>
        <v>0</v>
      </c>
      <c r="BK317" s="57">
        <f>'2015'!BA25</f>
        <v>0</v>
      </c>
      <c r="BL317" s="57">
        <f>'2015'!BB25</f>
        <v>1</v>
      </c>
      <c r="BM317" s="57">
        <f>'2015'!BC25</f>
        <v>0</v>
      </c>
      <c r="BN317" s="57">
        <f>'2015'!BD25</f>
        <v>0</v>
      </c>
      <c r="BO317" s="59">
        <f>'2015'!BE25</f>
        <v>0</v>
      </c>
      <c r="BP317" s="56">
        <f>'2015'!BF25</f>
        <v>0</v>
      </c>
      <c r="BQ317" s="57">
        <f>'2015'!BG25</f>
        <v>1</v>
      </c>
      <c r="BR317" s="57">
        <f>'2015'!BH25</f>
        <v>0</v>
      </c>
      <c r="BS317" s="57">
        <f>'2015'!BI25</f>
        <v>0</v>
      </c>
      <c r="BT317" s="57">
        <f>'2015'!BJ25</f>
        <v>0</v>
      </c>
      <c r="BU317" s="57">
        <f>'2015'!BK25</f>
        <v>0</v>
      </c>
      <c r="BV317" s="58">
        <f>'2015'!BL25</f>
        <v>0</v>
      </c>
      <c r="BW317" s="58">
        <f>'2015'!BM25</f>
        <v>0</v>
      </c>
      <c r="BX317" s="58">
        <f>'2015'!BN25</f>
        <v>0</v>
      </c>
      <c r="BY317" s="58">
        <f>'2015'!BO25</f>
        <v>0</v>
      </c>
      <c r="BZ317" s="57">
        <f>'2015'!BP25</f>
        <v>0</v>
      </c>
      <c r="CA317" s="57">
        <f>'2015'!BQ25</f>
        <v>1</v>
      </c>
      <c r="CB317" s="57">
        <f>'2015'!BR25</f>
        <v>0</v>
      </c>
      <c r="CC317" s="57">
        <f>'2015'!BS25</f>
        <v>0</v>
      </c>
      <c r="CD317" s="59">
        <f>'2015'!BT25</f>
        <v>0</v>
      </c>
      <c r="CE317" s="56">
        <f>'2015'!BU25</f>
        <v>376</v>
      </c>
      <c r="CF317" s="57">
        <f>'2015'!BV25</f>
        <v>4114</v>
      </c>
      <c r="CG317" s="57">
        <f>'2015'!BW25</f>
        <v>5</v>
      </c>
      <c r="CH317" s="57">
        <f>'2015'!BX25</f>
        <v>0</v>
      </c>
      <c r="CI317" s="57">
        <f>'2015'!BY25</f>
        <v>62</v>
      </c>
      <c r="CJ317" s="57">
        <f>'2015'!BZ25</f>
        <v>0</v>
      </c>
      <c r="CK317" s="58">
        <f>'2015'!CA25</f>
        <v>0</v>
      </c>
      <c r="CL317" s="58">
        <f>'2015'!CB25</f>
        <v>0</v>
      </c>
      <c r="CM317" s="58">
        <f>'2015'!CC25</f>
        <v>0</v>
      </c>
      <c r="CN317" s="58">
        <f>'2015'!CD25</f>
        <v>0</v>
      </c>
      <c r="CO317" s="57">
        <f>'2015'!CE25</f>
        <v>171</v>
      </c>
      <c r="CP317" s="57">
        <f>'2015'!CF25</f>
        <v>3147</v>
      </c>
      <c r="CQ317" s="57">
        <f>'2015'!CG25</f>
        <v>12</v>
      </c>
      <c r="CR317" s="57">
        <f>'2015'!CH25</f>
        <v>0</v>
      </c>
      <c r="CS317" s="59">
        <f>'2015'!CI25</f>
        <v>0</v>
      </c>
      <c r="CT317" s="56">
        <f>'2015'!CJ25</f>
        <v>407</v>
      </c>
      <c r="CU317" s="57">
        <f>'2015'!CK25</f>
        <v>2036.1</v>
      </c>
      <c r="CV317" s="57">
        <f>'2015'!CL25</f>
        <v>6</v>
      </c>
      <c r="CW317" s="57">
        <f>'2015'!CM25</f>
        <v>0</v>
      </c>
      <c r="CX317" s="57">
        <f>'2015'!CN25</f>
        <v>58</v>
      </c>
      <c r="CY317" s="57">
        <f>'2015'!CO25</f>
        <v>0</v>
      </c>
      <c r="CZ317" s="58">
        <f>'2015'!CP25</f>
        <v>7.0172413793103452</v>
      </c>
      <c r="DA317" s="58">
        <f>'2015'!CQ25</f>
        <v>0</v>
      </c>
      <c r="DB317" s="58">
        <f>'2015'!CR25</f>
        <v>0</v>
      </c>
      <c r="DC317" s="58">
        <f>'2015'!CS25</f>
        <v>0</v>
      </c>
      <c r="DD317" s="57">
        <f>'2015'!CT25</f>
        <v>54</v>
      </c>
      <c r="DE317" s="57">
        <f>'2015'!CU25</f>
        <v>3886.3</v>
      </c>
      <c r="DF317" s="57">
        <f>'2015'!CV25</f>
        <v>10</v>
      </c>
      <c r="DG317" s="57">
        <f>'2015'!CW25</f>
        <v>0</v>
      </c>
      <c r="DH317" s="59">
        <f>'2015'!CX25</f>
        <v>0</v>
      </c>
      <c r="DI317" s="56">
        <f>'2015'!CY25</f>
        <v>542</v>
      </c>
      <c r="DJ317" s="57">
        <f>'2015'!CZ25</f>
        <v>1798.8000000000002</v>
      </c>
      <c r="DK317" s="57">
        <f>'2015'!DA25</f>
        <v>7</v>
      </c>
      <c r="DL317" s="57">
        <f>'2015'!DB25</f>
        <v>18</v>
      </c>
      <c r="DM317" s="57">
        <f>'2015'!DC25</f>
        <v>81</v>
      </c>
      <c r="DN317" s="57">
        <f>'2015'!DD25</f>
        <v>18</v>
      </c>
      <c r="DO317" s="58">
        <f>'2015'!DE25</f>
        <v>6.6913580246913584</v>
      </c>
      <c r="DP317" s="58">
        <f>'2015'!DF25</f>
        <v>57.1</v>
      </c>
      <c r="DQ317" s="58">
        <f>'2015'!DG25</f>
        <v>2.31</v>
      </c>
      <c r="DR317" s="58">
        <f>'2015'!DH25</f>
        <v>47.2</v>
      </c>
      <c r="DS317" s="57">
        <f>'2015'!DI25</f>
        <v>105</v>
      </c>
      <c r="DT317" s="57">
        <f>'2015'!DJ25</f>
        <v>3666</v>
      </c>
      <c r="DU317" s="57">
        <f>'2015'!DK25</f>
        <v>16</v>
      </c>
      <c r="DV317" s="57">
        <f>'2015'!DL25</f>
        <v>1</v>
      </c>
      <c r="DW317" s="59">
        <f>'2015'!DM25</f>
        <v>36</v>
      </c>
    </row>
    <row r="318" spans="1:127" ht="15.75" customHeight="1" x14ac:dyDescent="0.2">
      <c r="A318" s="33">
        <f t="shared" si="49"/>
        <v>316</v>
      </c>
      <c r="B318" s="11">
        <f>'2019'!A26</f>
        <v>24</v>
      </c>
      <c r="C318" s="11">
        <v>2019</v>
      </c>
      <c r="D318" s="34" t="str">
        <f>'2019'!B26</f>
        <v>L.J. Scott</v>
      </c>
      <c r="E318" s="224" t="str" cm="1">
        <f t="array" ref="E318">_xlfn.IFS(F318&gt;=13,"Cornerstone",AND(F318&gt;=12,F318&lt;13),"Elite",AND(F318&gt;=11,F318&lt;12),"Elite Upside",AND(F318&gt;=9,F318&lt;11),"Upside",AND(F318&gt;=7,F318&lt;9),"Upside Lite",AND(F318&gt;=6,F318&lt;7),"Outlier",AND(F318&gt;=5,F318&lt;6),"Outlier Lite",F318&lt;5,"Purgatory")</f>
        <v>Purgatory</v>
      </c>
      <c r="F318" s="14">
        <f>'2019'!C26</f>
        <v>2.588888888888889</v>
      </c>
      <c r="G318" s="14">
        <f t="shared" si="54"/>
        <v>3.3000000000000003</v>
      </c>
      <c r="H318" s="35">
        <f t="shared" si="50"/>
        <v>-2.2911380182172207</v>
      </c>
      <c r="I318" s="36" t="str">
        <f>'2019'!D26</f>
        <v>Michigan State</v>
      </c>
      <c r="J318" s="37">
        <f>'2019'!E26</f>
        <v>2</v>
      </c>
      <c r="K318" s="38">
        <f>'2019'!F26</f>
        <v>35323</v>
      </c>
      <c r="L318" s="39">
        <f>'2019'!G26</f>
        <v>29.052054794520547</v>
      </c>
      <c r="M318" s="39" t="str">
        <f>'2019'!H26</f>
        <v>SR</v>
      </c>
      <c r="N318" s="39">
        <f>'2019'!I26</f>
        <v>22.621917808219177</v>
      </c>
      <c r="O318" s="39" t="str">
        <f t="shared" si="51"/>
        <v>BRUISER</v>
      </c>
      <c r="P318" s="39" t="str">
        <f t="shared" si="58"/>
        <v>PLODDER</v>
      </c>
      <c r="Q318" s="37">
        <f>'2019'!J26</f>
        <v>72</v>
      </c>
      <c r="R318" s="37">
        <f>'2019'!K26</f>
        <v>233</v>
      </c>
      <c r="S318" s="39">
        <f t="shared" si="53"/>
        <v>31.600130870014826</v>
      </c>
      <c r="T318" s="37">
        <f>'2019'!L26</f>
        <v>4.76</v>
      </c>
      <c r="U318" s="40">
        <f>'2019'!M26</f>
        <v>0</v>
      </c>
      <c r="V318" s="41">
        <f>'2019'!N26</f>
        <v>0</v>
      </c>
      <c r="W318" s="42">
        <f>'2019'!O26</f>
        <v>0.13263189093064612</v>
      </c>
      <c r="X318" s="42">
        <f>'2019'!P26</f>
        <v>0.23818565400843883</v>
      </c>
      <c r="Y318" s="42">
        <f>'2019'!Q26</f>
        <v>0.20915216170690623</v>
      </c>
      <c r="Z318" s="42">
        <f>'2019'!R26</f>
        <v>7.9847053531264062E-2</v>
      </c>
      <c r="AA318" s="42">
        <f>'2019'!S26</f>
        <v>0.15901635376985146</v>
      </c>
      <c r="AB318" s="42">
        <f>'2019'!T26</f>
        <v>0.15901635376985146</v>
      </c>
      <c r="AC318" s="42">
        <f>'2019'!U26</f>
        <v>5.2187589362310556E-2</v>
      </c>
      <c r="AD318" s="42">
        <f>'2019'!V26</f>
        <v>3.3644992208528124E-2</v>
      </c>
      <c r="AE318" s="42">
        <f>'2019'!W26</f>
        <v>4.2916290785419337E-2</v>
      </c>
      <c r="AF318" s="43">
        <f>'2019'!X26</f>
        <v>4.2916290785419337E-2</v>
      </c>
      <c r="AG318" s="44">
        <f>'2019'!Y26</f>
        <v>19.975342465753425</v>
      </c>
      <c r="AH318" s="45">
        <f>'2019'!Z26</f>
        <v>90.773296154718892</v>
      </c>
      <c r="AI318" s="45">
        <f>'2019'!AA26</f>
        <v>31.597029320987652</v>
      </c>
      <c r="AJ318" s="45">
        <f>'2019'!AB26</f>
        <v>0.17934782608695651</v>
      </c>
      <c r="AK318" s="45">
        <f>'2019'!AC26</f>
        <v>5.3</v>
      </c>
      <c r="AL318" s="45">
        <f t="shared" si="52"/>
        <v>9.3720930232558146</v>
      </c>
      <c r="AM318" s="45">
        <f t="shared" si="59"/>
        <v>0.11363636363636363</v>
      </c>
      <c r="AN318" s="45">
        <f>'2019'!AD26</f>
        <v>72.900000000000006</v>
      </c>
      <c r="AO318" s="45">
        <f>'2019'!AE26</f>
        <v>3.72</v>
      </c>
      <c r="AP318" s="46">
        <f>'2019'!AF26</f>
        <v>38.6</v>
      </c>
      <c r="AQ318" s="47">
        <f>'2019'!AG26</f>
        <v>2</v>
      </c>
      <c r="AR318" s="48">
        <f>'2019'!AH26</f>
        <v>4</v>
      </c>
      <c r="AS318" s="48">
        <f>'2019'!AI26</f>
        <v>5</v>
      </c>
      <c r="AT318" s="48">
        <f t="shared" ref="AT318:AT325" si="60">IF(AH318&gt;113.25,10,IF(AH318&gt;=107.84,9,IF(AH318&gt;=105.37,8,IF(AH318&gt;=103.25,7,IF(AH318&gt;=100.55,6,IF(AH318&gt;=98.75,5,IF(AH318&gt;=96.08,4,IF(AH318&gt;=94.39,3,IF(AH318&gt;=88.43,2,IF(AH318&gt;=85.16,1,IF(AH318&lt;85.16,0,FALSE)))))))))))</f>
        <v>2</v>
      </c>
      <c r="AU318" s="48">
        <f>'2019'!AK26</f>
        <v>2</v>
      </c>
      <c r="AV318" s="48">
        <f>'2019'!AL26</f>
        <v>2</v>
      </c>
      <c r="AW318" s="48">
        <f>'2019'!AM26</f>
        <v>1</v>
      </c>
      <c r="AX318" s="48">
        <f>'2019'!AN26</f>
        <v>3</v>
      </c>
      <c r="AY318" s="49">
        <f>IF(U318=1,10,IF(U318=2,7,IF(U318=3,6,IF(U318=4,4,IF(U318=5,3,IF(U318=6,2,IF(U318=7,1,IF(U318=0,0,"-"))))))))</f>
        <v>0</v>
      </c>
      <c r="AZ318" s="50">
        <f>'2019'!AP26</f>
        <v>0</v>
      </c>
      <c r="BA318" s="56">
        <f>'2019'!AQ26</f>
        <v>0</v>
      </c>
      <c r="BB318" s="57">
        <f>'2019'!AR26</f>
        <v>2640</v>
      </c>
      <c r="BC318" s="57">
        <f>'2019'!AS26</f>
        <v>0</v>
      </c>
      <c r="BD318" s="57">
        <f>'2019'!AT26</f>
        <v>23</v>
      </c>
      <c r="BE318" s="57">
        <f>'2019'!AU26</f>
        <v>29</v>
      </c>
      <c r="BF318" s="57">
        <f>'2019'!AV26</f>
        <v>10</v>
      </c>
      <c r="BG318" s="58">
        <f>'2019'!AW26</f>
        <v>0</v>
      </c>
      <c r="BH318" s="58">
        <f>'2019'!AX26</f>
        <v>0</v>
      </c>
      <c r="BI318" s="58">
        <f>'2019'!AY26</f>
        <v>0</v>
      </c>
      <c r="BJ318" s="58">
        <f>'2019'!AZ26</f>
        <v>0</v>
      </c>
      <c r="BK318" s="57">
        <f>'2019'!BA26</f>
        <v>0</v>
      </c>
      <c r="BL318" s="57">
        <f>'2019'!BB26</f>
        <v>2801</v>
      </c>
      <c r="BM318" s="57">
        <f>'2019'!BC26</f>
        <v>0</v>
      </c>
      <c r="BN318" s="57">
        <f>'2019'!BD26</f>
        <v>0</v>
      </c>
      <c r="BO318" s="59">
        <f>'2019'!BE26</f>
        <v>19</v>
      </c>
      <c r="BP318" s="56">
        <f>'2019'!BF26</f>
        <v>701</v>
      </c>
      <c r="BQ318" s="57">
        <f>'2019'!BG26</f>
        <v>2119.6</v>
      </c>
      <c r="BR318" s="57">
        <f>'2019'!BH26</f>
        <v>11</v>
      </c>
      <c r="BS318" s="57">
        <f>'2019'!BI26</f>
        <v>28</v>
      </c>
      <c r="BT318" s="57">
        <f>'2019'!BJ26</f>
        <v>146</v>
      </c>
      <c r="BU318" s="57">
        <f>'2019'!BK26</f>
        <v>38</v>
      </c>
      <c r="BV318" s="58">
        <f>'2019'!BL26</f>
        <v>4.8</v>
      </c>
      <c r="BW318" s="58">
        <f>'2019'!BM26</f>
        <v>86.4</v>
      </c>
      <c r="BX318" s="58">
        <f>'2019'!BN26</f>
        <v>3.22</v>
      </c>
      <c r="BY318" s="58">
        <f>'2019'!BO26</f>
        <v>38.9</v>
      </c>
      <c r="BZ318" s="57">
        <f>'2019'!BP26</f>
        <v>15</v>
      </c>
      <c r="CA318" s="57">
        <f>'2019'!BQ26</f>
        <v>3278.7999999999997</v>
      </c>
      <c r="CB318" s="57">
        <f>'2019'!BR26</f>
        <v>3</v>
      </c>
      <c r="CC318" s="57">
        <f>'2019'!BS26</f>
        <v>0</v>
      </c>
      <c r="CD318" s="59">
        <f>'2019'!BT26</f>
        <v>18</v>
      </c>
      <c r="CE318" s="56">
        <f>'2019'!BU26</f>
        <v>982</v>
      </c>
      <c r="CF318" s="57">
        <f>'2019'!BV26</f>
        <v>2072.3999999999996</v>
      </c>
      <c r="CG318" s="57">
        <f>'2019'!BW26</f>
        <v>6</v>
      </c>
      <c r="CH318" s="57">
        <f>'2019'!BX26</f>
        <v>25</v>
      </c>
      <c r="CI318" s="57">
        <f>'2019'!BY26</f>
        <v>184</v>
      </c>
      <c r="CJ318" s="57">
        <f>'2019'!BZ26</f>
        <v>33</v>
      </c>
      <c r="CK318" s="58">
        <f>'2019'!CA26</f>
        <v>5.3</v>
      </c>
      <c r="CL318" s="58">
        <f>'2019'!CB26</f>
        <v>72.900000000000006</v>
      </c>
      <c r="CM318" s="58">
        <f>'2019'!CC26</f>
        <v>3.72</v>
      </c>
      <c r="CN318" s="58">
        <f>'2019'!CD26</f>
        <v>38.6</v>
      </c>
      <c r="CO318" s="57">
        <f>'2019'!CE26</f>
        <v>147</v>
      </c>
      <c r="CP318" s="57">
        <f>'2019'!CF26</f>
        <v>2667.6000000000004</v>
      </c>
      <c r="CQ318" s="57">
        <f>'2019'!CG26</f>
        <v>10</v>
      </c>
      <c r="CR318" s="57">
        <f>'2019'!CH26</f>
        <v>0</v>
      </c>
      <c r="CS318" s="59">
        <f>'2019'!CI26</f>
        <v>48</v>
      </c>
      <c r="CT318" s="56">
        <f>'2019'!CJ26</f>
        <v>897</v>
      </c>
      <c r="CU318" s="57">
        <f>'2019'!CK26</f>
        <v>2189.2000000000003</v>
      </c>
      <c r="CV318" s="57">
        <f>'2019'!CL26</f>
        <v>8</v>
      </c>
      <c r="CW318" s="57">
        <f>'2019'!CM26</f>
        <v>38</v>
      </c>
      <c r="CX318" s="57">
        <f>'2019'!CN26</f>
        <v>201</v>
      </c>
      <c r="CY318" s="57">
        <f>'2019'!CO26</f>
        <v>36</v>
      </c>
      <c r="CZ318" s="58">
        <f>'2019'!CP26</f>
        <v>4.5</v>
      </c>
      <c r="DA318" s="58">
        <f>'2019'!CQ26</f>
        <v>57</v>
      </c>
      <c r="DB318" s="58">
        <f>'2019'!CR26</f>
        <v>3.07</v>
      </c>
      <c r="DC318" s="58">
        <f>'2019'!CS26</f>
        <v>29.7</v>
      </c>
      <c r="DD318" s="57">
        <f>'2019'!CT26</f>
        <v>146</v>
      </c>
      <c r="DE318" s="57">
        <f>'2019'!CU26</f>
        <v>2797.6</v>
      </c>
      <c r="DF318" s="57">
        <f>'2019'!CV26</f>
        <v>20</v>
      </c>
      <c r="DG318" s="57">
        <f>'2019'!CW26</f>
        <v>0</v>
      </c>
      <c r="DH318" s="59">
        <f>'2019'!CX26</f>
        <v>20</v>
      </c>
      <c r="DI318" s="56">
        <f>'2019'!CY26</f>
        <v>260</v>
      </c>
      <c r="DJ318" s="57">
        <f>'2019'!CZ26</f>
        <v>1622.3999999999999</v>
      </c>
      <c r="DK318" s="57">
        <f>'2019'!DA26</f>
        <v>0</v>
      </c>
      <c r="DL318" s="57">
        <f>'2019'!DB26</f>
        <v>27</v>
      </c>
      <c r="DM318" s="57">
        <f>'2019'!DC26</f>
        <v>78</v>
      </c>
      <c r="DN318" s="57">
        <f>'2019'!DD26</f>
        <v>9</v>
      </c>
      <c r="DO318" s="58">
        <f>'2019'!DE26</f>
        <v>3.3</v>
      </c>
      <c r="DP318" s="58">
        <f>'2019'!DF26</f>
        <v>31.5</v>
      </c>
      <c r="DQ318" s="58">
        <f>'2019'!DG26</f>
        <v>2.31</v>
      </c>
      <c r="DR318" s="58">
        <f>'2019'!DH26</f>
        <v>0</v>
      </c>
      <c r="DS318" s="57">
        <f>'2019'!DI26</f>
        <v>95</v>
      </c>
      <c r="DT318" s="57">
        <f>'2019'!DJ26</f>
        <v>2823.6</v>
      </c>
      <c r="DU318" s="57">
        <f>'2019'!DK26</f>
        <v>10</v>
      </c>
      <c r="DV318" s="57">
        <f>'2019'!DL26</f>
        <v>0</v>
      </c>
      <c r="DW318" s="59">
        <f>'2019'!DM26</f>
        <v>20</v>
      </c>
    </row>
    <row r="319" spans="1:127" ht="15.75" customHeight="1" x14ac:dyDescent="0.2">
      <c r="A319" s="33">
        <f t="shared" si="49"/>
        <v>317</v>
      </c>
      <c r="B319" s="11">
        <f>'2022'!A34</f>
        <v>32</v>
      </c>
      <c r="C319" s="11">
        <v>2022</v>
      </c>
      <c r="D319" s="34" t="str">
        <f>'2022'!B34</f>
        <v>CJ Verdell</v>
      </c>
      <c r="E319" s="224" t="str" cm="1">
        <f t="array" ref="E319">_xlfn.IFS(F319&gt;=13,"Cornerstone",AND(F319&gt;=12,F319&lt;13),"Elite",AND(F319&gt;=11,F319&lt;12),"Elite Upside",AND(F319&gt;=9,F319&lt;11),"Upside",AND(F319&gt;=7,F319&lt;9),"Upside Lite",AND(F319&gt;=6,F319&lt;7),"Outlier",AND(F319&gt;=5,F319&lt;6),"Outlier Lite",F319&lt;5,"Purgatory")</f>
        <v>Purgatory</v>
      </c>
      <c r="F319" s="14">
        <f>'2022'!C34</f>
        <v>2.572222222222222</v>
      </c>
      <c r="G319" s="14">
        <f t="shared" si="54"/>
        <v>3</v>
      </c>
      <c r="H319" s="35">
        <f t="shared" si="50"/>
        <v>-2.298191769287881</v>
      </c>
      <c r="I319" s="36" t="str">
        <f>'2022'!D34</f>
        <v>Oregon</v>
      </c>
      <c r="J319" s="37">
        <f>'2022'!E34</f>
        <v>5</v>
      </c>
      <c r="K319" s="38">
        <f>'2022'!F34</f>
        <v>36388</v>
      </c>
      <c r="L319" s="39">
        <f>'2022'!G34</f>
        <v>26.134246575342466</v>
      </c>
      <c r="M319" s="39" t="str">
        <f>'2022'!H34</f>
        <v>RS JR</v>
      </c>
      <c r="N319" s="39">
        <f>'2022'!I34</f>
        <v>22.715068493150685</v>
      </c>
      <c r="O319" s="39" t="str">
        <f t="shared" si="51"/>
        <v>DYNAMIC</v>
      </c>
      <c r="P319" s="39" t="str">
        <f t="shared" si="58"/>
        <v>HORSE</v>
      </c>
      <c r="Q319" s="37">
        <f>'2022'!J34</f>
        <v>68</v>
      </c>
      <c r="R319" s="37">
        <f>'2022'!K34</f>
        <v>194</v>
      </c>
      <c r="S319" s="39">
        <f t="shared" si="53"/>
        <v>29.497272316343945</v>
      </c>
      <c r="T319" s="37">
        <f>'2022'!L34</f>
        <v>4.6500000000000004</v>
      </c>
      <c r="U319" s="40">
        <f>'2022'!M34</f>
        <v>0</v>
      </c>
      <c r="V319" s="41">
        <f>'2022'!N34</f>
        <v>0</v>
      </c>
      <c r="W319" s="42">
        <f>'2022'!O34</f>
        <v>0</v>
      </c>
      <c r="X319" s="42">
        <f>'2022'!P34</f>
        <v>0.22183737423717631</v>
      </c>
      <c r="Y319" s="42">
        <f>'2022'!Q34</f>
        <v>0.13321799307958476</v>
      </c>
      <c r="Z319" s="42">
        <f>'2022'!R34</f>
        <v>8.0930703085483058E-2</v>
      </c>
      <c r="AA319" s="42">
        <f>'2022'!S34</f>
        <v>0.15138403866132968</v>
      </c>
      <c r="AB319" s="42">
        <f>'2022'!T34</f>
        <v>0.12867643286213024</v>
      </c>
      <c r="AC319" s="42">
        <f>'2022'!U34</f>
        <v>4.0046430644225188E-2</v>
      </c>
      <c r="AD319" s="42">
        <f>'2022'!V34</f>
        <v>1.8398967075532603E-2</v>
      </c>
      <c r="AE319" s="42">
        <f>'2022'!W34</f>
        <v>2.9222698859878896E-2</v>
      </c>
      <c r="AF319" s="43">
        <f>'2022'!X34</f>
        <v>2.4839294030897061E-2</v>
      </c>
      <c r="AG319" s="44">
        <f>'2022'!Y34</f>
        <v>20.054794520547944</v>
      </c>
      <c r="AH319" s="45">
        <f>'2022'!Z34</f>
        <v>82.988882016372074</v>
      </c>
      <c r="AI319" s="45">
        <f>'2022'!AA34</f>
        <v>29.494377162629757</v>
      </c>
      <c r="AJ319" s="45">
        <f>'2022'!AB34</f>
        <v>0.19796954314720813</v>
      </c>
      <c r="AK319" s="45">
        <f>'2022'!AC34</f>
        <v>5.4</v>
      </c>
      <c r="AL319" s="45">
        <f t="shared" si="52"/>
        <v>5.1224489795918364</v>
      </c>
      <c r="AM319" s="45">
        <f t="shared" si="59"/>
        <v>8.1395348837209308E-2</v>
      </c>
      <c r="AN319" s="45">
        <f>'2022'!AD34</f>
        <v>80.900000000000006</v>
      </c>
      <c r="AO319" s="45">
        <f>'2022'!AE34</f>
        <v>4.07</v>
      </c>
      <c r="AP319" s="46">
        <f>'2022'!AF34</f>
        <v>41.2</v>
      </c>
      <c r="AQ319" s="47">
        <f>'2022'!AG34</f>
        <v>1</v>
      </c>
      <c r="AR319" s="48">
        <f>'2022'!AH34</f>
        <v>2</v>
      </c>
      <c r="AS319" s="48">
        <f>'2022'!AI34</f>
        <v>4</v>
      </c>
      <c r="AT319" s="48">
        <f t="shared" si="60"/>
        <v>0</v>
      </c>
      <c r="AU319" s="48">
        <f>'2022'!AK34</f>
        <v>3</v>
      </c>
      <c r="AV319" s="48">
        <f>'2022'!AL34</f>
        <v>2</v>
      </c>
      <c r="AW319" s="48">
        <f>'2022'!AM34</f>
        <v>2</v>
      </c>
      <c r="AX319" s="48">
        <f>'2022'!AN34</f>
        <v>5</v>
      </c>
      <c r="AY319" s="49">
        <f>IF(U319=1,10,IF(U319=2,7,IF(U319=3,6,IF(U319=4,4,IF(U319=5,3,IF(U319=6,2,IF(U319=7,1,IF(U319=0,0,"-"))))))))</f>
        <v>0</v>
      </c>
      <c r="AZ319" s="50">
        <f>'2022'!AP34</f>
        <v>0</v>
      </c>
      <c r="BA319" s="56">
        <f>'2022'!AQ34</f>
        <v>0</v>
      </c>
      <c r="BB319" s="57">
        <f>'2022'!AR34</f>
        <v>2293</v>
      </c>
      <c r="BC319" s="57">
        <f>'2022'!AS34</f>
        <v>0</v>
      </c>
      <c r="BD319" s="57">
        <f>'2022'!AT34</f>
        <v>35</v>
      </c>
      <c r="BE319" s="57">
        <f>'2022'!AU34</f>
        <v>0</v>
      </c>
      <c r="BF319" s="57">
        <f>'2022'!AV34</f>
        <v>0</v>
      </c>
      <c r="BG319" s="58">
        <f>'2022'!AW34</f>
        <v>0</v>
      </c>
      <c r="BH319" s="58">
        <f>'2022'!AX34</f>
        <v>0</v>
      </c>
      <c r="BI319" s="58">
        <f>'2022'!AY34</f>
        <v>0</v>
      </c>
      <c r="BJ319" s="58">
        <f>'2022'!AZ34</f>
        <v>0</v>
      </c>
      <c r="BK319" s="57">
        <f>'2022'!BA34</f>
        <v>0</v>
      </c>
      <c r="BL319" s="57">
        <f>'2022'!BB34</f>
        <v>3580</v>
      </c>
      <c r="BM319" s="57">
        <f>'2022'!BC34</f>
        <v>0</v>
      </c>
      <c r="BN319" s="57">
        <f>'2022'!BD34</f>
        <v>0</v>
      </c>
      <c r="BO319" s="59">
        <f>'2022'!BE34</f>
        <v>17</v>
      </c>
      <c r="BP319" s="56">
        <f>'2022'!BF34</f>
        <v>0</v>
      </c>
      <c r="BQ319" s="57">
        <f>'2022'!BG34</f>
        <v>1858</v>
      </c>
      <c r="BR319" s="57">
        <f>'2022'!BH34</f>
        <v>0</v>
      </c>
      <c r="BS319" s="57">
        <f>'2022'!BI34</f>
        <v>27</v>
      </c>
      <c r="BT319" s="57">
        <f>'2022'!BJ34</f>
        <v>202</v>
      </c>
      <c r="BU319" s="57">
        <f>'2022'!BK34</f>
        <v>30</v>
      </c>
      <c r="BV319" s="58">
        <f>'2022'!BL34</f>
        <v>0</v>
      </c>
      <c r="BW319" s="58">
        <f>'2022'!BM34</f>
        <v>0</v>
      </c>
      <c r="BX319" s="58">
        <f>'2022'!BN34</f>
        <v>0</v>
      </c>
      <c r="BY319" s="58">
        <f>'2022'!BO34</f>
        <v>0</v>
      </c>
      <c r="BZ319" s="57">
        <f>'2022'!BP34</f>
        <v>0</v>
      </c>
      <c r="CA319" s="57">
        <f>'2022'!BQ34</f>
        <v>4071</v>
      </c>
      <c r="CB319" s="57">
        <f>'2022'!BR34</f>
        <v>0</v>
      </c>
      <c r="CC319" s="57">
        <f>'2022'!BS34</f>
        <v>0</v>
      </c>
      <c r="CD319" s="59">
        <f>'2022'!BT34</f>
        <v>25</v>
      </c>
      <c r="CE319" s="56">
        <f>'2022'!BU34</f>
        <v>1220</v>
      </c>
      <c r="CF319" s="57">
        <f>'2022'!BV34</f>
        <v>2448</v>
      </c>
      <c r="CG319" s="57">
        <f>'2022'!BW34</f>
        <v>8</v>
      </c>
      <c r="CH319" s="57">
        <f>'2022'!BX34</f>
        <v>19</v>
      </c>
      <c r="CI319" s="57">
        <f>'2022'!BY34</f>
        <v>197</v>
      </c>
      <c r="CJ319" s="57">
        <f>'2022'!BZ34</f>
        <v>39</v>
      </c>
      <c r="CK319" s="58">
        <f>'2022'!CA34</f>
        <v>6.2</v>
      </c>
      <c r="CL319" s="58">
        <f>'2022'!CB34</f>
        <v>80.900000000000006</v>
      </c>
      <c r="CM319" s="58">
        <f>'2022'!CC34</f>
        <v>4.07</v>
      </c>
      <c r="CN319" s="58">
        <f>'2022'!CD34</f>
        <v>41.2</v>
      </c>
      <c r="CO319" s="57">
        <f>'2022'!CE34</f>
        <v>125</v>
      </c>
      <c r="CP319" s="57">
        <f>'2022'!CF34</f>
        <v>3615</v>
      </c>
      <c r="CQ319" s="57">
        <f>'2022'!CG34</f>
        <v>35</v>
      </c>
      <c r="CR319" s="57">
        <f>'2022'!CH34</f>
        <v>0</v>
      </c>
      <c r="CS319" s="59">
        <f>'2022'!CI34</f>
        <v>19</v>
      </c>
      <c r="CT319" s="56">
        <f>'2022'!CJ34</f>
        <v>316</v>
      </c>
      <c r="CU319" s="57">
        <f>'2022'!CK34</f>
        <v>1167</v>
      </c>
      <c r="CV319" s="57">
        <f>'2022'!CL34</f>
        <v>3</v>
      </c>
      <c r="CW319" s="57">
        <f>'2022'!CM34</f>
        <v>13</v>
      </c>
      <c r="CX319" s="57">
        <f>'2022'!CN34</f>
        <v>66</v>
      </c>
      <c r="CY319" s="57">
        <f>'2022'!CO34</f>
        <v>11</v>
      </c>
      <c r="CZ319" s="58">
        <f>'2022'!CP34</f>
        <v>4.8</v>
      </c>
      <c r="DA319" s="58">
        <f>'2022'!CQ34</f>
        <v>49.1</v>
      </c>
      <c r="DB319" s="58">
        <f>'2022'!CR34</f>
        <v>2.98</v>
      </c>
      <c r="DC319" s="58">
        <f>'2022'!CS34</f>
        <v>40.799999999999997</v>
      </c>
      <c r="DD319" s="57">
        <f>'2022'!CT34</f>
        <v>69</v>
      </c>
      <c r="DE319" s="57">
        <f>'2022'!CU34</f>
        <v>1723</v>
      </c>
      <c r="DF319" s="57">
        <f>'2022'!CV34</f>
        <v>7</v>
      </c>
      <c r="DG319" s="57">
        <f>'2022'!CW34</f>
        <v>0</v>
      </c>
      <c r="DH319" s="59">
        <f>'2022'!CX34</f>
        <v>15</v>
      </c>
      <c r="DI319" s="56">
        <f>'2022'!CY34</f>
        <v>423</v>
      </c>
      <c r="DJ319" s="57">
        <f>'2022'!CZ34</f>
        <v>2833</v>
      </c>
      <c r="DK319" s="57">
        <f>'2022'!DA34</f>
        <v>7</v>
      </c>
      <c r="DL319" s="57">
        <f>'2022'!DB34</f>
        <v>36</v>
      </c>
      <c r="DM319" s="57">
        <f>'2022'!DC34</f>
        <v>79</v>
      </c>
      <c r="DN319" s="57">
        <f>'2022'!DD34</f>
        <v>13</v>
      </c>
      <c r="DO319" s="58">
        <f>'2022'!DE34</f>
        <v>5.4</v>
      </c>
      <c r="DP319" s="58">
        <f>'2022'!DF34</f>
        <v>46.5</v>
      </c>
      <c r="DQ319" s="58">
        <f>'2022'!DG34</f>
        <v>3.08</v>
      </c>
      <c r="DR319" s="58">
        <f>'2022'!DH34</f>
        <v>25.8</v>
      </c>
      <c r="DS319" s="57">
        <f>'2022'!DI34</f>
        <v>57</v>
      </c>
      <c r="DT319" s="57">
        <f>'2022'!DJ34</f>
        <v>3098</v>
      </c>
      <c r="DU319" s="57">
        <f>'2022'!DK34</f>
        <v>7</v>
      </c>
      <c r="DV319" s="57">
        <f>'2022'!DL34</f>
        <v>0</v>
      </c>
      <c r="DW319" s="59">
        <f>'2022'!DM34</f>
        <v>20</v>
      </c>
    </row>
    <row r="320" spans="1:127" ht="15.75" customHeight="1" x14ac:dyDescent="0.2">
      <c r="A320" s="33">
        <f t="shared" si="49"/>
        <v>318</v>
      </c>
      <c r="B320" s="11">
        <f>'2023'!A28</f>
        <v>26</v>
      </c>
      <c r="C320" s="11">
        <v>2023</v>
      </c>
      <c r="D320" s="34" t="str">
        <f>'2023'!B28</f>
        <v>Camerun Peoples</v>
      </c>
      <c r="E320" s="224" t="str" cm="1">
        <f t="array" ref="E320">_xlfn.IFS(F320&gt;=13,"Cornerstone",AND(F320&gt;=12,F320&lt;13),"Elite",AND(F320&gt;=11,F320&lt;12),"Elite Upside",AND(F320&gt;=9,F320&lt;11),"Upside",AND(F320&gt;=7,F320&lt;9),"Upside Lite",AND(F320&gt;=6,F320&lt;7),"Outlier",AND(F320&gt;=5,F320&lt;6),"Outlier Lite",F320&lt;5,"Purgatory")</f>
        <v>Purgatory</v>
      </c>
      <c r="F320" s="14">
        <f>'2023'!C28</f>
        <v>2.3722222222222227</v>
      </c>
      <c r="G320" s="14">
        <f t="shared" si="54"/>
        <v>2.7</v>
      </c>
      <c r="H320" s="35">
        <f t="shared" si="50"/>
        <v>-2.3828367821358087</v>
      </c>
      <c r="I320" s="36" t="str">
        <f>'2023'!D28</f>
        <v>App State</v>
      </c>
      <c r="J320" s="37">
        <f>'2023'!E28</f>
        <v>8</v>
      </c>
      <c r="K320" s="38">
        <f>'2023'!F28</f>
        <v>36417</v>
      </c>
      <c r="L320" s="39">
        <f>'2023'!G28</f>
        <v>26.054794520547944</v>
      </c>
      <c r="M320" s="39" t="str">
        <f>'2023'!H28</f>
        <v>RS SR</v>
      </c>
      <c r="N320" s="39">
        <f>'2023'!I28</f>
        <v>23.632876712328766</v>
      </c>
      <c r="O320" s="39" t="str">
        <f t="shared" si="51"/>
        <v>BELL COW</v>
      </c>
      <c r="P320" s="39" t="str">
        <f t="shared" si="58"/>
        <v>3DOWN</v>
      </c>
      <c r="Q320" s="37">
        <f>'2023'!J28</f>
        <v>73</v>
      </c>
      <c r="R320" s="37">
        <f>'2023'!K28</f>
        <v>217</v>
      </c>
      <c r="S320" s="39">
        <f t="shared" si="53"/>
        <v>28.629381559757682</v>
      </c>
      <c r="T320" s="37">
        <f>'2023'!L28</f>
        <v>4.6100000000000003</v>
      </c>
      <c r="U320" s="40">
        <f>'2023'!M28</f>
        <v>0</v>
      </c>
      <c r="V320" s="41">
        <f>'2023'!N28</f>
        <v>2.7924399795675122E-2</v>
      </c>
      <c r="W320" s="42">
        <f>'2023'!O28</f>
        <v>3.7928759894459104E-3</v>
      </c>
      <c r="X320" s="42">
        <f>'2023'!P28</f>
        <v>0.20999262536873156</v>
      </c>
      <c r="Y320" s="42">
        <f>'2023'!Q28</f>
        <v>0.15280025898348981</v>
      </c>
      <c r="Z320" s="42">
        <f>'2023'!R28</f>
        <v>0.11530014641288433</v>
      </c>
      <c r="AA320" s="42">
        <f>'2023'!S28</f>
        <v>0.16264638589080793</v>
      </c>
      <c r="AB320" s="42">
        <f>'2023'!T28</f>
        <v>0.10572015082902515</v>
      </c>
      <c r="AC320" s="42">
        <f>'2023'!U28</f>
        <v>5.4488098652136505E-3</v>
      </c>
      <c r="AD320" s="42">
        <f>'2023'!V28</f>
        <v>1.2620391896379941E-2</v>
      </c>
      <c r="AE320" s="42">
        <f>'2023'!W28</f>
        <v>1.2620391896379941E-2</v>
      </c>
      <c r="AF320" s="43">
        <f>'2023'!X28</f>
        <v>8.2032547326469623E-3</v>
      </c>
      <c r="AG320" s="44">
        <f>'2023'!Y28</f>
        <v>20.978082191780821</v>
      </c>
      <c r="AH320" s="45">
        <f>'2023'!Z28</f>
        <v>96.091733456663121</v>
      </c>
      <c r="AI320" s="45">
        <f>'2023'!AA28</f>
        <v>28.6265715894164</v>
      </c>
      <c r="AJ320" s="45">
        <f>'2023'!AB28</f>
        <v>0.29518072289156627</v>
      </c>
      <c r="AK320" s="45">
        <f>'2023'!AC28</f>
        <v>5.9</v>
      </c>
      <c r="AL320" s="45">
        <f t="shared" si="52"/>
        <v>7.2</v>
      </c>
      <c r="AM320" s="45">
        <f t="shared" si="59"/>
        <v>4.7619047619047616E-2</v>
      </c>
      <c r="AN320" s="45">
        <f>'2023'!AD28</f>
        <v>131.69999999999999</v>
      </c>
      <c r="AO320" s="45">
        <f>'2023'!AE28</f>
        <v>4.46</v>
      </c>
      <c r="AP320" s="46">
        <f>'2023'!AF28</f>
        <v>41.1</v>
      </c>
      <c r="AQ320" s="47">
        <f>'2023'!AG28</f>
        <v>0</v>
      </c>
      <c r="AR320" s="48">
        <f>'2023'!AH28</f>
        <v>0</v>
      </c>
      <c r="AS320" s="48">
        <f>'2023'!AI28</f>
        <v>3</v>
      </c>
      <c r="AT320" s="48">
        <f t="shared" si="60"/>
        <v>4</v>
      </c>
      <c r="AU320" s="48">
        <f>'2023'!AK28</f>
        <v>8</v>
      </c>
      <c r="AV320" s="48">
        <f>'2023'!AL28</f>
        <v>4</v>
      </c>
      <c r="AW320" s="48">
        <f>'2023'!AM28</f>
        <v>7</v>
      </c>
      <c r="AX320" s="48">
        <f>'2023'!AN28</f>
        <v>7</v>
      </c>
      <c r="AY320" s="49">
        <f>'2023'!AO28</f>
        <v>0</v>
      </c>
      <c r="AZ320" s="50">
        <f>'2023'!AP28</f>
        <v>0</v>
      </c>
      <c r="BA320" s="56">
        <f>'2023'!AQ28</f>
        <v>164</v>
      </c>
      <c r="BB320" s="57">
        <f>'2023'!AR28</f>
        <v>3125</v>
      </c>
      <c r="BC320" s="57">
        <f>'2023'!AS28</f>
        <v>2</v>
      </c>
      <c r="BD320" s="57">
        <f>'2023'!AT28</f>
        <v>31</v>
      </c>
      <c r="BE320" s="57">
        <f>'2023'!AU28</f>
        <v>17</v>
      </c>
      <c r="BF320" s="57">
        <f>'2023'!AV28</f>
        <v>10</v>
      </c>
      <c r="BG320" s="58">
        <f>'2023'!AW28</f>
        <v>9.6</v>
      </c>
      <c r="BH320" s="58">
        <f>'2023'!AX28</f>
        <v>436</v>
      </c>
      <c r="BI320" s="58">
        <f>'2023'!AY28</f>
        <v>7.41</v>
      </c>
      <c r="BJ320" s="58">
        <f>'2023'!AZ28</f>
        <v>54.9</v>
      </c>
      <c r="BK320" s="57">
        <f>'2023'!BA28</f>
        <v>0</v>
      </c>
      <c r="BL320" s="57">
        <f>'2023'!BB28</f>
        <v>2748</v>
      </c>
      <c r="BM320" s="57">
        <f>'2023'!BC28</f>
        <v>0</v>
      </c>
      <c r="BN320" s="57">
        <f>'2023'!BD28</f>
        <v>0</v>
      </c>
      <c r="BO320" s="59">
        <f>'2023'!BE28</f>
        <v>27</v>
      </c>
      <c r="BP320" s="56">
        <f>'2023'!BF28</f>
        <v>23</v>
      </c>
      <c r="BQ320" s="57">
        <f>'2023'!BG28</f>
        <v>3240</v>
      </c>
      <c r="BR320" s="57">
        <f>'2023'!BH28</f>
        <v>0</v>
      </c>
      <c r="BS320" s="57">
        <f>'2023'!BI28</f>
        <v>35</v>
      </c>
      <c r="BT320" s="57">
        <f>'2023'!BJ28</f>
        <v>3</v>
      </c>
      <c r="BU320" s="57">
        <f>'2023'!BK28</f>
        <v>1</v>
      </c>
      <c r="BV320" s="58">
        <f>'2023'!BL28</f>
        <v>7.7</v>
      </c>
      <c r="BW320" s="58">
        <f>'2023'!BM28</f>
        <v>177.8</v>
      </c>
      <c r="BX320" s="58">
        <f>'2023'!BN28</f>
        <v>5.33</v>
      </c>
      <c r="BY320" s="58">
        <f>'2023'!BO28</f>
        <v>73.900000000000006</v>
      </c>
      <c r="BZ320" s="57">
        <f>'2023'!BP28</f>
        <v>0</v>
      </c>
      <c r="CA320" s="57">
        <f>'2023'!BQ28</f>
        <v>2824</v>
      </c>
      <c r="CB320" s="57">
        <f>'2023'!BR28</f>
        <v>0</v>
      </c>
      <c r="CC320" s="57">
        <f>'2023'!BS28</f>
        <v>0</v>
      </c>
      <c r="CD320" s="59">
        <f>'2023'!BT28</f>
        <v>30</v>
      </c>
      <c r="CE320" s="56">
        <f>'2023'!BU28</f>
        <v>1124</v>
      </c>
      <c r="CF320" s="57">
        <f>'2023'!BV28</f>
        <v>3179</v>
      </c>
      <c r="CG320" s="57">
        <f>'2023'!BW28</f>
        <v>12</v>
      </c>
      <c r="CH320" s="57">
        <f>'2023'!BX28</f>
        <v>28</v>
      </c>
      <c r="CI320" s="57">
        <f>'2023'!BY28</f>
        <v>168</v>
      </c>
      <c r="CJ320" s="57">
        <f>'2023'!BZ28</f>
        <v>39</v>
      </c>
      <c r="CK320" s="58">
        <f>'2023'!CA28</f>
        <v>6.7</v>
      </c>
      <c r="CL320" s="58">
        <f>'2023'!CB28</f>
        <v>92.3</v>
      </c>
      <c r="CM320" s="58">
        <f>'2023'!CC28</f>
        <v>4.05</v>
      </c>
      <c r="CN320" s="58">
        <f>'2023'!CD28</f>
        <v>40.5</v>
      </c>
      <c r="CO320" s="57">
        <f>'2023'!CE28</f>
        <v>15</v>
      </c>
      <c r="CP320" s="57">
        <f>'2023'!CF28</f>
        <v>2245</v>
      </c>
      <c r="CQ320" s="57">
        <f>'2023'!CG28</f>
        <v>3</v>
      </c>
      <c r="CR320" s="57">
        <f>'2023'!CH28</f>
        <v>0</v>
      </c>
      <c r="CS320" s="59">
        <f>'2023'!CI28</f>
        <v>21</v>
      </c>
      <c r="CT320" s="56">
        <f>'2023'!CJ28</f>
        <v>925</v>
      </c>
      <c r="CU320" s="57">
        <f>'2023'!CK28</f>
        <v>2691</v>
      </c>
      <c r="CV320" s="57">
        <f>'2023'!CL28</f>
        <v>14</v>
      </c>
      <c r="CW320" s="57">
        <f>'2023'!CM28</f>
        <v>26</v>
      </c>
      <c r="CX320" s="57">
        <f>'2023'!CN28</f>
        <v>166</v>
      </c>
      <c r="CY320" s="57">
        <f>'2023'!CO28</f>
        <v>49</v>
      </c>
      <c r="CZ320" s="58">
        <f>'2023'!CP28</f>
        <v>5.6</v>
      </c>
      <c r="DA320" s="58">
        <f>'2023'!CQ28</f>
        <v>109.5</v>
      </c>
      <c r="DB320" s="58">
        <f>'2023'!CR28</f>
        <v>3.68</v>
      </c>
      <c r="DC320" s="58">
        <f>'2023'!CS28</f>
        <v>41.1</v>
      </c>
      <c r="DD320" s="57">
        <f>'2023'!CT28</f>
        <v>19</v>
      </c>
      <c r="DE320" s="57">
        <f>'2023'!CU28</f>
        <v>3487</v>
      </c>
      <c r="DF320" s="57">
        <f>'2023'!CV28</f>
        <v>2</v>
      </c>
      <c r="DG320" s="57">
        <f>'2023'!CW28</f>
        <v>0</v>
      </c>
      <c r="DH320" s="59">
        <f>'2023'!CX28</f>
        <v>29</v>
      </c>
      <c r="DI320" s="56">
        <f>'2023'!CY28</f>
        <v>592</v>
      </c>
      <c r="DJ320" s="57">
        <f>'2023'!CZ28</f>
        <v>2453</v>
      </c>
      <c r="DK320" s="57">
        <f>'2023'!DA28</f>
        <v>5</v>
      </c>
      <c r="DL320" s="57">
        <f>'2023'!DB28</f>
        <v>27</v>
      </c>
      <c r="DM320" s="57">
        <f>'2023'!DC28</f>
        <v>100</v>
      </c>
      <c r="DN320" s="57">
        <f>'2023'!DD28</f>
        <v>29</v>
      </c>
      <c r="DO320" s="58">
        <f>'2023'!DE28</f>
        <v>5.9</v>
      </c>
      <c r="DP320" s="58">
        <f>'2023'!DF28</f>
        <v>131.69999999999999</v>
      </c>
      <c r="DQ320" s="58">
        <f>'2023'!DG28</f>
        <v>4.46</v>
      </c>
      <c r="DR320" s="58">
        <f>'2023'!DH28</f>
        <v>39.9</v>
      </c>
      <c r="DS320" s="57">
        <f>'2023'!DI28</f>
        <v>38</v>
      </c>
      <c r="DT320" s="57">
        <f>'2023'!DJ28</f>
        <v>3011</v>
      </c>
      <c r="DU320" s="57">
        <f>'2023'!DK28</f>
        <v>5</v>
      </c>
      <c r="DV320" s="57">
        <f>'2023'!DL28</f>
        <v>0</v>
      </c>
      <c r="DW320" s="59">
        <f>'2023'!DM28</f>
        <v>28</v>
      </c>
    </row>
    <row r="321" spans="1:127" ht="15.75" customHeight="1" x14ac:dyDescent="0.2">
      <c r="A321" s="33">
        <f t="shared" si="49"/>
        <v>319</v>
      </c>
      <c r="B321" s="11">
        <f>'2020'!A25</f>
        <v>23</v>
      </c>
      <c r="C321" s="11">
        <v>2020</v>
      </c>
      <c r="D321" s="34" t="str">
        <f>'2020'!B25</f>
        <v>Raymond Calais</v>
      </c>
      <c r="E321" s="224" t="str" cm="1">
        <f t="array" ref="E321">_xlfn.IFS(F321&gt;=13,"Cornerstone",AND(F321&gt;=12,F321&lt;13),"Elite",AND(F321&gt;=11,F321&lt;12),"Elite Upside",AND(F321&gt;=9,F321&lt;11),"Upside",AND(F321&gt;=7,F321&lt;9),"Upside Lite",AND(F321&gt;=6,F321&lt;7),"Outlier",AND(F321&gt;=5,F321&lt;6),"Outlier Lite",F321&lt;5,"Purgatory")</f>
        <v>Purgatory</v>
      </c>
      <c r="F321" s="14">
        <f>'2020'!C25</f>
        <v>2.2888888888888883</v>
      </c>
      <c r="G321" s="14">
        <f t="shared" si="54"/>
        <v>2.4</v>
      </c>
      <c r="H321" s="35">
        <f t="shared" si="50"/>
        <v>-2.4181055374891129</v>
      </c>
      <c r="I321" s="36" t="str">
        <f>'2020'!D25</f>
        <v>ULL</v>
      </c>
      <c r="J321" s="37">
        <f>'2020'!E25</f>
        <v>6</v>
      </c>
      <c r="K321" s="38">
        <f>'2020'!F25</f>
        <v>35887</v>
      </c>
      <c r="L321" s="39">
        <f>'2020'!G25</f>
        <v>27.506849315068493</v>
      </c>
      <c r="M321" s="39" t="str">
        <f>'2020'!H25</f>
        <v>SR</v>
      </c>
      <c r="N321" s="39">
        <f>'2020'!I25</f>
        <v>22.073972602739726</v>
      </c>
      <c r="O321" s="39" t="str">
        <f t="shared" si="51"/>
        <v>JITTERBUG</v>
      </c>
      <c r="P321" s="39" t="str">
        <f t="shared" si="58"/>
        <v>HORSE</v>
      </c>
      <c r="Q321" s="37">
        <f>'2020'!J25</f>
        <v>67</v>
      </c>
      <c r="R321" s="37">
        <f>'2020'!K25</f>
        <v>188</v>
      </c>
      <c r="S321" s="39">
        <f t="shared" si="53"/>
        <v>29.444636478936577</v>
      </c>
      <c r="T321" s="37">
        <f>'2020'!L25</f>
        <v>4.42</v>
      </c>
      <c r="U321" s="40">
        <f>'2020'!M25</f>
        <v>7</v>
      </c>
      <c r="V321" s="41">
        <f>'2020'!N25</f>
        <v>0</v>
      </c>
      <c r="W321" s="42">
        <f>'2020'!O25</f>
        <v>2.5248165731549418E-2</v>
      </c>
      <c r="X321" s="42">
        <f>'2020'!P25</f>
        <v>2.1120869928900041E-2</v>
      </c>
      <c r="Y321" s="42">
        <f>'2020'!Q25</f>
        <v>0.13720538720538722</v>
      </c>
      <c r="Z321" s="42">
        <f>'2020'!R25</f>
        <v>0.13876843018213356</v>
      </c>
      <c r="AA321" s="42">
        <f>'2020'!S25</f>
        <v>0.13876843018213356</v>
      </c>
      <c r="AB321" s="42">
        <f>'2020'!T25</f>
        <v>0.10407632263660016</v>
      </c>
      <c r="AC321" s="42">
        <f>'2020'!U25</f>
        <v>2.5017373175816541E-2</v>
      </c>
      <c r="AD321" s="42">
        <f>'2020'!V25</f>
        <v>2.4743512371756187E-2</v>
      </c>
      <c r="AE321" s="42">
        <f>'2020'!W25</f>
        <v>2.4880442773786364E-2</v>
      </c>
      <c r="AF321" s="43">
        <f>'2020'!X25</f>
        <v>1.8660332080339771E-2</v>
      </c>
      <c r="AG321" s="44" t="str">
        <f>'2020'!Y25</f>
        <v>N/A</v>
      </c>
      <c r="AH321" s="45">
        <f>'2020'!Z25</f>
        <v>98.514184710141507</v>
      </c>
      <c r="AI321" s="45">
        <f>'2020'!AA25</f>
        <v>29.44174649142348</v>
      </c>
      <c r="AJ321" s="45">
        <f>'2020'!AB25</f>
        <v>0.19469026548672566</v>
      </c>
      <c r="AK321" s="45">
        <f>'2020'!AC25</f>
        <v>9.3000000000000007</v>
      </c>
      <c r="AL321" s="45">
        <f t="shared" si="52"/>
        <v>10.1875</v>
      </c>
      <c r="AM321" s="45">
        <f t="shared" si="59"/>
        <v>9.6000000000000002E-2</v>
      </c>
      <c r="AN321" s="45">
        <f>'2020'!AD25</f>
        <v>80.900000000000006</v>
      </c>
      <c r="AO321" s="45">
        <f>'2020'!AE25</f>
        <v>5.03</v>
      </c>
      <c r="AP321" s="46">
        <f>'2020'!AF25</f>
        <v>62.4</v>
      </c>
      <c r="AQ321" s="47">
        <f>'2020'!AG25</f>
        <v>0</v>
      </c>
      <c r="AR321" s="48">
        <f>'2020'!AH25</f>
        <v>1</v>
      </c>
      <c r="AS321" s="48">
        <f>'2020'!AI25</f>
        <v>0</v>
      </c>
      <c r="AT321" s="48">
        <f t="shared" si="60"/>
        <v>4</v>
      </c>
      <c r="AU321" s="48">
        <f>'2020'!AK25</f>
        <v>3</v>
      </c>
      <c r="AV321" s="48">
        <f>'2020'!AL25</f>
        <v>10</v>
      </c>
      <c r="AW321" s="48">
        <f>'2020'!AM25</f>
        <v>2</v>
      </c>
      <c r="AX321" s="48">
        <f>'2020'!AN25</f>
        <v>8</v>
      </c>
      <c r="AY321" s="49">
        <f>IF(U321=1,10,IF(U321=2,7,IF(U321=3,6,IF(U321=4,4,IF(U321=5,3,IF(U321=6,2,IF(U321=7,1,IF(U321=0,0,"-"))))))))</f>
        <v>1</v>
      </c>
      <c r="AZ321" s="50">
        <f>'2020'!AP25</f>
        <v>0</v>
      </c>
      <c r="BA321" s="56">
        <f>'2020'!AQ25</f>
        <v>0</v>
      </c>
      <c r="BB321" s="57">
        <f>'2020'!AR25</f>
        <v>2704</v>
      </c>
      <c r="BC321" s="57">
        <f>'2020'!AS25</f>
        <v>0</v>
      </c>
      <c r="BD321" s="57">
        <f>'2020'!AT25</f>
        <v>25</v>
      </c>
      <c r="BE321" s="57">
        <f>'2020'!AU25</f>
        <v>0</v>
      </c>
      <c r="BF321" s="57">
        <f>'2020'!AV25</f>
        <v>0</v>
      </c>
      <c r="BG321" s="58">
        <f>'2020'!AW25</f>
        <v>0</v>
      </c>
      <c r="BH321" s="58">
        <f>'2020'!AX25</f>
        <v>0</v>
      </c>
      <c r="BI321" s="58">
        <f>'2020'!AY25</f>
        <v>0</v>
      </c>
      <c r="BJ321" s="58">
        <f>'2020'!AZ25</f>
        <v>0</v>
      </c>
      <c r="BK321" s="57">
        <f>'2020'!BA25</f>
        <v>0</v>
      </c>
      <c r="BL321" s="57">
        <f>'2020'!BB25</f>
        <v>2491</v>
      </c>
      <c r="BM321" s="57">
        <f>'2020'!BC25</f>
        <v>0</v>
      </c>
      <c r="BN321" s="57">
        <f>'2020'!BD25</f>
        <v>0</v>
      </c>
      <c r="BO321" s="59">
        <f>'2020'!BE25</f>
        <v>13</v>
      </c>
      <c r="BP321" s="56">
        <f>'2020'!BF25</f>
        <v>117</v>
      </c>
      <c r="BQ321" s="57">
        <f>'2020'!BG25</f>
        <v>2326</v>
      </c>
      <c r="BR321" s="57">
        <f>'2020'!BH25</f>
        <v>1</v>
      </c>
      <c r="BS321" s="57">
        <f>'2020'!BI25</f>
        <v>21</v>
      </c>
      <c r="BT321" s="57">
        <f>'2020'!BJ25</f>
        <v>23</v>
      </c>
      <c r="BU321" s="57">
        <f>'2020'!BK25</f>
        <v>4</v>
      </c>
      <c r="BV321" s="58">
        <f>'2020'!BL25</f>
        <v>5.0999999999999996</v>
      </c>
      <c r="BW321" s="58">
        <f>'2020'!BM25</f>
        <v>49.9</v>
      </c>
      <c r="BX321" s="58">
        <f>'2020'!BN25</f>
        <v>2.87</v>
      </c>
      <c r="BY321" s="58">
        <f>'2020'!BO25</f>
        <v>47</v>
      </c>
      <c r="BZ321" s="57">
        <f>'2020'!BP25</f>
        <v>0</v>
      </c>
      <c r="CA321" s="57">
        <f>'2020'!BQ25</f>
        <v>2308</v>
      </c>
      <c r="CB321" s="57">
        <f>'2020'!BR25</f>
        <v>0</v>
      </c>
      <c r="CC321" s="57">
        <f>'2020'!BS25</f>
        <v>0</v>
      </c>
      <c r="CD321" s="59">
        <f>'2020'!BT25</f>
        <v>12</v>
      </c>
      <c r="CE321" s="56">
        <f>'2020'!BU25</f>
        <v>92</v>
      </c>
      <c r="CF321" s="57">
        <f>'2020'!BV25</f>
        <v>2204</v>
      </c>
      <c r="CG321" s="57">
        <f>'2020'!BW25</f>
        <v>1</v>
      </c>
      <c r="CH321" s="57">
        <f>'2020'!BX25</f>
        <v>27</v>
      </c>
      <c r="CI321" s="57">
        <f>'2020'!BY25</f>
        <v>16</v>
      </c>
      <c r="CJ321" s="57">
        <f>'2020'!BZ25</f>
        <v>3</v>
      </c>
      <c r="CK321" s="58">
        <f>'2020'!CA25</f>
        <v>5.8</v>
      </c>
      <c r="CL321" s="58">
        <f>'2020'!CB25</f>
        <v>60.7</v>
      </c>
      <c r="CM321" s="58">
        <f>'2020'!CC25</f>
        <v>3.44</v>
      </c>
      <c r="CN321" s="58">
        <f>'2020'!CD25</f>
        <v>51.1</v>
      </c>
      <c r="CO321" s="57">
        <f>'2020'!CE25</f>
        <v>9</v>
      </c>
      <c r="CP321" s="57">
        <f>'2020'!CF25</f>
        <v>2578</v>
      </c>
      <c r="CQ321" s="57">
        <f>'2020'!CG25</f>
        <v>1</v>
      </c>
      <c r="CR321" s="57">
        <f>'2020'!CH25</f>
        <v>0</v>
      </c>
      <c r="CS321" s="59">
        <f>'2020'!CI25</f>
        <v>16</v>
      </c>
      <c r="CT321" s="56">
        <f>'2020'!CJ25</f>
        <v>743</v>
      </c>
      <c r="CU321" s="57">
        <f>'2020'!CK25</f>
        <v>3062</v>
      </c>
      <c r="CV321" s="57">
        <f>'2020'!CL25</f>
        <v>7</v>
      </c>
      <c r="CW321" s="57">
        <f>'2020'!CM25</f>
        <v>31</v>
      </c>
      <c r="CX321" s="57">
        <f>'2020'!CN25</f>
        <v>80</v>
      </c>
      <c r="CY321" s="57">
        <f>'2020'!CO25</f>
        <v>11</v>
      </c>
      <c r="CZ321" s="58">
        <f>'2020'!CP25</f>
        <v>9.3000000000000007</v>
      </c>
      <c r="DA321" s="58">
        <f>'2020'!CQ25</f>
        <v>80.900000000000006</v>
      </c>
      <c r="DB321" s="58">
        <f>'2020'!CR25</f>
        <v>5.03</v>
      </c>
      <c r="DC321" s="58">
        <f>'2020'!CS25</f>
        <v>62.4</v>
      </c>
      <c r="DD321" s="57">
        <f>'2020'!CT25</f>
        <v>72</v>
      </c>
      <c r="DE321" s="57">
        <f>'2020'!CU25</f>
        <v>2878</v>
      </c>
      <c r="DF321" s="57">
        <f>'2020'!CV25</f>
        <v>3</v>
      </c>
      <c r="DG321" s="57">
        <f>'2020'!CW25</f>
        <v>0</v>
      </c>
      <c r="DH321" s="59">
        <f>'2020'!CX25</f>
        <v>27</v>
      </c>
      <c r="DI321" s="56">
        <f>'2020'!CY25</f>
        <v>878</v>
      </c>
      <c r="DJ321" s="57">
        <f>'2020'!CZ25</f>
        <v>3604</v>
      </c>
      <c r="DK321" s="57">
        <f>'2020'!DA25</f>
        <v>6</v>
      </c>
      <c r="DL321" s="57">
        <f>'2020'!DB25</f>
        <v>42</v>
      </c>
      <c r="DM321" s="57">
        <f>'2020'!DC25</f>
        <v>113</v>
      </c>
      <c r="DN321" s="57">
        <f>'2020'!DD25</f>
        <v>22</v>
      </c>
      <c r="DO321" s="58">
        <f>'2020'!DE25</f>
        <v>7.8</v>
      </c>
      <c r="DP321" s="58">
        <f>'2020'!DF25</f>
        <v>64.7</v>
      </c>
      <c r="DQ321" s="58">
        <f>'2020'!DG25</f>
        <v>3.37</v>
      </c>
      <c r="DR321" s="58">
        <f>'2020'!DH25</f>
        <v>51.7</v>
      </c>
      <c r="DS321" s="57">
        <f>'2020'!DI25</f>
        <v>82</v>
      </c>
      <c r="DT321" s="57">
        <f>'2020'!DJ25</f>
        <v>3314</v>
      </c>
      <c r="DU321" s="57">
        <f>'2020'!DK25</f>
        <v>12</v>
      </c>
      <c r="DV321" s="57">
        <f>'2020'!DL25</f>
        <v>0</v>
      </c>
      <c r="DW321" s="59">
        <f>'2020'!DM25</f>
        <v>27</v>
      </c>
    </row>
    <row r="322" spans="1:127" ht="15.75" customHeight="1" x14ac:dyDescent="0.2">
      <c r="A322" s="33">
        <f t="shared" si="49"/>
        <v>320</v>
      </c>
      <c r="B322" s="11">
        <f>'2022'!A35</f>
        <v>33</v>
      </c>
      <c r="C322" s="11">
        <v>2022</v>
      </c>
      <c r="D322" s="34" t="str">
        <f>'2022'!B35</f>
        <v>D'Vonte Price</v>
      </c>
      <c r="E322" s="224" t="str" cm="1">
        <f t="array" ref="E322">_xlfn.IFS(F322&gt;=13,"Cornerstone",AND(F322&gt;=12,F322&lt;13),"Elite",AND(F322&gt;=11,F322&lt;12),"Elite Upside",AND(F322&gt;=9,F322&lt;11),"Upside",AND(F322&gt;=7,F322&lt;9),"Upside Lite",AND(F322&gt;=6,F322&lt;7),"Outlier",AND(F322&gt;=5,F322&lt;6),"Outlier Lite",F322&lt;5,"Purgatory")</f>
        <v>Purgatory</v>
      </c>
      <c r="F322" s="14">
        <f>'2022'!C35</f>
        <v>2.2333333333333334</v>
      </c>
      <c r="G322" s="14">
        <f t="shared" si="54"/>
        <v>2.1</v>
      </c>
      <c r="H322" s="35">
        <f t="shared" si="50"/>
        <v>-2.4416180410579811</v>
      </c>
      <c r="I322" s="36" t="str">
        <f>'2022'!D35</f>
        <v>FIU</v>
      </c>
      <c r="J322" s="37">
        <f>'2022'!E35</f>
        <v>10</v>
      </c>
      <c r="K322" s="38">
        <f>'2022'!F35</f>
        <v>36313</v>
      </c>
      <c r="L322" s="39">
        <f>'2022'!G35</f>
        <v>26.339726027397262</v>
      </c>
      <c r="M322" s="39" t="str">
        <f>'2022'!H35</f>
        <v>RS SR</v>
      </c>
      <c r="N322" s="39">
        <f>'2022'!I35</f>
        <v>22.920547945205481</v>
      </c>
      <c r="O322" s="39" t="str">
        <f t="shared" si="51"/>
        <v>DYNAMIC</v>
      </c>
      <c r="P322" s="39" t="str">
        <f t="shared" si="58"/>
        <v>3DOWN</v>
      </c>
      <c r="Q322" s="37">
        <f>'2022'!J35</f>
        <v>69</v>
      </c>
      <c r="R322" s="37">
        <f>'2022'!K35</f>
        <v>189</v>
      </c>
      <c r="S322" s="39">
        <f t="shared" si="53"/>
        <v>27.910111774854929</v>
      </c>
      <c r="T322" s="37">
        <f>'2022'!L35</f>
        <v>4.59</v>
      </c>
      <c r="U322" s="40">
        <f>'2022'!M35</f>
        <v>0</v>
      </c>
      <c r="V322" s="41">
        <f>'2022'!N35</f>
        <v>0</v>
      </c>
      <c r="W322" s="42">
        <f>'2022'!O35</f>
        <v>0</v>
      </c>
      <c r="X322" s="42">
        <f>'2022'!P35</f>
        <v>4.1560509554140125E-2</v>
      </c>
      <c r="Y322" s="42">
        <f>'2022'!Q35</f>
        <v>0.4237891737891738</v>
      </c>
      <c r="Z322" s="42">
        <f>'2022'!R35</f>
        <v>0.17063762196505558</v>
      </c>
      <c r="AA322" s="42">
        <f>'2022'!S35</f>
        <v>0.2972133978771147</v>
      </c>
      <c r="AB322" s="42">
        <f>'2022'!T35</f>
        <v>0.17832803872626882</v>
      </c>
      <c r="AC322" s="42">
        <f>'2022'!U35</f>
        <v>2.2690437601296597E-2</v>
      </c>
      <c r="AD322" s="42">
        <f>'2022'!V35</f>
        <v>2.4512884978001259E-2</v>
      </c>
      <c r="AE322" s="42">
        <f>'2022'!W35</f>
        <v>2.4512884978001259E-2</v>
      </c>
      <c r="AF322" s="43">
        <f>'2022'!X35</f>
        <v>1.4707730986800754E-2</v>
      </c>
      <c r="AG322" s="44">
        <f>'2022'!Y35</f>
        <v>21.276712328767122</v>
      </c>
      <c r="AH322" s="45">
        <f>'2022'!Z35</f>
        <v>85.161059847711627</v>
      </c>
      <c r="AI322" s="45">
        <f>'2022'!AA35</f>
        <v>27.907372400756142</v>
      </c>
      <c r="AJ322" s="45">
        <f>'2022'!AB35</f>
        <v>0.28125</v>
      </c>
      <c r="AK322" s="45">
        <f>'2022'!AC35</f>
        <v>6.8</v>
      </c>
      <c r="AL322" s="45">
        <f t="shared" si="52"/>
        <v>3.1333333333333333</v>
      </c>
      <c r="AM322" s="45">
        <f t="shared" si="59"/>
        <v>7.2463768115942032E-2</v>
      </c>
      <c r="AN322" s="45">
        <f>'2022'!AD35</f>
        <v>106.1</v>
      </c>
      <c r="AO322" s="45">
        <f>'2022'!AE35</f>
        <v>4.1500000000000004</v>
      </c>
      <c r="AP322" s="46">
        <f>'2022'!AF35</f>
        <v>46.3</v>
      </c>
      <c r="AQ322" s="47">
        <f>'2022'!AG35</f>
        <v>3</v>
      </c>
      <c r="AR322" s="48">
        <f>'2022'!AH35</f>
        <v>1</v>
      </c>
      <c r="AS322" s="48">
        <f>'2022'!AI35</f>
        <v>2</v>
      </c>
      <c r="AT322" s="48">
        <f t="shared" si="60"/>
        <v>1</v>
      </c>
      <c r="AU322" s="48">
        <f>'2022'!AK35</f>
        <v>8</v>
      </c>
      <c r="AV322" s="48">
        <f>'2022'!AL35</f>
        <v>7</v>
      </c>
      <c r="AW322" s="48">
        <f>'2022'!AM35</f>
        <v>4</v>
      </c>
      <c r="AX322" s="48">
        <f>'2022'!AN35</f>
        <v>5</v>
      </c>
      <c r="AY322" s="49">
        <f>IF(U322=1,10,IF(U322=2,7,IF(U322=3,6,IF(U322=4,4,IF(U322=5,3,IF(U322=6,2,IF(U322=7,1,IF(U322=0,0,"-"))))))))</f>
        <v>0</v>
      </c>
      <c r="AZ322" s="50">
        <f>'2022'!AP35</f>
        <v>0</v>
      </c>
      <c r="BA322" s="56">
        <f>'2022'!AQ35</f>
        <v>0</v>
      </c>
      <c r="BB322" s="57">
        <f>'2022'!AR35</f>
        <v>2293</v>
      </c>
      <c r="BC322" s="57">
        <f>'2022'!AS35</f>
        <v>0</v>
      </c>
      <c r="BD322" s="57">
        <f>'2022'!AT35</f>
        <v>35</v>
      </c>
      <c r="BE322" s="57">
        <f>'2022'!AU35</f>
        <v>15</v>
      </c>
      <c r="BF322" s="57">
        <f>'2022'!AV35</f>
        <v>4</v>
      </c>
      <c r="BG322" s="58">
        <f>'2022'!AW35</f>
        <v>0</v>
      </c>
      <c r="BH322" s="58">
        <f>'2022'!AX35</f>
        <v>0</v>
      </c>
      <c r="BI322" s="58">
        <f>'2022'!AY35</f>
        <v>0</v>
      </c>
      <c r="BJ322" s="58">
        <f>'2022'!AZ35</f>
        <v>0</v>
      </c>
      <c r="BK322" s="57">
        <f>'2022'!BA35</f>
        <v>0</v>
      </c>
      <c r="BL322" s="57">
        <f>'2022'!BB35</f>
        <v>3580</v>
      </c>
      <c r="BM322" s="57">
        <f>'2022'!BC35</f>
        <v>0</v>
      </c>
      <c r="BN322" s="57">
        <f>'2022'!BD35</f>
        <v>0</v>
      </c>
      <c r="BO322" s="59">
        <f>'2022'!BE35</f>
        <v>17</v>
      </c>
      <c r="BP322" s="56">
        <f>'2022'!BF35</f>
        <v>0</v>
      </c>
      <c r="BQ322" s="57">
        <f>'2022'!BG35</f>
        <v>1858</v>
      </c>
      <c r="BR322" s="57">
        <f>'2022'!BH35</f>
        <v>0</v>
      </c>
      <c r="BS322" s="57">
        <f>'2022'!BI35</f>
        <v>27</v>
      </c>
      <c r="BT322" s="57">
        <f>'2022'!BJ35</f>
        <v>95</v>
      </c>
      <c r="BU322" s="57">
        <f>'2022'!BK35</f>
        <v>13</v>
      </c>
      <c r="BV322" s="58">
        <f>'2022'!BL35</f>
        <v>0</v>
      </c>
      <c r="BW322" s="58">
        <f>'2022'!BM35</f>
        <v>0</v>
      </c>
      <c r="BX322" s="58">
        <f>'2022'!BN35</f>
        <v>0</v>
      </c>
      <c r="BY322" s="58">
        <f>'2022'!BO35</f>
        <v>0</v>
      </c>
      <c r="BZ322" s="57">
        <f>'2022'!BP35</f>
        <v>0</v>
      </c>
      <c r="CA322" s="57">
        <f>'2022'!BQ35</f>
        <v>4071</v>
      </c>
      <c r="CB322" s="57">
        <f>'2022'!BR35</f>
        <v>0</v>
      </c>
      <c r="CC322" s="57">
        <f>'2022'!BS35</f>
        <v>0</v>
      </c>
      <c r="CD322" s="59">
        <f>'2022'!BT35</f>
        <v>25</v>
      </c>
      <c r="CE322" s="56">
        <f>'2022'!BU35</f>
        <v>212</v>
      </c>
      <c r="CF322" s="57">
        <f>'2022'!BV35</f>
        <v>2324</v>
      </c>
      <c r="CG322" s="57">
        <f>'2022'!BW35</f>
        <v>0</v>
      </c>
      <c r="CH322" s="57">
        <f>'2022'!BX35</f>
        <v>18</v>
      </c>
      <c r="CI322" s="57">
        <f>'2022'!BY35</f>
        <v>51</v>
      </c>
      <c r="CJ322" s="57">
        <f>'2022'!BZ35</f>
        <v>10</v>
      </c>
      <c r="CK322" s="58">
        <f>'2022'!CA35</f>
        <v>4.2</v>
      </c>
      <c r="CL322" s="58">
        <f>'2022'!CB35</f>
        <v>56.4</v>
      </c>
      <c r="CM322" s="58">
        <f>'2022'!CC35</f>
        <v>2.65</v>
      </c>
      <c r="CN322" s="58">
        <f>'2022'!CD35</f>
        <v>36.799999999999997</v>
      </c>
      <c r="CO322" s="57">
        <f>'2022'!CE35</f>
        <v>49</v>
      </c>
      <c r="CP322" s="57">
        <f>'2022'!CF35</f>
        <v>3956</v>
      </c>
      <c r="CQ322" s="57">
        <f>'2022'!CG35</f>
        <v>30</v>
      </c>
      <c r="CR322" s="57">
        <f>'2022'!CH35</f>
        <v>0</v>
      </c>
      <c r="CS322" s="59">
        <f>'2022'!CI35</f>
        <v>18</v>
      </c>
      <c r="CT322" s="56">
        <f>'2022'!CJ35</f>
        <v>581</v>
      </c>
      <c r="CU322" s="57">
        <f>'2022'!CK35</f>
        <v>787</v>
      </c>
      <c r="CV322" s="57">
        <f>'2022'!CL35</f>
        <v>4</v>
      </c>
      <c r="CW322" s="57">
        <f>'2022'!CM35</f>
        <v>24</v>
      </c>
      <c r="CX322" s="57">
        <f>'2022'!CN35</f>
        <v>85</v>
      </c>
      <c r="CY322" s="57">
        <f>'2022'!CO35</f>
        <v>23</v>
      </c>
      <c r="CZ322" s="58">
        <f>'2022'!CP35</f>
        <v>6.8</v>
      </c>
      <c r="DA322" s="58">
        <f>'2022'!CQ35</f>
        <v>106.1</v>
      </c>
      <c r="DB322" s="58">
        <f>'2022'!CR35</f>
        <v>4.1500000000000004</v>
      </c>
      <c r="DC322" s="58">
        <f>'2022'!CS35</f>
        <v>46.3</v>
      </c>
      <c r="DD322" s="57">
        <f>'2022'!CT35</f>
        <v>14</v>
      </c>
      <c r="DE322" s="57">
        <f>'2022'!CU35</f>
        <v>617</v>
      </c>
      <c r="DF322" s="57">
        <f>'2022'!CV35</f>
        <v>5</v>
      </c>
      <c r="DG322" s="57">
        <f>'2022'!CW35</f>
        <v>0</v>
      </c>
      <c r="DH322" s="59">
        <f>'2022'!CX35</f>
        <v>5</v>
      </c>
      <c r="DI322" s="56">
        <f>'2022'!CY35</f>
        <v>674</v>
      </c>
      <c r="DJ322" s="57">
        <f>'2022'!CZ35</f>
        <v>1225</v>
      </c>
      <c r="DK322" s="57">
        <f>'2022'!DA35</f>
        <v>6</v>
      </c>
      <c r="DL322" s="57">
        <f>'2022'!DB35</f>
        <v>11</v>
      </c>
      <c r="DM322" s="57">
        <f>'2022'!DC35</f>
        <v>128</v>
      </c>
      <c r="DN322" s="57">
        <f>'2022'!DD35</f>
        <v>36</v>
      </c>
      <c r="DO322" s="58">
        <f>'2022'!DE35</f>
        <v>5.3</v>
      </c>
      <c r="DP322" s="58">
        <f>'2022'!DF35</f>
        <v>95.6</v>
      </c>
      <c r="DQ322" s="58">
        <f>'2022'!DG35</f>
        <v>3.3</v>
      </c>
      <c r="DR322" s="58">
        <f>'2022'!DH35</f>
        <v>37.799999999999997</v>
      </c>
      <c r="DS322" s="57">
        <f>'2022'!DI35</f>
        <v>78</v>
      </c>
      <c r="DT322" s="57">
        <f>'2022'!DJ35</f>
        <v>3182</v>
      </c>
      <c r="DU322" s="57">
        <f>'2022'!DK35</f>
        <v>10</v>
      </c>
      <c r="DV322" s="57">
        <f>'2022'!DL35</f>
        <v>0</v>
      </c>
      <c r="DW322" s="59">
        <f>'2022'!DM35</f>
        <v>20</v>
      </c>
    </row>
    <row r="323" spans="1:127" ht="15.75" customHeight="1" x14ac:dyDescent="0.2">
      <c r="A323" s="33">
        <f t="shared" ref="A323:A328" si="61">_xlfn.RANK.EQ(F323,F$3:F$328)</f>
        <v>321</v>
      </c>
      <c r="B323" s="11">
        <f>'2018'!A27</f>
        <v>25</v>
      </c>
      <c r="C323" s="11">
        <v>2018</v>
      </c>
      <c r="D323" s="34" t="str">
        <f>'2018'!B27</f>
        <v>Jeff Wilson Jr.</v>
      </c>
      <c r="E323" s="224" t="str" cm="1">
        <f t="array" ref="E323">_xlfn.IFS(F323&gt;=13,"Cornerstone",AND(F323&gt;=12,F323&lt;13),"Elite",AND(F323&gt;=11,F323&lt;12),"Elite Upside",AND(F323&gt;=9,F323&lt;11),"Upside",AND(F323&gt;=7,F323&lt;9),"Upside Lite",AND(F323&gt;=6,F323&lt;7),"Outlier",AND(F323&gt;=5,F323&lt;6),"Outlier Lite",F323&lt;5,"Purgatory")</f>
        <v>Purgatory</v>
      </c>
      <c r="F323" s="14">
        <f>'2018'!C27</f>
        <v>2.1277777777777778</v>
      </c>
      <c r="G323" s="14">
        <f t="shared" si="54"/>
        <v>1.7999999999999998</v>
      </c>
      <c r="H323" s="35">
        <f t="shared" ref="H323:H328" si="62">STANDARDIZE(F323,(AVERAGE($F$3:$F$244)),(_xlfn.STDEV.P($F$3:$F$244)))</f>
        <v>-2.4862917978388319</v>
      </c>
      <c r="I323" s="36" t="str">
        <f>'2018'!D27</f>
        <v>North Texas</v>
      </c>
      <c r="J323" s="37">
        <f>'2018'!E27</f>
        <v>10</v>
      </c>
      <c r="K323" s="38">
        <f>'2018'!F27</f>
        <v>35019</v>
      </c>
      <c r="L323" s="39">
        <f>'2018'!G27</f>
        <v>29.884931506849316</v>
      </c>
      <c r="M323" s="39" t="str">
        <f>'2018'!H27</f>
        <v>SR</v>
      </c>
      <c r="N323" s="39">
        <f>'2018'!I27</f>
        <v>22.457534246575342</v>
      </c>
      <c r="O323" s="39" t="str">
        <f t="shared" ref="O323:O328" si="63">IF(AND(R323&gt;=225,T323&gt;=4.51),"BRUISER",IF(AND(R323&gt;=215,T323&lt;=4.51),"FREAK",IF(AND(R323&gt;=200,T323&gt;=4.51,Q323&gt;70),"BELL COW",IF(AND(R323&gt;=200,T323&gt;=4.51,Q323&lt;=70),"BELL CALF",IF(OR(AND(R323&lt;200,T323&lt;4.5),AND(R323&gt;=200,T323&lt;=4.35)),"JITTERBUG","DYNAMIC")))))</f>
        <v>BELL COW</v>
      </c>
      <c r="P323" s="39" t="str">
        <f t="shared" si="58"/>
        <v>SLASHER</v>
      </c>
      <c r="Q323" s="37">
        <f>'2018'!J27</f>
        <v>71</v>
      </c>
      <c r="R323" s="37">
        <f>'2018'!K27</f>
        <v>210</v>
      </c>
      <c r="S323" s="39">
        <f t="shared" si="53"/>
        <v>29.28873066633259</v>
      </c>
      <c r="T323" s="37">
        <f>'2018'!L27</f>
        <v>4.57</v>
      </c>
      <c r="U323" s="40">
        <f>'2018'!M27</f>
        <v>0</v>
      </c>
      <c r="V323" s="41">
        <f>'2018'!N27</f>
        <v>0</v>
      </c>
      <c r="W323" s="42">
        <f>'2018'!O27</f>
        <v>6.8164411539443456E-2</v>
      </c>
      <c r="X323" s="42">
        <f>'2018'!P27</f>
        <v>0.23639677167404322</v>
      </c>
      <c r="Y323" s="42">
        <f>'2018'!Q27</f>
        <v>0.2644014401440144</v>
      </c>
      <c r="Z323" s="42">
        <f>'2018'!R27</f>
        <v>0.21551994973295632</v>
      </c>
      <c r="AA323" s="42">
        <f>'2018'!S27</f>
        <v>0.23996069493848537</v>
      </c>
      <c r="AB323" s="42">
        <f>'2018'!T27</f>
        <v>0.14397641696309121</v>
      </c>
      <c r="AC323" s="42">
        <f>'2018'!U27</f>
        <v>9.1211225997045786E-2</v>
      </c>
      <c r="AD323" s="42">
        <f>'2018'!V27</f>
        <v>4.0381791483113071E-2</v>
      </c>
      <c r="AE323" s="42">
        <f>'2018'!W27</f>
        <v>6.5796508740079432E-2</v>
      </c>
      <c r="AF323" s="43">
        <f>'2018'!X27</f>
        <v>3.9477905244047658E-2</v>
      </c>
      <c r="AG323" s="44">
        <f>'2018'!Y27</f>
        <v>19.802739726027397</v>
      </c>
      <c r="AH323" s="45">
        <f>'2018'!Z27</f>
        <v>96.290732421968798</v>
      </c>
      <c r="AI323" s="45">
        <f>'2018'!AA27</f>
        <v>29.28585598095616</v>
      </c>
      <c r="AJ323" s="45">
        <f>'2018'!AB27</f>
        <v>0.19680851063829788</v>
      </c>
      <c r="AK323" s="45">
        <f>'2018'!AC27</f>
        <v>6.4</v>
      </c>
      <c r="AL323" s="45">
        <f t="shared" ref="AL323:AL328" si="64">SUM(BK323,BZ323,CO323,DD323,DS323)/SUM(BM323,CB323,CQ323,DF323,DU323)</f>
        <v>7.5714285714285712</v>
      </c>
      <c r="AM323" s="45">
        <f t="shared" si="59"/>
        <v>0.11320754716981132</v>
      </c>
      <c r="AN323" s="45">
        <f>'2018'!AD27</f>
        <v>73</v>
      </c>
      <c r="AO323" s="45">
        <f>'2018'!AE27</f>
        <v>3.52</v>
      </c>
      <c r="AP323" s="46">
        <f>'2018'!AF27</f>
        <v>51</v>
      </c>
      <c r="AQ323" s="47">
        <f>'2018'!AG27</f>
        <v>1</v>
      </c>
      <c r="AR323" s="48">
        <f>'2018'!AH27</f>
        <v>4</v>
      </c>
      <c r="AS323" s="48">
        <f>'2018'!AI27</f>
        <v>5</v>
      </c>
      <c r="AT323" s="48">
        <f t="shared" si="60"/>
        <v>4</v>
      </c>
      <c r="AU323" s="48">
        <f>'2018'!AK27</f>
        <v>3</v>
      </c>
      <c r="AV323" s="48">
        <f>'2018'!AL27</f>
        <v>6</v>
      </c>
      <c r="AW323" s="48">
        <f>'2018'!AM27</f>
        <v>1</v>
      </c>
      <c r="AX323" s="48">
        <f>'2018'!AN27</f>
        <v>2</v>
      </c>
      <c r="AY323" s="49">
        <f>IF(U323=1,10,IF(U323=2,7,IF(U323=3,6,IF(U323=4,4,IF(U323=5,3,IF(U323=6,2,IF(U323=7,1,IF(U323=0,0,"-"))))))))</f>
        <v>0</v>
      </c>
      <c r="AZ323" s="50">
        <f>'2018'!AP27</f>
        <v>0</v>
      </c>
      <c r="BA323" s="56">
        <f>'2018'!AQ27</f>
        <v>0</v>
      </c>
      <c r="BB323" s="57">
        <f>'2018'!AR27</f>
        <v>2349</v>
      </c>
      <c r="BC323" s="57">
        <f>'2018'!AS27</f>
        <v>0</v>
      </c>
      <c r="BD323" s="57">
        <f>'2018'!AT27</f>
        <v>0</v>
      </c>
      <c r="BE323" s="57">
        <f>'2018'!AU27</f>
        <v>0</v>
      </c>
      <c r="BF323" s="57">
        <f>'2018'!AV27</f>
        <v>0</v>
      </c>
      <c r="BG323" s="58">
        <f>'2018'!AW27</f>
        <v>0</v>
      </c>
      <c r="BH323" s="58">
        <f>'2018'!AX27</f>
        <v>0</v>
      </c>
      <c r="BI323" s="58">
        <f>'2018'!AY27</f>
        <v>0</v>
      </c>
      <c r="BJ323" s="58">
        <f>'2018'!AZ27</f>
        <v>0</v>
      </c>
      <c r="BK323" s="57">
        <f>'2018'!BA27</f>
        <v>0</v>
      </c>
      <c r="BL323" s="57">
        <f>'2018'!BB27</f>
        <v>2987</v>
      </c>
      <c r="BM323" s="57">
        <f>'2018'!BC27</f>
        <v>0</v>
      </c>
      <c r="BN323" s="57">
        <f>'2018'!BD27</f>
        <v>0</v>
      </c>
      <c r="BO323" s="59">
        <f>'2018'!BE27</f>
        <v>0</v>
      </c>
      <c r="BP323" s="56">
        <f>'2018'!BF27</f>
        <v>226</v>
      </c>
      <c r="BQ323" s="57">
        <f>'2018'!BG27</f>
        <v>1838</v>
      </c>
      <c r="BR323" s="57">
        <f>'2018'!BH27</f>
        <v>1</v>
      </c>
      <c r="BS323" s="57">
        <f>'2018'!BI27</f>
        <v>0</v>
      </c>
      <c r="BT323" s="57">
        <f>'2018'!BJ27</f>
        <v>49</v>
      </c>
      <c r="BU323" s="57">
        <f>'2018'!BK27</f>
        <v>14</v>
      </c>
      <c r="BV323" s="58">
        <f>'2018'!BL27</f>
        <v>4.5999999999999996</v>
      </c>
      <c r="BW323" s="58">
        <f>'2018'!BM27</f>
        <v>85.7</v>
      </c>
      <c r="BX323" s="58">
        <f>'2018'!BN27</f>
        <v>2.57</v>
      </c>
      <c r="BY323" s="58">
        <f>'2018'!BO27</f>
        <v>16.8</v>
      </c>
      <c r="BZ323" s="57">
        <f>'2018'!BP27</f>
        <v>41</v>
      </c>
      <c r="CA323" s="57">
        <f>'2018'!BQ27</f>
        <v>2079</v>
      </c>
      <c r="CB323" s="57">
        <f>'2018'!BR27</f>
        <v>5</v>
      </c>
      <c r="CC323" s="57">
        <f>'2018'!BS27</f>
        <v>0</v>
      </c>
      <c r="CD323" s="59">
        <f>'2018'!BT27</f>
        <v>0</v>
      </c>
      <c r="CE323" s="56">
        <f>'2018'!BU27</f>
        <v>831</v>
      </c>
      <c r="CF323" s="57">
        <f>'2018'!BV27</f>
        <v>1904</v>
      </c>
      <c r="CG323" s="57">
        <f>'2018'!BW27</f>
        <v>1</v>
      </c>
      <c r="CH323" s="57">
        <f>'2018'!BX27</f>
        <v>0</v>
      </c>
      <c r="CI323" s="57">
        <f>'2018'!BY27</f>
        <v>155</v>
      </c>
      <c r="CJ323" s="57">
        <f>'2018'!BZ27</f>
        <v>28</v>
      </c>
      <c r="CK323" s="58">
        <f>'2018'!CA27</f>
        <v>5.4</v>
      </c>
      <c r="CL323" s="58">
        <f>'2018'!CB27</f>
        <v>57.6</v>
      </c>
      <c r="CM323" s="58">
        <f>'2018'!CC27</f>
        <v>2.92</v>
      </c>
      <c r="CN323" s="58">
        <f>'2018'!CD27</f>
        <v>34.799999999999997</v>
      </c>
      <c r="CO323" s="57">
        <f>'2018'!CE27</f>
        <v>77</v>
      </c>
      <c r="CP323" s="57">
        <f>'2018'!CF27</f>
        <v>1937</v>
      </c>
      <c r="CQ323" s="57">
        <f>'2018'!CG27</f>
        <v>12</v>
      </c>
      <c r="CR323" s="57">
        <f>'2018'!CH27</f>
        <v>0</v>
      </c>
      <c r="CS323" s="59">
        <f>'2018'!CI27</f>
        <v>0</v>
      </c>
      <c r="CT323" s="56">
        <f>'2018'!CJ27</f>
        <v>928</v>
      </c>
      <c r="CU323" s="57">
        <f>'2018'!CK27</f>
        <v>1736</v>
      </c>
      <c r="CV323" s="57">
        <f>'2018'!CL27</f>
        <v>14</v>
      </c>
      <c r="CW323" s="57">
        <f>'2018'!CM27</f>
        <v>0</v>
      </c>
      <c r="CX323" s="57">
        <f>'2018'!CN27</f>
        <v>170</v>
      </c>
      <c r="CY323" s="57">
        <f>'2018'!CO27</f>
        <v>27</v>
      </c>
      <c r="CZ323" s="58">
        <f>'2018'!CP27</f>
        <v>5.5</v>
      </c>
      <c r="DA323" s="58">
        <f>'2018'!CQ27</f>
        <v>40.9</v>
      </c>
      <c r="DB323" s="58">
        <f>'2018'!CR27</f>
        <v>2.54</v>
      </c>
      <c r="DC323" s="58">
        <f>'2018'!CS27</f>
        <v>42.8</v>
      </c>
      <c r="DD323" s="57">
        <f>'2018'!CT27</f>
        <v>247</v>
      </c>
      <c r="DE323" s="57">
        <f>'2018'!CU27</f>
        <v>2708</v>
      </c>
      <c r="DF323" s="57">
        <f>'2018'!CV27</f>
        <v>29</v>
      </c>
      <c r="DG323" s="57">
        <f>'2018'!CW27</f>
        <v>0</v>
      </c>
      <c r="DH323" s="59">
        <f>'2018'!CX27</f>
        <v>0</v>
      </c>
      <c r="DI323" s="56">
        <f>'2018'!CY27</f>
        <v>1207</v>
      </c>
      <c r="DJ323" s="57">
        <f>'2018'!CZ27</f>
        <v>2280</v>
      </c>
      <c r="DK323" s="57">
        <f>'2018'!DA27</f>
        <v>16</v>
      </c>
      <c r="DL323" s="57">
        <f>'2018'!DB27</f>
        <v>0</v>
      </c>
      <c r="DM323" s="57">
        <f>'2018'!DC27</f>
        <v>188</v>
      </c>
      <c r="DN323" s="57">
        <f>'2018'!DD27</f>
        <v>37</v>
      </c>
      <c r="DO323" s="58">
        <f>'2018'!DE27</f>
        <v>6.4</v>
      </c>
      <c r="DP323" s="58">
        <f>'2018'!DF27</f>
        <v>73</v>
      </c>
      <c r="DQ323" s="58">
        <f>'2018'!DG27</f>
        <v>3.52</v>
      </c>
      <c r="DR323" s="58">
        <f>'2018'!DH27</f>
        <v>51</v>
      </c>
      <c r="DS323" s="57">
        <f>'2018'!DI27</f>
        <v>165</v>
      </c>
      <c r="DT323" s="57">
        <f>'2018'!DJ27</f>
        <v>4086</v>
      </c>
      <c r="DU323" s="57">
        <f>'2018'!DK27</f>
        <v>24</v>
      </c>
      <c r="DV323" s="57">
        <f>'2018'!DL27</f>
        <v>0</v>
      </c>
      <c r="DW323" s="59">
        <f>'2018'!DM27</f>
        <v>0</v>
      </c>
    </row>
    <row r="324" spans="1:127" ht="15.75" customHeight="1" x14ac:dyDescent="0.2">
      <c r="A324" s="33">
        <f t="shared" si="61"/>
        <v>322</v>
      </c>
      <c r="B324" s="11">
        <f>'2023'!A29</f>
        <v>27</v>
      </c>
      <c r="C324" s="11">
        <v>2023</v>
      </c>
      <c r="D324" s="34" t="str">
        <f>'2023'!B29</f>
        <v>Deneric Prince</v>
      </c>
      <c r="E324" s="224" t="str" cm="1">
        <f t="array" ref="E324">_xlfn.IFS(F324&gt;=13,"Cornerstone",AND(F324&gt;=12,F324&lt;13),"Elite",AND(F324&gt;=11,F324&lt;12),"Elite Upside",AND(F324&gt;=9,F324&lt;11),"Upside",AND(F324&gt;=7,F324&lt;9),"Upside Lite",AND(F324&gt;=6,F324&lt;7),"Outlier",AND(F324&gt;=5,F324&lt;6),"Outlier Lite",F324&lt;5,"Purgatory")</f>
        <v>Purgatory</v>
      </c>
      <c r="F324" s="14">
        <f>'2023'!C29</f>
        <v>2.0999999999999996</v>
      </c>
      <c r="G324" s="14">
        <f t="shared" si="54"/>
        <v>1.5</v>
      </c>
      <c r="H324" s="35">
        <f t="shared" si="62"/>
        <v>-2.4980480496232667</v>
      </c>
      <c r="I324" s="36" t="str">
        <f>'2023'!D29</f>
        <v>Tulsa</v>
      </c>
      <c r="J324" s="37">
        <f>'2023'!E29</f>
        <v>6</v>
      </c>
      <c r="K324" s="38">
        <f>'2023'!F29</f>
        <v>36627</v>
      </c>
      <c r="L324" s="39">
        <f>'2023'!G29</f>
        <v>25.479452054794521</v>
      </c>
      <c r="M324" s="39" t="str">
        <f>'2023'!H29</f>
        <v>SR</v>
      </c>
      <c r="N324" s="39">
        <f>'2023'!I29</f>
        <v>23.057534246575344</v>
      </c>
      <c r="O324" s="39" t="str">
        <f t="shared" si="63"/>
        <v>FREAK</v>
      </c>
      <c r="P324" s="39" t="str">
        <f t="shared" si="58"/>
        <v>SLASHER</v>
      </c>
      <c r="Q324" s="37">
        <f>'2023'!J29</f>
        <v>72</v>
      </c>
      <c r="R324" s="37">
        <f>'2023'!K29</f>
        <v>216</v>
      </c>
      <c r="S324" s="39">
        <f t="shared" ref="S324:S328" si="65">R324*0.453592/(Q324*0.0254)^2</f>
        <v>29.294541922417178</v>
      </c>
      <c r="T324" s="37">
        <f>'2023'!L29</f>
        <v>4.41</v>
      </c>
      <c r="U324" s="40">
        <f>'2023'!M29</f>
        <v>0</v>
      </c>
      <c r="V324" s="41">
        <f>'2023'!N29</f>
        <v>3.4252161148262926E-3</v>
      </c>
      <c r="W324" s="42">
        <f>'2023'!O29</f>
        <v>0</v>
      </c>
      <c r="X324" s="42">
        <f>'2023'!P29</f>
        <v>0.12825672811183556</v>
      </c>
      <c r="Y324" s="42">
        <f>'2023'!Q29</f>
        <v>0.10230977318443506</v>
      </c>
      <c r="Z324" s="42">
        <f>'2023'!R29</f>
        <v>0.16549324269644738</v>
      </c>
      <c r="AA324" s="42">
        <f>'2023'!S29</f>
        <v>0.16549324269644738</v>
      </c>
      <c r="AB324" s="42">
        <f>'2023'!T29</f>
        <v>0.12411993202233554</v>
      </c>
      <c r="AC324" s="42">
        <f>'2023'!U29</f>
        <v>2.0492430035173575E-2</v>
      </c>
      <c r="AD324" s="42">
        <f>'2023'!V29</f>
        <v>2.5622254758418745E-2</v>
      </c>
      <c r="AE324" s="42">
        <f>'2023'!W29</f>
        <v>2.5622254758418745E-2</v>
      </c>
      <c r="AF324" s="43">
        <f>'2023'!X29</f>
        <v>1.921669106881406E-2</v>
      </c>
      <c r="AG324" s="44">
        <f>'2023'!Y29</f>
        <v>22.413698630136988</v>
      </c>
      <c r="AH324" s="45">
        <f>'2023'!Z29</f>
        <v>114.21664234234096</v>
      </c>
      <c r="AI324" s="45">
        <f>'2023'!AA29</f>
        <v>29.291666666666664</v>
      </c>
      <c r="AJ324" s="45">
        <f>'2023'!AB29</f>
        <v>0.23622047244094488</v>
      </c>
      <c r="AK324" s="45">
        <f>'2023'!AC29</f>
        <v>5.8</v>
      </c>
      <c r="AL324" s="45">
        <f t="shared" si="64"/>
        <v>9.5294117647058822</v>
      </c>
      <c r="AM324" s="45">
        <f t="shared" si="59"/>
        <v>6.6176470588235295E-2</v>
      </c>
      <c r="AN324" s="45">
        <f>'2023'!AD29</f>
        <v>76.8</v>
      </c>
      <c r="AO324" s="45">
        <f>'2023'!AE29</f>
        <v>3.37</v>
      </c>
      <c r="AP324" s="46">
        <f>'2023'!AF29</f>
        <v>55.6</v>
      </c>
      <c r="AQ324" s="47">
        <f>'2023'!AG29</f>
        <v>1</v>
      </c>
      <c r="AR324" s="48">
        <f>'2023'!AH29</f>
        <v>1</v>
      </c>
      <c r="AS324" s="48">
        <f>'2023'!AI29</f>
        <v>1</v>
      </c>
      <c r="AT324" s="48">
        <f t="shared" si="60"/>
        <v>10</v>
      </c>
      <c r="AU324" s="48">
        <f>'2023'!AK29</f>
        <v>5</v>
      </c>
      <c r="AV324" s="48">
        <f>'2023'!AL29</f>
        <v>4</v>
      </c>
      <c r="AW324" s="48">
        <f>'2023'!AM29</f>
        <v>2</v>
      </c>
      <c r="AX324" s="48">
        <f>'2023'!AN29</f>
        <v>1</v>
      </c>
      <c r="AY324" s="49">
        <f>'2023'!AO29</f>
        <v>0</v>
      </c>
      <c r="AZ324" s="50">
        <f>'2023'!AP29</f>
        <v>0</v>
      </c>
      <c r="BA324" s="56">
        <f>'2023'!AQ29</f>
        <v>21</v>
      </c>
      <c r="BB324" s="57">
        <f>'2023'!AR29</f>
        <v>2847</v>
      </c>
      <c r="BC324" s="57">
        <f>'2023'!AS29</f>
        <v>0</v>
      </c>
      <c r="BD324" s="57">
        <f>'2023'!AT29</f>
        <v>28</v>
      </c>
      <c r="BE324" s="57">
        <f>'2023'!AU29</f>
        <v>2</v>
      </c>
      <c r="BF324" s="57">
        <f>'2023'!AV29</f>
        <v>0</v>
      </c>
      <c r="BG324" s="58">
        <f>'2023'!AW29</f>
        <v>10.5</v>
      </c>
      <c r="BH324" s="58">
        <f>'2023'!AX29</f>
        <v>0</v>
      </c>
      <c r="BI324" s="58">
        <f>'2023'!AY29</f>
        <v>4</v>
      </c>
      <c r="BJ324" s="58">
        <f>'2023'!AZ29</f>
        <v>85.7</v>
      </c>
      <c r="BK324" s="57">
        <f>'2023'!BA29</f>
        <v>0</v>
      </c>
      <c r="BL324" s="57">
        <f>'2023'!BB29</f>
        <v>3284</v>
      </c>
      <c r="BM324" s="57">
        <f>'2023'!BC29</f>
        <v>0</v>
      </c>
      <c r="BN324" s="57">
        <f>'2023'!BD29</f>
        <v>0</v>
      </c>
      <c r="BO324" s="59">
        <f>'2023'!BE29</f>
        <v>25</v>
      </c>
      <c r="BP324" s="56">
        <f>'2023'!BF29</f>
        <v>0</v>
      </c>
      <c r="BQ324" s="57">
        <f>'2023'!BG29</f>
        <v>1</v>
      </c>
      <c r="BR324" s="57">
        <f>'2023'!BH29</f>
        <v>0</v>
      </c>
      <c r="BS324" s="57">
        <f>'2023'!BI29</f>
        <v>1</v>
      </c>
      <c r="BT324" s="57">
        <f>'2023'!BJ29</f>
        <v>0</v>
      </c>
      <c r="BU324" s="57">
        <f>'2023'!BK29</f>
        <v>0</v>
      </c>
      <c r="BV324" s="58">
        <f>'2023'!BL29</f>
        <v>0</v>
      </c>
      <c r="BW324" s="58">
        <f>'2023'!BM29</f>
        <v>0</v>
      </c>
      <c r="BX324" s="58">
        <f>'2023'!BN29</f>
        <v>0</v>
      </c>
      <c r="BY324" s="58">
        <f>'2023'!BO29</f>
        <v>0</v>
      </c>
      <c r="BZ324" s="57">
        <f>'2023'!BP29</f>
        <v>0</v>
      </c>
      <c r="CA324" s="57">
        <f>'2023'!BQ29</f>
        <v>1</v>
      </c>
      <c r="CB324" s="57">
        <f>'2023'!BR29</f>
        <v>0</v>
      </c>
      <c r="CC324" s="57">
        <f>'2023'!BS29</f>
        <v>0</v>
      </c>
      <c r="CD324" s="59">
        <f>'2023'!BT29</f>
        <v>1</v>
      </c>
      <c r="CE324" s="56">
        <f>'2023'!BU29</f>
        <v>467</v>
      </c>
      <c r="CF324" s="57">
        <f>'2023'!BV29</f>
        <v>1451.7</v>
      </c>
      <c r="CG324" s="57">
        <f>'2023'!BW29</f>
        <v>4</v>
      </c>
      <c r="CH324" s="57">
        <f>'2023'!BX29</f>
        <v>12.6</v>
      </c>
      <c r="CI324" s="57">
        <f>'2023'!BY29</f>
        <v>87</v>
      </c>
      <c r="CJ324" s="57">
        <f>'2023'!BZ29</f>
        <v>18</v>
      </c>
      <c r="CK324" s="58">
        <f>'2023'!CA29</f>
        <v>5.4</v>
      </c>
      <c r="CL324" s="58">
        <f>'2023'!CB29</f>
        <v>73.599999999999994</v>
      </c>
      <c r="CM324" s="58">
        <f>'2023'!CC29</f>
        <v>3.6</v>
      </c>
      <c r="CN324" s="58">
        <f>'2023'!CD29</f>
        <v>44.3</v>
      </c>
      <c r="CO324" s="57">
        <f>'2023'!CE29</f>
        <v>11</v>
      </c>
      <c r="CP324" s="57">
        <f>'2023'!CF29</f>
        <v>2275.2000000000003</v>
      </c>
      <c r="CQ324" s="57">
        <f>'2023'!CG29</f>
        <v>1</v>
      </c>
      <c r="CR324" s="57">
        <f>'2023'!CH29</f>
        <v>0</v>
      </c>
      <c r="CS324" s="59">
        <f>'2023'!CI29</f>
        <v>15</v>
      </c>
      <c r="CT324" s="56">
        <f>'2023'!CJ29</f>
        <v>523</v>
      </c>
      <c r="CU324" s="57">
        <f>'2023'!CK29</f>
        <v>2497.2999999999997</v>
      </c>
      <c r="CV324" s="57">
        <f>'2023'!CL29</f>
        <v>5</v>
      </c>
      <c r="CW324" s="57">
        <f>'2023'!CM29</f>
        <v>19.5</v>
      </c>
      <c r="CX324" s="57">
        <f>'2023'!CN29</f>
        <v>99</v>
      </c>
      <c r="CY324" s="57">
        <f>'2023'!CO29</f>
        <v>18</v>
      </c>
      <c r="CZ324" s="58">
        <f>'2023'!CP29</f>
        <v>5.3</v>
      </c>
      <c r="DA324" s="58">
        <f>'2023'!CQ29</f>
        <v>63.8</v>
      </c>
      <c r="DB324" s="58">
        <f>'2023'!CR29</f>
        <v>2.94</v>
      </c>
      <c r="DC324" s="58">
        <f>'2023'!CS29</f>
        <v>39.4</v>
      </c>
      <c r="DD324" s="57">
        <f>'2023'!CT29</f>
        <v>67</v>
      </c>
      <c r="DE324" s="57">
        <f>'2023'!CU29</f>
        <v>3269.5</v>
      </c>
      <c r="DF324" s="57">
        <f>'2023'!CV29</f>
        <v>7</v>
      </c>
      <c r="DG324" s="57">
        <f>'2023'!CW29</f>
        <v>0</v>
      </c>
      <c r="DH324" s="59">
        <f>'2023'!CX29</f>
        <v>18</v>
      </c>
      <c r="DI324" s="56">
        <f>'2023'!CY29</f>
        <v>734</v>
      </c>
      <c r="DJ324" s="57">
        <f>'2023'!CZ29</f>
        <v>1664.3999999999999</v>
      </c>
      <c r="DK324" s="57">
        <f>'2023'!DA29</f>
        <v>5</v>
      </c>
      <c r="DL324" s="57">
        <f>'2023'!DB29</f>
        <v>18</v>
      </c>
      <c r="DM324" s="57">
        <f>'2023'!DC29</f>
        <v>127</v>
      </c>
      <c r="DN324" s="57">
        <f>'2023'!DD29</f>
        <v>30</v>
      </c>
      <c r="DO324" s="58">
        <f>'2023'!DE29</f>
        <v>5.8</v>
      </c>
      <c r="DP324" s="58">
        <f>'2023'!DF29</f>
        <v>76.8</v>
      </c>
      <c r="DQ324" s="58">
        <f>'2023'!DG29</f>
        <v>3.37</v>
      </c>
      <c r="DR324" s="58">
        <f>'2023'!DH29</f>
        <v>55.6</v>
      </c>
      <c r="DS324" s="57">
        <f>'2023'!DI29</f>
        <v>84</v>
      </c>
      <c r="DT324" s="57">
        <f>'2023'!DJ29</f>
        <v>3278.3999999999996</v>
      </c>
      <c r="DU324" s="57">
        <f>'2023'!DK29</f>
        <v>9</v>
      </c>
      <c r="DV324" s="57">
        <f>'2023'!DL29</f>
        <v>0</v>
      </c>
      <c r="DW324" s="59">
        <f>'2023'!DM29</f>
        <v>27</v>
      </c>
    </row>
    <row r="325" spans="1:127" ht="15.75" customHeight="1" x14ac:dyDescent="0.2">
      <c r="A325" s="33">
        <f t="shared" si="61"/>
        <v>323</v>
      </c>
      <c r="B325" s="11">
        <f>'2021'!A24</f>
        <v>22</v>
      </c>
      <c r="C325" s="11">
        <v>2021</v>
      </c>
      <c r="D325" s="34" t="str">
        <f>'2021'!B24</f>
        <v>Caleb Huntley</v>
      </c>
      <c r="E325" s="224" t="str" cm="1">
        <f t="array" ref="E325">_xlfn.IFS(F325&gt;=13,"Cornerstone",AND(F325&gt;=12,F325&lt;13),"Elite",AND(F325&gt;=11,F325&lt;12),"Elite Upside",AND(F325&gt;=9,F325&lt;11),"Upside",AND(F325&gt;=7,F325&lt;9),"Upside Lite",AND(F325&gt;=6,F325&lt;7),"Outlier",AND(F325&gt;=5,F325&lt;6),"Outlier Lite",F325&lt;5,"Purgatory")</f>
        <v>Purgatory</v>
      </c>
      <c r="F325" s="14">
        <f>'2021'!C24</f>
        <v>1.8055555555555554</v>
      </c>
      <c r="G325" s="14">
        <f t="shared" si="54"/>
        <v>1.2</v>
      </c>
      <c r="H325" s="35">
        <f t="shared" si="62"/>
        <v>-2.6226643185382716</v>
      </c>
      <c r="I325" s="36" t="str">
        <f>'2021'!D24</f>
        <v>Ball State</v>
      </c>
      <c r="J325" s="37">
        <f>'2021'!E24</f>
        <v>7</v>
      </c>
      <c r="K325" s="38">
        <f>'2021'!F24</f>
        <v>36053</v>
      </c>
      <c r="L325" s="39">
        <f>'2021'!G24</f>
        <v>27.052054794520547</v>
      </c>
      <c r="M325" s="39" t="str">
        <f>'2021'!H24</f>
        <v>SR</v>
      </c>
      <c r="N325" s="39">
        <f>'2021'!I24</f>
        <v>22.635616438356163</v>
      </c>
      <c r="O325" s="39" t="str">
        <f t="shared" si="63"/>
        <v>BRUISER</v>
      </c>
      <c r="P325" s="39" t="str">
        <f t="shared" si="58"/>
        <v>HORSE</v>
      </c>
      <c r="Q325" s="37">
        <f>'2021'!J24</f>
        <v>70</v>
      </c>
      <c r="R325" s="37">
        <f>'2021'!K24</f>
        <v>229</v>
      </c>
      <c r="S325" s="39">
        <f t="shared" si="65"/>
        <v>32.857714776654042</v>
      </c>
      <c r="T325" s="37">
        <f>'2021'!L24</f>
        <v>4.7699999999999996</v>
      </c>
      <c r="U325" s="40">
        <f>'2021'!M24</f>
        <v>0</v>
      </c>
      <c r="V325" s="41">
        <f>'2021'!N24</f>
        <v>0</v>
      </c>
      <c r="W325" s="42">
        <f>'2021'!O24</f>
        <v>0.25459970164097462</v>
      </c>
      <c r="X325" s="42">
        <f>'2021'!P24</f>
        <v>4.1607179277993067E-2</v>
      </c>
      <c r="Y325" s="42">
        <f>'2021'!Q24</f>
        <v>0.2320014398848092</v>
      </c>
      <c r="Z325" s="42">
        <f>'2021'!R24</f>
        <v>0.12576858580212411</v>
      </c>
      <c r="AA325" s="42">
        <f>'2021'!S24</f>
        <v>0.19018414372154935</v>
      </c>
      <c r="AB325" s="42">
        <f>'2021'!T24</f>
        <v>0.14263810779116201</v>
      </c>
      <c r="AC325" s="42">
        <f>'2021'!U24</f>
        <v>8.5528566541224777E-3</v>
      </c>
      <c r="AD325" s="42">
        <f>'2021'!V24</f>
        <v>6.0352831940575676E-3</v>
      </c>
      <c r="AE325" s="42">
        <f>'2021'!W24</f>
        <v>7.2940699240900226E-3</v>
      </c>
      <c r="AF325" s="43">
        <f>'2021'!X24</f>
        <v>5.4705524430675168E-3</v>
      </c>
      <c r="AG325" s="44">
        <f>'2021'!Y24</f>
        <v>18.972602739726028</v>
      </c>
      <c r="AH325" s="45">
        <f>'2021'!Z24</f>
        <v>88.469171836735512</v>
      </c>
      <c r="AI325" s="45">
        <f>'2021'!AA24</f>
        <v>32.854489795918369</v>
      </c>
      <c r="AJ325" s="45">
        <f>'2021'!AB24</f>
        <v>0.21249999999999999</v>
      </c>
      <c r="AK325" s="45">
        <f>'2021'!AC24</f>
        <v>5.5</v>
      </c>
      <c r="AL325" s="45">
        <f t="shared" si="64"/>
        <v>5.4</v>
      </c>
      <c r="AM325" s="45">
        <f t="shared" si="59"/>
        <v>1.2345679012345678E-2</v>
      </c>
      <c r="AN325" s="45">
        <f>'2021'!AD24</f>
        <v>78.5</v>
      </c>
      <c r="AO325" s="45">
        <f>'2021'!AE24</f>
        <v>3.89</v>
      </c>
      <c r="AP325" s="46">
        <f>'2021'!AF24</f>
        <v>33.5</v>
      </c>
      <c r="AQ325" s="47">
        <f>'2021'!AG24</f>
        <v>1</v>
      </c>
      <c r="AR325" s="48">
        <f>'2021'!AH24</f>
        <v>0</v>
      </c>
      <c r="AS325" s="48">
        <f>'2021'!AI24</f>
        <v>8</v>
      </c>
      <c r="AT325" s="48">
        <f t="shared" si="60"/>
        <v>2</v>
      </c>
      <c r="AU325" s="48">
        <f>'2021'!AK24</f>
        <v>4</v>
      </c>
      <c r="AV325" s="48">
        <f>'2021'!AL24</f>
        <v>3</v>
      </c>
      <c r="AW325" s="48">
        <f>'2021'!AM24</f>
        <v>2</v>
      </c>
      <c r="AX325" s="48">
        <f>'2021'!AN24</f>
        <v>4</v>
      </c>
      <c r="AY325" s="49">
        <f>IF(U325=1,10,IF(U325=2,7,IF(U325=3,6,IF(U325=4,4,IF(U325=5,3,IF(U325=6,2,IF(U325=7,1,IF(U325=0,0,"-"))))))))</f>
        <v>0</v>
      </c>
      <c r="AZ325" s="50">
        <f>'2021'!AP24</f>
        <v>0</v>
      </c>
      <c r="BA325" s="56">
        <f>'2021'!AQ24</f>
        <v>0</v>
      </c>
      <c r="BB325" s="57">
        <f>'2021'!AR24</f>
        <v>2640</v>
      </c>
      <c r="BC325" s="57">
        <f>'2021'!AS24</f>
        <v>0</v>
      </c>
      <c r="BD325" s="57">
        <f>'2021'!AT24</f>
        <v>25</v>
      </c>
      <c r="BE325" s="57">
        <f>'2021'!AU24</f>
        <v>0</v>
      </c>
      <c r="BF325" s="57">
        <f>'2021'!AV24</f>
        <v>0</v>
      </c>
      <c r="BG325" s="58">
        <f>'2021'!AW24</f>
        <v>0</v>
      </c>
      <c r="BH325" s="58">
        <f>'2021'!AX24</f>
        <v>0</v>
      </c>
      <c r="BI325" s="58">
        <f>'2021'!AY24</f>
        <v>0</v>
      </c>
      <c r="BJ325" s="58">
        <f>'2021'!AZ24</f>
        <v>0</v>
      </c>
      <c r="BK325" s="57">
        <f>'2021'!BA24</f>
        <v>0</v>
      </c>
      <c r="BL325" s="57">
        <f>'2021'!BB24</f>
        <v>2750</v>
      </c>
      <c r="BM325" s="57">
        <f>'2021'!BC24</f>
        <v>0</v>
      </c>
      <c r="BN325" s="57">
        <f>'2021'!BD24</f>
        <v>0</v>
      </c>
      <c r="BO325" s="59">
        <f>'2021'!BE24</f>
        <v>14</v>
      </c>
      <c r="BP325" s="56">
        <f>'2021'!BF24</f>
        <v>998</v>
      </c>
      <c r="BQ325" s="57">
        <f>'2021'!BG24</f>
        <v>1896</v>
      </c>
      <c r="BR325" s="57">
        <f>'2021'!BH24</f>
        <v>3</v>
      </c>
      <c r="BS325" s="57">
        <f>'2021'!BI24</f>
        <v>15</v>
      </c>
      <c r="BT325" s="57">
        <f>'2021'!BJ24</f>
        <v>210</v>
      </c>
      <c r="BU325" s="57">
        <f>'2021'!BK24</f>
        <v>21</v>
      </c>
      <c r="BV325" s="58">
        <f>'2021'!BL24</f>
        <v>4.8</v>
      </c>
      <c r="BW325" s="58">
        <f>'2021'!BM24</f>
        <v>35.700000000000003</v>
      </c>
      <c r="BX325" s="58">
        <f>'2021'!BN24</f>
        <v>3.21</v>
      </c>
      <c r="BY325" s="58">
        <f>'2021'!BO24</f>
        <v>26.4</v>
      </c>
      <c r="BZ325" s="57">
        <f>'2021'!BP24</f>
        <v>26</v>
      </c>
      <c r="CA325" s="57">
        <f>'2021'!BQ24</f>
        <v>2126</v>
      </c>
      <c r="CB325" s="57">
        <f>'2021'!BR24</f>
        <v>6</v>
      </c>
      <c r="CC325" s="57">
        <f>'2021'!BS24</f>
        <v>0</v>
      </c>
      <c r="CD325" s="59">
        <f>'2021'!BT24</f>
        <v>11</v>
      </c>
      <c r="CE325" s="56">
        <f>'2021'!BU24</f>
        <v>187</v>
      </c>
      <c r="CF325" s="57">
        <f>'2021'!BV24</f>
        <v>1868</v>
      </c>
      <c r="CG325" s="57">
        <f>'2021'!BW24</f>
        <v>0</v>
      </c>
      <c r="CH325" s="57">
        <f>'2021'!BX24</f>
        <v>20</v>
      </c>
      <c r="CI325" s="57">
        <f>'2021'!BY24</f>
        <v>38</v>
      </c>
      <c r="CJ325" s="57">
        <f>'2021'!BZ24</f>
        <v>6</v>
      </c>
      <c r="CK325" s="58">
        <f>'2021'!CA24</f>
        <v>4.9000000000000004</v>
      </c>
      <c r="CL325" s="58">
        <f>'2021'!CB24</f>
        <v>58.7</v>
      </c>
      <c r="CM325" s="58">
        <f>'2021'!CC24</f>
        <v>3.61</v>
      </c>
      <c r="CN325" s="58">
        <f>'2021'!CD24</f>
        <v>32.1</v>
      </c>
      <c r="CO325" s="57">
        <f>'2021'!CE24</f>
        <v>17</v>
      </c>
      <c r="CP325" s="57">
        <f>'2021'!CF24</f>
        <v>3035</v>
      </c>
      <c r="CQ325" s="57">
        <f>'2021'!CG24</f>
        <v>1</v>
      </c>
      <c r="CR325" s="57">
        <f>'2021'!CH24</f>
        <v>0</v>
      </c>
      <c r="CS325" s="59">
        <f>'2021'!CI24</f>
        <v>17</v>
      </c>
      <c r="CT325" s="56">
        <f>'2021'!CJ24</f>
        <v>1264</v>
      </c>
      <c r="CU325" s="57">
        <f>'2021'!CK24</f>
        <v>2633</v>
      </c>
      <c r="CV325" s="57">
        <f>'2021'!CL24</f>
        <v>12</v>
      </c>
      <c r="CW325" s="57">
        <f>'2021'!CM24</f>
        <v>27</v>
      </c>
      <c r="CX325" s="57">
        <f>'2021'!CN24</f>
        <v>246</v>
      </c>
      <c r="CY325" s="57">
        <f>'2021'!CO24</f>
        <v>49</v>
      </c>
      <c r="CZ325" s="58">
        <f>'2021'!CP24</f>
        <v>5.0999999999999996</v>
      </c>
      <c r="DA325" s="58">
        <f>'2021'!CQ24</f>
        <v>78.5</v>
      </c>
      <c r="DB325" s="58">
        <f>'2021'!CR24</f>
        <v>3.89</v>
      </c>
      <c r="DC325" s="58">
        <f>'2021'!CS24</f>
        <v>33.5</v>
      </c>
      <c r="DD325" s="57">
        <f>'2021'!CT24</f>
        <v>25</v>
      </c>
      <c r="DE325" s="57">
        <f>'2021'!CU24</f>
        <v>2923</v>
      </c>
      <c r="DF325" s="57">
        <f>'2021'!CV24</f>
        <v>7</v>
      </c>
      <c r="DG325" s="57">
        <f>'2021'!CW24</f>
        <v>0</v>
      </c>
      <c r="DH325" s="59">
        <f>'2021'!CX24</f>
        <v>24</v>
      </c>
      <c r="DI325" s="56">
        <f>'2021'!CY24</f>
        <v>437</v>
      </c>
      <c r="DJ325" s="57">
        <f>'2021'!CZ24</f>
        <v>1424</v>
      </c>
      <c r="DK325" s="57">
        <f>'2021'!DA24</f>
        <v>6</v>
      </c>
      <c r="DL325" s="57">
        <f>'2021'!DB24</f>
        <v>15</v>
      </c>
      <c r="DM325" s="57">
        <f>'2021'!DC24</f>
        <v>80</v>
      </c>
      <c r="DN325" s="57">
        <f>'2021'!DD24</f>
        <v>17</v>
      </c>
      <c r="DO325" s="58">
        <f>'2021'!DE24</f>
        <v>5.5</v>
      </c>
      <c r="DP325" s="58">
        <f>'2021'!DF24</f>
        <v>73.3</v>
      </c>
      <c r="DQ325" s="58">
        <f>'2021'!DG24</f>
        <v>3.3</v>
      </c>
      <c r="DR325" s="58">
        <f>'2021'!DH24</f>
        <v>30.4</v>
      </c>
      <c r="DS325" s="57">
        <f>'2021'!DI24</f>
        <v>13</v>
      </c>
      <c r="DT325" s="57">
        <f>'2021'!DJ24</f>
        <v>2154</v>
      </c>
      <c r="DU325" s="57">
        <f>'2021'!DK24</f>
        <v>1</v>
      </c>
      <c r="DV325" s="57">
        <f>'2021'!DL24</f>
        <v>0</v>
      </c>
      <c r="DW325" s="59">
        <f>'2021'!DM24</f>
        <v>17</v>
      </c>
    </row>
    <row r="326" spans="1:127" ht="15.75" customHeight="1" x14ac:dyDescent="0.2">
      <c r="A326" s="33">
        <f t="shared" si="61"/>
        <v>324</v>
      </c>
      <c r="B326" s="11">
        <f>'2015'!A26</f>
        <v>24</v>
      </c>
      <c r="C326" s="11">
        <v>2015</v>
      </c>
      <c r="D326" s="34" t="str">
        <f>'2015'!B26</f>
        <v>Kenny Hilliard</v>
      </c>
      <c r="E326" s="224" t="str" cm="1">
        <f t="array" ref="E326">_xlfn.IFS(F326&gt;=13,"Cornerstone",AND(F326&gt;=12,F326&lt;13),"Elite",AND(F326&gt;=11,F326&lt;12),"Elite Upside",AND(F326&gt;=9,F326&lt;11),"Upside",AND(F326&gt;=7,F326&lt;9),"Upside Lite",AND(F326&gt;=6,F326&lt;7),"Outlier",AND(F326&gt;=5,F326&lt;6),"Outlier Lite",F326&lt;5,"Purgatory")</f>
        <v>Purgatory</v>
      </c>
      <c r="F326" s="14">
        <f>'2015'!C26</f>
        <v>1.6944444444444446</v>
      </c>
      <c r="G326" s="14">
        <f t="shared" si="54"/>
        <v>0.89999999999999991</v>
      </c>
      <c r="H326" s="35">
        <f t="shared" si="62"/>
        <v>-2.6696893256760093</v>
      </c>
      <c r="I326" s="36" t="str">
        <f>'2015'!D26</f>
        <v>LSU</v>
      </c>
      <c r="J326" s="37">
        <f>'2015'!E26</f>
        <v>1</v>
      </c>
      <c r="K326" s="38">
        <f>'2015'!F26</f>
        <v>33542</v>
      </c>
      <c r="L326" s="39">
        <f>'2015'!G26</f>
        <v>33.93150684931507</v>
      </c>
      <c r="M326" s="39" t="str">
        <f>'2015'!H26</f>
        <v>SR</v>
      </c>
      <c r="N326" s="39">
        <f>'2015'!I26</f>
        <v>23.504109589041096</v>
      </c>
      <c r="O326" s="39" t="str">
        <f t="shared" si="63"/>
        <v>BRUISER</v>
      </c>
      <c r="P326" s="39" t="str">
        <f t="shared" si="58"/>
        <v>PLODDER</v>
      </c>
      <c r="Q326" s="37">
        <f>'2015'!J26</f>
        <v>72</v>
      </c>
      <c r="R326" s="37">
        <f>'2015'!K26</f>
        <v>226</v>
      </c>
      <c r="S326" s="39">
        <f t="shared" si="65"/>
        <v>30.650770715121677</v>
      </c>
      <c r="T326" s="39">
        <f>'2015'!L26</f>
        <v>4.83</v>
      </c>
      <c r="U326" s="55">
        <f>'2015'!M26</f>
        <v>7</v>
      </c>
      <c r="V326" s="41">
        <f>'2015'!N26</f>
        <v>0</v>
      </c>
      <c r="W326" s="42">
        <f>'2015'!O26</f>
        <v>7.5601672334986908E-2</v>
      </c>
      <c r="X326" s="42">
        <f>'2015'!P26</f>
        <v>0.10800819526100125</v>
      </c>
      <c r="Y326" s="42">
        <f>'2015'!Q26</f>
        <v>5.6989484520920654E-2</v>
      </c>
      <c r="Z326" s="42">
        <f>'2015'!R26</f>
        <v>0.12390294269488901</v>
      </c>
      <c r="AA326" s="42">
        <f>'2015'!S26</f>
        <v>0.12390294269488901</v>
      </c>
      <c r="AB326" s="42">
        <f>'2015'!T26</f>
        <v>0.12390294269488901</v>
      </c>
      <c r="AC326" s="42">
        <f>'2015'!U26</f>
        <v>0</v>
      </c>
      <c r="AD326" s="42">
        <f>'2015'!V26</f>
        <v>2.1485573971761818E-2</v>
      </c>
      <c r="AE326" s="42">
        <f>'2015'!W26</f>
        <v>2.1485573971761818E-2</v>
      </c>
      <c r="AF326" s="43">
        <f>'2015'!X26</f>
        <v>2.1485573971761818E-2</v>
      </c>
      <c r="AG326" s="44" t="str">
        <f>'2015'!Y26</f>
        <v>N/A</v>
      </c>
      <c r="AH326" s="45">
        <f>'2015'!Z26</f>
        <v>83.051964911755832</v>
      </c>
      <c r="AI326" s="45">
        <f>'2015'!AA26</f>
        <v>30.647762345679013</v>
      </c>
      <c r="AJ326" s="45">
        <f>'2015'!AB26</f>
        <v>0.15555555555555556</v>
      </c>
      <c r="AK326" s="45">
        <f>'2015'!AC26</f>
        <v>4.9444444444444446</v>
      </c>
      <c r="AL326" s="45">
        <f t="shared" si="64"/>
        <v>6.2727272727272725</v>
      </c>
      <c r="AM326" s="45">
        <f t="shared" si="59"/>
        <v>4.2553191489361701E-2</v>
      </c>
      <c r="AN326" s="45">
        <f>'2015'!AD26</f>
        <v>41</v>
      </c>
      <c r="AO326" s="45">
        <f>'2015'!AE26</f>
        <v>2.57</v>
      </c>
      <c r="AP326" s="46">
        <f>'2015'!AF26</f>
        <v>27.4</v>
      </c>
      <c r="AQ326" s="47">
        <f>'2015'!AG26</f>
        <v>1</v>
      </c>
      <c r="AR326" s="48">
        <f>'2015'!AH26</f>
        <v>2</v>
      </c>
      <c r="AS326" s="48">
        <f>'2015'!AI26</f>
        <v>0</v>
      </c>
      <c r="AT326" s="48">
        <f>'2015'!AJ26</f>
        <v>0</v>
      </c>
      <c r="AU326" s="48">
        <f>'2015'!AK26</f>
        <v>1</v>
      </c>
      <c r="AV326" s="48">
        <f>'2015'!AL26</f>
        <v>1</v>
      </c>
      <c r="AW326" s="48">
        <f>'2015'!AM26</f>
        <v>0</v>
      </c>
      <c r="AX326" s="48">
        <f>'2015'!AN26</f>
        <v>0</v>
      </c>
      <c r="AY326" s="49">
        <f>'2015'!AO26</f>
        <v>1</v>
      </c>
      <c r="AZ326" s="50">
        <f>'2015'!AP26</f>
        <v>1</v>
      </c>
      <c r="BA326" s="56">
        <f>'2015'!AQ26</f>
        <v>0</v>
      </c>
      <c r="BB326" s="57">
        <f>'2015'!AR26</f>
        <v>1</v>
      </c>
      <c r="BC326" s="57">
        <f>'2015'!AS26</f>
        <v>0</v>
      </c>
      <c r="BD326" s="57">
        <f>'2015'!AT26</f>
        <v>0</v>
      </c>
      <c r="BE326" s="57">
        <f>'2015'!AU26</f>
        <v>0</v>
      </c>
      <c r="BF326" s="57">
        <f>'2015'!AV26</f>
        <v>0</v>
      </c>
      <c r="BG326" s="58">
        <f>'2015'!AW26</f>
        <v>0</v>
      </c>
      <c r="BH326" s="58">
        <f>'2015'!AX26</f>
        <v>0</v>
      </c>
      <c r="BI326" s="58">
        <f>'2015'!AY26</f>
        <v>0</v>
      </c>
      <c r="BJ326" s="58">
        <f>'2015'!AZ26</f>
        <v>0</v>
      </c>
      <c r="BK326" s="57">
        <f>'2015'!BA26</f>
        <v>0</v>
      </c>
      <c r="BL326" s="57">
        <f>'2015'!BB26</f>
        <v>1</v>
      </c>
      <c r="BM326" s="57">
        <f>'2015'!BC26</f>
        <v>0</v>
      </c>
      <c r="BN326" s="57">
        <f>'2015'!BD26</f>
        <v>0</v>
      </c>
      <c r="BO326" s="59">
        <f>'2015'!BE26</f>
        <v>0</v>
      </c>
      <c r="BP326" s="56">
        <f>'2015'!BF26</f>
        <v>336</v>
      </c>
      <c r="BQ326" s="57">
        <f>'2015'!BG26</f>
        <v>2633.7999999999997</v>
      </c>
      <c r="BR326" s="57">
        <f>'2015'!BH26</f>
        <v>8</v>
      </c>
      <c r="BS326" s="57">
        <f>'2015'!BI26</f>
        <v>0</v>
      </c>
      <c r="BT326" s="57">
        <f>'2015'!BJ26</f>
        <v>62</v>
      </c>
      <c r="BU326" s="57">
        <f>'2015'!BK26</f>
        <v>0</v>
      </c>
      <c r="BV326" s="58">
        <f>'2015'!BL26</f>
        <v>0</v>
      </c>
      <c r="BW326" s="58">
        <f>'2015'!BM26</f>
        <v>0</v>
      </c>
      <c r="BX326" s="58">
        <f>'2015'!BN26</f>
        <v>0</v>
      </c>
      <c r="BY326" s="58">
        <f>'2015'!BO26</f>
        <v>0</v>
      </c>
      <c r="BZ326" s="57">
        <f>'2015'!BP26</f>
        <v>13</v>
      </c>
      <c r="CA326" s="57">
        <f>'2015'!BQ26</f>
        <v>1982.5</v>
      </c>
      <c r="CB326" s="57">
        <f>'2015'!BR26</f>
        <v>3</v>
      </c>
      <c r="CC326" s="57">
        <f>'2015'!BS26</f>
        <v>1</v>
      </c>
      <c r="CD326" s="59">
        <f>'2015'!BT26</f>
        <v>0</v>
      </c>
      <c r="CE326" s="56">
        <f>'2015'!BU26</f>
        <v>464</v>
      </c>
      <c r="CF326" s="57">
        <f>'2015'!BV26</f>
        <v>2084.3999999999996</v>
      </c>
      <c r="CG326" s="57">
        <f>'2015'!BW26</f>
        <v>6</v>
      </c>
      <c r="CH326" s="57">
        <f>'2015'!BX26</f>
        <v>0</v>
      </c>
      <c r="CI326" s="57">
        <f>'2015'!BY26</f>
        <v>82</v>
      </c>
      <c r="CJ326" s="57">
        <f>'2015'!BZ26</f>
        <v>0</v>
      </c>
      <c r="CK326" s="58">
        <f>'2015'!CA26</f>
        <v>0</v>
      </c>
      <c r="CL326" s="58">
        <f>'2015'!CB26</f>
        <v>0</v>
      </c>
      <c r="CM326" s="58">
        <f>'2015'!CC26</f>
        <v>0</v>
      </c>
      <c r="CN326" s="58">
        <f>'2015'!CD26</f>
        <v>0</v>
      </c>
      <c r="CO326" s="57">
        <f>'2015'!CE26</f>
        <v>21</v>
      </c>
      <c r="CP326" s="57">
        <f>'2015'!CF26</f>
        <v>2406</v>
      </c>
      <c r="CQ326" s="57">
        <f>'2015'!CG26</f>
        <v>3</v>
      </c>
      <c r="CR326" s="57">
        <f>'2015'!CH26</f>
        <v>0</v>
      </c>
      <c r="CS326" s="59">
        <f>'2015'!CI26</f>
        <v>0</v>
      </c>
      <c r="CT326" s="56">
        <f>'2015'!CJ26</f>
        <v>310</v>
      </c>
      <c r="CU326" s="57">
        <f>'2015'!CK26</f>
        <v>2427.6000000000004</v>
      </c>
      <c r="CV326" s="57">
        <f>'2015'!CL26</f>
        <v>7</v>
      </c>
      <c r="CW326" s="57">
        <f>'2015'!CM26</f>
        <v>0</v>
      </c>
      <c r="CX326" s="57">
        <f>'2015'!CN26</f>
        <v>68</v>
      </c>
      <c r="CY326" s="57">
        <f>'2015'!CO26</f>
        <v>0</v>
      </c>
      <c r="CZ326" s="58">
        <f>'2015'!CP26</f>
        <v>4.5588235294117645</v>
      </c>
      <c r="DA326" s="58">
        <f>'2015'!CQ26</f>
        <v>0</v>
      </c>
      <c r="DB326" s="58">
        <f>'2015'!CR26</f>
        <v>0</v>
      </c>
      <c r="DC326" s="58">
        <f>'2015'!CS26</f>
        <v>0</v>
      </c>
      <c r="DD326" s="57">
        <f>'2015'!CT26</f>
        <v>0</v>
      </c>
      <c r="DE326" s="57">
        <f>'2015'!CU26</f>
        <v>3012</v>
      </c>
      <c r="DF326" s="57">
        <f>'2015'!CV26</f>
        <v>1</v>
      </c>
      <c r="DG326" s="57">
        <f>'2015'!CW26</f>
        <v>0</v>
      </c>
      <c r="DH326" s="59">
        <f>'2015'!CX26</f>
        <v>0</v>
      </c>
      <c r="DI326" s="56">
        <f>'2015'!CY26</f>
        <v>445</v>
      </c>
      <c r="DJ326" s="57">
        <f>'2015'!CZ26</f>
        <v>2245</v>
      </c>
      <c r="DK326" s="57">
        <f>'2015'!DA26</f>
        <v>6</v>
      </c>
      <c r="DL326" s="57">
        <f>'2015'!DB26</f>
        <v>19</v>
      </c>
      <c r="DM326" s="57">
        <f>'2015'!DC26</f>
        <v>90</v>
      </c>
      <c r="DN326" s="57">
        <f>'2015'!DD26</f>
        <v>14</v>
      </c>
      <c r="DO326" s="58">
        <f>'2015'!DE26</f>
        <v>4.9444444444444446</v>
      </c>
      <c r="DP326" s="58">
        <f>'2015'!DF26</f>
        <v>41</v>
      </c>
      <c r="DQ326" s="58">
        <f>'2015'!DG26</f>
        <v>2.57</v>
      </c>
      <c r="DR326" s="58">
        <f>'2015'!DH26</f>
        <v>27.4</v>
      </c>
      <c r="DS326" s="57">
        <f>'2015'!DI26</f>
        <v>35</v>
      </c>
      <c r="DT326" s="57">
        <f>'2015'!DJ26</f>
        <v>1629</v>
      </c>
      <c r="DU326" s="57">
        <f>'2015'!DK26</f>
        <v>4</v>
      </c>
      <c r="DV326" s="57">
        <f>'2015'!DL26</f>
        <v>0</v>
      </c>
      <c r="DW326" s="59">
        <f>'2015'!DM26</f>
        <v>13</v>
      </c>
    </row>
    <row r="327" spans="1:127" ht="15.75" customHeight="1" x14ac:dyDescent="0.2">
      <c r="A327" s="33">
        <f t="shared" si="61"/>
        <v>325</v>
      </c>
      <c r="B327" s="11">
        <f>'2026 - WIP'!A32</f>
        <v>30</v>
      </c>
      <c r="C327" s="11">
        <v>2026</v>
      </c>
      <c r="D327" s="34" t="str">
        <f>'2026 - WIP'!B32</f>
        <v>Malik Sherrod</v>
      </c>
      <c r="E327" s="224" t="str" cm="1">
        <f t="array" ref="E327">_xlfn.IFS(F327&gt;=13,"Cornerstone",AND(F327&gt;=12,F327&lt;13),"Elite",AND(F327&gt;=11,F327&lt;12),"Elite Upside",AND(F327&gt;=9,F327&lt;11),"Upside",AND(F327&gt;=7,F327&lt;9),"Upside Lite",AND(F327&gt;=6,F327&lt;7),"Outlier",AND(F327&gt;=5,F327&lt;6),"Outlier Lite",F327&lt;5,"Purgatory")</f>
        <v>Purgatory</v>
      </c>
      <c r="F327" s="14">
        <f>'2026 - WIP'!C32</f>
        <v>0.56111111111111089</v>
      </c>
      <c r="G327" s="14">
        <f t="shared" ref="G327:G328" si="66">(_xlfn.PERCENTRANK.EXC($F$3:$F$328,F327)*100)</f>
        <v>0.6</v>
      </c>
      <c r="H327" s="35">
        <f t="shared" si="62"/>
        <v>-3.1493443984809342</v>
      </c>
      <c r="I327" s="36" t="str">
        <f>'2026 - WIP'!D32</f>
        <v>Boise State</v>
      </c>
      <c r="J327" s="37">
        <f>'2026 - WIP'!E32</f>
        <v>7</v>
      </c>
      <c r="K327" s="38">
        <f>'2026 - WIP'!F32</f>
        <v>37043</v>
      </c>
      <c r="L327" s="39">
        <f>'2026 - WIP'!G32</f>
        <v>24.339726027397262</v>
      </c>
      <c r="M327" s="39" t="str">
        <f>'2026 - WIP'!H32</f>
        <v>RS SR</v>
      </c>
      <c r="N327" s="39">
        <f>'2026 - WIP'!I32</f>
        <v>24.920547945205481</v>
      </c>
      <c r="O327" s="39" t="str">
        <f t="shared" si="63"/>
        <v>JITTERBUG</v>
      </c>
      <c r="P327" s="39" t="str">
        <f>IF(OR(AND($AA327&lt;0.25,$AO327&gt;=0.133,AE327&gt;4%),(AND($O327="JITTERBUG",$AO327&gt;0.11)),(AND($O327="JITTERBUG",$AE327&gt;9.5%))),"+RECEIVER",IF(AND($AJ327&gt;=0.25,$AQ327&gt;=3.81),"3DOWN",IF($AQ327&gt;=3.81,"HORSE",IF(OR(AJ327&gt;0.28,AK327&gt;7,AR327&gt;47),"SLASHER",IF(AO327&gt;0.19,"+RECEIVER","PLODDER")))))</f>
        <v>+RECEIVER</v>
      </c>
      <c r="Q327" s="37">
        <f>'2026 - WIP'!J32</f>
        <v>68</v>
      </c>
      <c r="R327" s="37">
        <f>'2026 - WIP'!K32</f>
        <v>177</v>
      </c>
      <c r="S327" s="39">
        <f t="shared" si="65"/>
        <v>26.912459793777721</v>
      </c>
      <c r="T327" s="39">
        <f>'2026 - WIP'!L32</f>
        <v>4.4000000000000004</v>
      </c>
      <c r="U327" s="55">
        <f>'2026 - WIP'!M32</f>
        <v>0</v>
      </c>
      <c r="V327" s="41">
        <f>'2026 - WIP'!N32</f>
        <v>8.3494936436112905E-3</v>
      </c>
      <c r="W327" s="42">
        <f>'2026 - WIP'!O32</f>
        <v>8.4944139031743221E-2</v>
      </c>
      <c r="X327" s="42">
        <f>'2026 - WIP'!P32</f>
        <v>0.2637348465308228</v>
      </c>
      <c r="Y327" s="42">
        <f>'2026 - WIP'!Q32</f>
        <v>0.17170531259172292</v>
      </c>
      <c r="Z327" s="42">
        <f>'2026 - WIP'!R32</f>
        <v>0</v>
      </c>
      <c r="AA327" s="42">
        <f>'2026 - WIP'!S32</f>
        <v>0.21772007956127287</v>
      </c>
      <c r="AB327" s="42">
        <f>'2026 - WIP'!T32</f>
        <v>0.16329005967095467</v>
      </c>
      <c r="AC327" s="42">
        <f>'2026 - WIP'!U32</f>
        <v>3.9175257731958762E-2</v>
      </c>
      <c r="AD327" s="42">
        <f>'2026 - WIP'!V32</f>
        <v>0</v>
      </c>
      <c r="AE327" s="42">
        <f>'2026 - WIP'!W32</f>
        <v>3.9175257731958762E-2</v>
      </c>
      <c r="AF327" s="43">
        <f>'2026 - WIP'!X32</f>
        <v>2.9381443298969072E-2</v>
      </c>
      <c r="AG327" s="44">
        <f>'2026 - WIP'!Y32</f>
        <v>22.273972602739725</v>
      </c>
      <c r="AH327" s="45">
        <f>'2026 - WIP'!Z32</f>
        <v>94.447954374701155</v>
      </c>
      <c r="AI327" s="45">
        <f>'2026 - WIP'!AA32</f>
        <v>26.909818339100344</v>
      </c>
      <c r="AJ327" s="45">
        <f>'2026 - WIP'!AB32</f>
        <v>0.19767441860465115</v>
      </c>
      <c r="AK327" s="45">
        <f>'2026 - WIP'!AC32</f>
        <v>3.2666666666666666</v>
      </c>
      <c r="AL327" s="45">
        <f t="shared" si="64"/>
        <v>15.863636363636363</v>
      </c>
      <c r="AM327" s="45" t="e">
        <f t="shared" si="59"/>
        <v>#DIV/0!</v>
      </c>
      <c r="AN327" s="45">
        <f>'2026 - WIP'!AD32</f>
        <v>81.2</v>
      </c>
      <c r="AO327" s="45">
        <f>'2026 - WIP'!AE32</f>
        <v>3.51</v>
      </c>
      <c r="AP327" s="46">
        <f>'2026 - WIP'!AF32</f>
        <v>43.3</v>
      </c>
      <c r="AQ327" s="47">
        <f>'2026 - WIP'!AG32</f>
        <v>2</v>
      </c>
      <c r="AR327" s="48">
        <f>'2026 - WIP'!AH32</f>
        <v>3</v>
      </c>
      <c r="AS327" s="48">
        <f>'2026 - WIP'!AI32</f>
        <v>1</v>
      </c>
      <c r="AT327" s="48">
        <f>'2026 - WIP'!AJ32</f>
        <v>3</v>
      </c>
      <c r="AU327" s="48">
        <f>'2026 - WIP'!AK32</f>
        <v>3</v>
      </c>
      <c r="AV327" s="48">
        <f>'2026 - WIP'!AL32</f>
        <v>0</v>
      </c>
      <c r="AW327" s="48">
        <f>'2026 - WIP'!AM32</f>
        <v>2</v>
      </c>
      <c r="AX327" s="48">
        <f>'2026 - WIP'!AN32</f>
        <v>2</v>
      </c>
      <c r="AY327" s="49">
        <f>'2026 - WIP'!AO32</f>
        <v>0</v>
      </c>
      <c r="AZ327" s="50">
        <f>'2026 - WIP'!AP32</f>
        <v>0</v>
      </c>
      <c r="BA327" s="56">
        <f>'2026 - WIP'!AQ32</f>
        <v>31</v>
      </c>
      <c r="BB327" s="57">
        <f>'2026 - WIP'!AR32</f>
        <v>1099.2</v>
      </c>
      <c r="BC327" s="57">
        <f>'2026 - WIP'!AS32</f>
        <v>0</v>
      </c>
      <c r="BD327" s="57">
        <f>'2026 - WIP'!AT32</f>
        <v>10.4</v>
      </c>
      <c r="BE327" s="57">
        <f>'2026 - WIP'!AU32</f>
        <v>11</v>
      </c>
      <c r="BF327" s="57">
        <f>'2026 - WIP'!AV32</f>
        <v>1</v>
      </c>
      <c r="BG327" s="58">
        <f>'2026 - WIP'!AW32</f>
        <v>2.8181818181818183</v>
      </c>
      <c r="BH327" s="58">
        <f>'2026 - WIP'!AX32</f>
        <v>15.7</v>
      </c>
      <c r="BI327" s="58">
        <f>'2026 - WIP'!AY32</f>
        <v>1.73</v>
      </c>
      <c r="BJ327" s="58">
        <f>'2026 - WIP'!AZ32</f>
        <v>0</v>
      </c>
      <c r="BK327" s="57">
        <f>'2026 - WIP'!BA32</f>
        <v>0</v>
      </c>
      <c r="BL327" s="57">
        <f>'2026 - WIP'!BB32</f>
        <v>2613.6</v>
      </c>
      <c r="BM327" s="57">
        <f>'2026 - WIP'!BC32</f>
        <v>0</v>
      </c>
      <c r="BN327" s="57">
        <f>'2026 - WIP'!BD32</f>
        <v>0</v>
      </c>
      <c r="BO327" s="59">
        <f>'2026 - WIP'!BE32</f>
        <v>21.6</v>
      </c>
      <c r="BP327" s="56">
        <f>'2026 - WIP'!BF32</f>
        <v>428</v>
      </c>
      <c r="BQ327" s="57">
        <f>'2026 - WIP'!BG32</f>
        <v>1851</v>
      </c>
      <c r="BR327" s="57">
        <f>'2026 - WIP'!BH32</f>
        <v>2</v>
      </c>
      <c r="BS327" s="57">
        <f>'2026 - WIP'!BI32</f>
        <v>28</v>
      </c>
      <c r="BT327" s="57">
        <f>'2026 - WIP'!BJ32</f>
        <v>80</v>
      </c>
      <c r="BU327" s="57">
        <f>'2026 - WIP'!BK32</f>
        <v>12</v>
      </c>
      <c r="BV327" s="58">
        <f>'2026 - WIP'!BL32</f>
        <v>5.35</v>
      </c>
      <c r="BW327" s="58">
        <f>'2026 - WIP'!BM32</f>
        <v>42</v>
      </c>
      <c r="BX327" s="58">
        <f>'2026 - WIP'!BN32</f>
        <v>2.44</v>
      </c>
      <c r="BY327" s="58">
        <f>'2026 - WIP'!BO32</f>
        <v>28</v>
      </c>
      <c r="BZ327" s="57">
        <f>'2026 - WIP'!BP32</f>
        <v>51</v>
      </c>
      <c r="CA327" s="57">
        <f>'2026 - WIP'!BQ32</f>
        <v>3788</v>
      </c>
      <c r="CB327" s="57">
        <f>'2026 - WIP'!BR32</f>
        <v>7</v>
      </c>
      <c r="CC327" s="57">
        <f>'2026 - WIP'!BS32</f>
        <v>0</v>
      </c>
      <c r="CD327" s="59">
        <f>'2026 - WIP'!BT32</f>
        <v>22</v>
      </c>
      <c r="CE327" s="56">
        <f>'2026 - WIP'!BU32</f>
        <v>967</v>
      </c>
      <c r="CF327" s="57">
        <f>'2026 - WIP'!BV32</f>
        <v>1266</v>
      </c>
      <c r="CG327" s="57">
        <f>'2026 - WIP'!BW32</f>
        <v>9</v>
      </c>
      <c r="CH327" s="57">
        <f>'2026 - WIP'!BX32</f>
        <v>14.399999999999999</v>
      </c>
      <c r="CI327" s="57">
        <f>'2026 - WIP'!BY32</f>
        <v>172</v>
      </c>
      <c r="CJ327" s="57">
        <f>'2026 - WIP'!BZ32</f>
        <v>34</v>
      </c>
      <c r="CK327" s="58">
        <f>'2026 - WIP'!CA32</f>
        <v>5.6220930232558137</v>
      </c>
      <c r="CL327" s="58">
        <f>'2026 - WIP'!CB32</f>
        <v>81.2</v>
      </c>
      <c r="CM327" s="58">
        <f>'2026 - WIP'!CC32</f>
        <v>3.51</v>
      </c>
      <c r="CN327" s="58">
        <f>'2026 - WIP'!CD32</f>
        <v>43.3</v>
      </c>
      <c r="CO327" s="57">
        <f>'2026 - WIP'!CE32</f>
        <v>260</v>
      </c>
      <c r="CP327" s="57">
        <f>'2026 - WIP'!CF32</f>
        <v>3386.3999999999996</v>
      </c>
      <c r="CQ327" s="57">
        <f>'2026 - WIP'!CG32</f>
        <v>7</v>
      </c>
      <c r="CR327" s="57">
        <f>'2026 - WIP'!CH32</f>
        <v>0</v>
      </c>
      <c r="CS327" s="59">
        <f>'2026 - WIP'!CI32</f>
        <v>26.400000000000002</v>
      </c>
      <c r="CT327" s="56">
        <f>'2026 - WIP'!CJ32</f>
        <v>196</v>
      </c>
      <c r="CU327" s="57">
        <f>'2026 - WIP'!CK32</f>
        <v>392.8</v>
      </c>
      <c r="CV327" s="57">
        <f>'2026 - WIP'!CL32</f>
        <v>4</v>
      </c>
      <c r="CW327" s="57">
        <f>'2026 - WIP'!CM32</f>
        <v>6.4</v>
      </c>
      <c r="CX327" s="57">
        <f>'2026 - WIP'!CN32</f>
        <v>60</v>
      </c>
      <c r="CY327" s="57">
        <f>'2026 - WIP'!CO32</f>
        <v>11</v>
      </c>
      <c r="CZ327" s="58">
        <f>'2026 - WIP'!CP32</f>
        <v>3.2666666666666666</v>
      </c>
      <c r="DA327" s="58">
        <f>'2026 - WIP'!CQ32</f>
        <v>45.3</v>
      </c>
      <c r="DB327" s="58">
        <f>'2026 - WIP'!CR32</f>
        <v>2.57</v>
      </c>
      <c r="DC327" s="58">
        <f>'2026 - WIP'!CS32</f>
        <v>40.799999999999997</v>
      </c>
      <c r="DD327" s="57">
        <f>'2026 - WIP'!CT32</f>
        <v>38</v>
      </c>
      <c r="DE327" s="57">
        <f>'2026 - WIP'!CU32</f>
        <v>970</v>
      </c>
      <c r="DF327" s="57">
        <f>'2026 - WIP'!CV32</f>
        <v>8</v>
      </c>
      <c r="DG327" s="57">
        <f>'2026 - WIP'!CW32</f>
        <v>0</v>
      </c>
      <c r="DH327" s="59">
        <f>'2026 - WIP'!CX32</f>
        <v>6</v>
      </c>
      <c r="DI327" s="56">
        <f>'2026 - WIP'!CY32</f>
        <v>0</v>
      </c>
      <c r="DJ327" s="57">
        <f>'2026 - WIP'!CZ32</f>
        <v>1</v>
      </c>
      <c r="DK327" s="57">
        <f>'2026 - WIP'!DA32</f>
        <v>0</v>
      </c>
      <c r="DL327" s="57">
        <f>'2026 - WIP'!DB32</f>
        <v>0</v>
      </c>
      <c r="DM327" s="57">
        <f>'2026 - WIP'!DC32</f>
        <v>0</v>
      </c>
      <c r="DN327" s="57">
        <f>'2026 - WIP'!DD32</f>
        <v>0</v>
      </c>
      <c r="DO327" s="58">
        <f>'2026 - WIP'!DE32</f>
        <v>0</v>
      </c>
      <c r="DP327" s="58">
        <f>'2026 - WIP'!DF32</f>
        <v>0</v>
      </c>
      <c r="DQ327" s="58">
        <f>'2026 - WIP'!DG32</f>
        <v>0</v>
      </c>
      <c r="DR327" s="58">
        <f>'2026 - WIP'!DH32</f>
        <v>0</v>
      </c>
      <c r="DS327" s="57">
        <f>'2026 - WIP'!DI32</f>
        <v>0</v>
      </c>
      <c r="DT327" s="57">
        <f>'2026 - WIP'!DJ32</f>
        <v>1</v>
      </c>
      <c r="DU327" s="57">
        <f>'2026 - WIP'!DK32</f>
        <v>0</v>
      </c>
      <c r="DV327" s="57">
        <f>'2026 - WIP'!DL32</f>
        <v>0</v>
      </c>
      <c r="DW327" s="59">
        <f>'2026 - WIP'!DM32</f>
        <v>0</v>
      </c>
    </row>
    <row r="328" spans="1:127" ht="15.75" customHeight="1" thickBot="1" x14ac:dyDescent="0.25">
      <c r="A328" s="60">
        <f t="shared" si="61"/>
        <v>326</v>
      </c>
      <c r="B328" s="61">
        <f>'2018'!A28</f>
        <v>26</v>
      </c>
      <c r="C328" s="61">
        <v>2018</v>
      </c>
      <c r="D328" s="62" t="str">
        <f>'2018'!B28</f>
        <v>D'Ernest Johnson</v>
      </c>
      <c r="E328" s="225" t="str" cm="1">
        <f t="array" ref="E328">_xlfn.IFS(F328&gt;=13,"Cornerstone",AND(F328&gt;=12,F328&lt;13),"Elite",AND(F328&gt;=11,F328&lt;12),"Elite Upside",AND(F328&gt;=9,F328&lt;11),"Upside",AND(F328&gt;=7,F328&lt;9),"Upside Lite",AND(F328&gt;=6,F328&lt;7),"Outlier",AND(F328&gt;=5,F328&lt;6),"Outlier Lite",F328&lt;5,"Purgatory")</f>
        <v>Purgatory</v>
      </c>
      <c r="F328" s="63">
        <f>'2018'!C28</f>
        <v>0.22222222222222232</v>
      </c>
      <c r="G328" s="63">
        <f t="shared" si="66"/>
        <v>0.3</v>
      </c>
      <c r="H328" s="64">
        <f t="shared" si="62"/>
        <v>-3.2927706702510342</v>
      </c>
      <c r="I328" s="65" t="str">
        <f>'2018'!D28</f>
        <v>South Florida</v>
      </c>
      <c r="J328" s="66">
        <f>'2018'!E28</f>
        <v>6</v>
      </c>
      <c r="K328" s="67">
        <f>'2018'!F28</f>
        <v>35122</v>
      </c>
      <c r="L328" s="68">
        <f>'2018'!G28</f>
        <v>29.602739726027398</v>
      </c>
      <c r="M328" s="68" t="str">
        <f>'2018'!H28</f>
        <v>SR</v>
      </c>
      <c r="N328" s="68">
        <f>'2018'!I28</f>
        <v>22.175342465753424</v>
      </c>
      <c r="O328" s="68" t="str">
        <f t="shared" si="63"/>
        <v>BELL CALF</v>
      </c>
      <c r="P328" s="68" t="str">
        <f>IF(OR(AND($AA328&lt;0.25,$AM328&gt;=0.133,AE328&gt;4%),(AND($O328="JITTERBUG",$AM328&gt;0.11)),(AND($O328="JITTERBUG",$AE328&gt;9.5%))),"+RECEIVER",IF(AND($AJ328&gt;=0.25,$AO328&gt;=3.81),"3DOWN",IF($AO328&gt;=3.81,"HORSE",IF(OR(AJ328&gt;0.28,AK328&gt;7,AP328&gt;47),"SLASHER",IF(AM328&gt;0.19,"+RECEIVER","PLODDER")))))</f>
        <v>PLODDER</v>
      </c>
      <c r="Q328" s="66">
        <f>'2018'!J28</f>
        <v>70</v>
      </c>
      <c r="R328" s="66">
        <f>'2018'!K28</f>
        <v>210</v>
      </c>
      <c r="S328" s="39">
        <f t="shared" si="65"/>
        <v>30.131528834486236</v>
      </c>
      <c r="T328" s="66">
        <f>'2018'!L28</f>
        <v>4.8</v>
      </c>
      <c r="U328" s="69">
        <f>'2018'!M28</f>
        <v>0</v>
      </c>
      <c r="V328" s="70">
        <f>'2018'!N28</f>
        <v>0</v>
      </c>
      <c r="W328" s="71">
        <f>'2018'!O28</f>
        <v>7.029540481400437E-2</v>
      </c>
      <c r="X328" s="71">
        <f>'2018'!P28</f>
        <v>0.11374325030482495</v>
      </c>
      <c r="Y328" s="71">
        <f>'2018'!Q28</f>
        <v>0.12691729323308271</v>
      </c>
      <c r="Z328" s="71">
        <f>'2018'!R28</f>
        <v>0.15513320337881742</v>
      </c>
      <c r="AA328" s="71">
        <f>'2018'!S28</f>
        <v>0.15513320337881742</v>
      </c>
      <c r="AB328" s="71">
        <f>'2018'!T28</f>
        <v>0.10859324236517219</v>
      </c>
      <c r="AC328" s="71">
        <f>'2018'!U28</f>
        <v>9.9625977558653517E-2</v>
      </c>
      <c r="AD328" s="71">
        <f>'2018'!V28</f>
        <v>4.6869768998995649E-2</v>
      </c>
      <c r="AE328" s="71">
        <f>'2018'!W28</f>
        <v>7.324787327882458E-2</v>
      </c>
      <c r="AF328" s="72">
        <f>'2018'!X28</f>
        <v>5.1273511295177203E-2</v>
      </c>
      <c r="AG328" s="73">
        <f>'2018'!Y28</f>
        <v>21.536986301369861</v>
      </c>
      <c r="AH328" s="74">
        <f>'2018'!Z28</f>
        <v>79.119646990740748</v>
      </c>
      <c r="AI328" s="74">
        <f>'2018'!AA28</f>
        <v>30.12857142857143</v>
      </c>
      <c r="AJ328" s="74">
        <f>'2018'!AB28</f>
        <v>0.21818181818181817</v>
      </c>
      <c r="AK328" s="74">
        <f>'2018'!AC28</f>
        <v>5</v>
      </c>
      <c r="AL328" s="74">
        <f t="shared" si="64"/>
        <v>12.657142857142857</v>
      </c>
      <c r="AM328" s="74">
        <f t="shared" si="59"/>
        <v>4.4117647058823532E-2</v>
      </c>
      <c r="AN328" s="74">
        <f>'2018'!AD28</f>
        <v>55.7</v>
      </c>
      <c r="AO328" s="74">
        <f>'2018'!AE28</f>
        <v>2.81</v>
      </c>
      <c r="AP328" s="75">
        <f>'2018'!AF28</f>
        <v>27.5</v>
      </c>
      <c r="AQ328" s="76">
        <f>'2018'!AG28</f>
        <v>0</v>
      </c>
      <c r="AR328" s="77">
        <f>'2018'!AH28</f>
        <v>5</v>
      </c>
      <c r="AS328" s="77">
        <f>'2018'!AI28</f>
        <v>2</v>
      </c>
      <c r="AT328" s="77">
        <f>IF(AH328&gt;113.25,10,IF(AH328&gt;=107.84,9,IF(AH328&gt;=105.37,8,IF(AH328&gt;=103.25,7,IF(AH328&gt;=100.55,6,IF(AH328&gt;=98.75,5,IF(AH328&gt;=96.08,4,IF(AH328&gt;=94.39,3,IF(AH328&gt;=88.43,2,IF(AH328&gt;=85.16,1,IF(AH328&lt;85.16,0,FALSE)))))))))))</f>
        <v>0</v>
      </c>
      <c r="AU328" s="77">
        <f>'2018'!AK28</f>
        <v>4</v>
      </c>
      <c r="AV328" s="77">
        <f>'2018'!AL28</f>
        <v>1</v>
      </c>
      <c r="AW328" s="77">
        <f>'2018'!AM28</f>
        <v>0</v>
      </c>
      <c r="AX328" s="77">
        <f>'2018'!AN28</f>
        <v>0</v>
      </c>
      <c r="AY328" s="78">
        <f>IF(U328=1,10,IF(U328=2,7,IF(U328=3,6,IF(U328=4,4,IF(U328=5,3,IF(U328=6,2,IF(U328=7,1,IF(U328=0,0,"-"))))))))</f>
        <v>0</v>
      </c>
      <c r="AZ328" s="79">
        <f>'2018'!AP28</f>
        <v>0</v>
      </c>
      <c r="BA328" s="80">
        <f>'2018'!AQ28</f>
        <v>0</v>
      </c>
      <c r="BB328" s="81">
        <f>'2018'!AR28</f>
        <v>1064</v>
      </c>
      <c r="BC328" s="81">
        <f>'2018'!AS28</f>
        <v>0</v>
      </c>
      <c r="BD328" s="81">
        <f>'2018'!AT28</f>
        <v>0</v>
      </c>
      <c r="BE328" s="81">
        <f>'2018'!AU28</f>
        <v>0</v>
      </c>
      <c r="BF328" s="81">
        <f>'2018'!AV28</f>
        <v>0</v>
      </c>
      <c r="BG328" s="82">
        <f>'2018'!AW28</f>
        <v>0</v>
      </c>
      <c r="BH328" s="82">
        <f>'2018'!AX28</f>
        <v>0</v>
      </c>
      <c r="BI328" s="82">
        <f>'2018'!AY28</f>
        <v>0</v>
      </c>
      <c r="BJ328" s="82">
        <f>'2018'!AZ28</f>
        <v>0</v>
      </c>
      <c r="BK328" s="81">
        <f>'2018'!BA28</f>
        <v>0</v>
      </c>
      <c r="BL328" s="81">
        <f>'2018'!BB28</f>
        <v>2002</v>
      </c>
      <c r="BM328" s="81">
        <f>'2018'!BC28</f>
        <v>0</v>
      </c>
      <c r="BN328" s="81">
        <f>'2018'!BD28</f>
        <v>0</v>
      </c>
      <c r="BO328" s="83">
        <f>'2018'!BE28</f>
        <v>0</v>
      </c>
      <c r="BP328" s="80">
        <f>'2018'!BF28</f>
        <v>150</v>
      </c>
      <c r="BQ328" s="81">
        <f>'2018'!BG28</f>
        <v>1295</v>
      </c>
      <c r="BR328" s="81">
        <f>'2018'!BH28</f>
        <v>0</v>
      </c>
      <c r="BS328" s="81">
        <f>'2018'!BI28</f>
        <v>0</v>
      </c>
      <c r="BT328" s="81">
        <f>'2018'!BJ28</f>
        <v>46</v>
      </c>
      <c r="BU328" s="81">
        <f>'2018'!BK28</f>
        <v>6</v>
      </c>
      <c r="BV328" s="82">
        <f>'2018'!BL28</f>
        <v>3.3</v>
      </c>
      <c r="BW328" s="82">
        <f>'2018'!BM28</f>
        <v>35.4</v>
      </c>
      <c r="BX328" s="82">
        <f>'2018'!BN28</f>
        <v>1.74</v>
      </c>
      <c r="BY328" s="82">
        <f>'2018'!BO28</f>
        <v>10.7</v>
      </c>
      <c r="BZ328" s="81">
        <f>'2018'!BP28</f>
        <v>107</v>
      </c>
      <c r="CA328" s="81">
        <f>'2018'!BQ28</f>
        <v>2361</v>
      </c>
      <c r="CB328" s="81">
        <f>'2018'!BR28</f>
        <v>8</v>
      </c>
      <c r="CC328" s="81">
        <f>'2018'!BS28</f>
        <v>0</v>
      </c>
      <c r="CD328" s="83">
        <f>'2018'!BT28</f>
        <v>0</v>
      </c>
      <c r="CE328" s="80">
        <f>'2018'!BU28</f>
        <v>307</v>
      </c>
      <c r="CF328" s="81">
        <f>'2018'!BV28</f>
        <v>3205</v>
      </c>
      <c r="CG328" s="81">
        <f>'2018'!BW28</f>
        <v>1</v>
      </c>
      <c r="CH328" s="81">
        <f>'2018'!BX28</f>
        <v>0</v>
      </c>
      <c r="CI328" s="81">
        <f>'2018'!BY28</f>
        <v>71</v>
      </c>
      <c r="CJ328" s="81">
        <f>'2018'!BZ28</f>
        <v>8</v>
      </c>
      <c r="CK328" s="82">
        <f>'2018'!CA28</f>
        <v>4.3</v>
      </c>
      <c r="CL328" s="82">
        <f>'2018'!CB28</f>
        <v>27.6</v>
      </c>
      <c r="CM328" s="82">
        <f>'2018'!CC28</f>
        <v>2.41</v>
      </c>
      <c r="CN328" s="82">
        <f>'2018'!CD28</f>
        <v>13.4</v>
      </c>
      <c r="CO328" s="81">
        <f>'2018'!CE28</f>
        <v>346</v>
      </c>
      <c r="CP328" s="81">
        <f>'2018'!CF28</f>
        <v>2536</v>
      </c>
      <c r="CQ328" s="81">
        <f>'2018'!CG28</f>
        <v>25</v>
      </c>
      <c r="CR328" s="81">
        <f>'2018'!CH28</f>
        <v>0</v>
      </c>
      <c r="CS328" s="83">
        <f>'2018'!CI28</f>
        <v>0</v>
      </c>
      <c r="CT328" s="80">
        <f>'2018'!CJ28</f>
        <v>551</v>
      </c>
      <c r="CU328" s="81">
        <f>'2018'!CK28</f>
        <v>3709</v>
      </c>
      <c r="CV328" s="81">
        <f>'2018'!CL28</f>
        <v>8</v>
      </c>
      <c r="CW328" s="81">
        <f>'2018'!CM28</f>
        <v>0</v>
      </c>
      <c r="CX328" s="81">
        <f>'2018'!CN28</f>
        <v>110</v>
      </c>
      <c r="CY328" s="81">
        <f>'2018'!CO28</f>
        <v>24</v>
      </c>
      <c r="CZ328" s="82">
        <f>'2018'!CP28</f>
        <v>5</v>
      </c>
      <c r="DA328" s="82">
        <f>'2018'!CQ28</f>
        <v>55</v>
      </c>
      <c r="DB328" s="82">
        <f>'2018'!CR28</f>
        <v>2.81</v>
      </c>
      <c r="DC328" s="82">
        <f>'2018'!CS28</f>
        <v>17.8</v>
      </c>
      <c r="DD328" s="81">
        <f>'2018'!CT28</f>
        <v>293</v>
      </c>
      <c r="DE328" s="81">
        <f>'2018'!CU28</f>
        <v>2941</v>
      </c>
      <c r="DF328" s="81">
        <f>'2018'!CV28</f>
        <v>28</v>
      </c>
      <c r="DG328" s="81">
        <f>'2018'!CW28</f>
        <v>0</v>
      </c>
      <c r="DH328" s="83">
        <f>'2018'!CX28</f>
        <v>0</v>
      </c>
      <c r="DI328" s="80">
        <f>'2018'!CY28</f>
        <v>815</v>
      </c>
      <c r="DJ328" s="81">
        <f>'2018'!CZ28</f>
        <v>3169</v>
      </c>
      <c r="DK328" s="81">
        <f>'2018'!DA28</f>
        <v>7</v>
      </c>
      <c r="DL328" s="81">
        <f>'2018'!DB28</f>
        <v>0</v>
      </c>
      <c r="DM328" s="81">
        <f>'2018'!DC28</f>
        <v>195</v>
      </c>
      <c r="DN328" s="81">
        <f>'2018'!DD28</f>
        <v>38</v>
      </c>
      <c r="DO328" s="82">
        <f>'2018'!DE28</f>
        <v>4.2</v>
      </c>
      <c r="DP328" s="82">
        <f>'2018'!DF28</f>
        <v>55.7</v>
      </c>
      <c r="DQ328" s="82">
        <f>'2018'!DG28</f>
        <v>2.64</v>
      </c>
      <c r="DR328" s="82">
        <f>'2018'!DH28</f>
        <v>27.5</v>
      </c>
      <c r="DS328" s="81">
        <f>'2018'!DI28</f>
        <v>140</v>
      </c>
      <c r="DT328" s="81">
        <f>'2018'!DJ28</f>
        <v>2987</v>
      </c>
      <c r="DU328" s="81">
        <f>'2018'!DK28</f>
        <v>9</v>
      </c>
      <c r="DV328" s="81">
        <f>'2018'!DL28</f>
        <v>0</v>
      </c>
      <c r="DW328" s="83">
        <f>'2018'!DM28</f>
        <v>0</v>
      </c>
    </row>
    <row r="329" spans="1:127" ht="15.75" customHeight="1" x14ac:dyDescent="0.2"/>
    <row r="330" spans="1:127" ht="15" customHeight="1" x14ac:dyDescent="0.2">
      <c r="A330" s="11"/>
      <c r="R330" s="233"/>
      <c r="S330" s="233"/>
    </row>
    <row r="331" spans="1:127" ht="15" customHeight="1" x14ac:dyDescent="0.2">
      <c r="AX331" s="217"/>
    </row>
    <row r="332" spans="1:127" ht="15" customHeight="1" x14ac:dyDescent="0.2">
      <c r="AU332" s="218"/>
      <c r="AX332" s="217"/>
    </row>
    <row r="333" spans="1:127" ht="15" customHeight="1" x14ac:dyDescent="0.2">
      <c r="AU333" s="218"/>
      <c r="AX333" s="217"/>
    </row>
    <row r="334" spans="1:127" ht="15" customHeight="1" x14ac:dyDescent="0.2">
      <c r="AU334" s="218"/>
      <c r="AX334" s="217"/>
    </row>
    <row r="335" spans="1:127" ht="15" customHeight="1" x14ac:dyDescent="0.2">
      <c r="AU335" s="218"/>
      <c r="AX335" s="217"/>
    </row>
    <row r="336" spans="1:127" ht="15" customHeight="1" x14ac:dyDescent="0.2">
      <c r="AU336" s="218"/>
      <c r="AX336" s="217"/>
    </row>
    <row r="337" spans="47:50" ht="15" customHeight="1" x14ac:dyDescent="0.2">
      <c r="AU337" s="218"/>
      <c r="AX337" s="217"/>
    </row>
    <row r="338" spans="47:50" ht="15" customHeight="1" x14ac:dyDescent="0.2">
      <c r="AU338" s="218"/>
      <c r="AX338" s="217"/>
    </row>
    <row r="339" spans="47:50" ht="15" customHeight="1" x14ac:dyDescent="0.2">
      <c r="AU339" s="218"/>
      <c r="AX339" s="217"/>
    </row>
    <row r="340" spans="47:50" ht="15" customHeight="1" x14ac:dyDescent="0.2">
      <c r="AU340" s="218"/>
      <c r="AX340" s="217"/>
    </row>
    <row r="341" spans="47:50" ht="15" customHeight="1" x14ac:dyDescent="0.2">
      <c r="AU341" s="218"/>
      <c r="AX341" s="217"/>
    </row>
    <row r="342" spans="47:50" ht="15" customHeight="1" x14ac:dyDescent="0.2">
      <c r="AU342" s="218"/>
    </row>
  </sheetData>
  <autoFilter ref="A2:DW328" xr:uid="{00000000-0009-0000-0000-000002000000}">
    <sortState xmlns:xlrd2="http://schemas.microsoft.com/office/spreadsheetml/2017/richdata2" ref="A3:DW328">
      <sortCondition ref="A2:A328"/>
    </sortState>
  </autoFilter>
  <mergeCells count="10">
    <mergeCell ref="CE1:CS1"/>
    <mergeCell ref="CT1:DH1"/>
    <mergeCell ref="DI1:DW1"/>
    <mergeCell ref="A1:H1"/>
    <mergeCell ref="I1:U1"/>
    <mergeCell ref="V1:AF1"/>
    <mergeCell ref="AG1:AP1"/>
    <mergeCell ref="AQ1:AZ1"/>
    <mergeCell ref="BA1:BO1"/>
    <mergeCell ref="BP1:CD1"/>
  </mergeCells>
  <conditionalFormatting sqref="C2:C328">
    <cfRule type="containsText" dxfId="220" priority="28" stopIfTrue="1" operator="containsText" text="2026">
      <formula>NOT(ISERROR(SEARCH("2026",C2)))</formula>
    </cfRule>
  </conditionalFormatting>
  <conditionalFormatting sqref="D3:D328">
    <cfRule type="expression" dxfId="219" priority="36">
      <formula>F3&lt;5</formula>
    </cfRule>
    <cfRule type="expression" dxfId="218" priority="29" stopIfTrue="1">
      <formula>F3&gt;=13</formula>
    </cfRule>
    <cfRule type="expression" dxfId="217" priority="30">
      <formula>AND(F3&gt;=12,F3&lt;13)</formula>
    </cfRule>
    <cfRule type="expression" dxfId="216" priority="31" stopIfTrue="1">
      <formula>AND(F3&gt;=11,F3&lt;12)</formula>
    </cfRule>
    <cfRule type="expression" dxfId="215" priority="32">
      <formula>AND(F3&gt;=9,F3&lt;11)</formula>
    </cfRule>
    <cfRule type="expression" dxfId="214" priority="33">
      <formula>AND(F3&gt;=7,F3&lt;9)</formula>
    </cfRule>
    <cfRule type="expression" dxfId="213" priority="34" stopIfTrue="1">
      <formula>AND(F3&gt;=6,F3&lt;7)</formula>
    </cfRule>
    <cfRule type="expression" dxfId="212" priority="35" stopIfTrue="1">
      <formula>AND(F3&gt;=5,F3&lt;6)</formula>
    </cfRule>
  </conditionalFormatting>
  <conditionalFormatting sqref="E3:E328">
    <cfRule type="expression" dxfId="211" priority="5" stopIfTrue="1">
      <formula>F3&gt;=13</formula>
    </cfRule>
    <cfRule type="expression" dxfId="210" priority="6">
      <formula>AND(F3&gt;=12,F3&lt;13)</formula>
    </cfRule>
    <cfRule type="expression" dxfId="209" priority="7" stopIfTrue="1">
      <formula>AND(F3&gt;=11,F3&lt;12)</formula>
    </cfRule>
    <cfRule type="expression" dxfId="208" priority="8">
      <formula>AND(F3&gt;=9,F3&lt;11)</formula>
    </cfRule>
    <cfRule type="expression" dxfId="207" priority="9">
      <formula>AND(F3&gt;=7,F3&lt;9)</formula>
    </cfRule>
    <cfRule type="expression" dxfId="206" priority="10" stopIfTrue="1">
      <formula>AND(F3&gt;=6,F3&lt;7)</formula>
    </cfRule>
    <cfRule type="expression" dxfId="205" priority="11" stopIfTrue="1">
      <formula>AND(F3&gt;=5,F3&lt;6)</formula>
    </cfRule>
    <cfRule type="expression" dxfId="204" priority="12">
      <formula>F3&lt;5</formula>
    </cfRule>
  </conditionalFormatting>
  <conditionalFormatting sqref="F3:F328">
    <cfRule type="colorScale" priority="6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G328">
    <cfRule type="colorScale" priority="6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:M328">
    <cfRule type="containsText" dxfId="203" priority="37" operator="containsText" text="SR">
      <formula>NOT(ISERROR(SEARCH(("SR"),(M3))))</formula>
    </cfRule>
  </conditionalFormatting>
  <conditionalFormatting sqref="V2:Z328">
    <cfRule type="cellIs" dxfId="202" priority="1" operator="equal">
      <formula>0</formula>
    </cfRule>
    <cfRule type="cellIs" dxfId="201" priority="2" operator="between">
      <formula>0.15</formula>
      <formula>0.1999</formula>
    </cfRule>
  </conditionalFormatting>
  <conditionalFormatting sqref="V5:AB302">
    <cfRule type="colorScale" priority="3">
      <colorScale>
        <cfvo type="formula" val="0.14999"/>
        <cfvo type="formula" val="0.15"/>
        <cfvo type="formula" val="0.4"/>
        <color rgb="FFFACACA"/>
        <color rgb="FFB5F694"/>
        <color rgb="FF00C059"/>
      </colorScale>
    </cfRule>
  </conditionalFormatting>
  <conditionalFormatting sqref="V303:AB326">
    <cfRule type="colorScale" priority="45">
      <colorScale>
        <cfvo type="formula" val="0.14999"/>
        <cfvo type="formula" val="0.15"/>
        <cfvo type="formula" val="0.4"/>
        <color rgb="FFFACACA"/>
        <color rgb="FFB5F694"/>
        <color rgb="FF00C059"/>
      </colorScale>
    </cfRule>
  </conditionalFormatting>
  <conditionalFormatting sqref="V327:AB328 V2:AB4">
    <cfRule type="colorScale" priority="40">
      <colorScale>
        <cfvo type="formula" val="0.14999"/>
        <cfvo type="formula" val="0.15"/>
        <cfvo type="formula" val="0.4"/>
        <color rgb="FFFACACA"/>
        <color rgb="FFB5F694"/>
        <color rgb="FF00C059"/>
      </colorScale>
    </cfRule>
  </conditionalFormatting>
  <conditionalFormatting sqref="AC5:AD3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03:AD326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27:AD328 AC3:AD4 AC35:AD30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E2">
    <cfRule type="colorScale" priority="42">
      <colorScale>
        <cfvo type="formula" val="0.14999"/>
        <cfvo type="formula" val="0.15"/>
        <cfvo type="formula" val="0.4"/>
        <color rgb="FFFACACA"/>
        <color rgb="FFB5F694"/>
        <color rgb="FF00C059"/>
      </colorScale>
    </cfRule>
  </conditionalFormatting>
  <conditionalFormatting sqref="AE3:AE328">
    <cfRule type="colorScale" priority="6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:AF328">
    <cfRule type="colorScale" priority="6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E598"/>
  </sheetPr>
  <dimension ref="B3:U1000"/>
  <sheetViews>
    <sheetView workbookViewId="0">
      <selection activeCell="C5" sqref="C5"/>
    </sheetView>
  </sheetViews>
  <sheetFormatPr baseColWidth="10" defaultColWidth="14.5" defaultRowHeight="15" customHeight="1" x14ac:dyDescent="0.2"/>
  <cols>
    <col min="1" max="1" width="7" customWidth="1"/>
    <col min="2" max="2" width="12" customWidth="1"/>
    <col min="3" max="3" width="16.5" customWidth="1"/>
    <col min="4" max="4" width="3.33203125" customWidth="1"/>
    <col min="5" max="5" width="19.6640625" customWidth="1"/>
    <col min="6" max="6" width="6.5" customWidth="1"/>
    <col min="7" max="7" width="12.1640625" bestFit="1" customWidth="1"/>
    <col min="9" max="9" width="12" bestFit="1" customWidth="1"/>
    <col min="10" max="10" width="16.6640625" bestFit="1" customWidth="1"/>
    <col min="11" max="11" width="3.33203125" customWidth="1"/>
    <col min="12" max="12" width="19.6640625" bestFit="1" customWidth="1"/>
    <col min="13" max="13" width="6.5" bestFit="1" customWidth="1"/>
    <col min="14" max="14" width="12.1640625" bestFit="1" customWidth="1"/>
    <col min="16" max="16" width="12" bestFit="1" customWidth="1"/>
    <col min="18" max="18" width="3.33203125" customWidth="1"/>
    <col min="19" max="19" width="19.6640625" bestFit="1" customWidth="1"/>
    <col min="20" max="20" width="6.5" bestFit="1" customWidth="1"/>
    <col min="21" max="21" width="12.1640625" bestFit="1" customWidth="1"/>
  </cols>
  <sheetData>
    <row r="3" spans="2:21" ht="15" customHeight="1" thickBot="1" x14ac:dyDescent="0.25"/>
    <row r="4" spans="2:21" x14ac:dyDescent="0.2">
      <c r="B4" s="258" t="s">
        <v>200</v>
      </c>
      <c r="C4" s="249"/>
      <c r="D4" s="7"/>
      <c r="E4" s="84" t="s">
        <v>201</v>
      </c>
      <c r="F4" s="85" t="s">
        <v>202</v>
      </c>
      <c r="G4" s="86" t="s">
        <v>203</v>
      </c>
      <c r="I4" s="258" t="s">
        <v>200</v>
      </c>
      <c r="J4" s="249"/>
      <c r="K4" s="7"/>
      <c r="L4" s="84" t="s">
        <v>201</v>
      </c>
      <c r="M4" s="85" t="s">
        <v>202</v>
      </c>
      <c r="N4" s="86" t="s">
        <v>203</v>
      </c>
      <c r="P4" s="258" t="s">
        <v>200</v>
      </c>
      <c r="Q4" s="249"/>
      <c r="R4" s="7"/>
      <c r="S4" s="84" t="s">
        <v>201</v>
      </c>
      <c r="T4" s="85" t="s">
        <v>202</v>
      </c>
      <c r="U4" s="86" t="s">
        <v>203</v>
      </c>
    </row>
    <row r="5" spans="2:21" x14ac:dyDescent="0.2">
      <c r="B5" s="87" t="s">
        <v>54</v>
      </c>
      <c r="C5" s="88" t="s">
        <v>220</v>
      </c>
      <c r="D5" s="7"/>
      <c r="E5" s="89" t="s">
        <v>204</v>
      </c>
      <c r="F5" s="90">
        <f>VLOOKUP($C$5,Overall!$D$3:$AZ$328,39,FALSE)</f>
        <v>56.1</v>
      </c>
      <c r="G5" s="91" t="e" cm="1">
        <f t="array" ref="G5">_xlfn.IFS(F5=10,"A+",F5=9,"A",F5=8,"B+",F5=7,"B",F5=6,"B-",F5=5,"C+",F5=4,"C",F5=3,"C-",F5=2,"D+",F5=1,"D",F5=0,"F")</f>
        <v>#N/A</v>
      </c>
      <c r="I5" s="87" t="s">
        <v>54</v>
      </c>
      <c r="J5" s="88" t="s">
        <v>230</v>
      </c>
      <c r="K5" s="7"/>
      <c r="L5" s="89" t="s">
        <v>204</v>
      </c>
      <c r="M5" s="90">
        <f>VLOOKUP($J$5,Overall!$D$3:$AZ$328,39,FALSE)</f>
        <v>50.1</v>
      </c>
      <c r="N5" s="91" t="e" cm="1">
        <f t="array" ref="N5">_xlfn.IFS(M5=10,"A+",M5=9,"A",M5=8,"B+",M5=7,"B",M5=6,"B-",M5=5,"C+",M5=4,"C",M5=3,"C-",M5=2,"D+",M5=1,"D",M5=0,"F")</f>
        <v>#N/A</v>
      </c>
      <c r="P5" s="87" t="s">
        <v>54</v>
      </c>
      <c r="Q5" s="88" t="s">
        <v>245</v>
      </c>
      <c r="R5" s="7"/>
      <c r="S5" s="89" t="s">
        <v>204</v>
      </c>
      <c r="T5" s="90">
        <f>VLOOKUP($Q$5,Overall!$D$3:$AZ$328,39,FALSE)</f>
        <v>60.5</v>
      </c>
      <c r="U5" s="91" t="e" cm="1">
        <f t="array" ref="U5">_xlfn.IFS(T5=10,"A+",T5=9,"A",T5=8,"B+",T5=7,"B",T5=6,"B-",T5=5,"C+",T5=4,"C",T5=3,"C-",T5=2,"D+",T5=1,"D",T5=0,"F")</f>
        <v>#N/A</v>
      </c>
    </row>
    <row r="6" spans="2:21" x14ac:dyDescent="0.2">
      <c r="B6" s="92" t="s">
        <v>168</v>
      </c>
      <c r="C6" s="93" t="str">
        <f>VLOOKUP($C$5,Overall!$D$3:$AZ$328,6,FALSE)</f>
        <v>Iowa</v>
      </c>
      <c r="D6" s="7"/>
      <c r="E6" s="89" t="s">
        <v>205</v>
      </c>
      <c r="F6" s="90">
        <f>VLOOKUP($C$5,Overall!$D$3:$AZ$328,40,FALSE)</f>
        <v>10</v>
      </c>
      <c r="G6" s="94" t="str" cm="1">
        <f t="array" ref="G6">_xlfn.IFS(F6=10,"A+",F6=9,"A",F6=8,"B+",F6=7,"B",F6=6,"B-",F6=5,"C+",F6=4,"C",F6=3,"C-",F6=2,"D+",F6=1,"D",F6=0,"F")</f>
        <v>A+</v>
      </c>
      <c r="I6" s="92" t="s">
        <v>168</v>
      </c>
      <c r="J6" s="93" t="str">
        <f>VLOOKUP($J$5,Overall!$D$3:$AZ$328,6,FALSE)</f>
        <v>Auburn</v>
      </c>
      <c r="K6" s="7"/>
      <c r="L6" s="89" t="s">
        <v>205</v>
      </c>
      <c r="M6" s="90">
        <f>VLOOKUP($J$5,Overall!$D$3:$AZ$328,40,FALSE)</f>
        <v>6</v>
      </c>
      <c r="N6" s="94" t="str" cm="1">
        <f t="array" ref="N6">_xlfn.IFS(M6=10,"A+",M6=9,"A",M6=8,"B+",M6=7,"B",M6=6,"B-",M6=5,"C+",M6=4,"C",M6=3,"C-",M6=2,"D+",M6=1,"D",M6=0,"F")</f>
        <v>B-</v>
      </c>
      <c r="P6" s="92" t="s">
        <v>168</v>
      </c>
      <c r="Q6" s="93" t="str">
        <f>VLOOKUP($Q$5,Overall!$D$3:$AZ$328,6,FALSE)</f>
        <v>TCU</v>
      </c>
      <c r="R6" s="7"/>
      <c r="S6" s="89" t="s">
        <v>205</v>
      </c>
      <c r="T6" s="90">
        <f>VLOOKUP($Q$5,Overall!$D$3:$AZ$328,40,FALSE)</f>
        <v>3</v>
      </c>
      <c r="U6" s="94" t="str" cm="1">
        <f t="array" ref="U6">_xlfn.IFS(T6=10,"A+",T6=9,"A",T6=8,"B+",T6=7,"B",T6=6,"B-",T6=5,"C+",T6=4,"C",T6=3,"C-",T6=2,"D+",T6=1,"D",T6=0,"F")</f>
        <v>C-</v>
      </c>
    </row>
    <row r="7" spans="2:21" x14ac:dyDescent="0.2">
      <c r="B7" s="92" t="s">
        <v>57</v>
      </c>
      <c r="C7" s="95" t="str">
        <f>VLOOKUP($C$5,Overall!$D$3:$AZ$328,10,FALSE)</f>
        <v>JR</v>
      </c>
      <c r="D7" s="7"/>
      <c r="E7" s="89" t="s">
        <v>206</v>
      </c>
      <c r="F7" s="90">
        <f>VLOOKUP($C$5,Overall!$D$3:$AZ$328,41,FALSE)</f>
        <v>9</v>
      </c>
      <c r="G7" s="94" t="str" cm="1">
        <f t="array" ref="G7">_xlfn.IFS(F7=10,"A+",F7=9,"A",F7=8,"B+",F7=7,"B",F7=6,"B-",F7=5,"C+",F7=4,"C",F7=3,"C-",F7=2,"D+",F7=1,"D",F7=0,"F")</f>
        <v>A</v>
      </c>
      <c r="I7" s="92" t="s">
        <v>57</v>
      </c>
      <c r="J7" s="95" t="str">
        <f>VLOOKUP($J$5,Overall!$D$3:$AZ$328,10,FALSE)</f>
        <v>JR</v>
      </c>
      <c r="K7" s="7"/>
      <c r="L7" s="89" t="s">
        <v>206</v>
      </c>
      <c r="M7" s="90">
        <f>VLOOKUP($J$5,Overall!$D$3:$AZ$328,41,FALSE)</f>
        <v>8</v>
      </c>
      <c r="N7" s="94" t="str" cm="1">
        <f t="array" ref="N7">_xlfn.IFS(M7=10,"A+",M7=9,"A",M7=8,"B+",M7=7,"B",M7=6,"B-",M7=5,"C+",M7=4,"C",M7=3,"C-",M7=2,"D+",M7=1,"D",M7=0,"F")</f>
        <v>B+</v>
      </c>
      <c r="P7" s="92" t="s">
        <v>57</v>
      </c>
      <c r="Q7" s="95" t="str">
        <f>VLOOKUP($Q$5,Overall!$D$3:$AZ$328,10,FALSE)</f>
        <v>JR</v>
      </c>
      <c r="R7" s="7"/>
      <c r="S7" s="89" t="s">
        <v>206</v>
      </c>
      <c r="T7" s="90">
        <f>VLOOKUP($Q$5,Overall!$D$3:$AZ$328,41,FALSE)</f>
        <v>3</v>
      </c>
      <c r="U7" s="94" t="str" cm="1">
        <f t="array" ref="U7">_xlfn.IFS(T7=10,"A+",T7=9,"A",T7=8,"B+",T7=7,"B",T7=6,"B-",T7=5,"C+",T7=4,"C",T7=3,"C-",T7=2,"D+",T7=1,"D",T7=0,"F")</f>
        <v>C-</v>
      </c>
    </row>
    <row r="8" spans="2:21" x14ac:dyDescent="0.2">
      <c r="B8" s="92" t="s">
        <v>49</v>
      </c>
      <c r="C8" s="95" t="str">
        <f>VLOOKUP($C$5,Overall!$D$3:$AZ$328,12,FALSE)</f>
        <v>BELL COW</v>
      </c>
      <c r="D8" s="7"/>
      <c r="E8" s="89" t="s">
        <v>207</v>
      </c>
      <c r="F8" s="90">
        <f>VLOOKUP($C$5,Overall!$D$3:$AZ$328,42,FALSE)</f>
        <v>8</v>
      </c>
      <c r="G8" s="94" t="str" cm="1">
        <f t="array" ref="G8">_xlfn.IFS(F8=10,"A+",F8=9,"A",F8=8,"B+",F8=7,"B",F8=6,"B-",F8=5,"C+",F8=4,"C",F8=3,"C-",F8=2,"D+",F8=1,"D",F8=0,"F")</f>
        <v>B+</v>
      </c>
      <c r="I8" s="92" t="s">
        <v>49</v>
      </c>
      <c r="J8" s="95" t="str">
        <f>VLOOKUP($J$5,Overall!$D$3:$AZ$328,12,FALSE)</f>
        <v>BELL COW</v>
      </c>
      <c r="K8" s="7"/>
      <c r="L8" s="89" t="s">
        <v>207</v>
      </c>
      <c r="M8" s="90">
        <f>VLOOKUP($J$5,Overall!$D$3:$AZ$328,42,FALSE)</f>
        <v>8</v>
      </c>
      <c r="N8" s="94" t="str" cm="1">
        <f t="array" ref="N8">_xlfn.IFS(M8=10,"A+",M8=9,"A",M8=8,"B+",M8=7,"B",M8=6,"B-",M8=5,"C+",M8=4,"C",M8=3,"C-",M8=2,"D+",M8=1,"D",M8=0,"F")</f>
        <v>B+</v>
      </c>
      <c r="P8" s="92" t="s">
        <v>49</v>
      </c>
      <c r="Q8" s="95" t="str">
        <f>VLOOKUP($Q$5,Overall!$D$3:$AZ$328,12,FALSE)</f>
        <v>BELL COW</v>
      </c>
      <c r="R8" s="7"/>
      <c r="S8" s="89" t="s">
        <v>207</v>
      </c>
      <c r="T8" s="90">
        <f>VLOOKUP($Q$5,Overall!$D$3:$AZ$328,42,FALSE)</f>
        <v>4</v>
      </c>
      <c r="U8" s="94" t="str" cm="1">
        <f t="array" ref="U8">_xlfn.IFS(T8=10,"A+",T8=9,"A",T8=8,"B+",T8=7,"B",T8=6,"B-",T8=5,"C+",T8=4,"C",T8=3,"C-",T8=2,"D+",T8=1,"D",T8=0,"F")</f>
        <v>C</v>
      </c>
    </row>
    <row r="9" spans="2:21" x14ac:dyDescent="0.2">
      <c r="B9" s="92" t="s">
        <v>51</v>
      </c>
      <c r="C9" s="95" t="str">
        <f>VLOOKUP($C$5,Overall!$D$3:$AZ$328,13,FALSE)</f>
        <v>3DOWN</v>
      </c>
      <c r="D9" s="7"/>
      <c r="E9" s="89" t="s">
        <v>180</v>
      </c>
      <c r="F9" s="90">
        <f>VLOOKUP($C$5,Overall!$D$3:$AZ$328,43,FALSE)</f>
        <v>6</v>
      </c>
      <c r="G9" s="94" t="str" cm="1">
        <f t="array" ref="G9">_xlfn.IFS(F9=10,"A+",F9=9,"A",F9=8,"B+",F9=7,"B",F9=6,"B-",F9=5,"C+",F9=4,"C",F9=3,"C-",F9=2,"D+",F9=1,"D",F9=0,"F")</f>
        <v>B-</v>
      </c>
      <c r="I9" s="92" t="s">
        <v>51</v>
      </c>
      <c r="J9" s="95" t="str">
        <f>VLOOKUP($J$5,Overall!$D$3:$AZ$328,13,FALSE)</f>
        <v>3DOWN</v>
      </c>
      <c r="K9" s="7"/>
      <c r="L9" s="89" t="s">
        <v>180</v>
      </c>
      <c r="M9" s="90">
        <f>VLOOKUP($J$5,Overall!$D$3:$AZ$328,43,FALSE)</f>
        <v>4</v>
      </c>
      <c r="N9" s="94" t="str" cm="1">
        <f t="array" ref="N9">_xlfn.IFS(M9=10,"A+",M9=9,"A",M9=8,"B+",M9=7,"B",M9=6,"B-",M9=5,"C+",M9=4,"C",M9=3,"C-",M9=2,"D+",M9=1,"D",M9=0,"F")</f>
        <v>C</v>
      </c>
      <c r="P9" s="92" t="s">
        <v>51</v>
      </c>
      <c r="Q9" s="95" t="str">
        <f>VLOOKUP($Q$5,Overall!$D$3:$AZ$328,13,FALSE)</f>
        <v>3DOWN</v>
      </c>
      <c r="R9" s="7"/>
      <c r="S9" s="89" t="s">
        <v>180</v>
      </c>
      <c r="T9" s="90">
        <f>VLOOKUP($Q$5,Overall!$D$3:$AZ$328,43,FALSE)</f>
        <v>4</v>
      </c>
      <c r="U9" s="94" t="str" cm="1">
        <f t="array" ref="U9">_xlfn.IFS(T9=10,"A+",T9=9,"A",T9=8,"B+",T9=7,"B",T9=6,"B-",T9=5,"C+",T9=4,"C",T9=3,"C-",T9=2,"D+",T9=1,"D",T9=0,"F")</f>
        <v>C</v>
      </c>
    </row>
    <row r="10" spans="2:21" x14ac:dyDescent="0.2">
      <c r="B10" s="92" t="s">
        <v>170</v>
      </c>
      <c r="C10" s="93">
        <f>VLOOKUP($C$5,Overall!$D$3:$AZ$328,14,FALSE)</f>
        <v>73</v>
      </c>
      <c r="D10" s="7"/>
      <c r="E10" s="89" t="s">
        <v>8</v>
      </c>
      <c r="F10" s="90">
        <f>VLOOKUP($C$5,Overall!$D$3:$AZ$328,44,FALSE)</f>
        <v>9</v>
      </c>
      <c r="G10" s="94" t="str" cm="1">
        <f t="array" ref="G10">_xlfn.IFS(F10=10,"A+",F10=9,"A",F10=8,"B+",F10=7,"B",F10=6,"B-",F10=5,"C+",F10=4,"C",F10=3,"C-",F10=2,"D+",F10=1,"D",F10=0,"F")</f>
        <v>A</v>
      </c>
      <c r="I10" s="92" t="s">
        <v>170</v>
      </c>
      <c r="J10" s="93">
        <f>VLOOKUP($J$5,Overall!$D$3:$AZ$328,14,FALSE)</f>
        <v>72</v>
      </c>
      <c r="K10" s="7"/>
      <c r="L10" s="89" t="s">
        <v>8</v>
      </c>
      <c r="M10" s="90">
        <f>VLOOKUP($J$5,Overall!$D$3:$AZ$328,44,FALSE)</f>
        <v>9</v>
      </c>
      <c r="N10" s="94" t="str" cm="1">
        <f t="array" ref="N10">_xlfn.IFS(M10=10,"A+",M10=9,"A",M10=8,"B+",M10=7,"B",M10=6,"B-",M10=5,"C+",M10=4,"C",M10=3,"C-",M10=2,"D+",M10=1,"D",M10=0,"F")</f>
        <v>A</v>
      </c>
      <c r="P10" s="92" t="s">
        <v>170</v>
      </c>
      <c r="Q10" s="93">
        <f>VLOOKUP($Q$5,Overall!$D$3:$AZ$328,14,FALSE)</f>
        <v>71</v>
      </c>
      <c r="R10" s="7"/>
      <c r="S10" s="89" t="s">
        <v>8</v>
      </c>
      <c r="T10" s="90">
        <f>VLOOKUP($Q$5,Overall!$D$3:$AZ$328,44,FALSE)</f>
        <v>9</v>
      </c>
      <c r="U10" s="94" t="str" cm="1">
        <f t="array" ref="U10">_xlfn.IFS(T10=10,"A+",T10=9,"A",T10=8,"B+",T10=7,"B",T10=6,"B-",T10=5,"C+",T10=4,"C",T10=3,"C-",T10=2,"D+",T10=1,"D",T10=0,"F")</f>
        <v>A</v>
      </c>
    </row>
    <row r="11" spans="2:21" x14ac:dyDescent="0.2">
      <c r="B11" s="92" t="s">
        <v>171</v>
      </c>
      <c r="C11" s="93">
        <f>VLOOKUP($C$5,Overall!$D$3:$AZ$328,15,FALSE)</f>
        <v>224</v>
      </c>
      <c r="D11" s="7"/>
      <c r="E11" s="89" t="s">
        <v>10</v>
      </c>
      <c r="F11" s="90">
        <f>VLOOKUP($C$5,Overall!$D$3:$AZ$328,46,FALSE)</f>
        <v>7</v>
      </c>
      <c r="G11" s="94" t="str" cm="1">
        <f t="array" ref="G11">_xlfn.IFS(F11=10,"A+",F11=9,"A",F11=8,"B+",F11=7,"B",F11=6,"B-",F11=5,"C+",F11=4,"C",F11=3,"C-",F11=2,"D+",F11=1,"D",F11=0,"F")</f>
        <v>B</v>
      </c>
      <c r="I11" s="92" t="s">
        <v>171</v>
      </c>
      <c r="J11" s="93">
        <f>VLOOKUP($J$5,Overall!$D$3:$AZ$328,15,FALSE)</f>
        <v>210</v>
      </c>
      <c r="K11" s="7"/>
      <c r="L11" s="89" t="s">
        <v>10</v>
      </c>
      <c r="M11" s="90">
        <f>VLOOKUP($J$5,Overall!$D$3:$AZ$328,46,FALSE)</f>
        <v>7</v>
      </c>
      <c r="N11" s="94" t="str" cm="1">
        <f t="array" ref="N11">_xlfn.IFS(M11=10,"A+",M11=9,"A",M11=8,"B+",M11=7,"B",M11=6,"B-",M11=5,"C+",M11=4,"C",M11=3,"C-",M11=2,"D+",M11=1,"D",M11=0,"F")</f>
        <v>B</v>
      </c>
      <c r="P11" s="92" t="s">
        <v>171</v>
      </c>
      <c r="Q11" s="93">
        <f>VLOOKUP($Q$5,Overall!$D$3:$AZ$328,15,FALSE)</f>
        <v>215</v>
      </c>
      <c r="R11" s="7"/>
      <c r="S11" s="89" t="s">
        <v>10</v>
      </c>
      <c r="T11" s="90">
        <f>VLOOKUP($Q$5,Overall!$D$3:$AZ$328,46,FALSE)</f>
        <v>8</v>
      </c>
      <c r="U11" s="94" t="str" cm="1">
        <f t="array" ref="U11">_xlfn.IFS(T11=10,"A+",T11=9,"A",T11=8,"B+",T11=7,"B",T11=6,"B-",T11=5,"C+",T11=4,"C",T11=3,"C-",T11=2,"D+",T11=1,"D",T11=0,"F")</f>
        <v>B+</v>
      </c>
    </row>
    <row r="12" spans="2:21" ht="16" thickBot="1" x14ac:dyDescent="0.25">
      <c r="B12" s="92" t="s">
        <v>172</v>
      </c>
      <c r="C12" s="93">
        <f>VLOOKUP($C$5,Overall!$D$3:$AZ$328,16,FALSE)</f>
        <v>29.55290999716922</v>
      </c>
      <c r="D12" s="7"/>
      <c r="E12" s="96" t="s">
        <v>208</v>
      </c>
      <c r="F12" s="97">
        <f>VLOOKUP($C$5,Overall!$D$3:$AZ$328,45,FALSE)</f>
        <v>5</v>
      </c>
      <c r="G12" s="98" t="str" cm="1">
        <f t="array" ref="G12">_xlfn.IFS(F12=10,"A+",F12=9,"A",F12=8,"B+",F12=7,"B",F12=6,"B-",F12=5,"C+",F12=4,"C",F12=3,"C-",F12=2,"D+",F12=1,"D",F12=0,"F")</f>
        <v>C+</v>
      </c>
      <c r="I12" s="92" t="s">
        <v>172</v>
      </c>
      <c r="J12" s="93">
        <f>VLOOKUP($J$5,Overall!$D$3:$AZ$328,16,FALSE)</f>
        <v>28.480804646794478</v>
      </c>
      <c r="K12" s="7"/>
      <c r="L12" s="96" t="s">
        <v>208</v>
      </c>
      <c r="M12" s="97">
        <f>VLOOKUP($J$5,Overall!$D$3:$AZ$328,45,FALSE)</f>
        <v>3</v>
      </c>
      <c r="N12" s="98" t="str" cm="1">
        <f t="array" ref="N12">_xlfn.IFS(M12=10,"A+",M12=9,"A",M12=8,"B+",M12=7,"B",M12=6,"B-",M12=5,"C+",M12=4,"C",M12=3,"C-",M12=2,"D+",M12=1,"D",M12=0,"F")</f>
        <v>C-</v>
      </c>
      <c r="P12" s="92" t="s">
        <v>172</v>
      </c>
      <c r="Q12" s="93">
        <f>VLOOKUP($Q$5,Overall!$D$3:$AZ$328,16,FALSE)</f>
        <v>29.986081396483367</v>
      </c>
      <c r="R12" s="7"/>
      <c r="S12" s="96" t="s">
        <v>208</v>
      </c>
      <c r="T12" s="97">
        <f>VLOOKUP($Q$5,Overall!$D$3:$AZ$328,45,FALSE)</f>
        <v>8</v>
      </c>
      <c r="U12" s="98" t="str" cm="1">
        <f t="array" ref="U12">_xlfn.IFS(T12=10,"A+",T12=9,"A",T12=8,"B+",T12=7,"B",T12=6,"B-",T12=5,"C+",T12=4,"C",T12=3,"C-",T12=2,"D+",T12=1,"D",T12=0,"F")</f>
        <v>B+</v>
      </c>
    </row>
    <row r="13" spans="2:21" ht="16" thickBot="1" x14ac:dyDescent="0.25">
      <c r="B13" s="99" t="s">
        <v>59</v>
      </c>
      <c r="C13" s="100">
        <f>VLOOKUP($C$5,Overall!$D$3:$AZ$328,17,FALSE)</f>
        <v>4.57</v>
      </c>
      <c r="D13" s="7"/>
      <c r="E13" s="7"/>
      <c r="F13" s="7"/>
      <c r="G13" s="7"/>
      <c r="I13" s="99" t="s">
        <v>59</v>
      </c>
      <c r="J13" s="100">
        <f>VLOOKUP($J$5,Overall!$D$3:$AZ$328,17,FALSE)</f>
        <v>4.5599999999999996</v>
      </c>
      <c r="K13" s="7"/>
      <c r="L13" s="7"/>
      <c r="M13" s="7"/>
      <c r="N13" s="7"/>
      <c r="P13" s="99" t="s">
        <v>59</v>
      </c>
      <c r="Q13" s="100">
        <f>VLOOKUP($Q$5,Overall!$D$3:$AZ$328,17,FALSE)</f>
        <v>4.58</v>
      </c>
      <c r="R13" s="7"/>
      <c r="S13" s="7"/>
      <c r="T13" s="7"/>
      <c r="U13" s="7"/>
    </row>
    <row r="14" spans="2:21" x14ac:dyDescent="0.2">
      <c r="B14" s="7"/>
      <c r="C14" s="7"/>
      <c r="D14" s="7"/>
      <c r="E14" s="258" t="s">
        <v>209</v>
      </c>
      <c r="F14" s="248"/>
      <c r="G14" s="249"/>
      <c r="I14" s="7"/>
      <c r="J14" s="7"/>
      <c r="K14" s="7"/>
      <c r="L14" s="258" t="s">
        <v>209</v>
      </c>
      <c r="M14" s="248"/>
      <c r="N14" s="249"/>
      <c r="P14" s="7"/>
      <c r="Q14" s="7"/>
      <c r="R14" s="7"/>
      <c r="S14" s="258" t="s">
        <v>209</v>
      </c>
      <c r="T14" s="248"/>
      <c r="U14" s="249"/>
    </row>
    <row r="15" spans="2:21" ht="16" thickBot="1" x14ac:dyDescent="0.25">
      <c r="B15" s="7"/>
      <c r="C15" s="7"/>
      <c r="D15" s="7"/>
      <c r="E15" s="101" t="s">
        <v>2</v>
      </c>
      <c r="F15" s="102">
        <f>VLOOKUP($C$5,Overall!$D$3:$H$328,3,FALSE)</f>
        <v>11.466666666666667</v>
      </c>
      <c r="G15" s="103">
        <f>VLOOKUP($C$5,Overall!$D$3:$H$328,4,FALSE)</f>
        <v>93.2</v>
      </c>
      <c r="H15" s="202"/>
      <c r="I15" s="7"/>
      <c r="J15" s="7"/>
      <c r="K15" s="7"/>
      <c r="L15" s="101" t="s">
        <v>2</v>
      </c>
      <c r="M15" s="102">
        <f>VLOOKUP($J$5,Overall!$D$3:$H$328,3,FALSE)</f>
        <v>10.899999999999999</v>
      </c>
      <c r="N15" s="203">
        <f>VLOOKUP($J$5,Overall!$D$3:$H$328,4,FALSE)</f>
        <v>90.8</v>
      </c>
      <c r="P15" s="7"/>
      <c r="Q15" s="7"/>
      <c r="R15" s="7"/>
      <c r="S15" s="101" t="s">
        <v>2</v>
      </c>
      <c r="T15" s="102">
        <f>VLOOKUP($Q$5,Overall!$D$3:$H$328,3,FALSE)</f>
        <v>9.0888888888888903</v>
      </c>
      <c r="U15" s="203">
        <f>VLOOKUP($Q$5,Overall!$D$3:$H$328,4,FALSE)</f>
        <v>76.400000000000006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6">
    <mergeCell ref="S14:U14"/>
    <mergeCell ref="B4:C4"/>
    <mergeCell ref="E14:G14"/>
    <mergeCell ref="I4:J4"/>
    <mergeCell ref="L14:N14"/>
    <mergeCell ref="P4:Q4"/>
  </mergeCells>
  <conditionalFormatting sqref="G5:G12">
    <cfRule type="cellIs" dxfId="200" priority="33" operator="equal">
      <formula>"F"</formula>
    </cfRule>
    <cfRule type="cellIs" dxfId="199" priority="32" operator="equal">
      <formula>"D"</formula>
    </cfRule>
    <cfRule type="cellIs" dxfId="198" priority="31" operator="equal">
      <formula>"D+"</formula>
    </cfRule>
    <cfRule type="cellIs" dxfId="197" priority="30" operator="equal">
      <formula>"C-"</formula>
    </cfRule>
    <cfRule type="cellIs" dxfId="196" priority="29" operator="equal">
      <formula>"C"</formula>
    </cfRule>
    <cfRule type="cellIs" dxfId="195" priority="28" operator="equal">
      <formula>"C+"</formula>
    </cfRule>
    <cfRule type="cellIs" dxfId="194" priority="27" operator="equal">
      <formula>"B-"</formula>
    </cfRule>
    <cfRule type="cellIs" dxfId="193" priority="26" operator="equal">
      <formula>"B"</formula>
    </cfRule>
    <cfRule type="cellIs" dxfId="192" priority="25" operator="equal">
      <formula>"B+"</formula>
    </cfRule>
    <cfRule type="cellIs" dxfId="191" priority="24" operator="equal">
      <formula>"A"</formula>
    </cfRule>
    <cfRule type="cellIs" dxfId="190" priority="23" operator="equal">
      <formula>"A+"</formula>
    </cfRule>
  </conditionalFormatting>
  <conditionalFormatting sqref="N5:N12">
    <cfRule type="cellIs" dxfId="189" priority="17" operator="equal">
      <formula>"C+"</formula>
    </cfRule>
    <cfRule type="cellIs" dxfId="188" priority="13" operator="equal">
      <formula>"A"</formula>
    </cfRule>
    <cfRule type="cellIs" dxfId="187" priority="14" operator="equal">
      <formula>"B+"</formula>
    </cfRule>
    <cfRule type="cellIs" dxfId="186" priority="15" operator="equal">
      <formula>"B"</formula>
    </cfRule>
    <cfRule type="cellIs" dxfId="185" priority="16" operator="equal">
      <formula>"B-"</formula>
    </cfRule>
    <cfRule type="cellIs" dxfId="184" priority="12" operator="equal">
      <formula>"A+"</formula>
    </cfRule>
    <cfRule type="cellIs" dxfId="183" priority="18" operator="equal">
      <formula>"C"</formula>
    </cfRule>
    <cfRule type="cellIs" dxfId="182" priority="19" operator="equal">
      <formula>"C-"</formula>
    </cfRule>
    <cfRule type="cellIs" dxfId="181" priority="20" operator="equal">
      <formula>"D+"</formula>
    </cfRule>
    <cfRule type="cellIs" dxfId="180" priority="21" operator="equal">
      <formula>"D"</formula>
    </cfRule>
    <cfRule type="cellIs" dxfId="179" priority="22" operator="equal">
      <formula>"F"</formula>
    </cfRule>
  </conditionalFormatting>
  <conditionalFormatting sqref="U5:U12">
    <cfRule type="cellIs" dxfId="178" priority="11" operator="equal">
      <formula>"F"</formula>
    </cfRule>
    <cfRule type="cellIs" dxfId="177" priority="10" operator="equal">
      <formula>"D"</formula>
    </cfRule>
    <cfRule type="cellIs" dxfId="176" priority="9" operator="equal">
      <formula>"D+"</formula>
    </cfRule>
    <cfRule type="cellIs" dxfId="175" priority="8" operator="equal">
      <formula>"C-"</formula>
    </cfRule>
    <cfRule type="cellIs" dxfId="174" priority="7" operator="equal">
      <formula>"C"</formula>
    </cfRule>
    <cfRule type="cellIs" dxfId="173" priority="6" operator="equal">
      <formula>"C+"</formula>
    </cfRule>
    <cfRule type="cellIs" dxfId="172" priority="5" operator="equal">
      <formula>"B-"</formula>
    </cfRule>
    <cfRule type="cellIs" dxfId="171" priority="4" operator="equal">
      <formula>"B"</formula>
    </cfRule>
    <cfRule type="cellIs" dxfId="170" priority="3" operator="equal">
      <formula>"B+"</formula>
    </cfRule>
    <cfRule type="cellIs" dxfId="169" priority="2" operator="equal">
      <formula>"A"</formula>
    </cfRule>
    <cfRule type="cellIs" dxfId="168" priority="1" operator="equal">
      <formula>"A+"</formula>
    </cfRule>
  </conditionalFormatting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B4C6E7"/>
  </sheetPr>
  <dimension ref="A1:E1000"/>
  <sheetViews>
    <sheetView workbookViewId="0"/>
  </sheetViews>
  <sheetFormatPr baseColWidth="10" defaultColWidth="14.5" defaultRowHeight="15" customHeight="1" x14ac:dyDescent="0.2"/>
  <cols>
    <col min="1" max="1" width="8.83203125" customWidth="1"/>
    <col min="2" max="2" width="23.6640625" customWidth="1"/>
    <col min="3" max="4" width="12.33203125" customWidth="1"/>
    <col min="5" max="5" width="25.83203125" customWidth="1"/>
    <col min="6" max="6" width="8.83203125" customWidth="1"/>
  </cols>
  <sheetData>
    <row r="1" spans="1:5" x14ac:dyDescent="0.2">
      <c r="A1" s="34" t="s">
        <v>56</v>
      </c>
      <c r="B1" s="104" t="s">
        <v>58</v>
      </c>
      <c r="C1" s="105" t="s">
        <v>2</v>
      </c>
      <c r="D1" s="105" t="s">
        <v>166</v>
      </c>
      <c r="E1" s="11"/>
    </row>
    <row r="2" spans="1:5" x14ac:dyDescent="0.2">
      <c r="A2" s="11">
        <v>1</v>
      </c>
      <c r="B2" s="34" t="s">
        <v>210</v>
      </c>
      <c r="C2" s="14">
        <v>14.477777777777778</v>
      </c>
      <c r="D2" s="14">
        <v>99.5</v>
      </c>
      <c r="E2" s="106" t="s">
        <v>211</v>
      </c>
    </row>
    <row r="3" spans="1:5" x14ac:dyDescent="0.2">
      <c r="A3" s="11">
        <v>2</v>
      </c>
      <c r="B3" s="34" t="s">
        <v>212</v>
      </c>
      <c r="C3" s="14">
        <v>14.277777777777779</v>
      </c>
      <c r="D3" s="14">
        <v>99.1</v>
      </c>
      <c r="E3" s="11" t="s">
        <v>213</v>
      </c>
    </row>
    <row r="4" spans="1:5" x14ac:dyDescent="0.2">
      <c r="A4" s="11">
        <v>3</v>
      </c>
      <c r="B4" s="34" t="s">
        <v>86</v>
      </c>
      <c r="C4" s="14">
        <v>13.427777777777777</v>
      </c>
      <c r="D4" s="14">
        <v>98.7</v>
      </c>
      <c r="E4" s="11"/>
    </row>
    <row r="5" spans="1:5" x14ac:dyDescent="0.2">
      <c r="A5" s="11">
        <v>4</v>
      </c>
      <c r="B5" s="34" t="s">
        <v>126</v>
      </c>
      <c r="C5" s="14">
        <v>12.588888888888889</v>
      </c>
      <c r="D5" s="14">
        <v>98.3</v>
      </c>
      <c r="E5" s="107" t="s">
        <v>214</v>
      </c>
    </row>
    <row r="6" spans="1:5" x14ac:dyDescent="0.2">
      <c r="A6" s="11">
        <v>5</v>
      </c>
      <c r="B6" s="34" t="s">
        <v>215</v>
      </c>
      <c r="C6" s="14">
        <v>12.572222222222223</v>
      </c>
      <c r="D6" s="14">
        <v>97.899999999999991</v>
      </c>
      <c r="E6" s="11" t="s">
        <v>216</v>
      </c>
    </row>
    <row r="7" spans="1:5" x14ac:dyDescent="0.2">
      <c r="A7" s="11">
        <v>6</v>
      </c>
      <c r="B7" s="34" t="s">
        <v>217</v>
      </c>
      <c r="C7" s="14">
        <v>12.277777777777779</v>
      </c>
      <c r="D7" s="14">
        <v>97.5</v>
      </c>
      <c r="E7" s="11"/>
    </row>
    <row r="8" spans="1:5" x14ac:dyDescent="0.2">
      <c r="A8" s="11">
        <v>7</v>
      </c>
      <c r="B8" s="34" t="s">
        <v>218</v>
      </c>
      <c r="C8" s="14">
        <v>12.222222222222221</v>
      </c>
      <c r="D8" s="14">
        <v>97.1</v>
      </c>
      <c r="E8" s="11"/>
    </row>
    <row r="9" spans="1:5" x14ac:dyDescent="0.2">
      <c r="A9" s="11">
        <v>8</v>
      </c>
      <c r="B9" s="34" t="s">
        <v>63</v>
      </c>
      <c r="C9" s="14">
        <v>12.18888888888889</v>
      </c>
      <c r="D9" s="14">
        <v>96.7</v>
      </c>
      <c r="E9" s="11"/>
    </row>
    <row r="10" spans="1:5" x14ac:dyDescent="0.2">
      <c r="A10" s="11">
        <v>9</v>
      </c>
      <c r="B10" s="34" t="s">
        <v>66</v>
      </c>
      <c r="C10" s="14">
        <v>11.838888888888889</v>
      </c>
      <c r="D10" s="14">
        <v>96.2</v>
      </c>
      <c r="E10" s="108" t="s">
        <v>219</v>
      </c>
    </row>
    <row r="11" spans="1:5" x14ac:dyDescent="0.2">
      <c r="A11" s="11">
        <v>10</v>
      </c>
      <c r="B11" s="34" t="s">
        <v>220</v>
      </c>
      <c r="C11" s="14">
        <v>11.827777777777778</v>
      </c>
      <c r="D11" s="14">
        <v>95.8</v>
      </c>
      <c r="E11" s="11" t="s">
        <v>221</v>
      </c>
    </row>
    <row r="12" spans="1:5" x14ac:dyDescent="0.2">
      <c r="A12" s="11">
        <v>11</v>
      </c>
      <c r="B12" s="34" t="s">
        <v>222</v>
      </c>
      <c r="C12" s="14">
        <v>11.733333333333333</v>
      </c>
      <c r="D12" s="14">
        <v>95.399999999999991</v>
      </c>
      <c r="E12" s="11"/>
    </row>
    <row r="13" spans="1:5" x14ac:dyDescent="0.2">
      <c r="A13" s="11">
        <v>12</v>
      </c>
      <c r="B13" s="34" t="s">
        <v>141</v>
      </c>
      <c r="C13" s="14">
        <v>11.666666666666666</v>
      </c>
      <c r="D13" s="14">
        <v>95</v>
      </c>
      <c r="E13" s="11"/>
    </row>
    <row r="14" spans="1:5" x14ac:dyDescent="0.2">
      <c r="A14" s="11">
        <v>13</v>
      </c>
      <c r="B14" s="34" t="s">
        <v>129</v>
      </c>
      <c r="C14" s="14">
        <v>11.56111111111111</v>
      </c>
      <c r="D14" s="14">
        <v>94.6</v>
      </c>
      <c r="E14" s="11"/>
    </row>
    <row r="15" spans="1:5" x14ac:dyDescent="0.2">
      <c r="A15" s="11">
        <v>14</v>
      </c>
      <c r="B15" s="34" t="s">
        <v>223</v>
      </c>
      <c r="C15" s="14">
        <v>11.52222222222222</v>
      </c>
      <c r="D15" s="14">
        <v>94.199999999999989</v>
      </c>
      <c r="E15" s="11"/>
    </row>
    <row r="16" spans="1:5" x14ac:dyDescent="0.2">
      <c r="A16" s="11">
        <v>15</v>
      </c>
      <c r="B16" s="34" t="s">
        <v>67</v>
      </c>
      <c r="C16" s="14">
        <v>11.444444444444445</v>
      </c>
      <c r="D16" s="14">
        <v>93.8</v>
      </c>
      <c r="E16" s="11"/>
    </row>
    <row r="17" spans="1:5" x14ac:dyDescent="0.2">
      <c r="A17" s="11">
        <v>16</v>
      </c>
      <c r="B17" s="34" t="s">
        <v>70</v>
      </c>
      <c r="C17" s="14">
        <v>11.2</v>
      </c>
      <c r="D17" s="14">
        <v>93.4</v>
      </c>
      <c r="E17" s="11"/>
    </row>
    <row r="18" spans="1:5" x14ac:dyDescent="0.2">
      <c r="A18" s="11">
        <v>17</v>
      </c>
      <c r="B18" s="34" t="s">
        <v>103</v>
      </c>
      <c r="C18" s="14">
        <v>11.100000000000001</v>
      </c>
      <c r="D18" s="14">
        <v>92.5</v>
      </c>
      <c r="E18" s="11"/>
    </row>
    <row r="19" spans="1:5" x14ac:dyDescent="0.2">
      <c r="A19" s="11">
        <v>17</v>
      </c>
      <c r="B19" s="34" t="s">
        <v>224</v>
      </c>
      <c r="C19" s="14">
        <v>11.100000000000001</v>
      </c>
      <c r="D19" s="14">
        <v>92.5</v>
      </c>
      <c r="E19" s="11"/>
    </row>
    <row r="20" spans="1:5" x14ac:dyDescent="0.2">
      <c r="A20" s="11">
        <v>19</v>
      </c>
      <c r="B20" s="34" t="s">
        <v>225</v>
      </c>
      <c r="C20" s="14">
        <v>10.927777777777777</v>
      </c>
      <c r="D20" s="14">
        <v>92.100000000000009</v>
      </c>
      <c r="E20" s="109" t="s">
        <v>226</v>
      </c>
    </row>
    <row r="21" spans="1:5" ht="15.75" customHeight="1" x14ac:dyDescent="0.2">
      <c r="A21" s="11">
        <v>20</v>
      </c>
      <c r="B21" s="34" t="s">
        <v>227</v>
      </c>
      <c r="C21" s="14">
        <v>10.855555555555556</v>
      </c>
      <c r="D21" s="14">
        <v>91.7</v>
      </c>
      <c r="E21" s="11" t="s">
        <v>228</v>
      </c>
    </row>
    <row r="22" spans="1:5" ht="15.75" customHeight="1" x14ac:dyDescent="0.2">
      <c r="A22" s="11">
        <v>21</v>
      </c>
      <c r="B22" s="34" t="s">
        <v>64</v>
      </c>
      <c r="C22" s="14">
        <v>10.844444444444443</v>
      </c>
      <c r="D22" s="14">
        <v>91.3</v>
      </c>
      <c r="E22" s="11"/>
    </row>
    <row r="23" spans="1:5" ht="15.75" customHeight="1" x14ac:dyDescent="0.2">
      <c r="A23" s="11">
        <v>22</v>
      </c>
      <c r="B23" s="34" t="s">
        <v>130</v>
      </c>
      <c r="C23" s="14">
        <v>10.794444444444444</v>
      </c>
      <c r="D23" s="14">
        <v>90.9</v>
      </c>
      <c r="E23" s="11"/>
    </row>
    <row r="24" spans="1:5" ht="15.75" customHeight="1" x14ac:dyDescent="0.2">
      <c r="A24" s="11">
        <v>23</v>
      </c>
      <c r="B24" s="34" t="s">
        <v>92</v>
      </c>
      <c r="C24" s="14">
        <v>10.766666666666667</v>
      </c>
      <c r="D24" s="14">
        <v>90.5</v>
      </c>
      <c r="E24" s="11"/>
    </row>
    <row r="25" spans="1:5" ht="15.75" customHeight="1" x14ac:dyDescent="0.2">
      <c r="A25" s="11">
        <v>24</v>
      </c>
      <c r="B25" s="34" t="s">
        <v>229</v>
      </c>
      <c r="C25" s="14">
        <v>10.722222222222221</v>
      </c>
      <c r="D25" s="14">
        <v>90.100000000000009</v>
      </c>
      <c r="E25" s="11"/>
    </row>
    <row r="26" spans="1:5" ht="15.75" customHeight="1" x14ac:dyDescent="0.2">
      <c r="A26" s="11">
        <v>25</v>
      </c>
      <c r="B26" s="34" t="s">
        <v>230</v>
      </c>
      <c r="C26" s="14">
        <v>10.677777777777777</v>
      </c>
      <c r="D26" s="14">
        <v>89.7</v>
      </c>
      <c r="E26" s="11"/>
    </row>
    <row r="27" spans="1:5" ht="15.75" customHeight="1" x14ac:dyDescent="0.2">
      <c r="A27" s="11">
        <v>26</v>
      </c>
      <c r="B27" s="34" t="s">
        <v>139</v>
      </c>
      <c r="C27" s="14">
        <v>10.583333333333334</v>
      </c>
      <c r="D27" s="14">
        <v>89.3</v>
      </c>
      <c r="E27" s="11"/>
    </row>
    <row r="28" spans="1:5" ht="15.75" customHeight="1" x14ac:dyDescent="0.2">
      <c r="A28" s="11">
        <v>27</v>
      </c>
      <c r="B28" s="34" t="s">
        <v>106</v>
      </c>
      <c r="C28" s="14">
        <v>10.433333333333334</v>
      </c>
      <c r="D28" s="14">
        <v>88.8</v>
      </c>
      <c r="E28" s="11"/>
    </row>
    <row r="29" spans="1:5" ht="15.75" customHeight="1" x14ac:dyDescent="0.2">
      <c r="A29" s="11">
        <v>28</v>
      </c>
      <c r="B29" s="34" t="s">
        <v>127</v>
      </c>
      <c r="C29" s="14">
        <v>10.355555555555556</v>
      </c>
      <c r="D29" s="14">
        <v>88.4</v>
      </c>
      <c r="E29" s="11"/>
    </row>
    <row r="30" spans="1:5" ht="15.75" customHeight="1" x14ac:dyDescent="0.2">
      <c r="A30" s="11">
        <v>29</v>
      </c>
      <c r="B30" s="34" t="s">
        <v>231</v>
      </c>
      <c r="C30" s="14">
        <v>10.283333333333333</v>
      </c>
      <c r="D30" s="14">
        <v>88</v>
      </c>
      <c r="E30" s="11"/>
    </row>
    <row r="31" spans="1:5" ht="15.75" customHeight="1" x14ac:dyDescent="0.2">
      <c r="A31" s="11">
        <v>30</v>
      </c>
      <c r="B31" s="34" t="s">
        <v>128</v>
      </c>
      <c r="C31" s="14">
        <v>10.205555555555556</v>
      </c>
      <c r="D31" s="14">
        <v>87.6</v>
      </c>
      <c r="E31" s="11"/>
    </row>
    <row r="32" spans="1:5" ht="15.75" customHeight="1" x14ac:dyDescent="0.2">
      <c r="A32" s="11">
        <v>31</v>
      </c>
      <c r="B32" s="34" t="s">
        <v>90</v>
      </c>
      <c r="C32" s="14">
        <v>10.105555555555556</v>
      </c>
      <c r="D32" s="14">
        <v>87.2</v>
      </c>
      <c r="E32" s="11"/>
    </row>
    <row r="33" spans="1:5" ht="15.75" customHeight="1" x14ac:dyDescent="0.2">
      <c r="A33" s="11">
        <v>32</v>
      </c>
      <c r="B33" s="34" t="s">
        <v>88</v>
      </c>
      <c r="C33" s="14">
        <v>10.044444444444444</v>
      </c>
      <c r="D33" s="14">
        <v>86.8</v>
      </c>
      <c r="E33" s="11"/>
    </row>
    <row r="34" spans="1:5" ht="15.75" customHeight="1" x14ac:dyDescent="0.2">
      <c r="A34" s="11">
        <v>33</v>
      </c>
      <c r="B34" s="34" t="s">
        <v>65</v>
      </c>
      <c r="C34" s="14">
        <v>9.9888888888888889</v>
      </c>
      <c r="D34" s="14">
        <v>86.4</v>
      </c>
      <c r="E34" s="11"/>
    </row>
    <row r="35" spans="1:5" ht="15.75" customHeight="1" x14ac:dyDescent="0.2">
      <c r="A35" s="11">
        <v>34</v>
      </c>
      <c r="B35" s="34" t="s">
        <v>87</v>
      </c>
      <c r="C35" s="14">
        <v>9.8888888888888893</v>
      </c>
      <c r="D35" s="14">
        <v>86</v>
      </c>
      <c r="E35" s="11"/>
    </row>
    <row r="36" spans="1:5" ht="15.75" customHeight="1" x14ac:dyDescent="0.2">
      <c r="A36" s="11">
        <v>35</v>
      </c>
      <c r="B36" s="34" t="s">
        <v>109</v>
      </c>
      <c r="C36" s="14">
        <v>9.8555555555555543</v>
      </c>
      <c r="D36" s="14">
        <v>85.5</v>
      </c>
      <c r="E36" s="11"/>
    </row>
    <row r="37" spans="1:5" ht="15.75" customHeight="1" x14ac:dyDescent="0.2">
      <c r="A37" s="11">
        <v>36</v>
      </c>
      <c r="B37" s="34" t="s">
        <v>133</v>
      </c>
      <c r="C37" s="14">
        <v>9.8500000000000014</v>
      </c>
      <c r="D37" s="14">
        <v>85.1</v>
      </c>
      <c r="E37" s="11"/>
    </row>
    <row r="38" spans="1:5" ht="15.75" customHeight="1" x14ac:dyDescent="0.2">
      <c r="A38" s="11">
        <v>37</v>
      </c>
      <c r="B38" s="34" t="s">
        <v>232</v>
      </c>
      <c r="C38" s="14">
        <v>9.8055555555555554</v>
      </c>
      <c r="D38" s="14">
        <v>84.7</v>
      </c>
      <c r="E38" s="11"/>
    </row>
    <row r="39" spans="1:5" ht="15.75" customHeight="1" x14ac:dyDescent="0.2">
      <c r="A39" s="11">
        <v>38</v>
      </c>
      <c r="B39" s="34" t="s">
        <v>233</v>
      </c>
      <c r="C39" s="14">
        <v>9.7166666666666668</v>
      </c>
      <c r="D39" s="14">
        <v>84.3</v>
      </c>
      <c r="E39" s="11"/>
    </row>
    <row r="40" spans="1:5" ht="15.75" customHeight="1" x14ac:dyDescent="0.2">
      <c r="A40" s="11">
        <v>39</v>
      </c>
      <c r="B40" s="34" t="s">
        <v>234</v>
      </c>
      <c r="C40" s="14">
        <v>9.7055555555555557</v>
      </c>
      <c r="D40" s="14">
        <v>83.899999999999991</v>
      </c>
      <c r="E40" s="11"/>
    </row>
    <row r="41" spans="1:5" ht="15.75" customHeight="1" x14ac:dyDescent="0.2">
      <c r="A41" s="11">
        <v>40</v>
      </c>
      <c r="B41" s="34" t="s">
        <v>235</v>
      </c>
      <c r="C41" s="14">
        <v>9.5888888888888903</v>
      </c>
      <c r="D41" s="14">
        <v>83.5</v>
      </c>
      <c r="E41" s="11"/>
    </row>
    <row r="42" spans="1:5" ht="15.75" customHeight="1" x14ac:dyDescent="0.2">
      <c r="A42" s="11">
        <v>41</v>
      </c>
      <c r="B42" s="34" t="s">
        <v>236</v>
      </c>
      <c r="C42" s="14">
        <v>9.5722222222222229</v>
      </c>
      <c r="D42" s="14">
        <v>83.1</v>
      </c>
      <c r="E42" s="11"/>
    </row>
    <row r="43" spans="1:5" ht="15.75" customHeight="1" x14ac:dyDescent="0.2">
      <c r="A43" s="11">
        <v>42</v>
      </c>
      <c r="B43" s="34" t="s">
        <v>237</v>
      </c>
      <c r="C43" s="14">
        <v>9.5555555555555554</v>
      </c>
      <c r="D43" s="14">
        <v>82.699999999999989</v>
      </c>
      <c r="E43" s="11"/>
    </row>
    <row r="44" spans="1:5" ht="15.75" customHeight="1" x14ac:dyDescent="0.2">
      <c r="A44" s="11">
        <v>43</v>
      </c>
      <c r="B44" s="34" t="s">
        <v>238</v>
      </c>
      <c r="C44" s="14">
        <v>9.466666666666665</v>
      </c>
      <c r="D44" s="14">
        <v>82.3</v>
      </c>
      <c r="E44" s="11"/>
    </row>
    <row r="45" spans="1:5" ht="15.75" customHeight="1" x14ac:dyDescent="0.2">
      <c r="A45" s="11">
        <v>44</v>
      </c>
      <c r="B45" s="34" t="s">
        <v>71</v>
      </c>
      <c r="C45" s="14">
        <v>9.4555555555555557</v>
      </c>
      <c r="D45" s="14">
        <v>81.8</v>
      </c>
      <c r="E45" s="11"/>
    </row>
    <row r="46" spans="1:5" ht="15.75" customHeight="1" x14ac:dyDescent="0.2">
      <c r="A46" s="11">
        <v>45</v>
      </c>
      <c r="B46" s="34" t="s">
        <v>239</v>
      </c>
      <c r="C46" s="14">
        <v>9.3944444444444457</v>
      </c>
      <c r="D46" s="14">
        <v>81.399999999999991</v>
      </c>
      <c r="E46" s="11"/>
    </row>
    <row r="47" spans="1:5" ht="15.75" customHeight="1" x14ac:dyDescent="0.2">
      <c r="A47" s="11">
        <v>46</v>
      </c>
      <c r="B47" s="34" t="s">
        <v>104</v>
      </c>
      <c r="C47" s="14">
        <v>9.3222222222222229</v>
      </c>
      <c r="D47" s="14">
        <v>81</v>
      </c>
      <c r="E47" s="11"/>
    </row>
    <row r="48" spans="1:5" ht="15.75" customHeight="1" x14ac:dyDescent="0.2">
      <c r="A48" s="11">
        <v>47</v>
      </c>
      <c r="B48" s="34" t="s">
        <v>240</v>
      </c>
      <c r="C48" s="14">
        <v>9.3055555555555554</v>
      </c>
      <c r="D48" s="14">
        <v>80.600000000000009</v>
      </c>
      <c r="E48" s="11"/>
    </row>
    <row r="49" spans="1:5" ht="15.75" customHeight="1" x14ac:dyDescent="0.2">
      <c r="A49" s="11">
        <v>48</v>
      </c>
      <c r="B49" s="34" t="s">
        <v>241</v>
      </c>
      <c r="C49" s="14">
        <v>9.2388888888888889</v>
      </c>
      <c r="D49" s="14">
        <v>80.2</v>
      </c>
      <c r="E49" s="11"/>
    </row>
    <row r="50" spans="1:5" ht="15.75" customHeight="1" x14ac:dyDescent="0.2">
      <c r="A50" s="11">
        <v>49</v>
      </c>
      <c r="B50" s="34" t="s">
        <v>143</v>
      </c>
      <c r="C50" s="14">
        <v>9.1555555555555568</v>
      </c>
      <c r="D50" s="14">
        <v>79.400000000000006</v>
      </c>
      <c r="E50" s="11"/>
    </row>
    <row r="51" spans="1:5" ht="15.75" customHeight="1" x14ac:dyDescent="0.2">
      <c r="A51" s="11">
        <v>49</v>
      </c>
      <c r="B51" s="34" t="s">
        <v>131</v>
      </c>
      <c r="C51" s="14">
        <v>9.1555555555555568</v>
      </c>
      <c r="D51" s="14">
        <v>79.400000000000006</v>
      </c>
      <c r="E51" s="11"/>
    </row>
    <row r="52" spans="1:5" ht="15.75" customHeight="1" x14ac:dyDescent="0.2">
      <c r="A52" s="11">
        <v>51</v>
      </c>
      <c r="B52" s="34" t="s">
        <v>107</v>
      </c>
      <c r="C52" s="14">
        <v>8.9944444444444436</v>
      </c>
      <c r="D52" s="14">
        <v>79</v>
      </c>
      <c r="E52" s="110" t="s">
        <v>242</v>
      </c>
    </row>
    <row r="53" spans="1:5" ht="15.75" customHeight="1" x14ac:dyDescent="0.2">
      <c r="A53" s="11">
        <v>52</v>
      </c>
      <c r="B53" s="34" t="s">
        <v>94</v>
      </c>
      <c r="C53" s="14">
        <v>8.9888888888888889</v>
      </c>
      <c r="D53" s="14">
        <v>78.600000000000009</v>
      </c>
      <c r="E53" s="11" t="s">
        <v>243</v>
      </c>
    </row>
    <row r="54" spans="1:5" ht="15.75" customHeight="1" x14ac:dyDescent="0.2">
      <c r="A54" s="11">
        <v>53</v>
      </c>
      <c r="B54" s="34" t="s">
        <v>76</v>
      </c>
      <c r="C54" s="14">
        <v>8.9333333333333336</v>
      </c>
      <c r="D54" s="14">
        <v>78.100000000000009</v>
      </c>
      <c r="E54" s="11"/>
    </row>
    <row r="55" spans="1:5" ht="15.75" customHeight="1" x14ac:dyDescent="0.2">
      <c r="A55" s="11">
        <v>54</v>
      </c>
      <c r="B55" s="34" t="s">
        <v>244</v>
      </c>
      <c r="C55" s="14">
        <v>8.8833333333333329</v>
      </c>
      <c r="D55" s="14">
        <v>77.7</v>
      </c>
      <c r="E55" s="11"/>
    </row>
    <row r="56" spans="1:5" ht="15.75" customHeight="1" x14ac:dyDescent="0.2">
      <c r="A56" s="11">
        <v>55</v>
      </c>
      <c r="B56" s="34" t="s">
        <v>245</v>
      </c>
      <c r="C56" s="14">
        <v>8.8666666666666671</v>
      </c>
      <c r="D56" s="14">
        <v>77.3</v>
      </c>
      <c r="E56" s="11"/>
    </row>
    <row r="57" spans="1:5" ht="15.75" customHeight="1" x14ac:dyDescent="0.2">
      <c r="A57" s="11">
        <v>56</v>
      </c>
      <c r="B57" s="34" t="s">
        <v>142</v>
      </c>
      <c r="C57" s="14">
        <v>8.81111111111111</v>
      </c>
      <c r="D57" s="14">
        <v>76.5</v>
      </c>
      <c r="E57" s="11"/>
    </row>
    <row r="58" spans="1:5" ht="15.75" customHeight="1" x14ac:dyDescent="0.2">
      <c r="A58" s="11">
        <v>56</v>
      </c>
      <c r="B58" s="34" t="s">
        <v>246</v>
      </c>
      <c r="C58" s="14">
        <v>8.81111111111111</v>
      </c>
      <c r="D58" s="14">
        <v>76.5</v>
      </c>
      <c r="E58" s="2"/>
    </row>
    <row r="59" spans="1:5" ht="15.75" customHeight="1" x14ac:dyDescent="0.2">
      <c r="A59" s="11">
        <v>58</v>
      </c>
      <c r="B59" s="34" t="s">
        <v>68</v>
      </c>
      <c r="C59" s="14">
        <v>8.7722222222222204</v>
      </c>
      <c r="D59" s="14">
        <v>76.099999999999994</v>
      </c>
      <c r="E59" s="11"/>
    </row>
    <row r="60" spans="1:5" ht="15.75" customHeight="1" x14ac:dyDescent="0.2">
      <c r="A60" s="11">
        <v>59</v>
      </c>
      <c r="B60" s="34" t="s">
        <v>247</v>
      </c>
      <c r="C60" s="14">
        <v>8.7666666666666675</v>
      </c>
      <c r="D60" s="14">
        <v>75.7</v>
      </c>
      <c r="E60" s="11"/>
    </row>
    <row r="61" spans="1:5" ht="15.75" customHeight="1" x14ac:dyDescent="0.2">
      <c r="A61" s="11">
        <v>60</v>
      </c>
      <c r="B61" s="34" t="s">
        <v>248</v>
      </c>
      <c r="C61" s="14">
        <v>8.5944444444444432</v>
      </c>
      <c r="D61" s="14">
        <v>75.3</v>
      </c>
      <c r="E61" s="11"/>
    </row>
    <row r="62" spans="1:5" ht="15.75" customHeight="1" x14ac:dyDescent="0.2">
      <c r="A62" s="11">
        <v>61</v>
      </c>
      <c r="B62" s="34" t="s">
        <v>249</v>
      </c>
      <c r="C62" s="14">
        <v>8.5777777777777775</v>
      </c>
      <c r="D62" s="14">
        <v>74.8</v>
      </c>
      <c r="E62" s="11"/>
    </row>
    <row r="63" spans="1:5" ht="15.75" customHeight="1" x14ac:dyDescent="0.2">
      <c r="A63" s="11">
        <v>62</v>
      </c>
      <c r="B63" s="34" t="s">
        <v>250</v>
      </c>
      <c r="C63" s="14">
        <v>8.5500000000000007</v>
      </c>
      <c r="D63" s="14">
        <v>74.400000000000006</v>
      </c>
      <c r="E63" s="11"/>
    </row>
    <row r="64" spans="1:5" ht="15.75" customHeight="1" x14ac:dyDescent="0.2">
      <c r="A64" s="11">
        <v>63</v>
      </c>
      <c r="B64" s="34" t="s">
        <v>105</v>
      </c>
      <c r="C64" s="14">
        <v>8.5222222222222221</v>
      </c>
      <c r="D64" s="14">
        <v>74</v>
      </c>
      <c r="E64" s="11"/>
    </row>
    <row r="65" spans="1:5" ht="15.75" customHeight="1" x14ac:dyDescent="0.2">
      <c r="A65" s="11">
        <v>64</v>
      </c>
      <c r="B65" s="34" t="s">
        <v>251</v>
      </c>
      <c r="C65" s="14">
        <v>8.5</v>
      </c>
      <c r="D65" s="14">
        <v>73.599999999999994</v>
      </c>
      <c r="E65" s="11"/>
    </row>
    <row r="66" spans="1:5" ht="15.75" customHeight="1" x14ac:dyDescent="0.2">
      <c r="A66" s="11">
        <v>65</v>
      </c>
      <c r="B66" s="34" t="s">
        <v>110</v>
      </c>
      <c r="C66" s="14">
        <v>8.3888888888888893</v>
      </c>
      <c r="D66" s="14">
        <v>73.2</v>
      </c>
      <c r="E66" s="11"/>
    </row>
    <row r="67" spans="1:5" ht="15.75" customHeight="1" x14ac:dyDescent="0.2">
      <c r="A67" s="11">
        <v>66</v>
      </c>
      <c r="B67" s="34" t="s">
        <v>252</v>
      </c>
      <c r="C67" s="14">
        <v>8.3611111111111107</v>
      </c>
      <c r="D67" s="14">
        <v>72.8</v>
      </c>
      <c r="E67" s="11"/>
    </row>
    <row r="68" spans="1:5" ht="15.75" customHeight="1" x14ac:dyDescent="0.2">
      <c r="A68" s="11">
        <v>67</v>
      </c>
      <c r="B68" s="34" t="s">
        <v>253</v>
      </c>
      <c r="C68" s="14">
        <v>8.3555555555555561</v>
      </c>
      <c r="D68" s="14">
        <v>72.399999999999991</v>
      </c>
      <c r="E68" s="11"/>
    </row>
    <row r="69" spans="1:5" ht="15.75" customHeight="1" x14ac:dyDescent="0.2">
      <c r="A69" s="11">
        <v>68</v>
      </c>
      <c r="B69" s="34" t="s">
        <v>254</v>
      </c>
      <c r="C69" s="14">
        <v>8.2555555555555564</v>
      </c>
      <c r="D69" s="14">
        <v>72</v>
      </c>
      <c r="E69" s="11"/>
    </row>
    <row r="70" spans="1:5" ht="15.75" customHeight="1" x14ac:dyDescent="0.2">
      <c r="A70" s="11">
        <v>69</v>
      </c>
      <c r="B70" s="34" t="s">
        <v>255</v>
      </c>
      <c r="C70" s="14">
        <v>8.2111111111111121</v>
      </c>
      <c r="D70" s="14">
        <v>71.599999999999994</v>
      </c>
      <c r="E70" s="11"/>
    </row>
    <row r="71" spans="1:5" ht="15.75" customHeight="1" x14ac:dyDescent="0.2">
      <c r="A71" s="11">
        <v>70</v>
      </c>
      <c r="B71" s="34" t="s">
        <v>256</v>
      </c>
      <c r="C71" s="14">
        <v>8.1833333333333336</v>
      </c>
      <c r="D71" s="14">
        <v>70.7</v>
      </c>
      <c r="E71" s="11"/>
    </row>
    <row r="72" spans="1:5" ht="15.75" customHeight="1" x14ac:dyDescent="0.2">
      <c r="A72" s="11">
        <v>70</v>
      </c>
      <c r="B72" s="34" t="s">
        <v>123</v>
      </c>
      <c r="C72" s="14">
        <v>8.1833333333333336</v>
      </c>
      <c r="D72" s="14">
        <v>70.7</v>
      </c>
      <c r="E72" s="11"/>
    </row>
    <row r="73" spans="1:5" ht="15.75" customHeight="1" x14ac:dyDescent="0.2">
      <c r="A73" s="11">
        <v>72</v>
      </c>
      <c r="B73" s="34" t="s">
        <v>144</v>
      </c>
      <c r="C73" s="14">
        <v>8.094444444444445</v>
      </c>
      <c r="D73" s="14">
        <v>70.3</v>
      </c>
      <c r="E73" s="11"/>
    </row>
    <row r="74" spans="1:5" ht="15.75" customHeight="1" x14ac:dyDescent="0.2">
      <c r="A74" s="11">
        <v>73</v>
      </c>
      <c r="B74" s="34" t="s">
        <v>257</v>
      </c>
      <c r="C74" s="14">
        <v>8</v>
      </c>
      <c r="D74" s="14">
        <v>69.899999999999991</v>
      </c>
      <c r="E74" s="11"/>
    </row>
    <row r="75" spans="1:5" ht="15.75" customHeight="1" x14ac:dyDescent="0.2">
      <c r="A75" s="11">
        <v>74</v>
      </c>
      <c r="B75" s="34" t="s">
        <v>258</v>
      </c>
      <c r="C75" s="14">
        <v>7.9944444444444436</v>
      </c>
      <c r="D75" s="14">
        <v>69.5</v>
      </c>
      <c r="E75" s="11"/>
    </row>
    <row r="76" spans="1:5" ht="15.75" customHeight="1" x14ac:dyDescent="0.2">
      <c r="A76" s="11">
        <v>75</v>
      </c>
      <c r="B76" s="34" t="s">
        <v>259</v>
      </c>
      <c r="C76" s="14">
        <v>7.966666666666665</v>
      </c>
      <c r="D76" s="14">
        <v>69.099999999999994</v>
      </c>
      <c r="E76" s="11"/>
    </row>
    <row r="77" spans="1:5" ht="15.75" customHeight="1" x14ac:dyDescent="0.2">
      <c r="A77" s="11">
        <v>76</v>
      </c>
      <c r="B77" s="34" t="s">
        <v>260</v>
      </c>
      <c r="C77" s="14">
        <v>7.93888888888889</v>
      </c>
      <c r="D77" s="14">
        <v>68.7</v>
      </c>
      <c r="E77" s="11"/>
    </row>
    <row r="78" spans="1:5" ht="15.75" customHeight="1" x14ac:dyDescent="0.2">
      <c r="A78" s="11">
        <v>77</v>
      </c>
      <c r="B78" s="34" t="s">
        <v>261</v>
      </c>
      <c r="C78" s="14">
        <v>7.9166666666666679</v>
      </c>
      <c r="D78" s="14">
        <v>68.300000000000011</v>
      </c>
      <c r="E78" s="11"/>
    </row>
    <row r="79" spans="1:5" ht="15.75" customHeight="1" x14ac:dyDescent="0.2">
      <c r="A79" s="11">
        <v>78</v>
      </c>
      <c r="B79" s="34" t="s">
        <v>262</v>
      </c>
      <c r="C79" s="14">
        <v>7.916666666666667</v>
      </c>
      <c r="D79" s="14">
        <v>67.900000000000006</v>
      </c>
      <c r="E79" s="11"/>
    </row>
    <row r="80" spans="1:5" ht="15.75" customHeight="1" x14ac:dyDescent="0.2">
      <c r="A80" s="11">
        <v>79</v>
      </c>
      <c r="B80" s="34" t="s">
        <v>263</v>
      </c>
      <c r="C80" s="14">
        <v>7.8611111111111107</v>
      </c>
      <c r="D80" s="14">
        <v>67.400000000000006</v>
      </c>
      <c r="E80" s="11"/>
    </row>
    <row r="81" spans="1:5" ht="15.75" customHeight="1" x14ac:dyDescent="0.2">
      <c r="A81" s="11">
        <v>80</v>
      </c>
      <c r="B81" s="34" t="s">
        <v>264</v>
      </c>
      <c r="C81" s="14">
        <v>7.81111111111111</v>
      </c>
      <c r="D81" s="14">
        <v>67</v>
      </c>
      <c r="E81" s="11"/>
    </row>
    <row r="82" spans="1:5" ht="15.75" customHeight="1" x14ac:dyDescent="0.2">
      <c r="A82" s="11">
        <v>81</v>
      </c>
      <c r="B82" s="34" t="s">
        <v>265</v>
      </c>
      <c r="C82" s="14">
        <v>7.7666666666666675</v>
      </c>
      <c r="D82" s="14">
        <v>66.600000000000009</v>
      </c>
      <c r="E82" s="11"/>
    </row>
    <row r="83" spans="1:5" ht="15.75" customHeight="1" x14ac:dyDescent="0.2">
      <c r="A83" s="11">
        <v>82</v>
      </c>
      <c r="B83" s="34" t="s">
        <v>266</v>
      </c>
      <c r="C83" s="14">
        <v>7.6444444444444439</v>
      </c>
      <c r="D83" s="14">
        <v>66.2</v>
      </c>
      <c r="E83" s="11"/>
    </row>
    <row r="84" spans="1:5" ht="15.75" customHeight="1" x14ac:dyDescent="0.2">
      <c r="A84" s="11">
        <v>83</v>
      </c>
      <c r="B84" s="34" t="s">
        <v>101</v>
      </c>
      <c r="C84" s="14">
        <v>7.6388888888888893</v>
      </c>
      <c r="D84" s="14">
        <v>65.8</v>
      </c>
      <c r="E84" s="11"/>
    </row>
    <row r="85" spans="1:5" ht="15.75" customHeight="1" x14ac:dyDescent="0.2">
      <c r="A85" s="11">
        <v>84</v>
      </c>
      <c r="B85" s="34" t="s">
        <v>146</v>
      </c>
      <c r="C85" s="14">
        <v>7.6277777777777782</v>
      </c>
      <c r="D85" s="14">
        <v>65.400000000000006</v>
      </c>
      <c r="E85" s="11"/>
    </row>
    <row r="86" spans="1:5" ht="15.75" customHeight="1" x14ac:dyDescent="0.2">
      <c r="A86" s="11">
        <v>85</v>
      </c>
      <c r="B86" s="34" t="s">
        <v>148</v>
      </c>
      <c r="C86" s="14">
        <v>7.6166666666666671</v>
      </c>
      <c r="D86" s="14">
        <v>65</v>
      </c>
      <c r="E86" s="11"/>
    </row>
    <row r="87" spans="1:5" ht="15.75" customHeight="1" x14ac:dyDescent="0.2">
      <c r="A87" s="11">
        <v>86</v>
      </c>
      <c r="B87" s="34" t="s">
        <v>89</v>
      </c>
      <c r="C87" s="14">
        <v>7.5222222222222221</v>
      </c>
      <c r="D87" s="14">
        <v>64.600000000000009</v>
      </c>
      <c r="E87" s="11"/>
    </row>
    <row r="88" spans="1:5" ht="15.75" customHeight="1" x14ac:dyDescent="0.2">
      <c r="A88" s="11">
        <v>87</v>
      </c>
      <c r="B88" s="34" t="s">
        <v>267</v>
      </c>
      <c r="C88" s="14">
        <v>7.4555555555555548</v>
      </c>
      <c r="D88" s="14">
        <v>64.099999999999994</v>
      </c>
      <c r="E88" s="11"/>
    </row>
    <row r="89" spans="1:5" ht="15.75" customHeight="1" x14ac:dyDescent="0.2">
      <c r="A89" s="11">
        <v>88</v>
      </c>
      <c r="B89" s="34" t="s">
        <v>80</v>
      </c>
      <c r="C89" s="14">
        <v>7.4500000000000011</v>
      </c>
      <c r="D89" s="14">
        <v>63.7</v>
      </c>
      <c r="E89" s="11"/>
    </row>
    <row r="90" spans="1:5" ht="15.75" customHeight="1" x14ac:dyDescent="0.2">
      <c r="A90" s="11">
        <v>89</v>
      </c>
      <c r="B90" s="34" t="s">
        <v>268</v>
      </c>
      <c r="C90" s="14">
        <v>7.4277777777777771</v>
      </c>
      <c r="D90" s="14">
        <v>63.3</v>
      </c>
      <c r="E90" s="11"/>
    </row>
    <row r="91" spans="1:5" ht="15.75" customHeight="1" x14ac:dyDescent="0.2">
      <c r="A91" s="11">
        <v>90</v>
      </c>
      <c r="B91" s="34" t="s">
        <v>120</v>
      </c>
      <c r="C91" s="14">
        <v>7.2722222222222221</v>
      </c>
      <c r="D91" s="14">
        <v>62.9</v>
      </c>
      <c r="E91" s="11"/>
    </row>
    <row r="92" spans="1:5" ht="15.75" customHeight="1" x14ac:dyDescent="0.2">
      <c r="A92" s="11">
        <v>91</v>
      </c>
      <c r="B92" s="34" t="s">
        <v>269</v>
      </c>
      <c r="C92" s="14">
        <v>7.2666666666666675</v>
      </c>
      <c r="D92" s="14">
        <v>62.5</v>
      </c>
      <c r="E92" s="11"/>
    </row>
    <row r="93" spans="1:5" ht="15.75" customHeight="1" x14ac:dyDescent="0.2">
      <c r="A93" s="11">
        <v>92</v>
      </c>
      <c r="B93" s="34" t="s">
        <v>81</v>
      </c>
      <c r="C93" s="14">
        <v>7.1388888888888893</v>
      </c>
      <c r="D93" s="14">
        <v>62.1</v>
      </c>
      <c r="E93" s="11"/>
    </row>
    <row r="94" spans="1:5" ht="15.75" customHeight="1" x14ac:dyDescent="0.2">
      <c r="A94" s="11">
        <v>93</v>
      </c>
      <c r="B94" s="34" t="s">
        <v>270</v>
      </c>
      <c r="C94" s="14">
        <v>7.1222222222222227</v>
      </c>
      <c r="D94" s="14">
        <v>61.7</v>
      </c>
      <c r="E94" s="11"/>
    </row>
    <row r="95" spans="1:5" ht="15.75" customHeight="1" x14ac:dyDescent="0.2">
      <c r="A95" s="11">
        <v>94</v>
      </c>
      <c r="B95" s="34" t="s">
        <v>74</v>
      </c>
      <c r="C95" s="14">
        <v>7.1166666666666663</v>
      </c>
      <c r="D95" s="14">
        <v>61.3</v>
      </c>
      <c r="E95" s="11"/>
    </row>
    <row r="96" spans="1:5" ht="15.75" customHeight="1" x14ac:dyDescent="0.2">
      <c r="A96" s="11">
        <v>95</v>
      </c>
      <c r="B96" s="34" t="s">
        <v>271</v>
      </c>
      <c r="C96" s="14">
        <v>7.1055555555555561</v>
      </c>
      <c r="D96" s="14">
        <v>60.9</v>
      </c>
      <c r="E96" s="11"/>
    </row>
    <row r="97" spans="1:5" ht="15.75" customHeight="1" x14ac:dyDescent="0.2">
      <c r="A97" s="11">
        <v>96</v>
      </c>
      <c r="B97" s="34" t="s">
        <v>137</v>
      </c>
      <c r="C97" s="14">
        <v>7.0722222222222229</v>
      </c>
      <c r="D97" s="14">
        <v>60.4</v>
      </c>
      <c r="E97" s="11"/>
    </row>
    <row r="98" spans="1:5" ht="15.75" customHeight="1" x14ac:dyDescent="0.2">
      <c r="A98" s="11">
        <v>97</v>
      </c>
      <c r="B98" s="34" t="s">
        <v>72</v>
      </c>
      <c r="C98" s="14">
        <v>7.0500000000000007</v>
      </c>
      <c r="D98" s="14">
        <v>60</v>
      </c>
      <c r="E98" s="11"/>
    </row>
    <row r="99" spans="1:5" ht="15.75" customHeight="1" x14ac:dyDescent="0.2">
      <c r="A99" s="11">
        <v>98</v>
      </c>
      <c r="B99" s="34" t="s">
        <v>272</v>
      </c>
      <c r="C99" s="14">
        <v>7.0111111111111111</v>
      </c>
      <c r="D99" s="14">
        <v>59.599999999999994</v>
      </c>
      <c r="E99" s="111" t="s">
        <v>273</v>
      </c>
    </row>
    <row r="100" spans="1:5" ht="15.75" customHeight="1" x14ac:dyDescent="0.2">
      <c r="A100" s="11">
        <v>99</v>
      </c>
      <c r="B100" s="34" t="s">
        <v>147</v>
      </c>
      <c r="C100" s="14">
        <v>6.9888888888888889</v>
      </c>
      <c r="D100" s="14">
        <v>59.199999999999996</v>
      </c>
      <c r="E100" s="11" t="s">
        <v>274</v>
      </c>
    </row>
    <row r="101" spans="1:5" ht="15.75" customHeight="1" x14ac:dyDescent="0.2">
      <c r="A101" s="11">
        <v>100</v>
      </c>
      <c r="B101" s="34" t="s">
        <v>275</v>
      </c>
      <c r="C101" s="14">
        <v>6.9666666666666668</v>
      </c>
      <c r="D101" s="14">
        <v>58.8</v>
      </c>
      <c r="E101" s="11"/>
    </row>
    <row r="102" spans="1:5" ht="15.75" customHeight="1" x14ac:dyDescent="0.2">
      <c r="A102" s="11">
        <v>101</v>
      </c>
      <c r="B102" s="34" t="s">
        <v>276</v>
      </c>
      <c r="C102" s="14">
        <v>6.85</v>
      </c>
      <c r="D102" s="14">
        <v>58.4</v>
      </c>
      <c r="E102" s="11"/>
    </row>
    <row r="103" spans="1:5" ht="15.75" customHeight="1" x14ac:dyDescent="0.2">
      <c r="A103" s="11">
        <v>102</v>
      </c>
      <c r="B103" s="34" t="s">
        <v>112</v>
      </c>
      <c r="C103" s="14">
        <v>6.8388888888888886</v>
      </c>
      <c r="D103" s="14">
        <v>57.999999999999993</v>
      </c>
      <c r="E103" s="11"/>
    </row>
    <row r="104" spans="1:5" ht="15.75" customHeight="1" x14ac:dyDescent="0.2">
      <c r="A104" s="11">
        <v>103</v>
      </c>
      <c r="B104" s="34" t="s">
        <v>277</v>
      </c>
      <c r="C104" s="14">
        <v>6.8277777777777784</v>
      </c>
      <c r="D104" s="14">
        <v>57.599999999999994</v>
      </c>
      <c r="E104" s="11"/>
    </row>
    <row r="105" spans="1:5" ht="15.75" customHeight="1" x14ac:dyDescent="0.2">
      <c r="A105" s="11">
        <v>104</v>
      </c>
      <c r="B105" s="34" t="s">
        <v>278</v>
      </c>
      <c r="C105" s="14">
        <v>6.8055555555555554</v>
      </c>
      <c r="D105" s="14">
        <v>57.199999999999996</v>
      </c>
      <c r="E105" s="11"/>
    </row>
    <row r="106" spans="1:5" ht="15.75" customHeight="1" x14ac:dyDescent="0.2">
      <c r="A106" s="11">
        <v>105</v>
      </c>
      <c r="B106" s="34" t="s">
        <v>279</v>
      </c>
      <c r="C106" s="14">
        <v>6.7555555555555555</v>
      </c>
      <c r="D106" s="14">
        <v>56.699999999999996</v>
      </c>
      <c r="E106" s="11"/>
    </row>
    <row r="107" spans="1:5" ht="15.75" customHeight="1" x14ac:dyDescent="0.2">
      <c r="A107" s="11">
        <v>106</v>
      </c>
      <c r="B107" s="34" t="s">
        <v>145</v>
      </c>
      <c r="C107" s="14">
        <v>6.7388888888888898</v>
      </c>
      <c r="D107" s="14">
        <v>56.3</v>
      </c>
      <c r="E107" s="11"/>
    </row>
    <row r="108" spans="1:5" ht="15.75" customHeight="1" x14ac:dyDescent="0.2">
      <c r="A108" s="11">
        <v>107</v>
      </c>
      <c r="B108" s="34" t="s">
        <v>280</v>
      </c>
      <c r="C108" s="14">
        <v>6.7222222222222223</v>
      </c>
      <c r="D108" s="14">
        <v>55.900000000000006</v>
      </c>
      <c r="E108" s="11"/>
    </row>
    <row r="109" spans="1:5" ht="15.75" customHeight="1" x14ac:dyDescent="0.2">
      <c r="A109" s="11">
        <v>108</v>
      </c>
      <c r="B109" s="34" t="s">
        <v>281</v>
      </c>
      <c r="C109" s="14">
        <v>6.7166666666666668</v>
      </c>
      <c r="D109" s="14">
        <v>55.500000000000007</v>
      </c>
      <c r="E109" s="11"/>
    </row>
    <row r="110" spans="1:5" ht="15.75" customHeight="1" x14ac:dyDescent="0.2">
      <c r="A110" s="11">
        <v>109</v>
      </c>
      <c r="B110" s="34" t="s">
        <v>282</v>
      </c>
      <c r="C110" s="14">
        <v>6.7</v>
      </c>
      <c r="D110" s="14">
        <v>55.1</v>
      </c>
      <c r="E110" s="11"/>
    </row>
    <row r="111" spans="1:5" ht="15.75" customHeight="1" x14ac:dyDescent="0.2">
      <c r="A111" s="11">
        <v>110</v>
      </c>
      <c r="B111" s="34" t="s">
        <v>75</v>
      </c>
      <c r="C111" s="14">
        <v>6.6388888888888893</v>
      </c>
      <c r="D111" s="14">
        <v>54.7</v>
      </c>
      <c r="E111" s="11"/>
    </row>
    <row r="112" spans="1:5" ht="15.75" customHeight="1" x14ac:dyDescent="0.2">
      <c r="A112" s="11">
        <v>111</v>
      </c>
      <c r="B112" s="34" t="s">
        <v>111</v>
      </c>
      <c r="C112" s="14">
        <v>6.6277777777777782</v>
      </c>
      <c r="D112" s="14">
        <v>54.300000000000004</v>
      </c>
      <c r="E112" s="11"/>
    </row>
    <row r="113" spans="1:5" ht="15.75" customHeight="1" x14ac:dyDescent="0.2">
      <c r="A113" s="11">
        <v>112</v>
      </c>
      <c r="B113" s="34" t="s">
        <v>83</v>
      </c>
      <c r="C113" s="14">
        <v>6.6277777777777773</v>
      </c>
      <c r="D113" s="14">
        <v>53.900000000000006</v>
      </c>
      <c r="E113" s="11"/>
    </row>
    <row r="114" spans="1:5" ht="15.75" customHeight="1" x14ac:dyDescent="0.2">
      <c r="A114" s="11">
        <v>113</v>
      </c>
      <c r="B114" s="34" t="s">
        <v>283</v>
      </c>
      <c r="C114" s="14">
        <v>6.5777777777777784</v>
      </c>
      <c r="D114" s="14">
        <v>53.400000000000006</v>
      </c>
      <c r="E114" s="11"/>
    </row>
    <row r="115" spans="1:5" ht="15.75" customHeight="1" x14ac:dyDescent="0.2">
      <c r="A115" s="11">
        <v>113</v>
      </c>
      <c r="B115" s="34" t="s">
        <v>284</v>
      </c>
      <c r="C115" s="14">
        <v>6.5666666666666664</v>
      </c>
      <c r="D115" s="14">
        <v>52.6</v>
      </c>
      <c r="E115" s="11"/>
    </row>
    <row r="116" spans="1:5" ht="15.75" customHeight="1" x14ac:dyDescent="0.2">
      <c r="A116" s="11">
        <v>115</v>
      </c>
      <c r="B116" s="34" t="s">
        <v>114</v>
      </c>
      <c r="C116" s="14">
        <v>6.5666666666666664</v>
      </c>
      <c r="D116" s="14">
        <v>52.6</v>
      </c>
      <c r="E116" s="11"/>
    </row>
    <row r="117" spans="1:5" ht="15.75" customHeight="1" x14ac:dyDescent="0.2">
      <c r="A117" s="11">
        <v>116</v>
      </c>
      <c r="B117" s="34" t="s">
        <v>285</v>
      </c>
      <c r="C117" s="14">
        <v>6.5500000000000007</v>
      </c>
      <c r="D117" s="14">
        <v>52.2</v>
      </c>
      <c r="E117" s="11"/>
    </row>
    <row r="118" spans="1:5" ht="15.75" customHeight="1" x14ac:dyDescent="0.2">
      <c r="A118" s="11">
        <v>117</v>
      </c>
      <c r="B118" s="34" t="s">
        <v>286</v>
      </c>
      <c r="C118" s="14">
        <v>6.5444444444444443</v>
      </c>
      <c r="D118" s="14">
        <v>51.800000000000004</v>
      </c>
      <c r="E118" s="11"/>
    </row>
    <row r="119" spans="1:5" ht="15.75" customHeight="1" x14ac:dyDescent="0.2">
      <c r="A119" s="11">
        <v>118</v>
      </c>
      <c r="B119" s="34" t="s">
        <v>287</v>
      </c>
      <c r="C119" s="14">
        <v>6.5166666666666675</v>
      </c>
      <c r="D119" s="14">
        <v>51.4</v>
      </c>
      <c r="E119" s="11"/>
    </row>
    <row r="120" spans="1:5" ht="15.75" customHeight="1" x14ac:dyDescent="0.2">
      <c r="A120" s="11">
        <v>119</v>
      </c>
      <c r="B120" s="34" t="s">
        <v>115</v>
      </c>
      <c r="C120" s="14">
        <v>6.5166666666666666</v>
      </c>
      <c r="D120" s="14">
        <v>51</v>
      </c>
      <c r="E120" s="11"/>
    </row>
    <row r="121" spans="1:5" ht="15.75" customHeight="1" x14ac:dyDescent="0.2">
      <c r="A121" s="11">
        <v>120</v>
      </c>
      <c r="B121" s="34" t="s">
        <v>132</v>
      </c>
      <c r="C121" s="14">
        <v>6.4666666666666668</v>
      </c>
      <c r="D121" s="14">
        <v>50.6</v>
      </c>
      <c r="E121" s="11"/>
    </row>
    <row r="122" spans="1:5" ht="15.75" customHeight="1" x14ac:dyDescent="0.2">
      <c r="A122" s="11">
        <v>121</v>
      </c>
      <c r="B122" s="34" t="s">
        <v>288</v>
      </c>
      <c r="C122" s="14">
        <v>6.4333333333333336</v>
      </c>
      <c r="D122" s="14">
        <v>50.2</v>
      </c>
      <c r="E122" s="11"/>
    </row>
    <row r="123" spans="1:5" ht="15.75" customHeight="1" x14ac:dyDescent="0.2">
      <c r="A123" s="11">
        <v>122</v>
      </c>
      <c r="B123" s="34" t="s">
        <v>289</v>
      </c>
      <c r="C123" s="14">
        <v>6.416666666666667</v>
      </c>
      <c r="D123" s="14">
        <v>49.7</v>
      </c>
      <c r="E123" s="11"/>
    </row>
    <row r="124" spans="1:5" ht="15.75" customHeight="1" x14ac:dyDescent="0.2">
      <c r="A124" s="11">
        <v>123</v>
      </c>
      <c r="B124" s="34" t="s">
        <v>122</v>
      </c>
      <c r="C124" s="14">
        <v>6.3944444444444439</v>
      </c>
      <c r="D124" s="14">
        <v>49.3</v>
      </c>
      <c r="E124" s="11"/>
    </row>
    <row r="125" spans="1:5" ht="15.75" customHeight="1" x14ac:dyDescent="0.2">
      <c r="A125" s="11">
        <v>124</v>
      </c>
      <c r="B125" s="34" t="s">
        <v>135</v>
      </c>
      <c r="C125" s="14">
        <v>6.3722222222222218</v>
      </c>
      <c r="D125" s="14">
        <v>48.9</v>
      </c>
      <c r="E125" s="11"/>
    </row>
    <row r="126" spans="1:5" ht="15.75" customHeight="1" x14ac:dyDescent="0.2">
      <c r="A126" s="11">
        <v>125</v>
      </c>
      <c r="B126" s="34" t="s">
        <v>290</v>
      </c>
      <c r="C126" s="14">
        <v>6.3277777777777775</v>
      </c>
      <c r="D126" s="14">
        <v>48.5</v>
      </c>
      <c r="E126" s="11"/>
    </row>
    <row r="127" spans="1:5" ht="15.75" customHeight="1" x14ac:dyDescent="0.2">
      <c r="A127" s="11">
        <v>126</v>
      </c>
      <c r="B127" s="34" t="s">
        <v>291</v>
      </c>
      <c r="C127" s="14">
        <v>6.2944444444444443</v>
      </c>
      <c r="D127" s="14">
        <v>48.1</v>
      </c>
      <c r="E127" s="11"/>
    </row>
    <row r="128" spans="1:5" ht="15.75" customHeight="1" x14ac:dyDescent="0.2">
      <c r="A128" s="11">
        <v>127</v>
      </c>
      <c r="B128" s="34" t="s">
        <v>91</v>
      </c>
      <c r="C128" s="14">
        <v>6.2833333333333332</v>
      </c>
      <c r="D128" s="14">
        <v>47.699999999999996</v>
      </c>
      <c r="E128" s="11"/>
    </row>
    <row r="129" spans="1:5" ht="15.75" customHeight="1" x14ac:dyDescent="0.2">
      <c r="A129" s="11">
        <v>128</v>
      </c>
      <c r="B129" s="34" t="s">
        <v>292</v>
      </c>
      <c r="C129" s="14">
        <v>6.2666666666666666</v>
      </c>
      <c r="D129" s="14">
        <v>47.3</v>
      </c>
      <c r="E129" s="11"/>
    </row>
    <row r="130" spans="1:5" ht="15.75" customHeight="1" x14ac:dyDescent="0.2">
      <c r="A130" s="11">
        <v>129</v>
      </c>
      <c r="B130" s="34" t="s">
        <v>136</v>
      </c>
      <c r="C130" s="14">
        <v>6.1611111111111105</v>
      </c>
      <c r="D130" s="14">
        <v>46.9</v>
      </c>
      <c r="E130" s="11"/>
    </row>
    <row r="131" spans="1:5" ht="15.75" customHeight="1" x14ac:dyDescent="0.2">
      <c r="A131" s="11">
        <v>130</v>
      </c>
      <c r="B131" s="34" t="s">
        <v>117</v>
      </c>
      <c r="C131" s="14">
        <v>6.15</v>
      </c>
      <c r="D131" s="14">
        <v>46.5</v>
      </c>
      <c r="E131" s="11"/>
    </row>
    <row r="132" spans="1:5" ht="15.75" customHeight="1" x14ac:dyDescent="0.2">
      <c r="A132" s="11">
        <v>131</v>
      </c>
      <c r="B132" s="34" t="s">
        <v>293</v>
      </c>
      <c r="C132" s="14">
        <v>6.1277777777777782</v>
      </c>
      <c r="D132" s="14">
        <v>46</v>
      </c>
      <c r="E132" s="11"/>
    </row>
    <row r="133" spans="1:5" ht="15.75" customHeight="1" x14ac:dyDescent="0.2">
      <c r="A133" s="11">
        <v>132</v>
      </c>
      <c r="B133" s="34" t="s">
        <v>294</v>
      </c>
      <c r="C133" s="14">
        <v>6.072222222222222</v>
      </c>
      <c r="D133" s="14">
        <v>45.6</v>
      </c>
      <c r="E133" s="11"/>
    </row>
    <row r="134" spans="1:5" ht="15.75" customHeight="1" x14ac:dyDescent="0.2">
      <c r="A134" s="11">
        <v>133</v>
      </c>
      <c r="B134" s="34" t="s">
        <v>295</v>
      </c>
      <c r="C134" s="14">
        <v>6.0500000000000007</v>
      </c>
      <c r="D134" s="14">
        <v>45.2</v>
      </c>
      <c r="E134" s="11"/>
    </row>
    <row r="135" spans="1:5" ht="15.75" customHeight="1" x14ac:dyDescent="0.2">
      <c r="A135" s="11">
        <v>134</v>
      </c>
      <c r="B135" s="34" t="s">
        <v>113</v>
      </c>
      <c r="C135" s="14">
        <v>6.0333333333333341</v>
      </c>
      <c r="D135" s="14">
        <v>44.800000000000004</v>
      </c>
      <c r="E135" s="11"/>
    </row>
    <row r="136" spans="1:5" ht="15.75" customHeight="1" x14ac:dyDescent="0.2">
      <c r="A136" s="11">
        <v>135</v>
      </c>
      <c r="B136" s="34" t="s">
        <v>296</v>
      </c>
      <c r="C136" s="14">
        <v>5.9499999999999993</v>
      </c>
      <c r="D136" s="14">
        <v>44.4</v>
      </c>
      <c r="E136" s="112" t="s">
        <v>297</v>
      </c>
    </row>
    <row r="137" spans="1:5" ht="15.75" customHeight="1" x14ac:dyDescent="0.2">
      <c r="A137" s="11">
        <v>136</v>
      </c>
      <c r="B137" s="34" t="s">
        <v>298</v>
      </c>
      <c r="C137" s="14">
        <v>5.9222222222222216</v>
      </c>
      <c r="D137" s="14">
        <v>44</v>
      </c>
      <c r="E137" s="11" t="s">
        <v>299</v>
      </c>
    </row>
    <row r="138" spans="1:5" ht="15.75" customHeight="1" x14ac:dyDescent="0.2">
      <c r="A138" s="11">
        <v>137</v>
      </c>
      <c r="B138" s="34" t="s">
        <v>300</v>
      </c>
      <c r="C138" s="14">
        <v>5.8888888888888893</v>
      </c>
      <c r="D138" s="14">
        <v>43.6</v>
      </c>
      <c r="E138" s="11"/>
    </row>
    <row r="139" spans="1:5" ht="15.75" customHeight="1" x14ac:dyDescent="0.2">
      <c r="A139" s="11">
        <v>138</v>
      </c>
      <c r="B139" s="34" t="s">
        <v>301</v>
      </c>
      <c r="C139" s="14">
        <v>5.8833333333333329</v>
      </c>
      <c r="D139" s="14">
        <v>43.2</v>
      </c>
      <c r="E139" s="11"/>
    </row>
    <row r="140" spans="1:5" ht="15.75" customHeight="1" x14ac:dyDescent="0.2">
      <c r="A140" s="11">
        <v>139</v>
      </c>
      <c r="B140" s="34" t="s">
        <v>302</v>
      </c>
      <c r="C140" s="14">
        <v>5.844444444444445</v>
      </c>
      <c r="D140" s="14">
        <v>42.699999999999996</v>
      </c>
      <c r="E140" s="11"/>
    </row>
    <row r="141" spans="1:5" ht="15.75" customHeight="1" x14ac:dyDescent="0.2">
      <c r="A141" s="11">
        <v>140</v>
      </c>
      <c r="B141" s="34" t="s">
        <v>303</v>
      </c>
      <c r="C141" s="14">
        <v>5.8277777777777775</v>
      </c>
      <c r="D141" s="14">
        <v>42.3</v>
      </c>
      <c r="E141" s="11"/>
    </row>
    <row r="142" spans="1:5" ht="15.75" customHeight="1" x14ac:dyDescent="0.2">
      <c r="A142" s="11">
        <v>141</v>
      </c>
      <c r="B142" s="34" t="s">
        <v>93</v>
      </c>
      <c r="C142" s="14">
        <v>5.7888888888888888</v>
      </c>
      <c r="D142" s="14">
        <v>41.9</v>
      </c>
      <c r="E142" s="11"/>
    </row>
    <row r="143" spans="1:5" ht="15.75" customHeight="1" x14ac:dyDescent="0.2">
      <c r="A143" s="11">
        <v>142</v>
      </c>
      <c r="B143" s="34" t="s">
        <v>97</v>
      </c>
      <c r="C143" s="14">
        <v>5.7777777777777777</v>
      </c>
      <c r="D143" s="14">
        <v>41.5</v>
      </c>
      <c r="E143" s="11"/>
    </row>
    <row r="144" spans="1:5" ht="15.75" customHeight="1" x14ac:dyDescent="0.2">
      <c r="A144" s="11">
        <v>143</v>
      </c>
      <c r="B144" s="34" t="s">
        <v>95</v>
      </c>
      <c r="C144" s="14">
        <v>5.65</v>
      </c>
      <c r="D144" s="14">
        <v>40.699999999999996</v>
      </c>
      <c r="E144" s="11"/>
    </row>
    <row r="145" spans="1:5" ht="15.75" customHeight="1" x14ac:dyDescent="0.2">
      <c r="A145" s="11">
        <v>143</v>
      </c>
      <c r="B145" s="34" t="s">
        <v>304</v>
      </c>
      <c r="C145" s="14">
        <v>5.65</v>
      </c>
      <c r="D145" s="14">
        <v>40.699999999999996</v>
      </c>
      <c r="E145" s="11"/>
    </row>
    <row r="146" spans="1:5" ht="15.75" customHeight="1" x14ac:dyDescent="0.2">
      <c r="A146" s="11">
        <v>145</v>
      </c>
      <c r="B146" s="34" t="s">
        <v>305</v>
      </c>
      <c r="C146" s="14">
        <v>5.6055555555555561</v>
      </c>
      <c r="D146" s="14">
        <v>40.300000000000004</v>
      </c>
      <c r="E146" s="11"/>
    </row>
    <row r="147" spans="1:5" ht="15.75" customHeight="1" x14ac:dyDescent="0.2">
      <c r="A147" s="11">
        <v>146</v>
      </c>
      <c r="B147" s="34" t="s">
        <v>118</v>
      </c>
      <c r="C147" s="14">
        <v>5.5777777777777784</v>
      </c>
      <c r="D147" s="14">
        <v>39.900000000000006</v>
      </c>
      <c r="E147" s="11"/>
    </row>
    <row r="148" spans="1:5" ht="15.75" customHeight="1" x14ac:dyDescent="0.2">
      <c r="A148" s="11">
        <v>147</v>
      </c>
      <c r="B148" s="34" t="s">
        <v>306</v>
      </c>
      <c r="C148" s="14">
        <v>5.5222222222222221</v>
      </c>
      <c r="D148" s="14">
        <v>39.5</v>
      </c>
      <c r="E148" s="11"/>
    </row>
    <row r="149" spans="1:5" ht="15.75" customHeight="1" x14ac:dyDescent="0.2">
      <c r="A149" s="11">
        <v>148</v>
      </c>
      <c r="B149" s="34" t="s">
        <v>307</v>
      </c>
      <c r="C149" s="14">
        <v>5.5166666666666666</v>
      </c>
      <c r="D149" s="14">
        <v>39</v>
      </c>
      <c r="E149" s="11"/>
    </row>
    <row r="150" spans="1:5" ht="15.75" customHeight="1" x14ac:dyDescent="0.2">
      <c r="A150" s="11">
        <v>149</v>
      </c>
      <c r="B150" s="34" t="s">
        <v>308</v>
      </c>
      <c r="C150" s="14">
        <v>5.5111111111111111</v>
      </c>
      <c r="D150" s="14">
        <v>38.6</v>
      </c>
      <c r="E150" s="11"/>
    </row>
    <row r="151" spans="1:5" ht="15.75" customHeight="1" x14ac:dyDescent="0.2">
      <c r="A151" s="11">
        <v>150</v>
      </c>
      <c r="B151" s="34" t="s">
        <v>309</v>
      </c>
      <c r="C151" s="14">
        <v>5.4944444444444445</v>
      </c>
      <c r="D151" s="14">
        <v>38.200000000000003</v>
      </c>
      <c r="E151" s="11"/>
    </row>
    <row r="152" spans="1:5" ht="15.75" customHeight="1" x14ac:dyDescent="0.2">
      <c r="A152" s="11">
        <v>151</v>
      </c>
      <c r="B152" s="34" t="s">
        <v>310</v>
      </c>
      <c r="C152" s="14">
        <v>5.4833333333333334</v>
      </c>
      <c r="D152" s="14">
        <v>37.799999999999997</v>
      </c>
      <c r="E152" s="11"/>
    </row>
    <row r="153" spans="1:5" ht="15.75" customHeight="1" x14ac:dyDescent="0.2">
      <c r="A153" s="11">
        <v>152</v>
      </c>
      <c r="B153" s="34" t="s">
        <v>311</v>
      </c>
      <c r="C153" s="14">
        <v>5.4777777777777779</v>
      </c>
      <c r="D153" s="14">
        <v>37.4</v>
      </c>
      <c r="E153" s="11"/>
    </row>
    <row r="154" spans="1:5" ht="15.75" customHeight="1" x14ac:dyDescent="0.2">
      <c r="A154" s="11">
        <v>153</v>
      </c>
      <c r="B154" s="34" t="s">
        <v>312</v>
      </c>
      <c r="C154" s="14">
        <v>5.4611111111111121</v>
      </c>
      <c r="D154" s="14">
        <v>37</v>
      </c>
      <c r="E154" s="11"/>
    </row>
    <row r="155" spans="1:5" ht="15.75" customHeight="1" x14ac:dyDescent="0.2">
      <c r="A155" s="11">
        <v>154</v>
      </c>
      <c r="B155" s="34" t="s">
        <v>313</v>
      </c>
      <c r="C155" s="14">
        <v>5.405555555555555</v>
      </c>
      <c r="D155" s="14">
        <v>36.6</v>
      </c>
      <c r="E155" s="11"/>
    </row>
    <row r="156" spans="1:5" ht="15.75" customHeight="1" x14ac:dyDescent="0.2">
      <c r="A156" s="11">
        <v>155</v>
      </c>
      <c r="B156" s="34" t="s">
        <v>153</v>
      </c>
      <c r="C156" s="14">
        <v>5.3611111111111107</v>
      </c>
      <c r="D156" s="14">
        <v>36.199999999999996</v>
      </c>
      <c r="E156" s="11"/>
    </row>
    <row r="157" spans="1:5" ht="15.75" customHeight="1" x14ac:dyDescent="0.2">
      <c r="A157" s="11">
        <v>156</v>
      </c>
      <c r="B157" s="34" t="s">
        <v>314</v>
      </c>
      <c r="C157" s="14">
        <v>5.2944444444444443</v>
      </c>
      <c r="D157" s="14">
        <v>35.799999999999997</v>
      </c>
      <c r="E157" s="11"/>
    </row>
    <row r="158" spans="1:5" ht="15.75" customHeight="1" x14ac:dyDescent="0.2">
      <c r="A158" s="11">
        <v>157</v>
      </c>
      <c r="B158" s="34" t="s">
        <v>100</v>
      </c>
      <c r="C158" s="14">
        <v>5.2888888888888888</v>
      </c>
      <c r="D158" s="14">
        <v>35.299999999999997</v>
      </c>
      <c r="E158" s="11"/>
    </row>
    <row r="159" spans="1:5" ht="15.75" customHeight="1" x14ac:dyDescent="0.2">
      <c r="A159" s="11">
        <v>158</v>
      </c>
      <c r="B159" s="34" t="s">
        <v>78</v>
      </c>
      <c r="C159" s="14">
        <v>5.2833333333333332</v>
      </c>
      <c r="D159" s="14">
        <v>34.9</v>
      </c>
      <c r="E159" s="11"/>
    </row>
    <row r="160" spans="1:5" ht="15.75" customHeight="1" x14ac:dyDescent="0.2">
      <c r="A160" s="11">
        <v>159</v>
      </c>
      <c r="B160" s="34" t="s">
        <v>315</v>
      </c>
      <c r="C160" s="14">
        <v>5.2666666666666675</v>
      </c>
      <c r="D160" s="14">
        <v>34.5</v>
      </c>
      <c r="E160" s="11"/>
    </row>
    <row r="161" spans="1:5" ht="15.75" customHeight="1" x14ac:dyDescent="0.2">
      <c r="A161" s="11">
        <v>160</v>
      </c>
      <c r="B161" s="34" t="s">
        <v>316</v>
      </c>
      <c r="C161" s="14">
        <v>5.1944444444444446</v>
      </c>
      <c r="D161" s="14">
        <v>34.1</v>
      </c>
      <c r="E161" s="11"/>
    </row>
    <row r="162" spans="1:5" ht="15.75" customHeight="1" x14ac:dyDescent="0.2">
      <c r="A162" s="11">
        <v>161</v>
      </c>
      <c r="B162" s="34" t="s">
        <v>152</v>
      </c>
      <c r="C162" s="14">
        <v>5.1222222222222218</v>
      </c>
      <c r="D162" s="14">
        <v>33.700000000000003</v>
      </c>
      <c r="E162" s="11"/>
    </row>
    <row r="163" spans="1:5" ht="15.75" customHeight="1" x14ac:dyDescent="0.2">
      <c r="A163" s="11">
        <v>162</v>
      </c>
      <c r="B163" s="34" t="s">
        <v>124</v>
      </c>
      <c r="C163" s="14">
        <v>5.1111111111111107</v>
      </c>
      <c r="D163" s="14">
        <v>33.300000000000004</v>
      </c>
      <c r="E163" s="11"/>
    </row>
    <row r="164" spans="1:5" ht="15.75" customHeight="1" x14ac:dyDescent="0.2">
      <c r="A164" s="11">
        <v>163</v>
      </c>
      <c r="B164" s="34" t="s">
        <v>317</v>
      </c>
      <c r="C164" s="14">
        <v>5.0999999999999996</v>
      </c>
      <c r="D164" s="14">
        <v>32.9</v>
      </c>
      <c r="E164" s="11"/>
    </row>
    <row r="165" spans="1:5" ht="15.75" customHeight="1" x14ac:dyDescent="0.2">
      <c r="A165" s="11">
        <v>164</v>
      </c>
      <c r="B165" s="34" t="s">
        <v>318</v>
      </c>
      <c r="C165" s="14">
        <v>5.0944444444444441</v>
      </c>
      <c r="D165" s="14">
        <v>32.5</v>
      </c>
      <c r="E165" s="11"/>
    </row>
    <row r="166" spans="1:5" ht="15.75" customHeight="1" x14ac:dyDescent="0.2">
      <c r="A166" s="11">
        <v>165</v>
      </c>
      <c r="B166" s="34" t="s">
        <v>140</v>
      </c>
      <c r="C166" s="14">
        <v>5.0722222222222229</v>
      </c>
      <c r="D166" s="14">
        <v>32</v>
      </c>
      <c r="E166" s="11"/>
    </row>
    <row r="167" spans="1:5" ht="15.75" customHeight="1" x14ac:dyDescent="0.2">
      <c r="A167" s="11">
        <v>166</v>
      </c>
      <c r="B167" s="34" t="s">
        <v>319</v>
      </c>
      <c r="C167" s="14">
        <v>5.072222222222222</v>
      </c>
      <c r="D167" s="14">
        <v>31.6</v>
      </c>
      <c r="E167" s="11"/>
    </row>
    <row r="168" spans="1:5" ht="15.75" customHeight="1" x14ac:dyDescent="0.2">
      <c r="A168" s="11">
        <v>167</v>
      </c>
      <c r="B168" s="34" t="s">
        <v>320</v>
      </c>
      <c r="C168" s="14">
        <v>5.0388888888888888</v>
      </c>
      <c r="D168" s="14">
        <v>31.2</v>
      </c>
      <c r="E168" s="11"/>
    </row>
    <row r="169" spans="1:5" ht="15.75" customHeight="1" x14ac:dyDescent="0.2">
      <c r="A169" s="11">
        <v>168</v>
      </c>
      <c r="B169" s="34" t="s">
        <v>69</v>
      </c>
      <c r="C169" s="14">
        <v>5.0166666666666666</v>
      </c>
      <c r="D169" s="14">
        <v>30.8</v>
      </c>
      <c r="E169" s="11"/>
    </row>
    <row r="170" spans="1:5" ht="15.75" customHeight="1" x14ac:dyDescent="0.2">
      <c r="A170" s="11">
        <v>169</v>
      </c>
      <c r="B170" s="34" t="s">
        <v>125</v>
      </c>
      <c r="C170" s="14">
        <v>4.9611111111111112</v>
      </c>
      <c r="D170" s="14">
        <v>30.4</v>
      </c>
      <c r="E170" s="113" t="s">
        <v>297</v>
      </c>
    </row>
    <row r="171" spans="1:5" ht="15.75" customHeight="1" x14ac:dyDescent="0.2">
      <c r="A171" s="11">
        <v>170</v>
      </c>
      <c r="B171" s="34" t="s">
        <v>99</v>
      </c>
      <c r="C171" s="14">
        <v>4.8555555555555552</v>
      </c>
      <c r="D171" s="14">
        <v>30</v>
      </c>
      <c r="E171" s="11" t="s">
        <v>299</v>
      </c>
    </row>
    <row r="172" spans="1:5" ht="15.75" customHeight="1" x14ac:dyDescent="0.2">
      <c r="A172" s="11">
        <v>171</v>
      </c>
      <c r="B172" s="34" t="s">
        <v>321</v>
      </c>
      <c r="C172" s="14">
        <v>4.8111111111111118</v>
      </c>
      <c r="D172" s="14">
        <v>29.599999999999998</v>
      </c>
      <c r="E172" s="11"/>
    </row>
    <row r="173" spans="1:5" ht="15.75" customHeight="1" x14ac:dyDescent="0.2">
      <c r="A173" s="11">
        <v>172</v>
      </c>
      <c r="B173" s="34" t="s">
        <v>322</v>
      </c>
      <c r="C173" s="14">
        <v>4.7833333333333332</v>
      </c>
      <c r="D173" s="14">
        <v>29.2</v>
      </c>
      <c r="E173" s="11"/>
    </row>
    <row r="174" spans="1:5" ht="15.75" customHeight="1" x14ac:dyDescent="0.2">
      <c r="A174" s="11">
        <v>173</v>
      </c>
      <c r="B174" s="34" t="s">
        <v>98</v>
      </c>
      <c r="C174" s="14">
        <v>4.75</v>
      </c>
      <c r="D174" s="14">
        <v>28.299999999999997</v>
      </c>
      <c r="E174" s="11"/>
    </row>
    <row r="175" spans="1:5" ht="15.75" customHeight="1" x14ac:dyDescent="0.2">
      <c r="A175" s="11">
        <v>173</v>
      </c>
      <c r="B175" s="34" t="s">
        <v>108</v>
      </c>
      <c r="C175" s="14">
        <v>4.75</v>
      </c>
      <c r="D175" s="14">
        <v>28.299999999999997</v>
      </c>
      <c r="E175" s="11"/>
    </row>
    <row r="176" spans="1:5" ht="15.75" customHeight="1" x14ac:dyDescent="0.2">
      <c r="A176" s="11">
        <v>175</v>
      </c>
      <c r="B176" s="34" t="s">
        <v>323</v>
      </c>
      <c r="C176" s="14">
        <v>4.7444444444444445</v>
      </c>
      <c r="D176" s="14">
        <v>27.900000000000002</v>
      </c>
      <c r="E176" s="11"/>
    </row>
    <row r="177" spans="1:5" ht="15.75" customHeight="1" x14ac:dyDescent="0.2">
      <c r="A177" s="11">
        <v>176</v>
      </c>
      <c r="B177" s="34" t="s">
        <v>73</v>
      </c>
      <c r="C177" s="14">
        <v>4.7388888888888889</v>
      </c>
      <c r="D177" s="14">
        <v>27.500000000000004</v>
      </c>
      <c r="E177" s="11"/>
    </row>
    <row r="178" spans="1:5" ht="15.75" customHeight="1" x14ac:dyDescent="0.2">
      <c r="A178" s="11">
        <v>177</v>
      </c>
      <c r="B178" s="34" t="s">
        <v>154</v>
      </c>
      <c r="C178" s="14">
        <v>4.7222222222222223</v>
      </c>
      <c r="D178" s="14">
        <v>27.1</v>
      </c>
      <c r="E178" s="11"/>
    </row>
    <row r="179" spans="1:5" ht="15.75" customHeight="1" x14ac:dyDescent="0.2">
      <c r="A179" s="11">
        <v>178</v>
      </c>
      <c r="B179" s="34" t="s">
        <v>324</v>
      </c>
      <c r="C179" s="14">
        <v>4.6500000000000004</v>
      </c>
      <c r="D179" s="14">
        <v>26.3</v>
      </c>
      <c r="E179" s="11"/>
    </row>
    <row r="180" spans="1:5" ht="15.75" customHeight="1" x14ac:dyDescent="0.2">
      <c r="A180" s="11">
        <v>178</v>
      </c>
      <c r="B180" s="34" t="s">
        <v>325</v>
      </c>
      <c r="C180" s="14">
        <v>4.6500000000000004</v>
      </c>
      <c r="D180" s="14">
        <v>26.3</v>
      </c>
      <c r="E180" s="11"/>
    </row>
    <row r="181" spans="1:5" ht="15.75" customHeight="1" x14ac:dyDescent="0.2">
      <c r="A181" s="11">
        <v>180</v>
      </c>
      <c r="B181" s="34" t="s">
        <v>326</v>
      </c>
      <c r="C181" s="14">
        <v>4.6388888888888893</v>
      </c>
      <c r="D181" s="14">
        <v>25.900000000000002</v>
      </c>
      <c r="E181" s="11"/>
    </row>
    <row r="182" spans="1:5" ht="15.75" customHeight="1" x14ac:dyDescent="0.2">
      <c r="A182" s="11">
        <v>181</v>
      </c>
      <c r="B182" s="34" t="s">
        <v>82</v>
      </c>
      <c r="C182" s="14">
        <v>4.6333333333333337</v>
      </c>
      <c r="D182" s="14">
        <v>25.5</v>
      </c>
      <c r="E182" s="11"/>
    </row>
    <row r="183" spans="1:5" ht="15.75" customHeight="1" x14ac:dyDescent="0.2">
      <c r="A183" s="11">
        <v>182</v>
      </c>
      <c r="B183" s="34" t="s">
        <v>327</v>
      </c>
      <c r="C183" s="14">
        <v>4.6222222222222227</v>
      </c>
      <c r="D183" s="14">
        <v>25.1</v>
      </c>
      <c r="E183" s="11"/>
    </row>
    <row r="184" spans="1:5" ht="15.75" customHeight="1" x14ac:dyDescent="0.2">
      <c r="A184" s="11">
        <v>183</v>
      </c>
      <c r="B184" s="34" t="s">
        <v>328</v>
      </c>
      <c r="C184" s="14">
        <v>4.6111111111111107</v>
      </c>
      <c r="D184" s="14">
        <v>24.6</v>
      </c>
      <c r="E184" s="11"/>
    </row>
    <row r="185" spans="1:5" ht="15.75" customHeight="1" x14ac:dyDescent="0.2">
      <c r="A185" s="11">
        <v>184</v>
      </c>
      <c r="B185" s="34" t="s">
        <v>329</v>
      </c>
      <c r="C185" s="14">
        <v>4.5999999999999996</v>
      </c>
      <c r="D185" s="14">
        <v>24.2</v>
      </c>
      <c r="E185" s="11"/>
    </row>
    <row r="186" spans="1:5" ht="15.75" customHeight="1" x14ac:dyDescent="0.2">
      <c r="A186" s="11">
        <v>185</v>
      </c>
      <c r="B186" s="34" t="s">
        <v>77</v>
      </c>
      <c r="C186" s="14">
        <v>4.5055555555555555</v>
      </c>
      <c r="D186" s="14">
        <v>23.799999999999997</v>
      </c>
      <c r="E186" s="11"/>
    </row>
    <row r="187" spans="1:5" ht="15.75" customHeight="1" x14ac:dyDescent="0.2">
      <c r="A187" s="11">
        <v>186</v>
      </c>
      <c r="B187" s="34" t="s">
        <v>121</v>
      </c>
      <c r="C187" s="14">
        <v>4.4388888888888891</v>
      </c>
      <c r="D187" s="14">
        <v>23.400000000000002</v>
      </c>
      <c r="E187" s="11"/>
    </row>
    <row r="188" spans="1:5" ht="15.75" customHeight="1" x14ac:dyDescent="0.2">
      <c r="A188" s="11">
        <v>187</v>
      </c>
      <c r="B188" s="34" t="s">
        <v>134</v>
      </c>
      <c r="C188" s="14">
        <v>4.427777777777778</v>
      </c>
      <c r="D188" s="14">
        <v>23</v>
      </c>
      <c r="E188" s="11"/>
    </row>
    <row r="189" spans="1:5" ht="15.75" customHeight="1" x14ac:dyDescent="0.2">
      <c r="A189" s="11">
        <v>188</v>
      </c>
      <c r="B189" s="34" t="s">
        <v>330</v>
      </c>
      <c r="C189" s="14">
        <v>4.4111111111111105</v>
      </c>
      <c r="D189" s="14">
        <v>22.6</v>
      </c>
      <c r="E189" s="11"/>
    </row>
    <row r="190" spans="1:5" ht="15.75" customHeight="1" x14ac:dyDescent="0.2">
      <c r="A190" s="11">
        <v>189</v>
      </c>
      <c r="B190" s="34" t="s">
        <v>96</v>
      </c>
      <c r="C190" s="14">
        <v>4.405555555555555</v>
      </c>
      <c r="D190" s="14">
        <v>22.2</v>
      </c>
      <c r="E190" s="11"/>
    </row>
    <row r="191" spans="1:5" ht="15.75" customHeight="1" x14ac:dyDescent="0.2">
      <c r="A191" s="11">
        <v>190</v>
      </c>
      <c r="B191" s="34" t="s">
        <v>79</v>
      </c>
      <c r="C191" s="14">
        <v>4.3722222222222218</v>
      </c>
      <c r="D191" s="14">
        <v>21.8</v>
      </c>
      <c r="E191" s="11"/>
    </row>
    <row r="192" spans="1:5" ht="15.75" customHeight="1" x14ac:dyDescent="0.2">
      <c r="A192" s="11">
        <v>191</v>
      </c>
      <c r="B192" s="34" t="s">
        <v>331</v>
      </c>
      <c r="C192" s="14">
        <v>4.3111111111111109</v>
      </c>
      <c r="D192" s="14">
        <v>21.3</v>
      </c>
      <c r="E192" s="11"/>
    </row>
    <row r="193" spans="1:5" ht="15.75" customHeight="1" x14ac:dyDescent="0.2">
      <c r="A193" s="11">
        <v>192</v>
      </c>
      <c r="B193" s="34" t="s">
        <v>149</v>
      </c>
      <c r="C193" s="14">
        <v>4.3055555555555554</v>
      </c>
      <c r="D193" s="14">
        <v>20.9</v>
      </c>
      <c r="E193" s="11"/>
    </row>
    <row r="194" spans="1:5" ht="15.75" customHeight="1" x14ac:dyDescent="0.2">
      <c r="A194" s="11">
        <v>193</v>
      </c>
      <c r="B194" s="34" t="s">
        <v>332</v>
      </c>
      <c r="C194" s="14">
        <v>4.2777777777777777</v>
      </c>
      <c r="D194" s="14">
        <v>20.5</v>
      </c>
      <c r="E194" s="11"/>
    </row>
    <row r="195" spans="1:5" ht="15.75" customHeight="1" x14ac:dyDescent="0.2">
      <c r="A195" s="11">
        <v>194</v>
      </c>
      <c r="B195" s="34" t="s">
        <v>333</v>
      </c>
      <c r="C195" s="14">
        <v>4.2555555555555555</v>
      </c>
      <c r="D195" s="14">
        <v>20.100000000000001</v>
      </c>
      <c r="E195" s="11"/>
    </row>
    <row r="196" spans="1:5" ht="15.75" customHeight="1" x14ac:dyDescent="0.2">
      <c r="A196" s="11">
        <v>195</v>
      </c>
      <c r="B196" s="34" t="s">
        <v>334</v>
      </c>
      <c r="C196" s="14">
        <v>4.2444444444444445</v>
      </c>
      <c r="D196" s="14">
        <v>19.7</v>
      </c>
      <c r="E196" s="11"/>
    </row>
    <row r="197" spans="1:5" ht="15.75" customHeight="1" x14ac:dyDescent="0.2">
      <c r="A197" s="11">
        <v>196</v>
      </c>
      <c r="B197" s="34" t="s">
        <v>335</v>
      </c>
      <c r="C197" s="14">
        <v>4.2277777777777779</v>
      </c>
      <c r="D197" s="14">
        <v>19.3</v>
      </c>
      <c r="E197" s="11"/>
    </row>
    <row r="198" spans="1:5" ht="15.75" customHeight="1" x14ac:dyDescent="0.2">
      <c r="A198" s="11">
        <v>197</v>
      </c>
      <c r="B198" s="34" t="s">
        <v>336</v>
      </c>
      <c r="C198" s="14">
        <v>4.2166666666666668</v>
      </c>
      <c r="D198" s="14">
        <v>18.899999999999999</v>
      </c>
      <c r="E198" s="11"/>
    </row>
    <row r="199" spans="1:5" ht="15.75" customHeight="1" x14ac:dyDescent="0.2">
      <c r="A199" s="11">
        <v>198</v>
      </c>
      <c r="B199" s="34" t="s">
        <v>337</v>
      </c>
      <c r="C199" s="14">
        <v>4.0555555555555554</v>
      </c>
      <c r="D199" s="14">
        <v>18.5</v>
      </c>
      <c r="E199" s="11"/>
    </row>
    <row r="200" spans="1:5" ht="15.75" customHeight="1" x14ac:dyDescent="0.2">
      <c r="A200" s="11">
        <v>199</v>
      </c>
      <c r="B200" s="34" t="s">
        <v>116</v>
      </c>
      <c r="C200" s="14">
        <v>4.0333333333333341</v>
      </c>
      <c r="D200" s="14">
        <v>18.099999999999998</v>
      </c>
      <c r="E200" s="11"/>
    </row>
    <row r="201" spans="1:5" ht="15.75" customHeight="1" x14ac:dyDescent="0.2">
      <c r="A201" s="11">
        <v>200</v>
      </c>
      <c r="B201" s="34" t="s">
        <v>338</v>
      </c>
      <c r="C201" s="14">
        <v>4.0055555555555564</v>
      </c>
      <c r="D201" s="14">
        <v>17.599999999999998</v>
      </c>
      <c r="E201" s="11"/>
    </row>
    <row r="202" spans="1:5" ht="15.75" customHeight="1" x14ac:dyDescent="0.2">
      <c r="A202" s="11">
        <v>201</v>
      </c>
      <c r="B202" s="34" t="s">
        <v>339</v>
      </c>
      <c r="C202" s="14">
        <v>3.9222222222222216</v>
      </c>
      <c r="D202" s="14">
        <v>17.2</v>
      </c>
      <c r="E202" s="11"/>
    </row>
    <row r="203" spans="1:5" ht="15.75" customHeight="1" x14ac:dyDescent="0.2">
      <c r="A203" s="11">
        <v>202</v>
      </c>
      <c r="B203" s="34" t="s">
        <v>340</v>
      </c>
      <c r="C203" s="14">
        <v>3.9000000000000004</v>
      </c>
      <c r="D203" s="14">
        <v>16.400000000000002</v>
      </c>
      <c r="E203" s="11"/>
    </row>
    <row r="204" spans="1:5" ht="15.75" customHeight="1" x14ac:dyDescent="0.2">
      <c r="A204" s="11">
        <v>202</v>
      </c>
      <c r="B204" s="34" t="s">
        <v>341</v>
      </c>
      <c r="C204" s="14">
        <v>3.9000000000000004</v>
      </c>
      <c r="D204" s="14">
        <v>16.400000000000002</v>
      </c>
      <c r="E204" s="11"/>
    </row>
    <row r="205" spans="1:5" ht="15.75" customHeight="1" x14ac:dyDescent="0.2">
      <c r="A205" s="11">
        <v>204</v>
      </c>
      <c r="B205" s="34" t="s">
        <v>342</v>
      </c>
      <c r="C205" s="14">
        <v>3.8999999999999995</v>
      </c>
      <c r="D205" s="14">
        <v>16</v>
      </c>
      <c r="E205" s="11"/>
    </row>
    <row r="206" spans="1:5" ht="15.75" customHeight="1" x14ac:dyDescent="0.2">
      <c r="A206" s="11">
        <v>205</v>
      </c>
      <c r="B206" s="34" t="s">
        <v>150</v>
      </c>
      <c r="C206" s="14">
        <v>3.8944444444444439</v>
      </c>
      <c r="D206" s="14">
        <v>15.6</v>
      </c>
      <c r="E206" s="11"/>
    </row>
    <row r="207" spans="1:5" ht="15.75" customHeight="1" x14ac:dyDescent="0.2">
      <c r="A207" s="11">
        <v>206</v>
      </c>
      <c r="B207" s="34" t="s">
        <v>343</v>
      </c>
      <c r="C207" s="14">
        <v>3.8833333333333329</v>
      </c>
      <c r="D207" s="14">
        <v>15.2</v>
      </c>
      <c r="E207" s="11"/>
    </row>
    <row r="208" spans="1:5" ht="15.75" customHeight="1" x14ac:dyDescent="0.2">
      <c r="A208" s="11">
        <v>207</v>
      </c>
      <c r="B208" s="34" t="s">
        <v>85</v>
      </c>
      <c r="C208" s="14">
        <v>3.8555555555555561</v>
      </c>
      <c r="D208" s="14">
        <v>14.799999999999999</v>
      </c>
      <c r="E208" s="11"/>
    </row>
    <row r="209" spans="1:5" ht="15.75" customHeight="1" x14ac:dyDescent="0.2">
      <c r="A209" s="11">
        <v>208</v>
      </c>
      <c r="B209" s="34" t="s">
        <v>344</v>
      </c>
      <c r="C209" s="14">
        <v>3.8388888888888886</v>
      </c>
      <c r="D209" s="14">
        <v>14.399999999999999</v>
      </c>
      <c r="E209" s="11"/>
    </row>
    <row r="210" spans="1:5" ht="15.75" customHeight="1" x14ac:dyDescent="0.2">
      <c r="A210" s="11">
        <v>209</v>
      </c>
      <c r="B210" s="34" t="s">
        <v>345</v>
      </c>
      <c r="C210" s="14">
        <v>3.833333333333333</v>
      </c>
      <c r="D210" s="14">
        <v>13.900000000000002</v>
      </c>
      <c r="E210" s="11"/>
    </row>
    <row r="211" spans="1:5" ht="15.75" customHeight="1" x14ac:dyDescent="0.2">
      <c r="A211" s="11">
        <v>210</v>
      </c>
      <c r="B211" s="34" t="s">
        <v>346</v>
      </c>
      <c r="C211" s="14">
        <v>3.8222222222222229</v>
      </c>
      <c r="D211" s="14">
        <v>13.5</v>
      </c>
      <c r="E211" s="11"/>
    </row>
    <row r="212" spans="1:5" ht="15.75" customHeight="1" x14ac:dyDescent="0.2">
      <c r="A212" s="11">
        <v>211</v>
      </c>
      <c r="B212" s="34" t="s">
        <v>151</v>
      </c>
      <c r="C212" s="14">
        <v>3.7611111111111111</v>
      </c>
      <c r="D212" s="14">
        <v>12.7</v>
      </c>
      <c r="E212" s="11"/>
    </row>
    <row r="213" spans="1:5" ht="15.75" customHeight="1" x14ac:dyDescent="0.2">
      <c r="A213" s="11">
        <v>211</v>
      </c>
      <c r="B213" s="34" t="s">
        <v>347</v>
      </c>
      <c r="C213" s="14">
        <v>3.7611111111111111</v>
      </c>
      <c r="D213" s="14">
        <v>12.7</v>
      </c>
      <c r="E213" s="11"/>
    </row>
    <row r="214" spans="1:5" ht="15.75" customHeight="1" x14ac:dyDescent="0.2">
      <c r="A214" s="11">
        <v>213</v>
      </c>
      <c r="B214" s="34" t="s">
        <v>348</v>
      </c>
      <c r="C214" s="14">
        <v>3.6500000000000004</v>
      </c>
      <c r="D214" s="14">
        <v>11.899999999999999</v>
      </c>
      <c r="E214" s="11"/>
    </row>
    <row r="215" spans="1:5" ht="15.75" customHeight="1" x14ac:dyDescent="0.2">
      <c r="A215" s="11">
        <v>213</v>
      </c>
      <c r="B215" s="34" t="s">
        <v>349</v>
      </c>
      <c r="C215" s="14">
        <v>3.6500000000000004</v>
      </c>
      <c r="D215" s="14">
        <v>11.899999999999999</v>
      </c>
      <c r="E215" s="11"/>
    </row>
    <row r="216" spans="1:5" ht="15.75" customHeight="1" x14ac:dyDescent="0.2">
      <c r="A216" s="11">
        <v>215</v>
      </c>
      <c r="B216" s="34" t="s">
        <v>350</v>
      </c>
      <c r="C216" s="14">
        <v>3.6111111111111107</v>
      </c>
      <c r="D216" s="14">
        <v>11.5</v>
      </c>
      <c r="E216" s="11"/>
    </row>
    <row r="217" spans="1:5" ht="15.75" customHeight="1" x14ac:dyDescent="0.2">
      <c r="A217" s="11">
        <v>216</v>
      </c>
      <c r="B217" s="34" t="s">
        <v>351</v>
      </c>
      <c r="C217" s="14">
        <v>3.4444444444444446</v>
      </c>
      <c r="D217" s="14">
        <v>11.1</v>
      </c>
      <c r="E217" s="11"/>
    </row>
    <row r="218" spans="1:5" ht="15.75" customHeight="1" x14ac:dyDescent="0.2">
      <c r="A218" s="11">
        <v>217</v>
      </c>
      <c r="B218" s="34" t="s">
        <v>352</v>
      </c>
      <c r="C218" s="14">
        <v>3.1777777777777776</v>
      </c>
      <c r="D218" s="14">
        <v>10.6</v>
      </c>
      <c r="E218" s="11"/>
    </row>
    <row r="219" spans="1:5" ht="15.75" customHeight="1" x14ac:dyDescent="0.2">
      <c r="A219" s="11">
        <v>218</v>
      </c>
      <c r="B219" s="34" t="s">
        <v>353</v>
      </c>
      <c r="C219" s="14">
        <v>3.1111111111111112</v>
      </c>
      <c r="D219" s="14">
        <v>10.199999999999999</v>
      </c>
      <c r="E219" s="11"/>
    </row>
    <row r="220" spans="1:5" ht="15.75" customHeight="1" x14ac:dyDescent="0.2">
      <c r="A220" s="11">
        <v>219</v>
      </c>
      <c r="B220" s="34" t="s">
        <v>354</v>
      </c>
      <c r="C220" s="14">
        <v>3.0555555555555554</v>
      </c>
      <c r="D220" s="14">
        <v>9.8000000000000007</v>
      </c>
      <c r="E220" s="11"/>
    </row>
    <row r="221" spans="1:5" ht="15.75" customHeight="1" x14ac:dyDescent="0.2">
      <c r="A221" s="11">
        <v>220</v>
      </c>
      <c r="B221" s="34" t="s">
        <v>355</v>
      </c>
      <c r="C221" s="14">
        <v>3.0055555555555551</v>
      </c>
      <c r="D221" s="14">
        <v>9.4</v>
      </c>
      <c r="E221" s="11"/>
    </row>
    <row r="222" spans="1:5" ht="15.75" customHeight="1" x14ac:dyDescent="0.2">
      <c r="A222" s="11">
        <v>221</v>
      </c>
      <c r="B222" s="34" t="s">
        <v>102</v>
      </c>
      <c r="C222" s="14">
        <v>2.9944444444444449</v>
      </c>
      <c r="D222" s="14">
        <v>9</v>
      </c>
      <c r="E222" s="11"/>
    </row>
    <row r="223" spans="1:5" ht="15.75" customHeight="1" x14ac:dyDescent="0.2">
      <c r="A223" s="11">
        <v>222</v>
      </c>
      <c r="B223" s="34" t="s">
        <v>155</v>
      </c>
      <c r="C223" s="14">
        <v>2.927777777777778</v>
      </c>
      <c r="D223" s="14">
        <v>8.6</v>
      </c>
      <c r="E223" s="11"/>
    </row>
    <row r="224" spans="1:5" ht="15.75" customHeight="1" x14ac:dyDescent="0.2">
      <c r="A224" s="11">
        <v>223</v>
      </c>
      <c r="B224" s="34" t="s">
        <v>84</v>
      </c>
      <c r="C224" s="14">
        <v>2.8277777777777775</v>
      </c>
      <c r="D224" s="14">
        <v>8.2000000000000011</v>
      </c>
      <c r="E224" s="11"/>
    </row>
    <row r="225" spans="1:5" ht="15.75" customHeight="1" x14ac:dyDescent="0.2">
      <c r="A225" s="11">
        <v>224</v>
      </c>
      <c r="B225" s="34" t="s">
        <v>356</v>
      </c>
      <c r="C225" s="14">
        <v>2.75</v>
      </c>
      <c r="D225" s="14">
        <v>7.8</v>
      </c>
      <c r="E225" s="11"/>
    </row>
    <row r="226" spans="1:5" ht="15.75" customHeight="1" x14ac:dyDescent="0.2">
      <c r="A226" s="11">
        <v>225</v>
      </c>
      <c r="B226" s="34" t="s">
        <v>119</v>
      </c>
      <c r="C226" s="14">
        <v>2.7444444444444445</v>
      </c>
      <c r="D226" s="14">
        <v>7.3999999999999995</v>
      </c>
      <c r="E226" s="11"/>
    </row>
    <row r="227" spans="1:5" ht="15.75" customHeight="1" x14ac:dyDescent="0.2">
      <c r="A227" s="11">
        <v>226</v>
      </c>
      <c r="B227" s="34" t="s">
        <v>357</v>
      </c>
      <c r="C227" s="14">
        <v>2.5555555555555554</v>
      </c>
      <c r="D227" s="14">
        <v>6.9</v>
      </c>
      <c r="E227" s="11"/>
    </row>
    <row r="228" spans="1:5" ht="15.75" customHeight="1" x14ac:dyDescent="0.2">
      <c r="A228" s="11">
        <v>227</v>
      </c>
      <c r="B228" s="34" t="s">
        <v>358</v>
      </c>
      <c r="C228" s="14">
        <v>2.5388888888888892</v>
      </c>
      <c r="D228" s="14">
        <v>6.5</v>
      </c>
      <c r="E228" s="11"/>
    </row>
    <row r="229" spans="1:5" ht="15.75" customHeight="1" x14ac:dyDescent="0.2">
      <c r="A229" s="11">
        <v>228</v>
      </c>
      <c r="B229" s="34" t="s">
        <v>359</v>
      </c>
      <c r="C229" s="14">
        <v>2.4555555555555557</v>
      </c>
      <c r="D229" s="14">
        <v>6.1</v>
      </c>
      <c r="E229" s="11"/>
    </row>
    <row r="230" spans="1:5" ht="15.75" customHeight="1" x14ac:dyDescent="0.2">
      <c r="A230" s="11">
        <v>229</v>
      </c>
      <c r="B230" s="34" t="s">
        <v>360</v>
      </c>
      <c r="C230" s="14">
        <v>2.3944444444444444</v>
      </c>
      <c r="D230" s="14">
        <v>5.7</v>
      </c>
      <c r="E230" s="11"/>
    </row>
    <row r="231" spans="1:5" ht="15.75" customHeight="1" x14ac:dyDescent="0.2">
      <c r="A231" s="11">
        <v>230</v>
      </c>
      <c r="B231" s="34" t="s">
        <v>361</v>
      </c>
      <c r="C231" s="14">
        <v>2.2722222222222221</v>
      </c>
      <c r="D231" s="14">
        <v>5.3</v>
      </c>
      <c r="E231" s="11"/>
    </row>
    <row r="232" spans="1:5" ht="15.75" customHeight="1" x14ac:dyDescent="0.2">
      <c r="A232" s="11">
        <v>231</v>
      </c>
      <c r="B232" s="34" t="s">
        <v>138</v>
      </c>
      <c r="C232" s="14">
        <v>2.1777777777777771</v>
      </c>
      <c r="D232" s="14">
        <v>4.9000000000000004</v>
      </c>
      <c r="E232" s="11"/>
    </row>
    <row r="233" spans="1:5" ht="15.75" customHeight="1" x14ac:dyDescent="0.2">
      <c r="A233" s="11">
        <v>232</v>
      </c>
      <c r="B233" s="34" t="s">
        <v>362</v>
      </c>
      <c r="C233" s="14">
        <v>2.1500000000000004</v>
      </c>
      <c r="D233" s="14">
        <v>4.5</v>
      </c>
      <c r="E233" s="11"/>
    </row>
    <row r="234" spans="1:5" ht="15.75" customHeight="1" x14ac:dyDescent="0.2">
      <c r="A234" s="11">
        <v>233</v>
      </c>
      <c r="B234" s="34" t="s">
        <v>363</v>
      </c>
      <c r="C234" s="14">
        <v>2.1222222222222222</v>
      </c>
      <c r="D234" s="14">
        <v>4.1000000000000005</v>
      </c>
      <c r="E234" s="11"/>
    </row>
    <row r="235" spans="1:5" ht="15.75" customHeight="1" x14ac:dyDescent="0.2">
      <c r="A235" s="11">
        <v>234</v>
      </c>
      <c r="B235" s="34" t="s">
        <v>364</v>
      </c>
      <c r="C235" s="14">
        <v>2.0777777777777775</v>
      </c>
      <c r="D235" s="14">
        <v>3.6999999999999997</v>
      </c>
      <c r="E235" s="11"/>
    </row>
    <row r="236" spans="1:5" ht="15.75" customHeight="1" x14ac:dyDescent="0.2">
      <c r="A236" s="11">
        <v>235</v>
      </c>
      <c r="B236" s="34" t="s">
        <v>365</v>
      </c>
      <c r="C236" s="14">
        <v>2</v>
      </c>
      <c r="D236" s="14">
        <v>3.2</v>
      </c>
      <c r="E236" s="11"/>
    </row>
    <row r="237" spans="1:5" ht="15.75" customHeight="1" x14ac:dyDescent="0.2">
      <c r="A237" s="11">
        <v>236</v>
      </c>
      <c r="B237" s="34" t="s">
        <v>366</v>
      </c>
      <c r="C237" s="14">
        <v>1.9388888888888887</v>
      </c>
      <c r="D237" s="14">
        <v>2.8000000000000003</v>
      </c>
      <c r="E237" s="11"/>
    </row>
    <row r="238" spans="1:5" ht="15.75" customHeight="1" x14ac:dyDescent="0.2">
      <c r="A238" s="11">
        <v>237</v>
      </c>
      <c r="B238" s="34" t="s">
        <v>367</v>
      </c>
      <c r="C238" s="14">
        <v>1.9055555555555554</v>
      </c>
      <c r="D238" s="14">
        <v>2.4</v>
      </c>
      <c r="E238" s="11"/>
    </row>
    <row r="239" spans="1:5" ht="15.75" customHeight="1" x14ac:dyDescent="0.2">
      <c r="A239" s="11">
        <v>238</v>
      </c>
      <c r="B239" s="34" t="s">
        <v>368</v>
      </c>
      <c r="C239" s="14">
        <v>1.8777777777777778</v>
      </c>
      <c r="D239" s="14">
        <v>2</v>
      </c>
      <c r="E239" s="11"/>
    </row>
    <row r="240" spans="1:5" ht="15.75" customHeight="1" x14ac:dyDescent="0.2">
      <c r="A240" s="11">
        <v>239</v>
      </c>
      <c r="B240" s="34" t="s">
        <v>369</v>
      </c>
      <c r="C240" s="14">
        <v>1.677777777777778</v>
      </c>
      <c r="D240" s="14">
        <v>1.6</v>
      </c>
      <c r="E240" s="11"/>
    </row>
    <row r="241" spans="1:5" ht="15.75" customHeight="1" x14ac:dyDescent="0.2">
      <c r="A241" s="11">
        <v>240</v>
      </c>
      <c r="B241" s="34" t="s">
        <v>370</v>
      </c>
      <c r="C241" s="14">
        <v>1.5833333333333335</v>
      </c>
      <c r="D241" s="14">
        <v>1.2</v>
      </c>
      <c r="E241" s="11"/>
    </row>
    <row r="242" spans="1:5" ht="15.75" customHeight="1" x14ac:dyDescent="0.2">
      <c r="A242" s="11">
        <v>241</v>
      </c>
      <c r="B242" s="34" t="s">
        <v>371</v>
      </c>
      <c r="C242" s="14">
        <v>1.5277777777777777</v>
      </c>
      <c r="D242" s="14">
        <v>0.8</v>
      </c>
      <c r="E242" s="11"/>
    </row>
    <row r="243" spans="1:5" ht="15.75" customHeight="1" x14ac:dyDescent="0.2">
      <c r="A243" s="11">
        <v>242</v>
      </c>
      <c r="B243" s="34" t="s">
        <v>372</v>
      </c>
      <c r="C243" s="14">
        <v>0</v>
      </c>
      <c r="D243" s="14">
        <v>0.4</v>
      </c>
      <c r="E243" s="11"/>
    </row>
    <row r="244" spans="1:5" ht="15.75" customHeight="1" x14ac:dyDescent="0.2"/>
    <row r="245" spans="1:5" ht="15.75" customHeight="1" x14ac:dyDescent="0.2"/>
    <row r="246" spans="1:5" ht="15.75" customHeight="1" x14ac:dyDescent="0.2"/>
    <row r="247" spans="1:5" ht="15.75" customHeight="1" x14ac:dyDescent="0.2"/>
    <row r="248" spans="1:5" ht="15.75" customHeight="1" x14ac:dyDescent="0.2"/>
    <row r="249" spans="1:5" ht="15.75" customHeight="1" x14ac:dyDescent="0.2"/>
    <row r="250" spans="1:5" ht="15.75" customHeight="1" x14ac:dyDescent="0.2"/>
    <row r="251" spans="1:5" ht="15.75" customHeight="1" x14ac:dyDescent="0.2"/>
    <row r="252" spans="1:5" ht="15.75" customHeight="1" x14ac:dyDescent="0.2"/>
    <row r="253" spans="1:5" ht="15.75" customHeight="1" x14ac:dyDescent="0.2"/>
    <row r="254" spans="1:5" ht="15.75" customHeight="1" x14ac:dyDescent="0.2"/>
    <row r="255" spans="1:5" ht="15.75" customHeight="1" x14ac:dyDescent="0.2"/>
    <row r="256" spans="1:5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B2:B243">
    <cfRule type="expression" dxfId="167" priority="1" stopIfTrue="1">
      <formula>C2&gt;=13</formula>
    </cfRule>
    <cfRule type="expression" dxfId="166" priority="2">
      <formula>AND(C2&gt;=12,C2&lt;13)</formula>
    </cfRule>
    <cfRule type="expression" dxfId="165" priority="3" stopIfTrue="1">
      <formula>AND(C2&gt;=11,C2&lt;12)</formula>
    </cfRule>
    <cfRule type="expression" dxfId="164" priority="4">
      <formula>AND(C2&gt;=9,C2&lt;11)</formula>
    </cfRule>
    <cfRule type="expression" dxfId="163" priority="5">
      <formula>AND(C2&gt;=7,C2&lt;9)</formula>
    </cfRule>
    <cfRule type="expression" dxfId="162" priority="6" stopIfTrue="1">
      <formula>AND(C2&gt;=6,C2&lt;7)</formula>
    </cfRule>
    <cfRule type="expression" dxfId="161" priority="7" stopIfTrue="1">
      <formula>AND(C2&gt;=5,C2&lt;6)</formula>
    </cfRule>
    <cfRule type="expression" dxfId="160" priority="8">
      <formula>C2&lt;5</formula>
    </cfRule>
  </conditionalFormatting>
  <conditionalFormatting sqref="C2:C24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24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Z2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S1000"/>
  <sheetViews>
    <sheetView zoomScale="80" zoomScaleNormal="80" workbookViewId="0">
      <selection activeCell="J41" sqref="J41"/>
    </sheetView>
  </sheetViews>
  <sheetFormatPr baseColWidth="10" defaultColWidth="14.5" defaultRowHeight="15" customHeight="1" x14ac:dyDescent="0.2"/>
  <cols>
    <col min="1" max="1" width="8.5" customWidth="1"/>
    <col min="2" max="2" width="22.83203125" customWidth="1"/>
    <col min="3" max="3" width="12" customWidth="1"/>
    <col min="4" max="4" width="17.5" customWidth="1"/>
    <col min="5" max="5" width="10.83203125" customWidth="1"/>
    <col min="6" max="6" width="11.5" customWidth="1"/>
    <col min="7" max="7" width="7.5" customWidth="1"/>
    <col min="8" max="8" width="8" customWidth="1"/>
    <col min="9" max="9" width="12.6640625" customWidth="1"/>
    <col min="10" max="10" width="10" customWidth="1"/>
    <col min="11" max="11" width="10.5" customWidth="1"/>
    <col min="12" max="12" width="11.33203125" customWidth="1"/>
    <col min="13" max="13" width="12.5" customWidth="1"/>
    <col min="14" max="20" width="9.83203125" customWidth="1"/>
    <col min="21" max="22" width="11" customWidth="1"/>
    <col min="23" max="23" width="10" customWidth="1"/>
    <col min="24" max="24" width="11" customWidth="1"/>
    <col min="25" max="25" width="9.33203125" customWidth="1"/>
    <col min="26" max="26" width="9.5" customWidth="1"/>
    <col min="27" max="27" width="7.6640625" customWidth="1"/>
    <col min="28" max="28" width="10.1640625" customWidth="1"/>
    <col min="29" max="29" width="7.33203125" customWidth="1"/>
    <col min="30" max="30" width="7.5" customWidth="1"/>
    <col min="31" max="31" width="9.83203125" customWidth="1"/>
    <col min="32" max="32" width="11.5" customWidth="1"/>
    <col min="33" max="33" width="10.83203125" customWidth="1"/>
    <col min="34" max="34" width="11" customWidth="1"/>
    <col min="35" max="35" width="10.33203125" customWidth="1"/>
    <col min="36" max="36" width="10.5" customWidth="1"/>
    <col min="37" max="37" width="10.1640625" customWidth="1"/>
    <col min="38" max="39" width="8.5" customWidth="1"/>
    <col min="40" max="40" width="10.83203125" customWidth="1"/>
    <col min="41" max="41" width="7.6640625" customWidth="1"/>
    <col min="42" max="42" width="9.5" customWidth="1"/>
    <col min="43" max="43" width="12" customWidth="1"/>
    <col min="44" max="44" width="12.6640625" customWidth="1"/>
    <col min="45" max="45" width="12.33203125" customWidth="1"/>
    <col min="46" max="46" width="12.1640625" customWidth="1"/>
    <col min="47" max="47" width="6.6640625" customWidth="1"/>
    <col min="48" max="48" width="8" customWidth="1"/>
    <col min="49" max="49" width="7.33203125" customWidth="1"/>
    <col min="50" max="50" width="7.5" customWidth="1"/>
    <col min="51" max="51" width="9.83203125" customWidth="1"/>
    <col min="52" max="52" width="11.5" customWidth="1"/>
    <col min="53" max="53" width="10.83203125" customWidth="1"/>
    <col min="54" max="54" width="12.6640625" customWidth="1"/>
    <col min="55" max="55" width="8.1640625" customWidth="1"/>
    <col min="56" max="56" width="11.33203125" customWidth="1"/>
    <col min="57" max="57" width="13" customWidth="1"/>
    <col min="58" max="58" width="12" customWidth="1"/>
    <col min="59" max="59" width="12.6640625" customWidth="1"/>
    <col min="60" max="60" width="12.33203125" customWidth="1"/>
    <col min="61" max="61" width="12.1640625" customWidth="1"/>
    <col min="62" max="62" width="6.6640625" customWidth="1"/>
    <col min="63" max="63" width="8" customWidth="1"/>
    <col min="64" max="64" width="7.33203125" customWidth="1"/>
    <col min="65" max="65" width="7.5" customWidth="1"/>
    <col min="66" max="66" width="9.83203125" customWidth="1"/>
    <col min="67" max="67" width="11.5" customWidth="1"/>
    <col min="68" max="68" width="10.83203125" customWidth="1"/>
    <col min="69" max="69" width="12.6640625" customWidth="1"/>
    <col min="70" max="70" width="8.1640625" customWidth="1"/>
    <col min="71" max="71" width="11.33203125" customWidth="1"/>
    <col min="72" max="72" width="13" customWidth="1"/>
    <col min="73" max="73" width="12" customWidth="1"/>
    <col min="74" max="74" width="12.6640625" customWidth="1"/>
    <col min="75" max="75" width="12.33203125" customWidth="1"/>
    <col min="76" max="76" width="12.1640625" customWidth="1"/>
    <col min="77" max="77" width="6.6640625" customWidth="1"/>
    <col min="78" max="78" width="8" customWidth="1"/>
    <col min="79" max="79" width="7.33203125" customWidth="1"/>
    <col min="80" max="80" width="7.5" customWidth="1"/>
    <col min="81" max="81" width="9.83203125" customWidth="1"/>
    <col min="82" max="82" width="11.5" customWidth="1"/>
    <col min="83" max="83" width="10.83203125" customWidth="1"/>
    <col min="84" max="84" width="12.6640625" customWidth="1"/>
    <col min="85" max="85" width="8.1640625" customWidth="1"/>
    <col min="86" max="86" width="11.33203125" customWidth="1"/>
    <col min="87" max="87" width="13" customWidth="1"/>
    <col min="88" max="88" width="12" customWidth="1"/>
    <col min="89" max="89" width="12.6640625" customWidth="1"/>
    <col min="90" max="90" width="12.33203125" customWidth="1"/>
    <col min="91" max="91" width="12.1640625" customWidth="1"/>
    <col min="92" max="92" width="6.6640625" customWidth="1"/>
    <col min="93" max="93" width="8" customWidth="1"/>
    <col min="94" max="94" width="7.33203125" customWidth="1"/>
    <col min="95" max="95" width="7.5" customWidth="1"/>
    <col min="96" max="96" width="9.83203125" customWidth="1"/>
    <col min="97" max="97" width="11.5" customWidth="1"/>
    <col min="98" max="98" width="10.83203125" customWidth="1"/>
    <col min="99" max="99" width="12.6640625" customWidth="1"/>
    <col min="100" max="100" width="8.1640625" customWidth="1"/>
    <col min="101" max="101" width="11.33203125" customWidth="1"/>
    <col min="102" max="102" width="13" customWidth="1"/>
    <col min="103" max="103" width="12" customWidth="1"/>
    <col min="104" max="104" width="12.6640625" customWidth="1"/>
    <col min="105" max="105" width="12.33203125" customWidth="1"/>
    <col min="106" max="106" width="12.1640625" customWidth="1"/>
    <col min="107" max="107" width="6.6640625" customWidth="1"/>
    <col min="108" max="108" width="8" customWidth="1"/>
    <col min="109" max="109" width="7.33203125" customWidth="1"/>
    <col min="110" max="110" width="7.5" customWidth="1"/>
    <col min="111" max="111" width="9.83203125" customWidth="1"/>
    <col min="112" max="113" width="10.83203125" customWidth="1"/>
    <col min="114" max="114" width="12.6640625" customWidth="1"/>
    <col min="115" max="115" width="8.1640625" customWidth="1"/>
    <col min="116" max="116" width="11.33203125" customWidth="1"/>
    <col min="117" max="117" width="13" customWidth="1"/>
    <col min="118" max="118" width="8" customWidth="1"/>
    <col min="119" max="119" width="3.5" customWidth="1"/>
    <col min="120" max="120" width="16.5" customWidth="1"/>
    <col min="121" max="121" width="11" customWidth="1"/>
    <col min="122" max="122" width="14.5" customWidth="1"/>
    <col min="123" max="123" width="10.5" customWidth="1"/>
  </cols>
  <sheetData>
    <row r="1" spans="1:123" x14ac:dyDescent="0.2">
      <c r="A1" s="259"/>
      <c r="B1" s="251"/>
      <c r="C1" s="253"/>
      <c r="D1" s="254" t="s">
        <v>156</v>
      </c>
      <c r="E1" s="251"/>
      <c r="F1" s="251"/>
      <c r="G1" s="251"/>
      <c r="H1" s="251"/>
      <c r="I1" s="251"/>
      <c r="J1" s="251"/>
      <c r="K1" s="251"/>
      <c r="L1" s="251"/>
      <c r="M1" s="253"/>
      <c r="N1" s="255" t="s">
        <v>157</v>
      </c>
      <c r="O1" s="251"/>
      <c r="P1" s="251"/>
      <c r="Q1" s="251"/>
      <c r="R1" s="251"/>
      <c r="S1" s="251"/>
      <c r="T1" s="251"/>
      <c r="U1" s="251"/>
      <c r="V1" s="251"/>
      <c r="W1" s="251"/>
      <c r="X1" s="253"/>
      <c r="Y1" s="256" t="s">
        <v>158</v>
      </c>
      <c r="Z1" s="251"/>
      <c r="AA1" s="251"/>
      <c r="AB1" s="251"/>
      <c r="AC1" s="251"/>
      <c r="AD1" s="251"/>
      <c r="AE1" s="251"/>
      <c r="AF1" s="253"/>
      <c r="AG1" s="260" t="s">
        <v>159</v>
      </c>
      <c r="AH1" s="251"/>
      <c r="AI1" s="251"/>
      <c r="AJ1" s="251"/>
      <c r="AK1" s="251"/>
      <c r="AL1" s="251"/>
      <c r="AM1" s="251"/>
      <c r="AN1" s="251"/>
      <c r="AO1" s="251"/>
      <c r="AP1" s="253"/>
      <c r="AQ1" s="247" t="s">
        <v>373</v>
      </c>
      <c r="AR1" s="248"/>
      <c r="AS1" s="248"/>
      <c r="AT1" s="248"/>
      <c r="AU1" s="248"/>
      <c r="AV1" s="248"/>
      <c r="AW1" s="248"/>
      <c r="AX1" s="248"/>
      <c r="AY1" s="248"/>
      <c r="AZ1" s="248"/>
      <c r="BA1" s="248"/>
      <c r="BB1" s="248"/>
      <c r="BC1" s="248"/>
      <c r="BD1" s="248"/>
      <c r="BE1" s="249"/>
      <c r="BF1" s="247" t="s">
        <v>374</v>
      </c>
      <c r="BG1" s="248"/>
      <c r="BH1" s="248"/>
      <c r="BI1" s="248"/>
      <c r="BJ1" s="248"/>
      <c r="BK1" s="248"/>
      <c r="BL1" s="248"/>
      <c r="BM1" s="248"/>
      <c r="BN1" s="248"/>
      <c r="BO1" s="248"/>
      <c r="BP1" s="248"/>
      <c r="BQ1" s="248"/>
      <c r="BR1" s="248"/>
      <c r="BS1" s="248"/>
      <c r="BT1" s="249"/>
      <c r="BU1" s="247" t="s">
        <v>375</v>
      </c>
      <c r="BV1" s="248"/>
      <c r="BW1" s="248"/>
      <c r="BX1" s="248"/>
      <c r="BY1" s="248"/>
      <c r="BZ1" s="248"/>
      <c r="CA1" s="248"/>
      <c r="CB1" s="248"/>
      <c r="CC1" s="248"/>
      <c r="CD1" s="248"/>
      <c r="CE1" s="248"/>
      <c r="CF1" s="248"/>
      <c r="CG1" s="248"/>
      <c r="CH1" s="248"/>
      <c r="CI1" s="249"/>
      <c r="CJ1" s="247" t="s">
        <v>376</v>
      </c>
      <c r="CK1" s="248"/>
      <c r="CL1" s="248"/>
      <c r="CM1" s="248"/>
      <c r="CN1" s="248"/>
      <c r="CO1" s="248"/>
      <c r="CP1" s="248"/>
      <c r="CQ1" s="248"/>
      <c r="CR1" s="248"/>
      <c r="CS1" s="248"/>
      <c r="CT1" s="248"/>
      <c r="CU1" s="248"/>
      <c r="CV1" s="248"/>
      <c r="CW1" s="248"/>
      <c r="CX1" s="249"/>
      <c r="CY1" s="247" t="s">
        <v>377</v>
      </c>
      <c r="CZ1" s="248"/>
      <c r="DA1" s="248"/>
      <c r="DB1" s="248"/>
      <c r="DC1" s="248"/>
      <c r="DD1" s="248"/>
      <c r="DE1" s="248"/>
      <c r="DF1" s="248"/>
      <c r="DG1" s="248"/>
      <c r="DH1" s="248"/>
      <c r="DI1" s="248"/>
      <c r="DJ1" s="248"/>
      <c r="DK1" s="248"/>
      <c r="DL1" s="248"/>
      <c r="DM1" s="249"/>
      <c r="DN1" s="114"/>
      <c r="DO1" s="11"/>
    </row>
    <row r="2" spans="1:123" ht="16" thickBot="1" x14ac:dyDescent="0.25">
      <c r="A2" s="15" t="s">
        <v>56</v>
      </c>
      <c r="B2" s="16" t="s">
        <v>58</v>
      </c>
      <c r="C2" s="17" t="s">
        <v>2</v>
      </c>
      <c r="D2" s="115" t="s">
        <v>168</v>
      </c>
      <c r="E2" s="19" t="s">
        <v>24</v>
      </c>
      <c r="F2" s="19" t="s">
        <v>28</v>
      </c>
      <c r="G2" s="19" t="s">
        <v>30</v>
      </c>
      <c r="H2" s="19" t="s">
        <v>57</v>
      </c>
      <c r="I2" s="19" t="s">
        <v>34</v>
      </c>
      <c r="J2" s="19" t="s">
        <v>170</v>
      </c>
      <c r="K2" s="19" t="s">
        <v>171</v>
      </c>
      <c r="L2" s="19" t="s">
        <v>172</v>
      </c>
      <c r="M2" s="20" t="s">
        <v>22</v>
      </c>
      <c r="N2" s="21" t="s">
        <v>36</v>
      </c>
      <c r="O2" s="22" t="s">
        <v>38</v>
      </c>
      <c r="P2" s="22" t="s">
        <v>40</v>
      </c>
      <c r="Q2" s="22" t="s">
        <v>42</v>
      </c>
      <c r="R2" s="22" t="s">
        <v>44</v>
      </c>
      <c r="S2" s="22" t="s">
        <v>18</v>
      </c>
      <c r="T2" s="22" t="s">
        <v>20</v>
      </c>
      <c r="U2" s="22" t="s">
        <v>173</v>
      </c>
      <c r="V2" s="22" t="s">
        <v>174</v>
      </c>
      <c r="W2" s="22" t="s">
        <v>175</v>
      </c>
      <c r="X2" s="23" t="s">
        <v>176</v>
      </c>
      <c r="Y2" s="24" t="s">
        <v>177</v>
      </c>
      <c r="Z2" s="25" t="s">
        <v>178</v>
      </c>
      <c r="AA2" s="25" t="s">
        <v>179</v>
      </c>
      <c r="AB2" s="25" t="s">
        <v>180</v>
      </c>
      <c r="AC2" s="25" t="s">
        <v>8</v>
      </c>
      <c r="AD2" s="25" t="s">
        <v>12</v>
      </c>
      <c r="AE2" s="25" t="s">
        <v>10</v>
      </c>
      <c r="AF2" s="26" t="s">
        <v>14</v>
      </c>
      <c r="AG2" s="27" t="s">
        <v>183</v>
      </c>
      <c r="AH2" s="28" t="s">
        <v>176</v>
      </c>
      <c r="AI2" s="28" t="s">
        <v>185</v>
      </c>
      <c r="AJ2" s="28" t="s">
        <v>186</v>
      </c>
      <c r="AK2" s="28" t="s">
        <v>180</v>
      </c>
      <c r="AL2" s="28" t="s">
        <v>187</v>
      </c>
      <c r="AM2" s="28" t="s">
        <v>188</v>
      </c>
      <c r="AN2" s="28" t="s">
        <v>189</v>
      </c>
      <c r="AO2" s="28" t="s">
        <v>26</v>
      </c>
      <c r="AP2" s="29" t="s">
        <v>16</v>
      </c>
      <c r="AQ2" s="30" t="s">
        <v>190</v>
      </c>
      <c r="AR2" s="31" t="s">
        <v>191</v>
      </c>
      <c r="AS2" s="31" t="s">
        <v>192</v>
      </c>
      <c r="AT2" s="31" t="s">
        <v>193</v>
      </c>
      <c r="AU2" s="31" t="s">
        <v>194</v>
      </c>
      <c r="AV2" s="31" t="s">
        <v>195</v>
      </c>
      <c r="AW2" s="31" t="s">
        <v>8</v>
      </c>
      <c r="AX2" s="31" t="s">
        <v>12</v>
      </c>
      <c r="AY2" s="31" t="s">
        <v>10</v>
      </c>
      <c r="AZ2" s="31" t="s">
        <v>14</v>
      </c>
      <c r="BA2" s="31" t="s">
        <v>196</v>
      </c>
      <c r="BB2" s="31" t="s">
        <v>191</v>
      </c>
      <c r="BC2" s="31" t="s">
        <v>197</v>
      </c>
      <c r="BD2" s="31" t="s">
        <v>198</v>
      </c>
      <c r="BE2" s="32" t="s">
        <v>199</v>
      </c>
      <c r="BF2" s="30" t="s">
        <v>190</v>
      </c>
      <c r="BG2" s="31" t="s">
        <v>191</v>
      </c>
      <c r="BH2" s="31" t="s">
        <v>192</v>
      </c>
      <c r="BI2" s="31" t="s">
        <v>193</v>
      </c>
      <c r="BJ2" s="31" t="s">
        <v>194</v>
      </c>
      <c r="BK2" s="31" t="s">
        <v>195</v>
      </c>
      <c r="BL2" s="31" t="s">
        <v>8</v>
      </c>
      <c r="BM2" s="31" t="s">
        <v>12</v>
      </c>
      <c r="BN2" s="31" t="s">
        <v>10</v>
      </c>
      <c r="BO2" s="31" t="s">
        <v>14</v>
      </c>
      <c r="BP2" s="31" t="s">
        <v>196</v>
      </c>
      <c r="BQ2" s="31" t="s">
        <v>191</v>
      </c>
      <c r="BR2" s="31" t="s">
        <v>197</v>
      </c>
      <c r="BS2" s="31" t="s">
        <v>198</v>
      </c>
      <c r="BT2" s="32" t="s">
        <v>199</v>
      </c>
      <c r="BU2" s="30" t="s">
        <v>190</v>
      </c>
      <c r="BV2" s="31" t="s">
        <v>191</v>
      </c>
      <c r="BW2" s="31" t="s">
        <v>192</v>
      </c>
      <c r="BX2" s="31" t="s">
        <v>193</v>
      </c>
      <c r="BY2" s="31" t="s">
        <v>194</v>
      </c>
      <c r="BZ2" s="31" t="s">
        <v>195</v>
      </c>
      <c r="CA2" s="31" t="s">
        <v>8</v>
      </c>
      <c r="CB2" s="31" t="s">
        <v>12</v>
      </c>
      <c r="CC2" s="31" t="s">
        <v>10</v>
      </c>
      <c r="CD2" s="31" t="s">
        <v>14</v>
      </c>
      <c r="CE2" s="31" t="s">
        <v>196</v>
      </c>
      <c r="CF2" s="31" t="s">
        <v>191</v>
      </c>
      <c r="CG2" s="31" t="s">
        <v>197</v>
      </c>
      <c r="CH2" s="31" t="s">
        <v>198</v>
      </c>
      <c r="CI2" s="32" t="s">
        <v>199</v>
      </c>
      <c r="CJ2" s="30" t="s">
        <v>190</v>
      </c>
      <c r="CK2" s="31" t="s">
        <v>191</v>
      </c>
      <c r="CL2" s="31" t="s">
        <v>192</v>
      </c>
      <c r="CM2" s="31" t="s">
        <v>193</v>
      </c>
      <c r="CN2" s="31" t="s">
        <v>194</v>
      </c>
      <c r="CO2" s="31" t="s">
        <v>195</v>
      </c>
      <c r="CP2" s="31" t="s">
        <v>8</v>
      </c>
      <c r="CQ2" s="31" t="s">
        <v>12</v>
      </c>
      <c r="CR2" s="31" t="s">
        <v>10</v>
      </c>
      <c r="CS2" s="31" t="s">
        <v>14</v>
      </c>
      <c r="CT2" s="31" t="s">
        <v>196</v>
      </c>
      <c r="CU2" s="31" t="s">
        <v>191</v>
      </c>
      <c r="CV2" s="31" t="s">
        <v>197</v>
      </c>
      <c r="CW2" s="31" t="s">
        <v>198</v>
      </c>
      <c r="CX2" s="32" t="s">
        <v>199</v>
      </c>
      <c r="CY2" s="30" t="s">
        <v>190</v>
      </c>
      <c r="CZ2" s="31" t="s">
        <v>191</v>
      </c>
      <c r="DA2" s="31" t="s">
        <v>192</v>
      </c>
      <c r="DB2" s="31" t="s">
        <v>193</v>
      </c>
      <c r="DC2" s="31" t="s">
        <v>194</v>
      </c>
      <c r="DD2" s="31" t="s">
        <v>195</v>
      </c>
      <c r="DE2" s="31" t="s">
        <v>8</v>
      </c>
      <c r="DF2" s="31" t="s">
        <v>12</v>
      </c>
      <c r="DG2" s="31" t="s">
        <v>10</v>
      </c>
      <c r="DH2" s="31" t="s">
        <v>378</v>
      </c>
      <c r="DI2" s="31" t="s">
        <v>196</v>
      </c>
      <c r="DJ2" s="31" t="s">
        <v>191</v>
      </c>
      <c r="DK2" s="31" t="s">
        <v>197</v>
      </c>
      <c r="DL2" s="31" t="s">
        <v>198</v>
      </c>
      <c r="DM2" s="32" t="s">
        <v>199</v>
      </c>
      <c r="DN2" s="34"/>
      <c r="DO2" s="34"/>
      <c r="DP2" s="34" t="s">
        <v>379</v>
      </c>
      <c r="DQ2" s="34" t="s">
        <v>380</v>
      </c>
      <c r="DR2" s="34" t="s">
        <v>381</v>
      </c>
      <c r="DS2" s="34" t="s">
        <v>382</v>
      </c>
    </row>
    <row r="3" spans="1:123" x14ac:dyDescent="0.2">
      <c r="A3" s="33">
        <v>1</v>
      </c>
      <c r="B3" s="34" t="s">
        <v>383</v>
      </c>
      <c r="C3" s="116">
        <v>14.394444444444446</v>
      </c>
      <c r="D3" s="117" t="s">
        <v>384</v>
      </c>
      <c r="E3" s="37">
        <v>1</v>
      </c>
      <c r="F3" s="118">
        <v>34549</v>
      </c>
      <c r="G3" s="119">
        <v>31.172602739726027</v>
      </c>
      <c r="H3" s="39" t="s">
        <v>385</v>
      </c>
      <c r="I3" s="119">
        <v>20.745205479452054</v>
      </c>
      <c r="J3" s="120">
        <v>73</v>
      </c>
      <c r="K3" s="120">
        <v>222</v>
      </c>
      <c r="L3" s="119">
        <v>4.5199999999999996</v>
      </c>
      <c r="M3" s="55">
        <v>1</v>
      </c>
      <c r="N3" s="121">
        <v>0</v>
      </c>
      <c r="O3" s="122">
        <v>0</v>
      </c>
      <c r="P3" s="122">
        <v>0.22941805407056667</v>
      </c>
      <c r="Q3" s="122">
        <v>0.29539351373683126</v>
      </c>
      <c r="R3" s="122">
        <v>0.3520819707870067</v>
      </c>
      <c r="S3" s="42">
        <v>0.3520819707870067</v>
      </c>
      <c r="T3" s="42">
        <v>0.3520819707870067</v>
      </c>
      <c r="U3" s="42">
        <v>0.14035646085295989</v>
      </c>
      <c r="V3" s="42">
        <v>4.8357512089378017E-2</v>
      </c>
      <c r="W3" s="42">
        <v>9.4356986471168955E-2</v>
      </c>
      <c r="X3" s="43">
        <v>9.4356986471168955E-2</v>
      </c>
      <c r="Y3" s="44">
        <v>18.093150684931508</v>
      </c>
      <c r="Z3" s="45">
        <v>106.37246683189191</v>
      </c>
      <c r="AA3" s="45">
        <v>29.286170013135671</v>
      </c>
      <c r="AB3" s="45">
        <v>0.30081300813008133</v>
      </c>
      <c r="AC3" s="45">
        <v>7.4065040650406502</v>
      </c>
      <c r="AD3" s="45">
        <v>116.6</v>
      </c>
      <c r="AE3" s="45">
        <v>3.93</v>
      </c>
      <c r="AF3" s="46">
        <v>48.4</v>
      </c>
      <c r="AG3" s="123">
        <v>9</v>
      </c>
      <c r="AH3" s="49">
        <v>9</v>
      </c>
      <c r="AI3" s="49">
        <v>10</v>
      </c>
      <c r="AJ3" s="49">
        <v>8</v>
      </c>
      <c r="AK3" s="49">
        <v>8</v>
      </c>
      <c r="AL3" s="124">
        <v>8</v>
      </c>
      <c r="AM3" s="124">
        <v>7</v>
      </c>
      <c r="AN3" s="124">
        <v>6</v>
      </c>
      <c r="AO3" s="49">
        <v>10</v>
      </c>
      <c r="AP3" s="50">
        <v>0.5</v>
      </c>
      <c r="AQ3" s="51"/>
      <c r="AR3" s="52">
        <v>1</v>
      </c>
      <c r="AS3" s="52"/>
      <c r="AT3" s="52"/>
      <c r="AU3" s="52"/>
      <c r="AV3" s="52"/>
      <c r="AW3" s="52"/>
      <c r="AX3" s="52"/>
      <c r="AY3" s="52"/>
      <c r="AZ3" s="52"/>
      <c r="BA3" s="52"/>
      <c r="BB3" s="52">
        <v>1</v>
      </c>
      <c r="BC3" s="52"/>
      <c r="BD3" s="52"/>
      <c r="BE3" s="54"/>
      <c r="BF3" s="51"/>
      <c r="BG3" s="52">
        <v>1</v>
      </c>
      <c r="BH3" s="52"/>
      <c r="BI3" s="52"/>
      <c r="BJ3" s="52"/>
      <c r="BK3" s="52"/>
      <c r="BL3" s="52"/>
      <c r="BM3" s="52"/>
      <c r="BN3" s="52"/>
      <c r="BO3" s="52"/>
      <c r="BP3" s="52"/>
      <c r="BQ3" s="52">
        <v>1</v>
      </c>
      <c r="BR3" s="52"/>
      <c r="BS3" s="52"/>
      <c r="BT3" s="54"/>
      <c r="BU3" s="51">
        <v>1385</v>
      </c>
      <c r="BV3" s="52">
        <v>2556</v>
      </c>
      <c r="BW3" s="52">
        <v>17</v>
      </c>
      <c r="BX3" s="52"/>
      <c r="BY3" s="52">
        <v>222</v>
      </c>
      <c r="BZ3" s="52"/>
      <c r="CA3" s="125">
        <v>6.2387387387387383</v>
      </c>
      <c r="CB3" s="125"/>
      <c r="CC3" s="53"/>
      <c r="CD3" s="125"/>
      <c r="CE3" s="52">
        <v>117</v>
      </c>
      <c r="CF3" s="52">
        <v>3991</v>
      </c>
      <c r="CG3" s="52">
        <v>16</v>
      </c>
      <c r="CH3" s="52">
        <v>0</v>
      </c>
      <c r="CI3" s="54"/>
      <c r="CJ3" s="51">
        <v>989</v>
      </c>
      <c r="CK3" s="52">
        <v>1699</v>
      </c>
      <c r="CL3" s="52">
        <v>10</v>
      </c>
      <c r="CM3" s="52"/>
      <c r="CN3" s="52">
        <v>165</v>
      </c>
      <c r="CO3" s="52"/>
      <c r="CP3" s="53">
        <v>5.9939393939393941</v>
      </c>
      <c r="CQ3" s="52"/>
      <c r="CR3" s="53"/>
      <c r="CS3" s="52"/>
      <c r="CT3" s="52">
        <v>441</v>
      </c>
      <c r="CU3" s="52">
        <v>3142</v>
      </c>
      <c r="CV3" s="52">
        <v>37</v>
      </c>
      <c r="CW3" s="52">
        <v>6</v>
      </c>
      <c r="CX3" s="54"/>
      <c r="CY3" s="51">
        <v>911</v>
      </c>
      <c r="CZ3" s="52">
        <v>1552.8000000000002</v>
      </c>
      <c r="DA3" s="52">
        <v>9</v>
      </c>
      <c r="DB3" s="52">
        <v>17.399999999999999</v>
      </c>
      <c r="DC3" s="52">
        <v>123</v>
      </c>
      <c r="DD3" s="52">
        <v>37</v>
      </c>
      <c r="DE3" s="53">
        <v>7.4065040650406502</v>
      </c>
      <c r="DF3" s="53">
        <v>116.6</v>
      </c>
      <c r="DG3" s="53">
        <v>3.93</v>
      </c>
      <c r="DH3" s="53">
        <v>48.4</v>
      </c>
      <c r="DI3" s="52">
        <v>58</v>
      </c>
      <c r="DJ3" s="52">
        <v>1199.4000000000001</v>
      </c>
      <c r="DK3" s="52">
        <v>12</v>
      </c>
      <c r="DL3" s="52">
        <v>0</v>
      </c>
      <c r="DM3" s="54">
        <v>10.8</v>
      </c>
      <c r="DN3" s="126"/>
      <c r="DO3" s="11">
        <v>1</v>
      </c>
      <c r="DP3" s="42" t="s">
        <v>386</v>
      </c>
      <c r="DQ3" s="7">
        <v>1</v>
      </c>
      <c r="DR3" s="127">
        <v>40422</v>
      </c>
      <c r="DS3" s="127">
        <v>42121</v>
      </c>
    </row>
    <row r="4" spans="1:123" x14ac:dyDescent="0.2">
      <c r="A4" s="33">
        <v>2</v>
      </c>
      <c r="B4" s="34" t="s">
        <v>387</v>
      </c>
      <c r="C4" s="116">
        <v>12.122222222222222</v>
      </c>
      <c r="D4" s="117" t="s">
        <v>388</v>
      </c>
      <c r="E4" s="37">
        <v>2</v>
      </c>
      <c r="F4" s="118">
        <v>34072</v>
      </c>
      <c r="G4" s="119">
        <v>32.479452054794521</v>
      </c>
      <c r="H4" s="39" t="s">
        <v>389</v>
      </c>
      <c r="I4" s="119">
        <v>22.052054794520547</v>
      </c>
      <c r="J4" s="120">
        <v>73</v>
      </c>
      <c r="K4" s="120">
        <v>215</v>
      </c>
      <c r="L4" s="119">
        <v>4.5199999999999996</v>
      </c>
      <c r="M4" s="55">
        <v>1</v>
      </c>
      <c r="N4" s="121">
        <v>0</v>
      </c>
      <c r="O4" s="122">
        <v>5.2138752926154504E-2</v>
      </c>
      <c r="P4" s="122">
        <v>0.12459135488557936</v>
      </c>
      <c r="Q4" s="122">
        <v>0.25899856023036316</v>
      </c>
      <c r="R4" s="122">
        <v>0.41839346660165766</v>
      </c>
      <c r="S4" s="42">
        <v>0.41839346660165766</v>
      </c>
      <c r="T4" s="42">
        <v>0.41839346660165766</v>
      </c>
      <c r="U4" s="42">
        <v>2.7107617240444567E-3</v>
      </c>
      <c r="V4" s="42">
        <v>7.3494091651455484E-2</v>
      </c>
      <c r="W4" s="42">
        <v>7.3494091651455484E-2</v>
      </c>
      <c r="X4" s="43">
        <v>7.3494091651455484E-2</v>
      </c>
      <c r="Y4" s="44">
        <v>20.399999999999999</v>
      </c>
      <c r="Z4" s="45">
        <v>103.01838003989533</v>
      </c>
      <c r="AA4" s="45">
        <v>28.362732219928692</v>
      </c>
      <c r="AB4" s="45">
        <v>0.22157434402332363</v>
      </c>
      <c r="AC4" s="45">
        <v>7.8106796116504853</v>
      </c>
      <c r="AD4" s="45">
        <v>77.2</v>
      </c>
      <c r="AE4" s="45">
        <v>3.58</v>
      </c>
      <c r="AF4" s="46">
        <v>56.7</v>
      </c>
      <c r="AG4" s="128">
        <v>10</v>
      </c>
      <c r="AH4" s="49">
        <v>7</v>
      </c>
      <c r="AI4" s="49">
        <v>4</v>
      </c>
      <c r="AJ4" s="49">
        <v>6</v>
      </c>
      <c r="AK4" s="49">
        <v>5</v>
      </c>
      <c r="AL4" s="49">
        <v>9</v>
      </c>
      <c r="AM4" s="49">
        <v>4</v>
      </c>
      <c r="AN4" s="49">
        <v>4</v>
      </c>
      <c r="AO4" s="49">
        <v>10</v>
      </c>
      <c r="AP4" s="50">
        <v>1</v>
      </c>
      <c r="AQ4" s="56"/>
      <c r="AR4" s="57">
        <v>1</v>
      </c>
      <c r="AS4" s="57"/>
      <c r="AT4" s="57"/>
      <c r="AU4" s="57"/>
      <c r="AV4" s="57"/>
      <c r="AW4" s="57"/>
      <c r="AX4" s="57"/>
      <c r="AY4" s="57"/>
      <c r="AZ4" s="57"/>
      <c r="BA4" s="57"/>
      <c r="BB4" s="57">
        <v>1</v>
      </c>
      <c r="BC4" s="57"/>
      <c r="BD4" s="57"/>
      <c r="BE4" s="59"/>
      <c r="BF4" s="56">
        <v>98</v>
      </c>
      <c r="BG4" s="57">
        <v>942.4</v>
      </c>
      <c r="BH4" s="57">
        <v>1</v>
      </c>
      <c r="BI4" s="57"/>
      <c r="BJ4" s="57">
        <v>98</v>
      </c>
      <c r="BK4" s="57"/>
      <c r="BL4" s="57"/>
      <c r="BM4" s="57"/>
      <c r="BN4" s="57"/>
      <c r="BO4" s="57"/>
      <c r="BP4" s="57">
        <v>0</v>
      </c>
      <c r="BQ4" s="57">
        <v>937.2</v>
      </c>
      <c r="BR4" s="57">
        <v>0</v>
      </c>
      <c r="BS4" s="57">
        <v>0</v>
      </c>
      <c r="BT4" s="59"/>
      <c r="BU4" s="56">
        <v>621</v>
      </c>
      <c r="BV4" s="57">
        <v>2197</v>
      </c>
      <c r="BW4" s="57">
        <v>3</v>
      </c>
      <c r="BX4" s="57"/>
      <c r="BY4" s="57">
        <v>62</v>
      </c>
      <c r="BZ4" s="57"/>
      <c r="CA4" s="125">
        <v>10.016129032258064</v>
      </c>
      <c r="CB4" s="129"/>
      <c r="CC4" s="58"/>
      <c r="CD4" s="129"/>
      <c r="CE4" s="57">
        <v>65</v>
      </c>
      <c r="CF4" s="57">
        <v>3309</v>
      </c>
      <c r="CG4" s="57">
        <v>2</v>
      </c>
      <c r="CH4" s="57">
        <v>1</v>
      </c>
      <c r="CI4" s="59"/>
      <c r="CJ4" s="51">
        <v>1609</v>
      </c>
      <c r="CK4" s="52">
        <v>2562</v>
      </c>
      <c r="CL4" s="52">
        <v>12</v>
      </c>
      <c r="CM4" s="52"/>
      <c r="CN4" s="52">
        <v>206</v>
      </c>
      <c r="CO4" s="52"/>
      <c r="CP4" s="53">
        <v>7.8106796116504853</v>
      </c>
      <c r="CQ4" s="52"/>
      <c r="CR4" s="53"/>
      <c r="CS4" s="52"/>
      <c r="CT4" s="52">
        <v>10</v>
      </c>
      <c r="CU4" s="52">
        <v>3689</v>
      </c>
      <c r="CV4" s="52">
        <v>1</v>
      </c>
      <c r="CW4" s="52">
        <v>0</v>
      </c>
      <c r="CX4" s="54"/>
      <c r="CY4" s="51">
        <v>2593</v>
      </c>
      <c r="CZ4" s="52">
        <v>4481.4000000000005</v>
      </c>
      <c r="DA4" s="52">
        <v>29</v>
      </c>
      <c r="DB4" s="52">
        <v>46.199999999999996</v>
      </c>
      <c r="DC4" s="52">
        <v>343</v>
      </c>
      <c r="DD4" s="52">
        <v>76</v>
      </c>
      <c r="DE4" s="53">
        <v>7.5597667638483967</v>
      </c>
      <c r="DF4" s="53">
        <v>77.2</v>
      </c>
      <c r="DG4" s="53">
        <v>3.58</v>
      </c>
      <c r="DH4" s="53">
        <v>56.7</v>
      </c>
      <c r="DI4" s="52">
        <v>153</v>
      </c>
      <c r="DJ4" s="52">
        <v>2081.7999999999997</v>
      </c>
      <c r="DK4" s="52">
        <v>19</v>
      </c>
      <c r="DL4" s="52">
        <v>3</v>
      </c>
      <c r="DM4" s="54">
        <v>15.400000000000002</v>
      </c>
      <c r="DN4" s="126"/>
      <c r="DO4" s="11">
        <v>2</v>
      </c>
      <c r="DP4" s="42" t="s">
        <v>390</v>
      </c>
      <c r="DQ4" s="7">
        <v>1</v>
      </c>
      <c r="DR4" s="130">
        <v>40787</v>
      </c>
    </row>
    <row r="5" spans="1:123" x14ac:dyDescent="0.2">
      <c r="A5" s="33">
        <v>3</v>
      </c>
      <c r="B5" s="34" t="s">
        <v>391</v>
      </c>
      <c r="C5" s="116">
        <v>10.333333333333334</v>
      </c>
      <c r="D5" s="117" t="s">
        <v>392</v>
      </c>
      <c r="E5" s="37">
        <v>2</v>
      </c>
      <c r="F5" s="118">
        <v>34075</v>
      </c>
      <c r="G5" s="119">
        <v>32.471232876712328</v>
      </c>
      <c r="H5" s="39" t="s">
        <v>385</v>
      </c>
      <c r="I5" s="119">
        <v>22.043835616438358</v>
      </c>
      <c r="J5" s="120">
        <v>71</v>
      </c>
      <c r="K5" s="120">
        <v>206</v>
      </c>
      <c r="L5" s="119">
        <v>4.4000000000000004</v>
      </c>
      <c r="M5" s="55">
        <v>3</v>
      </c>
      <c r="N5" s="121">
        <v>0</v>
      </c>
      <c r="O5" s="122">
        <v>0</v>
      </c>
      <c r="P5" s="122">
        <v>5.165912518853695E-2</v>
      </c>
      <c r="Q5" s="122">
        <v>0.2515022397028297</v>
      </c>
      <c r="R5" s="122">
        <v>0.44609053497942386</v>
      </c>
      <c r="S5" s="42">
        <v>0.44609053497942386</v>
      </c>
      <c r="T5" s="42">
        <v>0.44609053497942386</v>
      </c>
      <c r="U5" s="42">
        <v>6.9919936238814623E-2</v>
      </c>
      <c r="V5" s="42">
        <v>8.3097595473833094E-2</v>
      </c>
      <c r="W5" s="42">
        <v>8.3097595473833094E-2</v>
      </c>
      <c r="X5" s="43">
        <v>8.3097595473833094E-2</v>
      </c>
      <c r="Y5" s="44">
        <v>20.391780821917809</v>
      </c>
      <c r="Z5" s="45">
        <v>109.92247797281604</v>
      </c>
      <c r="AA5" s="45">
        <v>28.728030152747472</v>
      </c>
      <c r="AB5" s="45">
        <v>0.18518518518518517</v>
      </c>
      <c r="AC5" s="45">
        <v>7.5074074074074071</v>
      </c>
      <c r="AD5" s="45">
        <v>73.599999999999994</v>
      </c>
      <c r="AE5" s="45">
        <v>4.0199999999999996</v>
      </c>
      <c r="AF5" s="46">
        <v>57</v>
      </c>
      <c r="AG5" s="128">
        <v>10</v>
      </c>
      <c r="AH5" s="49">
        <v>8</v>
      </c>
      <c r="AI5" s="49">
        <v>4</v>
      </c>
      <c r="AJ5" s="49">
        <v>9</v>
      </c>
      <c r="AK5" s="49">
        <v>2</v>
      </c>
      <c r="AL5" s="49">
        <v>8</v>
      </c>
      <c r="AM5" s="49">
        <v>4</v>
      </c>
      <c r="AN5" s="49">
        <v>7</v>
      </c>
      <c r="AO5" s="49">
        <v>6</v>
      </c>
      <c r="AP5" s="50">
        <v>0</v>
      </c>
      <c r="AQ5" s="56"/>
      <c r="AR5" s="57">
        <v>1</v>
      </c>
      <c r="AS5" s="57"/>
      <c r="AT5" s="57"/>
      <c r="AU5" s="57"/>
      <c r="AV5" s="57"/>
      <c r="AW5" s="57"/>
      <c r="AX5" s="57"/>
      <c r="AY5" s="57"/>
      <c r="AZ5" s="57"/>
      <c r="BA5" s="57"/>
      <c r="BB5" s="57">
        <v>1</v>
      </c>
      <c r="BC5" s="57"/>
      <c r="BD5" s="57"/>
      <c r="BE5" s="59"/>
      <c r="BF5" s="56"/>
      <c r="BG5" s="57">
        <v>1</v>
      </c>
      <c r="BH5" s="57"/>
      <c r="BI5" s="57"/>
      <c r="BJ5" s="57"/>
      <c r="BK5" s="57"/>
      <c r="BL5" s="57"/>
      <c r="BM5" s="57"/>
      <c r="BN5" s="57"/>
      <c r="BO5" s="57"/>
      <c r="BP5" s="57"/>
      <c r="BQ5" s="57">
        <v>1</v>
      </c>
      <c r="BR5" s="57"/>
      <c r="BS5" s="57"/>
      <c r="BT5" s="59"/>
      <c r="BU5" s="56">
        <v>225</v>
      </c>
      <c r="BV5" s="57">
        <v>1570</v>
      </c>
      <c r="BW5" s="57">
        <v>1</v>
      </c>
      <c r="BX5" s="57"/>
      <c r="BY5" s="57">
        <v>51</v>
      </c>
      <c r="BZ5" s="57"/>
      <c r="CA5" s="125">
        <v>4.4117647058823533</v>
      </c>
      <c r="CB5" s="129"/>
      <c r="CC5" s="58"/>
      <c r="CD5" s="129"/>
      <c r="CE5" s="57">
        <v>49</v>
      </c>
      <c r="CF5" s="57">
        <v>3734</v>
      </c>
      <c r="CG5" s="57">
        <v>10</v>
      </c>
      <c r="CH5" s="57">
        <v>0</v>
      </c>
      <c r="CI5" s="59"/>
      <c r="CJ5" s="51">
        <v>958</v>
      </c>
      <c r="CK5" s="52">
        <v>1816.2</v>
      </c>
      <c r="CL5" s="52">
        <v>12</v>
      </c>
      <c r="CM5" s="52"/>
      <c r="CN5" s="52">
        <v>131</v>
      </c>
      <c r="CO5" s="52"/>
      <c r="CP5" s="53">
        <v>7.3129770992366412</v>
      </c>
      <c r="CQ5" s="52"/>
      <c r="CR5" s="53"/>
      <c r="CS5" s="52"/>
      <c r="CT5" s="52">
        <v>193</v>
      </c>
      <c r="CU5" s="52">
        <v>2760.2999999999997</v>
      </c>
      <c r="CV5" s="52">
        <v>19</v>
      </c>
      <c r="CW5" s="52">
        <v>0</v>
      </c>
      <c r="CX5" s="54"/>
      <c r="CY5" s="51">
        <v>2027</v>
      </c>
      <c r="CZ5" s="52">
        <v>3163.2000000000003</v>
      </c>
      <c r="DA5" s="52">
        <v>15</v>
      </c>
      <c r="DB5" s="52">
        <v>28.799999999999997</v>
      </c>
      <c r="DC5" s="52">
        <v>270</v>
      </c>
      <c r="DD5" s="52">
        <v>50</v>
      </c>
      <c r="DE5" s="53">
        <v>7.5074074074074071</v>
      </c>
      <c r="DF5" s="53">
        <v>73.599999999999994</v>
      </c>
      <c r="DG5" s="53">
        <v>4.0199999999999996</v>
      </c>
      <c r="DH5" s="53">
        <v>57</v>
      </c>
      <c r="DI5" s="52">
        <v>141</v>
      </c>
      <c r="DJ5" s="52">
        <v>1696.8000000000002</v>
      </c>
      <c r="DK5" s="52">
        <v>25</v>
      </c>
      <c r="DL5" s="52">
        <v>0</v>
      </c>
      <c r="DM5" s="54">
        <v>7.1999999999999993</v>
      </c>
      <c r="DN5" s="126"/>
      <c r="DO5" s="5">
        <v>3</v>
      </c>
      <c r="DP5" s="42" t="s">
        <v>393</v>
      </c>
      <c r="DQ5" s="7">
        <v>0.9</v>
      </c>
      <c r="DR5" s="130">
        <v>41153</v>
      </c>
    </row>
    <row r="6" spans="1:123" x14ac:dyDescent="0.2">
      <c r="A6" s="33">
        <v>4</v>
      </c>
      <c r="B6" s="34" t="s">
        <v>394</v>
      </c>
      <c r="C6" s="116">
        <v>9.6722222222222243</v>
      </c>
      <c r="D6" s="117" t="s">
        <v>395</v>
      </c>
      <c r="E6" s="37">
        <v>4</v>
      </c>
      <c r="F6" s="118">
        <v>34235</v>
      </c>
      <c r="G6" s="119">
        <v>32.032876712328765</v>
      </c>
      <c r="H6" s="39" t="s">
        <v>385</v>
      </c>
      <c r="I6" s="119">
        <v>21.605479452054794</v>
      </c>
      <c r="J6" s="120">
        <v>69</v>
      </c>
      <c r="K6" s="120">
        <v>207</v>
      </c>
      <c r="L6" s="119">
        <v>4.54</v>
      </c>
      <c r="M6" s="55">
        <v>3</v>
      </c>
      <c r="N6" s="121">
        <v>0</v>
      </c>
      <c r="O6" s="122">
        <v>0</v>
      </c>
      <c r="P6" s="122">
        <v>0.22112836046951911</v>
      </c>
      <c r="Q6" s="122">
        <v>0.29268435885392202</v>
      </c>
      <c r="R6" s="122">
        <v>0.36861581365415896</v>
      </c>
      <c r="S6" s="42">
        <v>0.36861581365415896</v>
      </c>
      <c r="T6" s="42">
        <v>0.33175423228874307</v>
      </c>
      <c r="U6" s="42">
        <v>3.6252354048964215E-2</v>
      </c>
      <c r="V6" s="42">
        <v>0.12959029765752453</v>
      </c>
      <c r="W6" s="42">
        <v>0.12959029765752453</v>
      </c>
      <c r="X6" s="43">
        <v>0.11663126789177208</v>
      </c>
      <c r="Y6" s="44">
        <v>18.953424657534246</v>
      </c>
      <c r="Z6" s="45">
        <v>97.448897422519067</v>
      </c>
      <c r="AA6" s="45">
        <v>30.565217391304348</v>
      </c>
      <c r="AB6" s="45">
        <v>0.16182572614107885</v>
      </c>
      <c r="AC6" s="45">
        <v>6.8129496402877701</v>
      </c>
      <c r="AD6" s="45">
        <v>67.900000000000006</v>
      </c>
      <c r="AE6" s="45">
        <v>3.52</v>
      </c>
      <c r="AF6" s="46">
        <v>50.3</v>
      </c>
      <c r="AG6" s="128">
        <v>9</v>
      </c>
      <c r="AH6" s="49">
        <v>9</v>
      </c>
      <c r="AI6" s="49">
        <v>8</v>
      </c>
      <c r="AJ6" s="49">
        <v>4</v>
      </c>
      <c r="AK6" s="49">
        <v>2</v>
      </c>
      <c r="AL6" s="49">
        <v>7</v>
      </c>
      <c r="AM6" s="49">
        <v>3</v>
      </c>
      <c r="AN6" s="49">
        <v>4</v>
      </c>
      <c r="AO6" s="49">
        <v>6</v>
      </c>
      <c r="AP6" s="50">
        <v>0</v>
      </c>
      <c r="AQ6" s="56"/>
      <c r="AR6" s="57">
        <v>1</v>
      </c>
      <c r="AS6" s="57"/>
      <c r="AT6" s="57"/>
      <c r="AU6" s="57"/>
      <c r="AV6" s="57"/>
      <c r="AW6" s="57"/>
      <c r="AX6" s="57"/>
      <c r="AY6" s="57"/>
      <c r="AZ6" s="57"/>
      <c r="BA6" s="57"/>
      <c r="BB6" s="57">
        <v>1</v>
      </c>
      <c r="BC6" s="57"/>
      <c r="BD6" s="57"/>
      <c r="BE6" s="59"/>
      <c r="BF6" s="56"/>
      <c r="BG6" s="57">
        <v>1</v>
      </c>
      <c r="BH6" s="57"/>
      <c r="BI6" s="57"/>
      <c r="BJ6" s="57"/>
      <c r="BK6" s="57"/>
      <c r="BL6" s="57"/>
      <c r="BM6" s="57"/>
      <c r="BN6" s="57"/>
      <c r="BO6" s="57"/>
      <c r="BP6" s="57"/>
      <c r="BQ6" s="57">
        <v>1</v>
      </c>
      <c r="BR6" s="57"/>
      <c r="BS6" s="57"/>
      <c r="BT6" s="59"/>
      <c r="BU6" s="56">
        <v>947</v>
      </c>
      <c r="BV6" s="57">
        <v>3545</v>
      </c>
      <c r="BW6" s="57">
        <v>10</v>
      </c>
      <c r="BX6" s="57"/>
      <c r="BY6" s="57">
        <v>139</v>
      </c>
      <c r="BZ6" s="57"/>
      <c r="CA6" s="125">
        <v>6.8129496402877701</v>
      </c>
      <c r="CB6" s="129"/>
      <c r="CC6" s="58"/>
      <c r="CD6" s="129"/>
      <c r="CE6" s="57">
        <v>221</v>
      </c>
      <c r="CF6" s="57">
        <v>1737</v>
      </c>
      <c r="CG6" s="57">
        <v>27</v>
      </c>
      <c r="CH6" s="57">
        <v>1</v>
      </c>
      <c r="CI6" s="59"/>
      <c r="CJ6" s="51">
        <v>920</v>
      </c>
      <c r="CK6" s="52">
        <v>1282.4000000000001</v>
      </c>
      <c r="CL6" s="52">
        <v>6</v>
      </c>
      <c r="CM6" s="52"/>
      <c r="CN6" s="52">
        <v>145</v>
      </c>
      <c r="CO6" s="52"/>
      <c r="CP6" s="53">
        <v>6.3448275862068968</v>
      </c>
      <c r="CQ6" s="52"/>
      <c r="CR6" s="53"/>
      <c r="CS6" s="52"/>
      <c r="CT6" s="52">
        <v>77</v>
      </c>
      <c r="CU6" s="52">
        <v>2124</v>
      </c>
      <c r="CV6" s="52">
        <v>4</v>
      </c>
      <c r="CW6" s="52">
        <v>0</v>
      </c>
      <c r="CX6" s="54"/>
      <c r="CY6" s="51">
        <v>1641</v>
      </c>
      <c r="CZ6" s="52">
        <v>2345.2000000000003</v>
      </c>
      <c r="DA6" s="52">
        <v>10</v>
      </c>
      <c r="DB6" s="52">
        <v>19.5</v>
      </c>
      <c r="DC6" s="52">
        <v>241</v>
      </c>
      <c r="DD6" s="52">
        <v>39</v>
      </c>
      <c r="DE6" s="53">
        <v>6.809128630705394</v>
      </c>
      <c r="DF6" s="53">
        <v>67.900000000000006</v>
      </c>
      <c r="DG6" s="53">
        <v>3.52</v>
      </c>
      <c r="DH6" s="53">
        <v>50.3</v>
      </c>
      <c r="DI6" s="52">
        <v>421</v>
      </c>
      <c r="DJ6" s="52">
        <v>3248.7000000000003</v>
      </c>
      <c r="DK6" s="52">
        <v>39</v>
      </c>
      <c r="DL6" s="52">
        <v>3</v>
      </c>
      <c r="DM6" s="54">
        <v>26</v>
      </c>
      <c r="DN6" s="126"/>
      <c r="DO6" s="5">
        <v>4</v>
      </c>
      <c r="DP6" s="42" t="s">
        <v>396</v>
      </c>
      <c r="DQ6" s="7">
        <v>0.9</v>
      </c>
      <c r="DR6" s="130">
        <v>41518</v>
      </c>
    </row>
    <row r="7" spans="1:123" x14ac:dyDescent="0.2">
      <c r="A7" s="33">
        <v>5</v>
      </c>
      <c r="B7" s="34" t="s">
        <v>397</v>
      </c>
      <c r="C7" s="116">
        <v>9.5666666666666664</v>
      </c>
      <c r="D7" s="117" t="s">
        <v>398</v>
      </c>
      <c r="E7" s="37">
        <v>1</v>
      </c>
      <c r="F7" s="118">
        <v>34244</v>
      </c>
      <c r="G7" s="119">
        <v>32.008219178082193</v>
      </c>
      <c r="H7" s="39" t="s">
        <v>385</v>
      </c>
      <c r="I7" s="119">
        <v>21.580821917808219</v>
      </c>
      <c r="J7" s="120">
        <v>73</v>
      </c>
      <c r="K7" s="120">
        <v>226</v>
      </c>
      <c r="L7" s="119">
        <v>4.6100000000000003</v>
      </c>
      <c r="M7" s="55">
        <v>2</v>
      </c>
      <c r="N7" s="121">
        <v>0</v>
      </c>
      <c r="O7" s="122">
        <v>0</v>
      </c>
      <c r="P7" s="122">
        <v>0.19865319865319866</v>
      </c>
      <c r="Q7" s="122">
        <v>0.26022168391690526</v>
      </c>
      <c r="R7" s="122">
        <v>0.18401206636500755</v>
      </c>
      <c r="S7" s="42">
        <v>0.2221168751409564</v>
      </c>
      <c r="T7" s="42">
        <v>0.2221168751409564</v>
      </c>
      <c r="U7" s="42">
        <v>6.1368209255533199E-2</v>
      </c>
      <c r="V7" s="42">
        <v>4.9824231184432695E-2</v>
      </c>
      <c r="W7" s="42">
        <v>5.559622021998295E-2</v>
      </c>
      <c r="X7" s="43">
        <v>5.559622021998295E-2</v>
      </c>
      <c r="Y7" s="44">
        <v>18.92876712328767</v>
      </c>
      <c r="Z7" s="45">
        <v>100.07710489034962</v>
      </c>
      <c r="AA7" s="45">
        <v>29.813848752111092</v>
      </c>
      <c r="AB7" s="45">
        <v>0.24742268041237114</v>
      </c>
      <c r="AC7" s="45">
        <v>6.3314285714285718</v>
      </c>
      <c r="AD7" s="45">
        <v>69.3</v>
      </c>
      <c r="AE7" s="45">
        <v>2.59</v>
      </c>
      <c r="AF7" s="46">
        <v>24.8</v>
      </c>
      <c r="AG7" s="128">
        <v>4</v>
      </c>
      <c r="AH7" s="49">
        <v>6</v>
      </c>
      <c r="AI7" s="49">
        <v>8</v>
      </c>
      <c r="AJ7" s="49">
        <v>5</v>
      </c>
      <c r="AK7" s="49">
        <v>6</v>
      </c>
      <c r="AL7" s="49">
        <v>5</v>
      </c>
      <c r="AM7" s="49">
        <v>3</v>
      </c>
      <c r="AN7" s="49">
        <v>0</v>
      </c>
      <c r="AO7" s="49">
        <v>7</v>
      </c>
      <c r="AP7" s="50">
        <v>1</v>
      </c>
      <c r="AQ7" s="56"/>
      <c r="AR7" s="57">
        <v>1</v>
      </c>
      <c r="AS7" s="57"/>
      <c r="AT7" s="57"/>
      <c r="AU7" s="57"/>
      <c r="AV7" s="57"/>
      <c r="AW7" s="57"/>
      <c r="AX7" s="57"/>
      <c r="AY7" s="57"/>
      <c r="AZ7" s="57"/>
      <c r="BA7" s="57"/>
      <c r="BB7" s="57">
        <v>1</v>
      </c>
      <c r="BC7" s="57"/>
      <c r="BD7" s="57"/>
      <c r="BE7" s="59"/>
      <c r="BF7" s="56"/>
      <c r="BG7" s="57">
        <v>1</v>
      </c>
      <c r="BH7" s="57"/>
      <c r="BI7" s="57"/>
      <c r="BJ7" s="57"/>
      <c r="BK7" s="57"/>
      <c r="BL7" s="57"/>
      <c r="BM7" s="57"/>
      <c r="BN7" s="57"/>
      <c r="BO7" s="57"/>
      <c r="BP7" s="57"/>
      <c r="BQ7" s="57">
        <v>1</v>
      </c>
      <c r="BR7" s="57"/>
      <c r="BS7" s="57"/>
      <c r="BT7" s="59"/>
      <c r="BU7" s="56">
        <v>1108</v>
      </c>
      <c r="BV7" s="57">
        <v>3052</v>
      </c>
      <c r="BW7" s="57">
        <v>12</v>
      </c>
      <c r="BX7" s="57"/>
      <c r="BY7" s="57">
        <v>175</v>
      </c>
      <c r="BZ7" s="57"/>
      <c r="CA7" s="125">
        <v>6.3314285714285718</v>
      </c>
      <c r="CB7" s="129"/>
      <c r="CC7" s="58"/>
      <c r="CD7" s="129"/>
      <c r="CE7" s="57">
        <v>131</v>
      </c>
      <c r="CF7" s="57">
        <v>3185</v>
      </c>
      <c r="CG7" s="57">
        <v>11</v>
      </c>
      <c r="CH7" s="57">
        <v>1</v>
      </c>
      <c r="CI7" s="59"/>
      <c r="CJ7" s="51">
        <v>1235</v>
      </c>
      <c r="CK7" s="52">
        <v>2467.1999999999998</v>
      </c>
      <c r="CL7" s="52">
        <v>14</v>
      </c>
      <c r="CM7" s="52"/>
      <c r="CN7" s="52">
        <v>207</v>
      </c>
      <c r="CO7" s="52"/>
      <c r="CP7" s="53">
        <v>5.9661835748792269</v>
      </c>
      <c r="CQ7" s="52"/>
      <c r="CR7" s="53"/>
      <c r="CS7" s="52"/>
      <c r="CT7" s="52">
        <v>183</v>
      </c>
      <c r="CU7" s="52">
        <v>2982</v>
      </c>
      <c r="CV7" s="52">
        <v>20</v>
      </c>
      <c r="CW7" s="52">
        <v>0</v>
      </c>
      <c r="CX7" s="54"/>
      <c r="CY7" s="51">
        <v>979</v>
      </c>
      <c r="CZ7" s="52">
        <v>2685.7999999999997</v>
      </c>
      <c r="DA7" s="52">
        <v>11</v>
      </c>
      <c r="DB7" s="52">
        <v>32.5</v>
      </c>
      <c r="DC7" s="52">
        <v>194</v>
      </c>
      <c r="DD7" s="52">
        <v>48</v>
      </c>
      <c r="DE7" s="53">
        <v>5.0463917525773194</v>
      </c>
      <c r="DF7" s="53">
        <v>69.3</v>
      </c>
      <c r="DG7" s="53">
        <v>2.59</v>
      </c>
      <c r="DH7" s="53">
        <v>24.8</v>
      </c>
      <c r="DI7" s="52">
        <v>180</v>
      </c>
      <c r="DJ7" s="52">
        <v>3612.7</v>
      </c>
      <c r="DK7" s="52">
        <v>15</v>
      </c>
      <c r="DL7" s="52">
        <v>1</v>
      </c>
      <c r="DM7" s="54">
        <v>29.9</v>
      </c>
      <c r="DN7" s="126"/>
      <c r="DO7" s="5">
        <v>5</v>
      </c>
      <c r="DP7" s="42" t="s">
        <v>399</v>
      </c>
      <c r="DQ7" s="7">
        <v>0.85</v>
      </c>
      <c r="DR7" s="130">
        <v>41883</v>
      </c>
    </row>
    <row r="8" spans="1:123" x14ac:dyDescent="0.2">
      <c r="A8" s="33">
        <v>6</v>
      </c>
      <c r="B8" s="34" t="s">
        <v>400</v>
      </c>
      <c r="C8" s="116">
        <v>9.5555555555555554</v>
      </c>
      <c r="D8" s="117" t="s">
        <v>401</v>
      </c>
      <c r="E8" s="37">
        <v>10</v>
      </c>
      <c r="F8" s="118">
        <v>33588</v>
      </c>
      <c r="G8" s="119">
        <v>33.805479452054797</v>
      </c>
      <c r="H8" s="39" t="s">
        <v>389</v>
      </c>
      <c r="I8" s="119">
        <v>23.378082191780823</v>
      </c>
      <c r="J8" s="120">
        <v>73</v>
      </c>
      <c r="K8" s="120">
        <v>224</v>
      </c>
      <c r="L8" s="119">
        <v>4.5</v>
      </c>
      <c r="M8" s="55">
        <v>3</v>
      </c>
      <c r="N8" s="121">
        <v>0</v>
      </c>
      <c r="O8" s="122">
        <v>0.2860427684525178</v>
      </c>
      <c r="P8" s="122">
        <v>0.33183644528480266</v>
      </c>
      <c r="Q8" s="122">
        <v>0.39642184557438792</v>
      </c>
      <c r="R8" s="122">
        <v>0.40351554954606916</v>
      </c>
      <c r="S8" s="42">
        <v>0.40351554954606916</v>
      </c>
      <c r="T8" s="42">
        <v>0.24210932972764149</v>
      </c>
      <c r="U8" s="42">
        <v>0.17229285401139852</v>
      </c>
      <c r="V8" s="42">
        <v>0.18980169971671387</v>
      </c>
      <c r="W8" s="42">
        <v>0.18980169971671387</v>
      </c>
      <c r="X8" s="43">
        <v>0.11388101983002832</v>
      </c>
      <c r="Y8" s="44">
        <v>19.723287671232878</v>
      </c>
      <c r="Z8" s="45">
        <v>109.25163846974547</v>
      </c>
      <c r="AA8" s="45">
        <v>29.550009382623379</v>
      </c>
      <c r="AB8" s="45">
        <v>0.25</v>
      </c>
      <c r="AC8" s="45">
        <v>5.8153153153153152</v>
      </c>
      <c r="AD8" s="45">
        <v>85</v>
      </c>
      <c r="AE8" s="45">
        <v>4.1500000000000004</v>
      </c>
      <c r="AF8" s="46">
        <v>35.270833333333336</v>
      </c>
      <c r="AG8" s="128">
        <v>6</v>
      </c>
      <c r="AH8" s="49">
        <v>9</v>
      </c>
      <c r="AI8" s="49">
        <v>6</v>
      </c>
      <c r="AJ8" s="49">
        <v>9</v>
      </c>
      <c r="AK8" s="49">
        <v>6</v>
      </c>
      <c r="AL8" s="49">
        <v>4</v>
      </c>
      <c r="AM8" s="49">
        <v>4</v>
      </c>
      <c r="AN8" s="49">
        <v>7</v>
      </c>
      <c r="AO8" s="49">
        <v>6</v>
      </c>
      <c r="AP8" s="50">
        <v>0</v>
      </c>
      <c r="AQ8" s="56"/>
      <c r="AR8" s="57">
        <v>1</v>
      </c>
      <c r="AS8" s="57"/>
      <c r="AT8" s="57"/>
      <c r="AU8" s="57"/>
      <c r="AV8" s="57"/>
      <c r="AW8" s="57"/>
      <c r="AX8" s="57"/>
      <c r="AY8" s="57"/>
      <c r="AZ8" s="57"/>
      <c r="BA8" s="57"/>
      <c r="BB8" s="57">
        <v>1</v>
      </c>
      <c r="BC8" s="57"/>
      <c r="BD8" s="57"/>
      <c r="BE8" s="59"/>
      <c r="BF8" s="56">
        <v>822</v>
      </c>
      <c r="BG8" s="57">
        <v>2182</v>
      </c>
      <c r="BH8" s="57">
        <v>9</v>
      </c>
      <c r="BI8" s="57"/>
      <c r="BJ8" s="57">
        <v>179</v>
      </c>
      <c r="BK8" s="57"/>
      <c r="BL8" s="58">
        <v>4.5921787709497206</v>
      </c>
      <c r="BM8" s="57"/>
      <c r="BN8" s="57"/>
      <c r="BO8" s="57"/>
      <c r="BP8" s="57">
        <v>422</v>
      </c>
      <c r="BQ8" s="57">
        <v>2167</v>
      </c>
      <c r="BR8" s="57">
        <v>33</v>
      </c>
      <c r="BS8" s="57">
        <v>3</v>
      </c>
      <c r="BT8" s="59"/>
      <c r="BU8" s="56">
        <v>1021</v>
      </c>
      <c r="BV8" s="57">
        <v>1637</v>
      </c>
      <c r="BW8" s="57">
        <v>13</v>
      </c>
      <c r="BX8" s="57"/>
      <c r="BY8" s="57">
        <v>178</v>
      </c>
      <c r="BZ8" s="57"/>
      <c r="CA8" s="53">
        <v>5.7359550561797752</v>
      </c>
      <c r="CB8" s="129"/>
      <c r="CC8" s="58"/>
      <c r="CD8" s="129"/>
      <c r="CE8" s="57">
        <v>383</v>
      </c>
      <c r="CF8" s="57">
        <v>2594</v>
      </c>
      <c r="CG8" s="57">
        <v>32</v>
      </c>
      <c r="CH8" s="57">
        <v>5</v>
      </c>
      <c r="CI8" s="59"/>
      <c r="CJ8" s="51">
        <v>1291</v>
      </c>
      <c r="CK8" s="52">
        <v>1967</v>
      </c>
      <c r="CL8" s="52">
        <v>10</v>
      </c>
      <c r="CM8" s="52"/>
      <c r="CN8" s="52">
        <v>222</v>
      </c>
      <c r="CO8" s="52"/>
      <c r="CP8" s="53">
        <v>5.8153153153153152</v>
      </c>
      <c r="CQ8" s="52"/>
      <c r="CR8" s="53"/>
      <c r="CS8" s="52"/>
      <c r="CT8" s="52">
        <v>393</v>
      </c>
      <c r="CU8" s="52">
        <v>2281</v>
      </c>
      <c r="CV8" s="52">
        <v>38</v>
      </c>
      <c r="CW8" s="52">
        <v>4</v>
      </c>
      <c r="CX8" s="54"/>
      <c r="CY8" s="51">
        <v>1553</v>
      </c>
      <c r="CZ8" s="52">
        <v>2353</v>
      </c>
      <c r="DA8" s="52">
        <v>17</v>
      </c>
      <c r="DB8" s="52">
        <v>28</v>
      </c>
      <c r="DC8" s="52">
        <v>287</v>
      </c>
      <c r="DD8" s="52">
        <v>35.25</v>
      </c>
      <c r="DE8" s="53">
        <v>5.4111498257839719</v>
      </c>
      <c r="DF8" s="53">
        <v>85</v>
      </c>
      <c r="DG8" s="53">
        <v>4.1500000000000004</v>
      </c>
      <c r="DH8" s="53">
        <v>35.270833333333336</v>
      </c>
      <c r="DI8" s="52">
        <v>536</v>
      </c>
      <c r="DJ8" s="52">
        <v>2824</v>
      </c>
      <c r="DK8" s="52">
        <v>38</v>
      </c>
      <c r="DL8" s="52">
        <v>2</v>
      </c>
      <c r="DM8" s="54">
        <v>18</v>
      </c>
      <c r="DN8" s="126"/>
      <c r="DO8" s="5">
        <v>6</v>
      </c>
      <c r="DP8" s="42" t="s">
        <v>402</v>
      </c>
      <c r="DQ8" s="7">
        <v>0.7</v>
      </c>
      <c r="DR8" s="130"/>
    </row>
    <row r="9" spans="1:123" x14ac:dyDescent="0.2">
      <c r="A9" s="33">
        <v>7</v>
      </c>
      <c r="B9" s="34" t="s">
        <v>403</v>
      </c>
      <c r="C9" s="116">
        <v>8.93888888888889</v>
      </c>
      <c r="D9" s="117" t="s">
        <v>404</v>
      </c>
      <c r="E9" s="37">
        <v>2</v>
      </c>
      <c r="F9" s="118">
        <v>34133</v>
      </c>
      <c r="G9" s="119">
        <v>32.31232876712329</v>
      </c>
      <c r="H9" s="39" t="s">
        <v>389</v>
      </c>
      <c r="I9" s="119">
        <v>21.884931506849316</v>
      </c>
      <c r="J9" s="120">
        <v>69</v>
      </c>
      <c r="K9" s="120">
        <v>205</v>
      </c>
      <c r="L9" s="119">
        <v>4.5999999999999996</v>
      </c>
      <c r="M9" s="55">
        <v>2</v>
      </c>
      <c r="N9" s="121">
        <v>0</v>
      </c>
      <c r="O9" s="122">
        <v>3.2597691840453531E-2</v>
      </c>
      <c r="P9" s="122">
        <v>0.2038443652146954</v>
      </c>
      <c r="Q9" s="122">
        <v>0.35851520238761425</v>
      </c>
      <c r="R9" s="122">
        <v>0.32024354155682921</v>
      </c>
      <c r="S9" s="42">
        <v>0.33937937197222173</v>
      </c>
      <c r="T9" s="42">
        <v>0.33937937197222173</v>
      </c>
      <c r="U9" s="42">
        <v>9.0731325772389515E-2</v>
      </c>
      <c r="V9" s="42">
        <v>9.7559206470097568E-2</v>
      </c>
      <c r="W9" s="42">
        <v>9.7559206470097568E-2</v>
      </c>
      <c r="X9" s="43">
        <v>9.7559206470097568E-2</v>
      </c>
      <c r="Y9" s="44">
        <v>19.232876712328768</v>
      </c>
      <c r="Z9" s="45">
        <v>91.569855739509251</v>
      </c>
      <c r="AA9" s="45">
        <v>30.269901281243438</v>
      </c>
      <c r="AB9" s="45">
        <v>0.21673003802281368</v>
      </c>
      <c r="AC9" s="45">
        <v>6.1368821292775664</v>
      </c>
      <c r="AD9" s="45">
        <v>71.3</v>
      </c>
      <c r="AE9" s="45">
        <v>3.08</v>
      </c>
      <c r="AF9" s="46">
        <v>45.9</v>
      </c>
      <c r="AG9" s="128">
        <v>9</v>
      </c>
      <c r="AH9" s="49">
        <v>9</v>
      </c>
      <c r="AI9" s="49">
        <v>7</v>
      </c>
      <c r="AJ9" s="49">
        <v>2</v>
      </c>
      <c r="AK9" s="49">
        <v>4</v>
      </c>
      <c r="AL9" s="49">
        <v>5</v>
      </c>
      <c r="AM9" s="49">
        <v>3</v>
      </c>
      <c r="AN9" s="49">
        <v>2</v>
      </c>
      <c r="AO9" s="49">
        <v>7</v>
      </c>
      <c r="AP9" s="50">
        <v>0</v>
      </c>
      <c r="AQ9" s="56"/>
      <c r="AR9" s="57">
        <v>1</v>
      </c>
      <c r="AS9" s="57"/>
      <c r="AT9" s="57"/>
      <c r="AU9" s="57"/>
      <c r="AV9" s="57"/>
      <c r="AW9" s="57"/>
      <c r="AX9" s="57"/>
      <c r="AY9" s="57"/>
      <c r="AZ9" s="57"/>
      <c r="BA9" s="57"/>
      <c r="BB9" s="57">
        <v>1</v>
      </c>
      <c r="BC9" s="57"/>
      <c r="BD9" s="57"/>
      <c r="BE9" s="59"/>
      <c r="BF9" s="56">
        <v>150</v>
      </c>
      <c r="BG9" s="57">
        <v>2824</v>
      </c>
      <c r="BH9" s="57">
        <v>3</v>
      </c>
      <c r="BI9" s="57"/>
      <c r="BJ9" s="57">
        <v>42</v>
      </c>
      <c r="BK9" s="57"/>
      <c r="BL9" s="57"/>
      <c r="BM9" s="57"/>
      <c r="BN9" s="57"/>
      <c r="BO9" s="57"/>
      <c r="BP9" s="57">
        <v>11</v>
      </c>
      <c r="BQ9" s="57">
        <v>2115</v>
      </c>
      <c r="BR9" s="57">
        <v>1</v>
      </c>
      <c r="BS9" s="57">
        <v>0</v>
      </c>
      <c r="BT9" s="59"/>
      <c r="BU9" s="56">
        <v>1137</v>
      </c>
      <c r="BV9" s="57">
        <v>3547</v>
      </c>
      <c r="BW9" s="57">
        <v>8</v>
      </c>
      <c r="BX9" s="57"/>
      <c r="BY9" s="57">
        <v>226</v>
      </c>
      <c r="BZ9" s="57"/>
      <c r="CA9" s="125">
        <v>5.0309734513274336</v>
      </c>
      <c r="CB9" s="129"/>
      <c r="CC9" s="58"/>
      <c r="CD9" s="129"/>
      <c r="CE9" s="57">
        <v>178</v>
      </c>
      <c r="CF9" s="57">
        <v>2904</v>
      </c>
      <c r="CG9" s="57">
        <v>27</v>
      </c>
      <c r="CH9" s="57">
        <v>2</v>
      </c>
      <c r="CI9" s="59"/>
      <c r="CJ9" s="51">
        <v>1690</v>
      </c>
      <c r="CK9" s="52">
        <v>2804</v>
      </c>
      <c r="CL9" s="52">
        <v>9</v>
      </c>
      <c r="CM9" s="52"/>
      <c r="CN9" s="52">
        <v>281</v>
      </c>
      <c r="CO9" s="52"/>
      <c r="CP9" s="53">
        <v>6.0142348754448403</v>
      </c>
      <c r="CQ9" s="52"/>
      <c r="CR9" s="53"/>
      <c r="CS9" s="52"/>
      <c r="CT9" s="52">
        <v>232</v>
      </c>
      <c r="CU9" s="52">
        <v>2557</v>
      </c>
      <c r="CV9" s="52">
        <v>26</v>
      </c>
      <c r="CW9" s="52">
        <v>2</v>
      </c>
      <c r="CX9" s="54"/>
      <c r="CY9" s="51">
        <v>1614</v>
      </c>
      <c r="CZ9" s="52">
        <v>3122.6</v>
      </c>
      <c r="DA9" s="52">
        <v>19</v>
      </c>
      <c r="DB9" s="52">
        <v>35.1</v>
      </c>
      <c r="DC9" s="52">
        <v>263</v>
      </c>
      <c r="DD9" s="52">
        <v>57</v>
      </c>
      <c r="DE9" s="53">
        <v>6.1368821292775664</v>
      </c>
      <c r="DF9" s="53">
        <v>71.3</v>
      </c>
      <c r="DG9" s="53">
        <v>3.08</v>
      </c>
      <c r="DH9" s="53">
        <v>45.9</v>
      </c>
      <c r="DI9" s="52">
        <v>269</v>
      </c>
      <c r="DJ9" s="52">
        <v>2757.2999999999997</v>
      </c>
      <c r="DK9" s="52">
        <v>22</v>
      </c>
      <c r="DL9" s="52">
        <v>3</v>
      </c>
      <c r="DM9" s="54">
        <v>23.400000000000002</v>
      </c>
      <c r="DN9" s="126"/>
      <c r="DO9" s="5">
        <v>7</v>
      </c>
      <c r="DP9" s="42" t="s">
        <v>405</v>
      </c>
      <c r="DQ9" s="7">
        <v>0.65</v>
      </c>
    </row>
    <row r="10" spans="1:123" x14ac:dyDescent="0.2">
      <c r="A10" s="33">
        <v>8</v>
      </c>
      <c r="B10" s="34" t="s">
        <v>406</v>
      </c>
      <c r="C10" s="116">
        <v>6.5777777777777784</v>
      </c>
      <c r="D10" s="117" t="s">
        <v>407</v>
      </c>
      <c r="E10" s="37">
        <v>1</v>
      </c>
      <c r="F10" s="118">
        <v>34019</v>
      </c>
      <c r="G10" s="119">
        <v>32.624657534246573</v>
      </c>
      <c r="H10" s="39" t="s">
        <v>385</v>
      </c>
      <c r="I10" s="119">
        <v>22.197260273972603</v>
      </c>
      <c r="J10" s="120">
        <v>69</v>
      </c>
      <c r="K10" s="120">
        <v>217</v>
      </c>
      <c r="L10" s="119">
        <v>4.6100000000000003</v>
      </c>
      <c r="M10" s="55">
        <v>4</v>
      </c>
      <c r="N10" s="121">
        <v>0</v>
      </c>
      <c r="O10" s="122">
        <v>0</v>
      </c>
      <c r="P10" s="122">
        <v>6.85962117188883E-2</v>
      </c>
      <c r="Q10" s="122">
        <v>0.2828137666740364</v>
      </c>
      <c r="R10" s="122">
        <v>0.23333680302557164</v>
      </c>
      <c r="S10" s="42">
        <v>0.25807528484980402</v>
      </c>
      <c r="T10" s="42">
        <v>0.25807528484980402</v>
      </c>
      <c r="U10" s="42">
        <v>0.11557656947727868</v>
      </c>
      <c r="V10" s="42">
        <v>0.10023970363913708</v>
      </c>
      <c r="W10" s="42">
        <v>0.10790813655820788</v>
      </c>
      <c r="X10" s="43">
        <v>0.10790813655820788</v>
      </c>
      <c r="Y10" s="44">
        <v>20.545205479452054</v>
      </c>
      <c r="Z10" s="45">
        <v>96.091733456663121</v>
      </c>
      <c r="AA10" s="45">
        <v>32.041797941608905</v>
      </c>
      <c r="AB10" s="45">
        <v>0.1407035175879397</v>
      </c>
      <c r="AC10" s="45">
        <v>5.8275862068965516</v>
      </c>
      <c r="AD10" s="45">
        <v>35.799999999999997</v>
      </c>
      <c r="AE10" s="45">
        <v>2.5</v>
      </c>
      <c r="AF10" s="46">
        <v>33.200000000000003</v>
      </c>
      <c r="AG10" s="128">
        <v>6</v>
      </c>
      <c r="AH10" s="49">
        <v>9</v>
      </c>
      <c r="AI10" s="49">
        <v>3</v>
      </c>
      <c r="AJ10" s="49">
        <v>4</v>
      </c>
      <c r="AK10" s="49">
        <v>1</v>
      </c>
      <c r="AL10" s="49">
        <v>4</v>
      </c>
      <c r="AM10" s="49">
        <v>0</v>
      </c>
      <c r="AN10" s="49">
        <v>0</v>
      </c>
      <c r="AO10" s="49">
        <v>4</v>
      </c>
      <c r="AP10" s="50">
        <v>0.5</v>
      </c>
      <c r="AQ10" s="56"/>
      <c r="AR10" s="57">
        <v>1</v>
      </c>
      <c r="AS10" s="57"/>
      <c r="AT10" s="57"/>
      <c r="AU10" s="57"/>
      <c r="AV10" s="57"/>
      <c r="AW10" s="57"/>
      <c r="AX10" s="57"/>
      <c r="AY10" s="57"/>
      <c r="AZ10" s="57"/>
      <c r="BA10" s="57"/>
      <c r="BB10" s="57">
        <v>1</v>
      </c>
      <c r="BC10" s="57"/>
      <c r="BD10" s="57"/>
      <c r="BE10" s="59"/>
      <c r="BF10" s="56"/>
      <c r="BG10" s="57">
        <v>1</v>
      </c>
      <c r="BH10" s="57"/>
      <c r="BI10" s="57"/>
      <c r="BJ10" s="57"/>
      <c r="BK10" s="57"/>
      <c r="BL10" s="57"/>
      <c r="BM10" s="57"/>
      <c r="BN10" s="57"/>
      <c r="BO10" s="57"/>
      <c r="BP10" s="57"/>
      <c r="BQ10" s="57">
        <v>1</v>
      </c>
      <c r="BR10" s="57"/>
      <c r="BS10" s="57"/>
      <c r="BT10" s="59"/>
      <c r="BU10" s="56">
        <v>275</v>
      </c>
      <c r="BV10" s="57">
        <v>1662</v>
      </c>
      <c r="BW10" s="57">
        <v>2</v>
      </c>
      <c r="BX10" s="57"/>
      <c r="BY10" s="57">
        <v>52</v>
      </c>
      <c r="BZ10" s="57"/>
      <c r="CA10" s="125"/>
      <c r="CB10" s="129"/>
      <c r="CC10" s="58"/>
      <c r="CD10" s="129"/>
      <c r="CE10" s="57">
        <v>35</v>
      </c>
      <c r="CF10" s="57">
        <v>2857.2</v>
      </c>
      <c r="CG10" s="57">
        <v>4</v>
      </c>
      <c r="CH10" s="57">
        <v>0</v>
      </c>
      <c r="CI10" s="59"/>
      <c r="CJ10" s="51">
        <v>1183</v>
      </c>
      <c r="CK10" s="52">
        <v>2382</v>
      </c>
      <c r="CL10" s="52">
        <v>11</v>
      </c>
      <c r="CM10" s="52"/>
      <c r="CN10" s="52">
        <v>203</v>
      </c>
      <c r="CO10" s="52"/>
      <c r="CP10" s="53">
        <v>5.8275862068965516</v>
      </c>
      <c r="CQ10" s="52"/>
      <c r="CR10" s="53"/>
      <c r="CS10" s="52"/>
      <c r="CT10" s="52">
        <v>352</v>
      </c>
      <c r="CU10" s="52">
        <v>3045.6000000000004</v>
      </c>
      <c r="CV10" s="52">
        <v>34</v>
      </c>
      <c r="CW10" s="52">
        <v>0</v>
      </c>
      <c r="CX10" s="54"/>
      <c r="CY10" s="51">
        <v>977</v>
      </c>
      <c r="CZ10" s="52">
        <v>2093</v>
      </c>
      <c r="DA10" s="52">
        <v>9</v>
      </c>
      <c r="DB10" s="52">
        <v>23.400000000000002</v>
      </c>
      <c r="DC10" s="52">
        <v>199</v>
      </c>
      <c r="DD10" s="52">
        <v>28</v>
      </c>
      <c r="DE10" s="53">
        <v>4.9095477386934672</v>
      </c>
      <c r="DF10" s="53">
        <v>35.799999999999997</v>
      </c>
      <c r="DG10" s="53">
        <v>2.5</v>
      </c>
      <c r="DH10" s="53">
        <v>33.200000000000003</v>
      </c>
      <c r="DI10" s="52">
        <v>368</v>
      </c>
      <c r="DJ10" s="52">
        <v>3671.2</v>
      </c>
      <c r="DK10" s="52">
        <v>32</v>
      </c>
      <c r="DL10" s="52">
        <v>2</v>
      </c>
      <c r="DM10" s="54">
        <v>28.6</v>
      </c>
      <c r="DN10" s="126"/>
      <c r="DO10" s="5">
        <v>8</v>
      </c>
      <c r="DP10" s="42" t="s">
        <v>408</v>
      </c>
      <c r="DQ10" s="7">
        <v>0.65</v>
      </c>
      <c r="DR10" s="131"/>
    </row>
    <row r="11" spans="1:123" x14ac:dyDescent="0.2">
      <c r="A11" s="33">
        <v>9</v>
      </c>
      <c r="B11" s="34" t="s">
        <v>409</v>
      </c>
      <c r="C11" s="116">
        <v>6.4833333333333334</v>
      </c>
      <c r="D11" s="117" t="s">
        <v>410</v>
      </c>
      <c r="E11" s="37">
        <v>5</v>
      </c>
      <c r="F11" s="118">
        <v>33477</v>
      </c>
      <c r="G11" s="119">
        <v>34.109589041095887</v>
      </c>
      <c r="H11" s="39" t="s">
        <v>385</v>
      </c>
      <c r="I11" s="119">
        <v>23.682191780821917</v>
      </c>
      <c r="J11" s="120">
        <v>72</v>
      </c>
      <c r="K11" s="120">
        <v>221</v>
      </c>
      <c r="L11" s="119">
        <v>4.53</v>
      </c>
      <c r="M11" s="55">
        <v>4</v>
      </c>
      <c r="N11" s="121">
        <v>0</v>
      </c>
      <c r="O11" s="122">
        <v>0</v>
      </c>
      <c r="P11" s="122">
        <v>0</v>
      </c>
      <c r="Q11" s="122">
        <v>0.1998727907021568</v>
      </c>
      <c r="R11" s="122">
        <v>0.32678859601936522</v>
      </c>
      <c r="S11" s="42">
        <v>0.32678859601936522</v>
      </c>
      <c r="T11" s="42">
        <v>0.27777030661646041</v>
      </c>
      <c r="U11" s="42">
        <v>8.5357179148460527E-2</v>
      </c>
      <c r="V11" s="42">
        <v>0.12007884226360288</v>
      </c>
      <c r="W11" s="42">
        <v>0.12007884226360288</v>
      </c>
      <c r="X11" s="43">
        <v>0.10206701592406245</v>
      </c>
      <c r="Y11" s="44">
        <v>22.030136986301368</v>
      </c>
      <c r="Z11" s="45">
        <v>104.96136290292813</v>
      </c>
      <c r="AA11" s="45">
        <v>29.969714506172842</v>
      </c>
      <c r="AB11" s="45">
        <v>0.16</v>
      </c>
      <c r="AC11" s="45">
        <v>5.8148148148148149</v>
      </c>
      <c r="AD11" s="45">
        <v>41</v>
      </c>
      <c r="AE11" s="45">
        <v>2.6</v>
      </c>
      <c r="AF11" s="46">
        <v>35.700000000000003</v>
      </c>
      <c r="AG11" s="128">
        <v>7</v>
      </c>
      <c r="AH11" s="49">
        <v>9</v>
      </c>
      <c r="AI11" s="49">
        <v>1</v>
      </c>
      <c r="AJ11" s="49">
        <v>7</v>
      </c>
      <c r="AK11" s="49">
        <v>2</v>
      </c>
      <c r="AL11" s="49">
        <v>4</v>
      </c>
      <c r="AM11" s="49">
        <v>0</v>
      </c>
      <c r="AN11" s="49">
        <v>0</v>
      </c>
      <c r="AO11" s="49">
        <v>4</v>
      </c>
      <c r="AP11" s="50">
        <v>0</v>
      </c>
      <c r="AQ11" s="56"/>
      <c r="AR11" s="57">
        <v>1</v>
      </c>
      <c r="AS11" s="57"/>
      <c r="AT11" s="57"/>
      <c r="AU11" s="57"/>
      <c r="AV11" s="57"/>
      <c r="AW11" s="57"/>
      <c r="AX11" s="57"/>
      <c r="AY11" s="57"/>
      <c r="AZ11" s="57"/>
      <c r="BA11" s="57"/>
      <c r="BB11" s="57">
        <v>1</v>
      </c>
      <c r="BC11" s="57"/>
      <c r="BD11" s="57"/>
      <c r="BE11" s="59"/>
      <c r="BF11" s="56"/>
      <c r="BG11" s="57">
        <v>1</v>
      </c>
      <c r="BH11" s="57"/>
      <c r="BI11" s="57"/>
      <c r="BJ11" s="57"/>
      <c r="BK11" s="57"/>
      <c r="BL11" s="57"/>
      <c r="BM11" s="57"/>
      <c r="BN11" s="57"/>
      <c r="BO11" s="57"/>
      <c r="BP11" s="57"/>
      <c r="BQ11" s="57">
        <v>1</v>
      </c>
      <c r="BR11" s="57"/>
      <c r="BS11" s="57"/>
      <c r="BT11" s="59"/>
      <c r="BU11" s="56"/>
      <c r="BV11" s="57">
        <v>1</v>
      </c>
      <c r="BW11" s="57"/>
      <c r="BX11" s="57"/>
      <c r="BY11" s="57"/>
      <c r="BZ11" s="57"/>
      <c r="CA11" s="129"/>
      <c r="CB11" s="129"/>
      <c r="CC11" s="58"/>
      <c r="CD11" s="129"/>
      <c r="CE11" s="57"/>
      <c r="CF11" s="57">
        <v>1</v>
      </c>
      <c r="CG11" s="57"/>
      <c r="CH11" s="57"/>
      <c r="CI11" s="59"/>
      <c r="CJ11" s="51">
        <v>785</v>
      </c>
      <c r="CK11" s="52">
        <v>2236</v>
      </c>
      <c r="CL11" s="52">
        <v>14</v>
      </c>
      <c r="CM11" s="52"/>
      <c r="CN11" s="52">
        <v>135</v>
      </c>
      <c r="CO11" s="52"/>
      <c r="CP11" s="53">
        <v>5.8148148148148149</v>
      </c>
      <c r="CQ11" s="52"/>
      <c r="CR11" s="53"/>
      <c r="CS11" s="52"/>
      <c r="CT11" s="52">
        <v>252</v>
      </c>
      <c r="CU11" s="52">
        <v>2952.2999999999997</v>
      </c>
      <c r="CV11" s="52">
        <v>22</v>
      </c>
      <c r="CW11" s="52">
        <v>1</v>
      </c>
      <c r="CX11" s="54"/>
      <c r="CY11" s="51">
        <v>1481</v>
      </c>
      <c r="CZ11" s="52">
        <v>2093</v>
      </c>
      <c r="DA11" s="52">
        <v>11</v>
      </c>
      <c r="DB11" s="52">
        <v>18.2</v>
      </c>
      <c r="DC11" s="52">
        <v>275</v>
      </c>
      <c r="DD11" s="52">
        <v>44</v>
      </c>
      <c r="DE11" s="53">
        <v>5.3854545454545457</v>
      </c>
      <c r="DF11" s="53">
        <v>41</v>
      </c>
      <c r="DG11" s="53">
        <v>2.6</v>
      </c>
      <c r="DH11" s="53">
        <v>35.700000000000003</v>
      </c>
      <c r="DI11" s="52">
        <v>463</v>
      </c>
      <c r="DJ11" s="52">
        <v>3855.8</v>
      </c>
      <c r="DK11" s="52">
        <v>42</v>
      </c>
      <c r="DL11" s="52">
        <v>1</v>
      </c>
      <c r="DM11" s="54">
        <v>39</v>
      </c>
      <c r="DN11" s="126"/>
      <c r="DO11" s="5">
        <v>9</v>
      </c>
      <c r="DP11" s="42" t="s">
        <v>411</v>
      </c>
      <c r="DQ11" s="7">
        <v>0.65</v>
      </c>
      <c r="DR11" s="131"/>
    </row>
    <row r="12" spans="1:123" x14ac:dyDescent="0.2">
      <c r="A12" s="33">
        <v>10</v>
      </c>
      <c r="B12" s="34" t="s">
        <v>415</v>
      </c>
      <c r="C12" s="116">
        <v>6.3888888888888893</v>
      </c>
      <c r="D12" s="117" t="s">
        <v>416</v>
      </c>
      <c r="E12" s="37">
        <v>7</v>
      </c>
      <c r="F12" s="118">
        <v>34135</v>
      </c>
      <c r="G12" s="119">
        <v>32.30684931506849</v>
      </c>
      <c r="H12" s="39" t="s">
        <v>385</v>
      </c>
      <c r="I12" s="119">
        <v>21.87945205479452</v>
      </c>
      <c r="J12" s="132">
        <v>72</v>
      </c>
      <c r="K12" s="132">
        <v>221</v>
      </c>
      <c r="L12" s="133">
        <v>4.57</v>
      </c>
      <c r="M12" s="55">
        <v>5</v>
      </c>
      <c r="N12" s="121">
        <v>0</v>
      </c>
      <c r="O12" s="122">
        <v>0</v>
      </c>
      <c r="P12" s="122">
        <v>0.1305337483160682</v>
      </c>
      <c r="Q12" s="122">
        <v>0.26607431340872373</v>
      </c>
      <c r="R12" s="122">
        <v>0.33958556111095062</v>
      </c>
      <c r="S12" s="42">
        <v>0.33958556111095062</v>
      </c>
      <c r="T12" s="42">
        <v>0.22073061472211791</v>
      </c>
      <c r="U12" s="42">
        <v>8.6113266097750191E-2</v>
      </c>
      <c r="V12" s="42">
        <v>0.13603016099449766</v>
      </c>
      <c r="W12" s="42">
        <v>0.13603016099449766</v>
      </c>
      <c r="X12" s="43">
        <v>8.8419604646423483E-2</v>
      </c>
      <c r="Y12" s="44">
        <v>20.227397260273971</v>
      </c>
      <c r="Z12" s="45">
        <v>101.33453269169097</v>
      </c>
      <c r="AA12" s="45">
        <v>29.969714506172842</v>
      </c>
      <c r="AB12" s="45">
        <v>0.14655172413793102</v>
      </c>
      <c r="AC12" s="45">
        <v>5.7228915662650603</v>
      </c>
      <c r="AD12" s="45">
        <v>51.4</v>
      </c>
      <c r="AE12" s="45">
        <v>3.36</v>
      </c>
      <c r="AF12" s="46">
        <v>39.6</v>
      </c>
      <c r="AG12" s="128">
        <v>4</v>
      </c>
      <c r="AH12" s="49">
        <v>8</v>
      </c>
      <c r="AI12" s="49">
        <v>4</v>
      </c>
      <c r="AJ12" s="49">
        <v>6</v>
      </c>
      <c r="AK12" s="49">
        <v>1</v>
      </c>
      <c r="AL12" s="49">
        <v>3</v>
      </c>
      <c r="AM12" s="49">
        <v>1</v>
      </c>
      <c r="AN12" s="49">
        <v>3</v>
      </c>
      <c r="AO12" s="49">
        <v>3</v>
      </c>
      <c r="AP12" s="50">
        <v>0.5</v>
      </c>
      <c r="AQ12" s="56"/>
      <c r="AR12" s="57">
        <v>1</v>
      </c>
      <c r="AS12" s="57"/>
      <c r="AT12" s="57"/>
      <c r="AU12" s="57"/>
      <c r="AV12" s="57"/>
      <c r="AW12" s="57"/>
      <c r="AX12" s="57"/>
      <c r="AY12" s="57"/>
      <c r="AZ12" s="57"/>
      <c r="BA12" s="57"/>
      <c r="BB12" s="57">
        <v>1</v>
      </c>
      <c r="BC12" s="57"/>
      <c r="BD12" s="57"/>
      <c r="BE12" s="59"/>
      <c r="BF12" s="56"/>
      <c r="BG12" s="57">
        <v>1</v>
      </c>
      <c r="BH12" s="57"/>
      <c r="BI12" s="57"/>
      <c r="BJ12" s="57"/>
      <c r="BK12" s="57"/>
      <c r="BL12" s="57"/>
      <c r="BM12" s="57"/>
      <c r="BN12" s="57"/>
      <c r="BO12" s="57"/>
      <c r="BP12" s="57"/>
      <c r="BQ12" s="57">
        <v>1</v>
      </c>
      <c r="BR12" s="57"/>
      <c r="BS12" s="57"/>
      <c r="BT12" s="59"/>
      <c r="BU12" s="56">
        <v>548</v>
      </c>
      <c r="BV12" s="57">
        <v>1850.1999999999998</v>
      </c>
      <c r="BW12" s="57">
        <v>4</v>
      </c>
      <c r="BX12" s="57"/>
      <c r="BY12" s="57">
        <v>82</v>
      </c>
      <c r="BZ12" s="57"/>
      <c r="CA12" s="125"/>
      <c r="CB12" s="129"/>
      <c r="CC12" s="58"/>
      <c r="CD12" s="129"/>
      <c r="CE12" s="57">
        <v>14</v>
      </c>
      <c r="CF12" s="57">
        <v>2455.1999999999998</v>
      </c>
      <c r="CG12" s="57">
        <v>1</v>
      </c>
      <c r="CH12" s="57">
        <v>0</v>
      </c>
      <c r="CI12" s="59"/>
      <c r="CJ12" s="51">
        <v>1425</v>
      </c>
      <c r="CK12" s="52">
        <v>3612</v>
      </c>
      <c r="CL12" s="52">
        <v>18</v>
      </c>
      <c r="CM12" s="52"/>
      <c r="CN12" s="52">
        <v>249</v>
      </c>
      <c r="CO12" s="52"/>
      <c r="CP12" s="53">
        <v>5.7228915662650603</v>
      </c>
      <c r="CQ12" s="52"/>
      <c r="CR12" s="53"/>
      <c r="CS12" s="52"/>
      <c r="CT12" s="52">
        <v>222</v>
      </c>
      <c r="CU12" s="52">
        <v>2578</v>
      </c>
      <c r="CV12" s="52">
        <v>22</v>
      </c>
      <c r="CW12" s="52">
        <v>1</v>
      </c>
      <c r="CX12" s="54"/>
      <c r="CY12" s="51">
        <v>1816</v>
      </c>
      <c r="CZ12" s="52">
        <v>2994.6</v>
      </c>
      <c r="DA12" s="52">
        <v>28</v>
      </c>
      <c r="DB12" s="52">
        <v>39.199999999999996</v>
      </c>
      <c r="DC12" s="52">
        <v>348</v>
      </c>
      <c r="DD12" s="52">
        <v>51</v>
      </c>
      <c r="DE12" s="53">
        <v>5.2183908045977008</v>
      </c>
      <c r="DF12" s="53">
        <v>51.4</v>
      </c>
      <c r="DG12" s="53">
        <v>3.36</v>
      </c>
      <c r="DH12" s="53">
        <v>39.6</v>
      </c>
      <c r="DI12" s="52">
        <v>534</v>
      </c>
      <c r="DJ12" s="52">
        <v>3925.5999999999995</v>
      </c>
      <c r="DK12" s="52">
        <v>50</v>
      </c>
      <c r="DL12" s="52">
        <v>4</v>
      </c>
      <c r="DM12" s="54">
        <v>26.599999999999998</v>
      </c>
      <c r="DN12" s="126"/>
      <c r="DO12" s="5">
        <v>10</v>
      </c>
      <c r="DP12" s="42" t="s">
        <v>414</v>
      </c>
      <c r="DQ12" s="7">
        <v>0.6</v>
      </c>
    </row>
    <row r="13" spans="1:123" x14ac:dyDescent="0.2">
      <c r="A13" s="33">
        <v>11</v>
      </c>
      <c r="B13" s="34" t="s">
        <v>412</v>
      </c>
      <c r="C13" s="116">
        <v>6.2777777777777777</v>
      </c>
      <c r="D13" s="117" t="s">
        <v>413</v>
      </c>
      <c r="E13" s="37">
        <v>4</v>
      </c>
      <c r="F13" s="118">
        <v>34093</v>
      </c>
      <c r="G13" s="119">
        <v>32.421917808219177</v>
      </c>
      <c r="H13" s="39" t="s">
        <v>389</v>
      </c>
      <c r="I13" s="119">
        <v>21.994520547945207</v>
      </c>
      <c r="J13" s="120">
        <v>73</v>
      </c>
      <c r="K13" s="120">
        <v>230</v>
      </c>
      <c r="L13" s="119">
        <v>4.4800000000000004</v>
      </c>
      <c r="M13" s="55">
        <v>5</v>
      </c>
      <c r="N13" s="121">
        <v>0</v>
      </c>
      <c r="O13" s="122">
        <v>0</v>
      </c>
      <c r="P13" s="122">
        <v>0</v>
      </c>
      <c r="Q13" s="122">
        <v>0.10912343470483005</v>
      </c>
      <c r="R13" s="122">
        <v>0.17935357196798066</v>
      </c>
      <c r="S13" s="42">
        <v>0.17935357196798066</v>
      </c>
      <c r="T13" s="42">
        <v>0.16141821477118259</v>
      </c>
      <c r="U13" s="42">
        <v>2.2151898734177215E-2</v>
      </c>
      <c r="V13" s="42">
        <v>7.2810198922958563E-2</v>
      </c>
      <c r="W13" s="42">
        <v>7.2810198922958563E-2</v>
      </c>
      <c r="X13" s="43">
        <v>6.5529179030662715E-2</v>
      </c>
      <c r="Y13" s="44">
        <v>21.342465753424658</v>
      </c>
      <c r="Z13" s="45">
        <v>114.1946547133681</v>
      </c>
      <c r="AA13" s="45">
        <v>30.341527491086509</v>
      </c>
      <c r="AB13" s="45">
        <v>0.14666666666666667</v>
      </c>
      <c r="AC13" s="45">
        <v>8.0219780219780219</v>
      </c>
      <c r="AD13" s="45">
        <v>37.200000000000003</v>
      </c>
      <c r="AE13" s="45">
        <v>2.66</v>
      </c>
      <c r="AF13" s="46">
        <v>25.1</v>
      </c>
      <c r="AG13" s="128">
        <v>2</v>
      </c>
      <c r="AH13" s="49">
        <v>7</v>
      </c>
      <c r="AI13" s="49">
        <v>2</v>
      </c>
      <c r="AJ13" s="49">
        <v>10</v>
      </c>
      <c r="AK13" s="49">
        <v>1</v>
      </c>
      <c r="AL13" s="49">
        <v>9</v>
      </c>
      <c r="AM13" s="49">
        <v>0</v>
      </c>
      <c r="AN13" s="49">
        <v>0</v>
      </c>
      <c r="AO13" s="49">
        <v>3</v>
      </c>
      <c r="AP13" s="50">
        <v>1</v>
      </c>
      <c r="AQ13" s="56"/>
      <c r="AR13" s="57">
        <v>1</v>
      </c>
      <c r="AS13" s="57"/>
      <c r="AT13" s="57"/>
      <c r="AU13" s="57"/>
      <c r="AV13" s="57"/>
      <c r="AW13" s="57"/>
      <c r="AX13" s="57"/>
      <c r="AY13" s="57"/>
      <c r="AZ13" s="57"/>
      <c r="BA13" s="57"/>
      <c r="BB13" s="57">
        <v>1</v>
      </c>
      <c r="BC13" s="57"/>
      <c r="BD13" s="57"/>
      <c r="BE13" s="59"/>
      <c r="BF13" s="56"/>
      <c r="BG13" s="57">
        <v>1</v>
      </c>
      <c r="BH13" s="57"/>
      <c r="BI13" s="57"/>
      <c r="BJ13" s="57"/>
      <c r="BK13" s="57"/>
      <c r="BL13" s="57"/>
      <c r="BM13" s="57"/>
      <c r="BN13" s="57"/>
      <c r="BO13" s="57"/>
      <c r="BP13" s="57"/>
      <c r="BQ13" s="57">
        <v>1</v>
      </c>
      <c r="BR13" s="57"/>
      <c r="BS13" s="57"/>
      <c r="BT13" s="59"/>
      <c r="BU13" s="56"/>
      <c r="BV13" s="57">
        <v>1</v>
      </c>
      <c r="BW13" s="57"/>
      <c r="BX13" s="57"/>
      <c r="BY13" s="57"/>
      <c r="BZ13" s="57"/>
      <c r="CA13" s="125"/>
      <c r="CB13" s="129"/>
      <c r="CC13" s="58"/>
      <c r="CD13" s="129"/>
      <c r="CE13" s="57"/>
      <c r="CF13" s="57">
        <v>1</v>
      </c>
      <c r="CG13" s="57"/>
      <c r="CH13" s="57"/>
      <c r="CI13" s="59"/>
      <c r="CJ13" s="51">
        <v>730</v>
      </c>
      <c r="CK13" s="52">
        <v>4423</v>
      </c>
      <c r="CL13" s="52">
        <v>11</v>
      </c>
      <c r="CM13" s="52"/>
      <c r="CN13" s="52">
        <v>91</v>
      </c>
      <c r="CO13" s="52"/>
      <c r="CP13" s="53">
        <v>8.0219780219780219</v>
      </c>
      <c r="CQ13" s="52"/>
      <c r="CR13" s="53"/>
      <c r="CS13" s="52"/>
      <c r="CT13" s="52">
        <v>63</v>
      </c>
      <c r="CU13" s="52">
        <v>2844</v>
      </c>
      <c r="CV13" s="52">
        <v>8</v>
      </c>
      <c r="CW13" s="52">
        <v>0</v>
      </c>
      <c r="CX13" s="54"/>
      <c r="CY13" s="51">
        <v>685</v>
      </c>
      <c r="CZ13" s="52">
        <v>1657.1999999999998</v>
      </c>
      <c r="DA13" s="52">
        <v>12</v>
      </c>
      <c r="DB13" s="52">
        <v>22.799999999999997</v>
      </c>
      <c r="DC13" s="52">
        <v>150</v>
      </c>
      <c r="DD13" s="52">
        <v>22</v>
      </c>
      <c r="DE13" s="53">
        <v>4.5666666666666664</v>
      </c>
      <c r="DF13" s="53">
        <v>37.200000000000003</v>
      </c>
      <c r="DG13" s="53">
        <v>2.66</v>
      </c>
      <c r="DH13" s="53">
        <v>25.1</v>
      </c>
      <c r="DI13" s="52">
        <v>265</v>
      </c>
      <c r="DJ13" s="52">
        <v>3639.6000000000004</v>
      </c>
      <c r="DK13" s="52">
        <v>29</v>
      </c>
      <c r="DL13" s="52">
        <v>1</v>
      </c>
      <c r="DM13" s="54">
        <v>22.799999999999997</v>
      </c>
      <c r="DN13" s="126"/>
      <c r="DO13" s="11">
        <v>11</v>
      </c>
      <c r="DP13" s="42" t="s">
        <v>417</v>
      </c>
      <c r="DQ13" s="7">
        <v>0.55000000000000004</v>
      </c>
    </row>
    <row r="14" spans="1:123" x14ac:dyDescent="0.2">
      <c r="A14" s="33">
        <v>12</v>
      </c>
      <c r="B14" s="34" t="s">
        <v>418</v>
      </c>
      <c r="C14" s="116">
        <v>6.15</v>
      </c>
      <c r="D14" s="117" t="s">
        <v>419</v>
      </c>
      <c r="E14" s="37">
        <v>1</v>
      </c>
      <c r="F14" s="118">
        <v>33840</v>
      </c>
      <c r="G14" s="119">
        <v>33.115068493150687</v>
      </c>
      <c r="H14" s="39" t="s">
        <v>385</v>
      </c>
      <c r="I14" s="119">
        <v>22.687671232876713</v>
      </c>
      <c r="J14" s="120">
        <v>68</v>
      </c>
      <c r="K14" s="120">
        <v>217</v>
      </c>
      <c r="L14" s="119">
        <v>4.7</v>
      </c>
      <c r="M14" s="55">
        <v>6</v>
      </c>
      <c r="N14" s="121">
        <v>0</v>
      </c>
      <c r="O14" s="122">
        <v>0</v>
      </c>
      <c r="P14" s="122">
        <v>7.4825479930191965E-2</v>
      </c>
      <c r="Q14" s="122">
        <v>0.10249999999999999</v>
      </c>
      <c r="R14" s="122">
        <v>0.23729676318232179</v>
      </c>
      <c r="S14" s="42">
        <v>0.23729676318232179</v>
      </c>
      <c r="T14" s="42">
        <v>0.23729676318232179</v>
      </c>
      <c r="U14" s="42">
        <v>4.6577561765897127E-2</v>
      </c>
      <c r="V14" s="42">
        <v>0.10139486448713382</v>
      </c>
      <c r="W14" s="42">
        <v>0.10139486448713382</v>
      </c>
      <c r="X14" s="43">
        <v>0.10139486448713382</v>
      </c>
      <c r="Y14" s="44">
        <v>22.035616438356165</v>
      </c>
      <c r="Z14" s="45">
        <v>88.940240150944263</v>
      </c>
      <c r="AA14" s="45">
        <v>32.991133217993081</v>
      </c>
      <c r="AB14" s="45">
        <v>0.25263157894736843</v>
      </c>
      <c r="AC14" s="45">
        <v>6.3947368421052628</v>
      </c>
      <c r="AD14" s="45">
        <v>94.2</v>
      </c>
      <c r="AE14" s="45">
        <v>3.54</v>
      </c>
      <c r="AF14" s="46">
        <v>44.5</v>
      </c>
      <c r="AG14" s="128">
        <v>5</v>
      </c>
      <c r="AH14" s="49">
        <v>9</v>
      </c>
      <c r="AI14" s="49">
        <v>1</v>
      </c>
      <c r="AJ14" s="49">
        <v>2</v>
      </c>
      <c r="AK14" s="49">
        <v>6</v>
      </c>
      <c r="AL14" s="49">
        <v>5</v>
      </c>
      <c r="AM14" s="49">
        <v>5</v>
      </c>
      <c r="AN14" s="49">
        <v>4</v>
      </c>
      <c r="AO14" s="49">
        <v>2</v>
      </c>
      <c r="AP14" s="50">
        <v>0</v>
      </c>
      <c r="AQ14" s="56"/>
      <c r="AR14" s="57">
        <v>1</v>
      </c>
      <c r="AS14" s="57"/>
      <c r="AT14" s="57"/>
      <c r="AU14" s="57"/>
      <c r="AV14" s="57"/>
      <c r="AW14" s="57"/>
      <c r="AX14" s="57"/>
      <c r="AY14" s="57"/>
      <c r="AZ14" s="57"/>
      <c r="BA14" s="57"/>
      <c r="BB14" s="57">
        <v>1</v>
      </c>
      <c r="BC14" s="57"/>
      <c r="BD14" s="57"/>
      <c r="BE14" s="59"/>
      <c r="BF14" s="56"/>
      <c r="BG14" s="57">
        <v>1</v>
      </c>
      <c r="BH14" s="57"/>
      <c r="BI14" s="57"/>
      <c r="BJ14" s="57"/>
      <c r="BK14" s="57"/>
      <c r="BL14" s="57"/>
      <c r="BM14" s="57"/>
      <c r="BN14" s="57"/>
      <c r="BO14" s="57"/>
      <c r="BP14" s="57"/>
      <c r="BQ14" s="57">
        <v>1</v>
      </c>
      <c r="BR14" s="57"/>
      <c r="BS14" s="57"/>
      <c r="BT14" s="59"/>
      <c r="BU14" s="56">
        <v>335</v>
      </c>
      <c r="BV14" s="57">
        <v>1730.3999999999999</v>
      </c>
      <c r="BW14" s="57">
        <v>1</v>
      </c>
      <c r="BX14" s="57"/>
      <c r="BY14" s="57">
        <v>55</v>
      </c>
      <c r="BZ14" s="57"/>
      <c r="CA14" s="125"/>
      <c r="CB14" s="129"/>
      <c r="CC14" s="58"/>
      <c r="CD14" s="129"/>
      <c r="CE14" s="57">
        <v>8</v>
      </c>
      <c r="CF14" s="57">
        <v>2853.6000000000004</v>
      </c>
      <c r="CG14" s="57">
        <v>3</v>
      </c>
      <c r="CH14" s="57">
        <v>0</v>
      </c>
      <c r="CI14" s="59"/>
      <c r="CJ14" s="51">
        <v>459</v>
      </c>
      <c r="CK14" s="52">
        <v>3131</v>
      </c>
      <c r="CL14" s="52">
        <v>3</v>
      </c>
      <c r="CM14" s="52"/>
      <c r="CN14" s="52">
        <v>78</v>
      </c>
      <c r="CO14" s="52"/>
      <c r="CP14" s="53">
        <v>5.884615384615385</v>
      </c>
      <c r="CQ14" s="52"/>
      <c r="CR14" s="53"/>
      <c r="CS14" s="52"/>
      <c r="CT14" s="52">
        <v>115</v>
      </c>
      <c r="CU14" s="52">
        <v>2469</v>
      </c>
      <c r="CV14" s="52">
        <v>12</v>
      </c>
      <c r="CW14" s="52">
        <v>0</v>
      </c>
      <c r="CX14" s="54"/>
      <c r="CY14" s="51">
        <v>1215</v>
      </c>
      <c r="CZ14" s="52">
        <v>3030.2999999999997</v>
      </c>
      <c r="DA14" s="52">
        <v>11</v>
      </c>
      <c r="DB14" s="52">
        <v>28.6</v>
      </c>
      <c r="DC14" s="52">
        <v>190</v>
      </c>
      <c r="DD14" s="52">
        <v>48</v>
      </c>
      <c r="DE14" s="53">
        <v>6.3947368421052628</v>
      </c>
      <c r="DF14" s="53">
        <v>94.2</v>
      </c>
      <c r="DG14" s="53">
        <v>3.54</v>
      </c>
      <c r="DH14" s="53">
        <v>44.5</v>
      </c>
      <c r="DI14" s="52">
        <v>370</v>
      </c>
      <c r="DJ14" s="52">
        <v>3649.1</v>
      </c>
      <c r="DK14" s="52">
        <v>28</v>
      </c>
      <c r="DL14" s="52">
        <v>1</v>
      </c>
      <c r="DM14" s="54">
        <v>31.2</v>
      </c>
      <c r="DN14" s="126"/>
      <c r="DO14" s="11">
        <v>12</v>
      </c>
      <c r="DP14" s="42" t="s">
        <v>420</v>
      </c>
      <c r="DQ14" s="7">
        <v>0.5</v>
      </c>
    </row>
    <row r="15" spans="1:123" x14ac:dyDescent="0.2">
      <c r="A15" s="33">
        <v>13</v>
      </c>
      <c r="B15" s="34" t="s">
        <v>423</v>
      </c>
      <c r="C15" s="116">
        <v>5.9222222222222216</v>
      </c>
      <c r="D15" s="117" t="s">
        <v>424</v>
      </c>
      <c r="E15" s="37">
        <v>1</v>
      </c>
      <c r="F15" s="118">
        <v>34035</v>
      </c>
      <c r="G15" s="119">
        <v>32.580821917808223</v>
      </c>
      <c r="H15" s="39" t="s">
        <v>385</v>
      </c>
      <c r="I15" s="119">
        <v>22.153424657534245</v>
      </c>
      <c r="J15" s="120">
        <v>74</v>
      </c>
      <c r="K15" s="120">
        <v>231</v>
      </c>
      <c r="L15" s="119">
        <v>4.6100000000000003</v>
      </c>
      <c r="M15" s="55">
        <v>3</v>
      </c>
      <c r="N15" s="121">
        <v>0</v>
      </c>
      <c r="O15" s="122">
        <v>0</v>
      </c>
      <c r="P15" s="122">
        <v>7.1022727272727265E-2</v>
      </c>
      <c r="Q15" s="122">
        <v>0.22987053994316387</v>
      </c>
      <c r="R15" s="122">
        <v>0.2181224651300821</v>
      </c>
      <c r="S15" s="42">
        <v>0.22399650253662298</v>
      </c>
      <c r="T15" s="42">
        <v>0.22399650253662298</v>
      </c>
      <c r="U15" s="42">
        <v>2.9256875365710942E-2</v>
      </c>
      <c r="V15" s="42">
        <v>3.2846530901005609E-2</v>
      </c>
      <c r="W15" s="42">
        <v>3.2846530901005609E-2</v>
      </c>
      <c r="X15" s="43">
        <v>3.2846530901005609E-2</v>
      </c>
      <c r="Y15" s="44">
        <v>20.5013698630137</v>
      </c>
      <c r="Z15" s="45">
        <v>102.29120013128654</v>
      </c>
      <c r="AA15" s="45">
        <v>29.655405405405407</v>
      </c>
      <c r="AB15" s="45">
        <v>0.1746987951807229</v>
      </c>
      <c r="AC15" s="45">
        <v>5.2884615384615383</v>
      </c>
      <c r="AD15" s="45">
        <v>44.8</v>
      </c>
      <c r="AE15" s="45">
        <v>2.73</v>
      </c>
      <c r="AF15" s="46">
        <v>34.1</v>
      </c>
      <c r="AG15" s="128">
        <v>4</v>
      </c>
      <c r="AH15" s="49">
        <v>3</v>
      </c>
      <c r="AI15" s="49">
        <v>4</v>
      </c>
      <c r="AJ15" s="49">
        <v>6</v>
      </c>
      <c r="AK15" s="49">
        <v>2</v>
      </c>
      <c r="AL15" s="49">
        <v>2</v>
      </c>
      <c r="AM15" s="49">
        <v>0</v>
      </c>
      <c r="AN15" s="49">
        <v>0</v>
      </c>
      <c r="AO15" s="49">
        <v>6</v>
      </c>
      <c r="AP15" s="50">
        <v>0</v>
      </c>
      <c r="AQ15" s="56"/>
      <c r="AR15" s="57">
        <v>1</v>
      </c>
      <c r="AS15" s="57"/>
      <c r="AT15" s="57"/>
      <c r="AU15" s="57"/>
      <c r="AV15" s="57"/>
      <c r="AW15" s="57"/>
      <c r="AX15" s="57"/>
      <c r="AY15" s="57"/>
      <c r="AZ15" s="57"/>
      <c r="BA15" s="57"/>
      <c r="BB15" s="57">
        <v>1</v>
      </c>
      <c r="BC15" s="57"/>
      <c r="BD15" s="57"/>
      <c r="BE15" s="59"/>
      <c r="BF15" s="56"/>
      <c r="BG15" s="57">
        <v>1</v>
      </c>
      <c r="BH15" s="57"/>
      <c r="BI15" s="57"/>
      <c r="BJ15" s="57"/>
      <c r="BK15" s="57"/>
      <c r="BL15" s="57"/>
      <c r="BM15" s="57"/>
      <c r="BN15" s="57"/>
      <c r="BO15" s="57"/>
      <c r="BP15" s="57"/>
      <c r="BQ15" s="57">
        <v>1</v>
      </c>
      <c r="BR15" s="57"/>
      <c r="BS15" s="57"/>
      <c r="BT15" s="59"/>
      <c r="BU15" s="56">
        <v>275</v>
      </c>
      <c r="BV15" s="57">
        <v>2257.1999999999998</v>
      </c>
      <c r="BW15" s="57">
        <v>3</v>
      </c>
      <c r="BX15" s="57"/>
      <c r="BY15" s="57">
        <v>52</v>
      </c>
      <c r="BZ15" s="57"/>
      <c r="CA15" s="125">
        <v>5.2884615384615383</v>
      </c>
      <c r="CB15" s="129"/>
      <c r="CC15" s="58"/>
      <c r="CD15" s="129"/>
      <c r="CE15" s="57">
        <v>10</v>
      </c>
      <c r="CF15" s="57">
        <v>1755.6000000000001</v>
      </c>
      <c r="CG15" s="57">
        <v>3</v>
      </c>
      <c r="CH15" s="57">
        <v>0</v>
      </c>
      <c r="CI15" s="59"/>
      <c r="CJ15" s="51">
        <v>339</v>
      </c>
      <c r="CK15" s="52">
        <v>729</v>
      </c>
      <c r="CL15" s="52">
        <v>2</v>
      </c>
      <c r="CM15" s="52"/>
      <c r="CN15" s="52">
        <v>79</v>
      </c>
      <c r="CO15" s="52"/>
      <c r="CP15" s="53">
        <v>4.2911392405063289</v>
      </c>
      <c r="CQ15" s="52"/>
      <c r="CR15" s="53"/>
      <c r="CS15" s="52"/>
      <c r="CT15" s="52">
        <v>25</v>
      </c>
      <c r="CU15" s="52">
        <v>854.5</v>
      </c>
      <c r="CV15" s="52">
        <v>5</v>
      </c>
      <c r="CW15" s="52">
        <v>0</v>
      </c>
      <c r="CX15" s="54"/>
      <c r="CY15" s="51">
        <v>817</v>
      </c>
      <c r="CZ15" s="52">
        <v>2064.6999999999998</v>
      </c>
      <c r="DA15" s="52">
        <v>6</v>
      </c>
      <c r="DB15" s="52">
        <v>19.8</v>
      </c>
      <c r="DC15" s="52">
        <v>166</v>
      </c>
      <c r="DD15" s="52">
        <v>29</v>
      </c>
      <c r="DE15" s="53">
        <v>4.9216867469879517</v>
      </c>
      <c r="DF15" s="53">
        <v>44.8</v>
      </c>
      <c r="DG15" s="53">
        <v>2.73</v>
      </c>
      <c r="DH15" s="53">
        <v>34.1</v>
      </c>
      <c r="DI15" s="52">
        <v>65</v>
      </c>
      <c r="DJ15" s="52">
        <v>1978.9</v>
      </c>
      <c r="DK15" s="52">
        <v>11</v>
      </c>
      <c r="DL15" s="52">
        <v>1</v>
      </c>
      <c r="DM15" s="54">
        <v>16.5</v>
      </c>
      <c r="DN15" s="126"/>
      <c r="DO15" s="11"/>
      <c r="DP15" s="42"/>
    </row>
    <row r="16" spans="1:123" x14ac:dyDescent="0.2">
      <c r="A16" s="33">
        <v>14</v>
      </c>
      <c r="B16" s="34" t="s">
        <v>421</v>
      </c>
      <c r="C16" s="116">
        <v>5.8555555555555552</v>
      </c>
      <c r="D16" s="117" t="s">
        <v>422</v>
      </c>
      <c r="E16" s="37">
        <v>2</v>
      </c>
      <c r="F16" s="118">
        <v>34123</v>
      </c>
      <c r="G16" s="119">
        <v>32.339726027397262</v>
      </c>
      <c r="H16" s="39" t="s">
        <v>389</v>
      </c>
      <c r="I16" s="119">
        <v>21.912328767123288</v>
      </c>
      <c r="J16" s="120">
        <v>71</v>
      </c>
      <c r="K16" s="120">
        <v>229</v>
      </c>
      <c r="L16" s="119">
        <v>4.8099999999999996</v>
      </c>
      <c r="M16" s="55">
        <v>5</v>
      </c>
      <c r="N16" s="121">
        <v>0</v>
      </c>
      <c r="O16" s="122">
        <v>0</v>
      </c>
      <c r="P16" s="122">
        <v>0</v>
      </c>
      <c r="Q16" s="122">
        <v>0.31955411054342775</v>
      </c>
      <c r="R16" s="122">
        <v>0.38472302955930165</v>
      </c>
      <c r="S16" s="42">
        <v>0.38472302955930165</v>
      </c>
      <c r="T16" s="42">
        <v>0.38472302955930165</v>
      </c>
      <c r="U16" s="42">
        <v>6.8557919621749411E-2</v>
      </c>
      <c r="V16" s="42">
        <v>8.7881089291526521E-2</v>
      </c>
      <c r="W16" s="42">
        <v>8.7881089291526521E-2</v>
      </c>
      <c r="X16" s="43">
        <v>8.7881089291526521E-2</v>
      </c>
      <c r="Y16" s="44">
        <v>20.260273972602739</v>
      </c>
      <c r="Z16" s="45">
        <v>85.562836311162883</v>
      </c>
      <c r="AA16" s="45">
        <v>31.93552866494743</v>
      </c>
      <c r="AB16" s="45">
        <v>0.19551282051282051</v>
      </c>
      <c r="AC16" s="45">
        <v>5.208333333333333</v>
      </c>
      <c r="AD16" s="45">
        <v>59.5</v>
      </c>
      <c r="AE16" s="45">
        <v>3.1</v>
      </c>
      <c r="AF16" s="46">
        <v>30.7</v>
      </c>
      <c r="AG16" s="128">
        <v>10</v>
      </c>
      <c r="AH16" s="49">
        <v>8</v>
      </c>
      <c r="AI16" s="49">
        <v>4</v>
      </c>
      <c r="AJ16" s="49">
        <v>1</v>
      </c>
      <c r="AK16" s="49">
        <v>3</v>
      </c>
      <c r="AL16" s="49">
        <v>1</v>
      </c>
      <c r="AM16" s="49">
        <v>2</v>
      </c>
      <c r="AN16" s="49">
        <v>2</v>
      </c>
      <c r="AO16" s="49">
        <v>3</v>
      </c>
      <c r="AP16" s="50">
        <v>0</v>
      </c>
      <c r="AQ16" s="56"/>
      <c r="AR16" s="57">
        <v>1</v>
      </c>
      <c r="AS16" s="57"/>
      <c r="AT16" s="57"/>
      <c r="AU16" s="57"/>
      <c r="AV16" s="57"/>
      <c r="AW16" s="57"/>
      <c r="AX16" s="57"/>
      <c r="AY16" s="57"/>
      <c r="AZ16" s="57"/>
      <c r="BA16" s="57"/>
      <c r="BB16" s="57">
        <v>1</v>
      </c>
      <c r="BC16" s="57"/>
      <c r="BD16" s="57"/>
      <c r="BE16" s="59"/>
      <c r="BF16" s="56"/>
      <c r="BG16" s="57">
        <v>1</v>
      </c>
      <c r="BH16" s="57"/>
      <c r="BI16" s="57"/>
      <c r="BJ16" s="57"/>
      <c r="BK16" s="57"/>
      <c r="BL16" s="57"/>
      <c r="BM16" s="57"/>
      <c r="BN16" s="57"/>
      <c r="BO16" s="57"/>
      <c r="BP16" s="57"/>
      <c r="BQ16" s="57">
        <v>1</v>
      </c>
      <c r="BR16" s="57"/>
      <c r="BS16" s="57"/>
      <c r="BT16" s="59"/>
      <c r="BU16" s="56"/>
      <c r="BV16" s="57">
        <v>1</v>
      </c>
      <c r="BW16" s="57"/>
      <c r="BX16" s="57"/>
      <c r="BY16" s="57"/>
      <c r="BZ16" s="57"/>
      <c r="CA16" s="125"/>
      <c r="CB16" s="129"/>
      <c r="CC16" s="58"/>
      <c r="CD16" s="129"/>
      <c r="CE16" s="57"/>
      <c r="CF16" s="57">
        <v>1</v>
      </c>
      <c r="CG16" s="57"/>
      <c r="CH16" s="57"/>
      <c r="CI16" s="59"/>
      <c r="CJ16" s="51">
        <v>1202</v>
      </c>
      <c r="CK16" s="52">
        <v>1768</v>
      </c>
      <c r="CL16" s="52">
        <v>7</v>
      </c>
      <c r="CM16" s="52"/>
      <c r="CN16" s="52">
        <v>237</v>
      </c>
      <c r="CO16" s="52"/>
      <c r="CP16" s="53">
        <v>5.071729957805907</v>
      </c>
      <c r="CQ16" s="52"/>
      <c r="CR16" s="53"/>
      <c r="CS16" s="52"/>
      <c r="CT16" s="52">
        <v>174</v>
      </c>
      <c r="CU16" s="52">
        <v>2538</v>
      </c>
      <c r="CV16" s="52">
        <v>17</v>
      </c>
      <c r="CW16" s="52">
        <v>0</v>
      </c>
      <c r="CX16" s="54"/>
      <c r="CY16" s="51">
        <v>1625</v>
      </c>
      <c r="CZ16" s="52">
        <v>2801.5</v>
      </c>
      <c r="DA16" s="52">
        <v>13</v>
      </c>
      <c r="DB16" s="52">
        <v>32.5</v>
      </c>
      <c r="DC16" s="52">
        <v>312</v>
      </c>
      <c r="DD16" s="52">
        <v>61</v>
      </c>
      <c r="DE16" s="53">
        <v>5.208333333333333</v>
      </c>
      <c r="DF16" s="53">
        <v>59.5</v>
      </c>
      <c r="DG16" s="53">
        <v>3.1</v>
      </c>
      <c r="DH16" s="53">
        <v>30.7</v>
      </c>
      <c r="DI16" s="52">
        <v>162</v>
      </c>
      <c r="DJ16" s="52">
        <v>1843.4</v>
      </c>
      <c r="DK16" s="52">
        <v>16</v>
      </c>
      <c r="DL16" s="52">
        <v>0</v>
      </c>
      <c r="DM16" s="54">
        <v>11.700000000000001</v>
      </c>
      <c r="DN16" s="126"/>
      <c r="DO16" s="11"/>
      <c r="DP16" s="42"/>
    </row>
    <row r="17" spans="1:117" x14ac:dyDescent="0.2">
      <c r="A17" s="33">
        <v>15</v>
      </c>
      <c r="B17" s="34" t="s">
        <v>425</v>
      </c>
      <c r="C17" s="116">
        <v>5.4944444444444436</v>
      </c>
      <c r="D17" s="117" t="s">
        <v>426</v>
      </c>
      <c r="E17" s="37">
        <v>1</v>
      </c>
      <c r="F17" s="118">
        <v>33047</v>
      </c>
      <c r="G17" s="119">
        <v>35.287671232876711</v>
      </c>
      <c r="H17" s="39" t="s">
        <v>389</v>
      </c>
      <c r="I17" s="119">
        <v>24.860273972602741</v>
      </c>
      <c r="J17" s="120">
        <v>70</v>
      </c>
      <c r="K17" s="120">
        <v>212</v>
      </c>
      <c r="L17" s="119">
        <v>4.53</v>
      </c>
      <c r="M17" s="55">
        <v>5</v>
      </c>
      <c r="N17" s="121">
        <v>0</v>
      </c>
      <c r="O17" s="122">
        <v>0</v>
      </c>
      <c r="P17" s="122">
        <v>0</v>
      </c>
      <c r="Q17" s="122">
        <v>9.4197784664477924E-2</v>
      </c>
      <c r="R17" s="122">
        <v>0.27660586835844569</v>
      </c>
      <c r="S17" s="42">
        <v>0.27660586835844569</v>
      </c>
      <c r="T17" s="42">
        <v>0.27660586835844569</v>
      </c>
      <c r="U17" s="42">
        <v>1.7785682525566918E-3</v>
      </c>
      <c r="V17" s="42">
        <v>4.9270990447461034E-2</v>
      </c>
      <c r="W17" s="42">
        <v>4.9270990447461034E-2</v>
      </c>
      <c r="X17" s="43">
        <v>4.9270990447461034E-2</v>
      </c>
      <c r="Y17" s="44">
        <v>24.208219178082192</v>
      </c>
      <c r="Z17" s="45">
        <v>100.68691825982246</v>
      </c>
      <c r="AA17" s="45">
        <v>30.415510204081631</v>
      </c>
      <c r="AB17" s="45">
        <v>0.20529801324503311</v>
      </c>
      <c r="AC17" s="45">
        <v>6.7032967032967035</v>
      </c>
      <c r="AD17" s="45">
        <v>60.5</v>
      </c>
      <c r="AE17" s="45">
        <v>2.93</v>
      </c>
      <c r="AF17" s="46">
        <v>32.4</v>
      </c>
      <c r="AG17" s="128">
        <v>7</v>
      </c>
      <c r="AH17" s="49">
        <v>5</v>
      </c>
      <c r="AI17" s="49">
        <v>0</v>
      </c>
      <c r="AJ17" s="49">
        <v>6</v>
      </c>
      <c r="AK17" s="49">
        <v>4</v>
      </c>
      <c r="AL17" s="49">
        <v>7</v>
      </c>
      <c r="AM17" s="49">
        <v>2</v>
      </c>
      <c r="AN17" s="49">
        <v>1</v>
      </c>
      <c r="AO17" s="49">
        <v>3</v>
      </c>
      <c r="AP17" s="50">
        <v>0</v>
      </c>
      <c r="AQ17" s="56"/>
      <c r="AR17" s="57">
        <v>1</v>
      </c>
      <c r="AS17" s="57"/>
      <c r="AT17" s="57"/>
      <c r="AU17" s="57"/>
      <c r="AV17" s="57"/>
      <c r="AW17" s="57"/>
      <c r="AX17" s="57"/>
      <c r="AY17" s="57"/>
      <c r="AZ17" s="57"/>
      <c r="BA17" s="57"/>
      <c r="BB17" s="57">
        <v>1</v>
      </c>
      <c r="BC17" s="57"/>
      <c r="BD17" s="57"/>
      <c r="BE17" s="59"/>
      <c r="BF17" s="56"/>
      <c r="BG17" s="57">
        <v>1</v>
      </c>
      <c r="BH17" s="57"/>
      <c r="BI17" s="57"/>
      <c r="BJ17" s="57"/>
      <c r="BK17" s="57"/>
      <c r="BL17" s="57"/>
      <c r="BM17" s="57"/>
      <c r="BN17" s="57"/>
      <c r="BO17" s="57"/>
      <c r="BP17" s="57"/>
      <c r="BQ17" s="57">
        <v>1</v>
      </c>
      <c r="BR17" s="57"/>
      <c r="BS17" s="57"/>
      <c r="BT17" s="59"/>
      <c r="BU17" s="56"/>
      <c r="BV17" s="57">
        <v>1</v>
      </c>
      <c r="BW17" s="57"/>
      <c r="BX17" s="57"/>
      <c r="BY17" s="57"/>
      <c r="BZ17" s="57"/>
      <c r="CA17" s="125"/>
      <c r="CB17" s="129"/>
      <c r="CC17" s="58"/>
      <c r="CD17" s="129"/>
      <c r="CE17" s="57"/>
      <c r="CF17" s="57">
        <v>1</v>
      </c>
      <c r="CG17" s="57"/>
      <c r="CH17" s="57"/>
      <c r="CI17" s="59"/>
      <c r="CJ17" s="51">
        <v>610</v>
      </c>
      <c r="CK17" s="52">
        <v>4269.2</v>
      </c>
      <c r="CL17" s="52">
        <v>6</v>
      </c>
      <c r="CM17" s="52"/>
      <c r="CN17" s="52">
        <v>91</v>
      </c>
      <c r="CO17" s="52"/>
      <c r="CP17" s="53">
        <v>6.7032967032967035</v>
      </c>
      <c r="CQ17" s="52"/>
      <c r="CR17" s="53"/>
      <c r="CS17" s="52"/>
      <c r="CT17" s="52">
        <v>4</v>
      </c>
      <c r="CU17" s="52">
        <v>2249</v>
      </c>
      <c r="CV17" s="52">
        <v>1</v>
      </c>
      <c r="CW17" s="52">
        <v>0</v>
      </c>
      <c r="CX17" s="54"/>
      <c r="CY17" s="51">
        <v>1597</v>
      </c>
      <c r="CZ17" s="52">
        <v>3321.5</v>
      </c>
      <c r="DA17" s="52">
        <v>13</v>
      </c>
      <c r="DB17" s="52">
        <v>32.5</v>
      </c>
      <c r="DC17" s="52">
        <v>302</v>
      </c>
      <c r="DD17" s="52">
        <v>62</v>
      </c>
      <c r="DE17" s="53">
        <v>5.2880794701986753</v>
      </c>
      <c r="DF17" s="53">
        <v>60.5</v>
      </c>
      <c r="DG17" s="53">
        <v>2.93</v>
      </c>
      <c r="DH17" s="53">
        <v>32.4</v>
      </c>
      <c r="DI17" s="52">
        <v>147</v>
      </c>
      <c r="DJ17" s="52">
        <v>2983.5</v>
      </c>
      <c r="DK17" s="52">
        <v>13</v>
      </c>
      <c r="DL17" s="52">
        <v>0</v>
      </c>
      <c r="DM17" s="54">
        <v>23.400000000000002</v>
      </c>
    </row>
    <row r="18" spans="1:117" x14ac:dyDescent="0.2">
      <c r="A18" s="33">
        <v>16</v>
      </c>
      <c r="B18" s="34" t="s">
        <v>427</v>
      </c>
      <c r="C18" s="116">
        <v>5.3833333333333337</v>
      </c>
      <c r="D18" s="117" t="s">
        <v>428</v>
      </c>
      <c r="E18" s="37">
        <v>2</v>
      </c>
      <c r="F18" s="118">
        <v>33578</v>
      </c>
      <c r="G18" s="119">
        <v>33.832876712328769</v>
      </c>
      <c r="H18" s="39" t="s">
        <v>389</v>
      </c>
      <c r="I18" s="119">
        <v>23.405479452054795</v>
      </c>
      <c r="J18" s="120">
        <v>72</v>
      </c>
      <c r="K18" s="120">
        <v>208</v>
      </c>
      <c r="L18" s="119">
        <v>4.42</v>
      </c>
      <c r="M18" s="55">
        <v>4</v>
      </c>
      <c r="N18" s="121">
        <v>0</v>
      </c>
      <c r="O18" s="122">
        <v>0</v>
      </c>
      <c r="P18" s="122">
        <v>0</v>
      </c>
      <c r="Q18" s="122">
        <v>0.29256994626644434</v>
      </c>
      <c r="R18" s="122">
        <v>0.24361022364217252</v>
      </c>
      <c r="S18" s="42">
        <v>0.26809008495430842</v>
      </c>
      <c r="T18" s="42">
        <v>0.26809008495430842</v>
      </c>
      <c r="U18" s="42">
        <v>6.4529387587340725E-2</v>
      </c>
      <c r="V18" s="42">
        <v>1.8246061167747914E-2</v>
      </c>
      <c r="W18" s="42">
        <v>4.1387724377544316E-2</v>
      </c>
      <c r="X18" s="43">
        <v>4.1387724377544316E-2</v>
      </c>
      <c r="Y18" s="44">
        <v>21.753424657534246</v>
      </c>
      <c r="Z18" s="45">
        <v>108.994417126114</v>
      </c>
      <c r="AA18" s="45">
        <v>28.206790123456788</v>
      </c>
      <c r="AB18" s="45">
        <v>0.12363636363636364</v>
      </c>
      <c r="AC18" s="45">
        <v>5.5381818181818181</v>
      </c>
      <c r="AD18" s="45">
        <v>36.700000000000003</v>
      </c>
      <c r="AE18" s="45">
        <v>2.92</v>
      </c>
      <c r="AF18" s="46">
        <v>38.299999999999997</v>
      </c>
      <c r="AG18" s="128">
        <v>7</v>
      </c>
      <c r="AH18" s="49">
        <v>4</v>
      </c>
      <c r="AI18" s="49">
        <v>2</v>
      </c>
      <c r="AJ18" s="49">
        <v>9</v>
      </c>
      <c r="AK18" s="49">
        <v>0</v>
      </c>
      <c r="AL18" s="49">
        <v>3</v>
      </c>
      <c r="AM18" s="49">
        <v>0</v>
      </c>
      <c r="AN18" s="49">
        <v>1</v>
      </c>
      <c r="AO18" s="49">
        <v>4</v>
      </c>
      <c r="AP18" s="50">
        <v>0</v>
      </c>
      <c r="AQ18" s="56"/>
      <c r="AR18" s="57">
        <v>1</v>
      </c>
      <c r="AS18" s="57"/>
      <c r="AT18" s="57"/>
      <c r="AU18" s="57"/>
      <c r="AV18" s="57"/>
      <c r="AW18" s="57"/>
      <c r="AX18" s="57"/>
      <c r="AY18" s="57"/>
      <c r="AZ18" s="57"/>
      <c r="BA18" s="57"/>
      <c r="BB18" s="57">
        <v>1</v>
      </c>
      <c r="BC18" s="57"/>
      <c r="BD18" s="57"/>
      <c r="BE18" s="59"/>
      <c r="BF18" s="56"/>
      <c r="BG18" s="57">
        <v>1</v>
      </c>
      <c r="BH18" s="57"/>
      <c r="BI18" s="57"/>
      <c r="BJ18" s="57"/>
      <c r="BK18" s="57"/>
      <c r="BL18" s="57"/>
      <c r="BM18" s="57"/>
      <c r="BN18" s="57"/>
      <c r="BO18" s="57"/>
      <c r="BP18" s="57"/>
      <c r="BQ18" s="57">
        <v>1</v>
      </c>
      <c r="BR18" s="57"/>
      <c r="BS18" s="57"/>
      <c r="BT18" s="59"/>
      <c r="BU18" s="56"/>
      <c r="BV18" s="57">
        <v>1</v>
      </c>
      <c r="BW18" s="57"/>
      <c r="BX18" s="57"/>
      <c r="BY18" s="57"/>
      <c r="BZ18" s="57"/>
      <c r="CA18" s="125"/>
      <c r="CB18" s="129"/>
      <c r="CC18" s="58"/>
      <c r="CD18" s="129"/>
      <c r="CE18" s="57"/>
      <c r="CF18" s="57">
        <v>1</v>
      </c>
      <c r="CG18" s="57"/>
      <c r="CH18" s="57"/>
      <c r="CI18" s="59"/>
      <c r="CJ18" s="51">
        <v>1422</v>
      </c>
      <c r="CK18" s="52">
        <v>2964</v>
      </c>
      <c r="CL18" s="52">
        <v>18</v>
      </c>
      <c r="CM18" s="52"/>
      <c r="CN18" s="52">
        <v>292</v>
      </c>
      <c r="CO18" s="52"/>
      <c r="CP18" s="53">
        <v>4.8698630136986303</v>
      </c>
      <c r="CQ18" s="52"/>
      <c r="CR18" s="53"/>
      <c r="CS18" s="52"/>
      <c r="CT18" s="52">
        <v>157</v>
      </c>
      <c r="CU18" s="52">
        <v>2433</v>
      </c>
      <c r="CV18" s="52">
        <v>28</v>
      </c>
      <c r="CW18" s="52">
        <v>1</v>
      </c>
      <c r="CX18" s="54"/>
      <c r="CY18" s="51">
        <v>1523</v>
      </c>
      <c r="CZ18" s="52">
        <v>3057.6</v>
      </c>
      <c r="DA18" s="52">
        <v>22</v>
      </c>
      <c r="DB18" s="52">
        <v>44.199999999999996</v>
      </c>
      <c r="DC18" s="52">
        <v>275</v>
      </c>
      <c r="DD18" s="52">
        <v>34</v>
      </c>
      <c r="DE18" s="53">
        <v>5.5381818181818181</v>
      </c>
      <c r="DF18" s="53">
        <v>36.700000000000003</v>
      </c>
      <c r="DG18" s="53">
        <v>2.92</v>
      </c>
      <c r="DH18" s="53">
        <v>38.299999999999997</v>
      </c>
      <c r="DI18" s="52">
        <v>63</v>
      </c>
      <c r="DJ18" s="52">
        <v>3452.8</v>
      </c>
      <c r="DK18" s="52">
        <v>11</v>
      </c>
      <c r="DL18" s="52">
        <v>0</v>
      </c>
      <c r="DM18" s="54">
        <v>26</v>
      </c>
    </row>
    <row r="19" spans="1:117" x14ac:dyDescent="0.2">
      <c r="A19" s="33">
        <v>17</v>
      </c>
      <c r="B19" s="34" t="s">
        <v>429</v>
      </c>
      <c r="C19" s="116">
        <v>5.322222222222222</v>
      </c>
      <c r="D19" s="117" t="s">
        <v>430</v>
      </c>
      <c r="E19" s="37">
        <v>2</v>
      </c>
      <c r="F19" s="118">
        <v>34022</v>
      </c>
      <c r="G19" s="119">
        <v>32.61643835616438</v>
      </c>
      <c r="H19" s="39" t="s">
        <v>389</v>
      </c>
      <c r="I19" s="119">
        <v>22.18904109589041</v>
      </c>
      <c r="J19" s="120">
        <v>69</v>
      </c>
      <c r="K19" s="120">
        <v>183</v>
      </c>
      <c r="L19" s="119">
        <v>4.38</v>
      </c>
      <c r="M19" s="55">
        <v>0</v>
      </c>
      <c r="N19" s="121">
        <v>0</v>
      </c>
      <c r="O19" s="122">
        <v>6.4357749469214451E-2</v>
      </c>
      <c r="P19" s="122">
        <v>0.10296084049665712</v>
      </c>
      <c r="Q19" s="122">
        <v>0.23681885125184093</v>
      </c>
      <c r="R19" s="122">
        <v>0.30010640355968271</v>
      </c>
      <c r="S19" s="42">
        <v>0.30010640355968271</v>
      </c>
      <c r="T19" s="42">
        <v>0.30010640355968271</v>
      </c>
      <c r="U19" s="42">
        <v>0.42236024844720499</v>
      </c>
      <c r="V19" s="42">
        <v>0.13607257203842049</v>
      </c>
      <c r="W19" s="42">
        <v>0.27921641024281274</v>
      </c>
      <c r="X19" s="43">
        <v>0.27921641024281274</v>
      </c>
      <c r="Y19" s="44">
        <v>20.536986301369861</v>
      </c>
      <c r="Z19" s="45">
        <v>99.445387271488897</v>
      </c>
      <c r="AA19" s="45">
        <v>27.021424070573406</v>
      </c>
      <c r="AB19" s="45">
        <v>0.20118343195266272</v>
      </c>
      <c r="AC19" s="45">
        <v>5.5325443786982245</v>
      </c>
      <c r="AD19" s="45">
        <v>60.2</v>
      </c>
      <c r="AE19" s="45">
        <v>3.35</v>
      </c>
      <c r="AF19" s="46">
        <v>53.2</v>
      </c>
      <c r="AG19" s="128">
        <v>8</v>
      </c>
      <c r="AH19" s="49">
        <v>10</v>
      </c>
      <c r="AI19" s="49">
        <v>3</v>
      </c>
      <c r="AJ19" s="49">
        <v>5</v>
      </c>
      <c r="AK19" s="49">
        <v>4</v>
      </c>
      <c r="AL19" s="49">
        <v>3</v>
      </c>
      <c r="AM19" s="49">
        <v>2</v>
      </c>
      <c r="AN19" s="49">
        <v>3</v>
      </c>
      <c r="AO19" s="49">
        <v>0</v>
      </c>
      <c r="AP19" s="50">
        <v>0</v>
      </c>
      <c r="AQ19" s="56"/>
      <c r="AR19" s="57">
        <v>1</v>
      </c>
      <c r="AS19" s="57"/>
      <c r="AT19" s="57"/>
      <c r="AU19" s="57"/>
      <c r="AV19" s="57"/>
      <c r="AW19" s="57"/>
      <c r="AX19" s="57"/>
      <c r="AY19" s="57"/>
      <c r="AZ19" s="57"/>
      <c r="BA19" s="57"/>
      <c r="BB19" s="57">
        <v>1</v>
      </c>
      <c r="BC19" s="57"/>
      <c r="BD19" s="57"/>
      <c r="BE19" s="59"/>
      <c r="BF19" s="56">
        <v>287</v>
      </c>
      <c r="BG19" s="57">
        <v>2179.1999999999998</v>
      </c>
      <c r="BH19" s="57">
        <v>2</v>
      </c>
      <c r="BI19" s="57"/>
      <c r="BJ19" s="57">
        <v>33</v>
      </c>
      <c r="BK19" s="57"/>
      <c r="BL19" s="57"/>
      <c r="BM19" s="57"/>
      <c r="BN19" s="57"/>
      <c r="BO19" s="57"/>
      <c r="BP19" s="57">
        <v>4</v>
      </c>
      <c r="BQ19" s="57">
        <v>2342.3999999999996</v>
      </c>
      <c r="BR19" s="57">
        <v>1</v>
      </c>
      <c r="BS19" s="57">
        <v>0</v>
      </c>
      <c r="BT19" s="59"/>
      <c r="BU19" s="56">
        <v>335</v>
      </c>
      <c r="BV19" s="57">
        <v>3100</v>
      </c>
      <c r="BW19" s="57">
        <v>2</v>
      </c>
      <c r="BX19" s="57"/>
      <c r="BY19" s="57">
        <v>42</v>
      </c>
      <c r="BZ19" s="57"/>
      <c r="CA19" s="125"/>
      <c r="CB19" s="129"/>
      <c r="CC19" s="58"/>
      <c r="CD19" s="129"/>
      <c r="CE19" s="57">
        <v>204</v>
      </c>
      <c r="CF19" s="57">
        <v>2135</v>
      </c>
      <c r="CG19" s="57">
        <v>13</v>
      </c>
      <c r="CH19" s="57">
        <v>2</v>
      </c>
      <c r="CI19" s="59"/>
      <c r="CJ19" s="51">
        <v>464</v>
      </c>
      <c r="CK19" s="52">
        <v>2590</v>
      </c>
      <c r="CL19" s="52">
        <v>1</v>
      </c>
      <c r="CM19" s="52"/>
      <c r="CN19" s="52">
        <v>123</v>
      </c>
      <c r="CO19" s="52"/>
      <c r="CP19" s="53">
        <v>3.7723577235772359</v>
      </c>
      <c r="CQ19" s="52"/>
      <c r="CR19" s="53"/>
      <c r="CS19" s="52"/>
      <c r="CT19" s="52">
        <v>340</v>
      </c>
      <c r="CU19" s="52">
        <v>805</v>
      </c>
      <c r="CV19" s="52">
        <v>38</v>
      </c>
      <c r="CW19" s="52">
        <v>2</v>
      </c>
      <c r="CX19" s="54"/>
      <c r="CY19" s="51">
        <v>935</v>
      </c>
      <c r="CZ19" s="52">
        <v>1886.3999999999999</v>
      </c>
      <c r="DA19" s="52">
        <v>6</v>
      </c>
      <c r="DB19" s="52">
        <v>16.799999999999997</v>
      </c>
      <c r="DC19" s="52">
        <v>169</v>
      </c>
      <c r="DD19" s="52">
        <v>34</v>
      </c>
      <c r="DE19" s="53">
        <v>5.5325443786982245</v>
      </c>
      <c r="DF19" s="53">
        <v>60.2</v>
      </c>
      <c r="DG19" s="53">
        <v>3.35</v>
      </c>
      <c r="DH19" s="53">
        <v>53.2</v>
      </c>
      <c r="DI19" s="52">
        <v>306</v>
      </c>
      <c r="DJ19" s="52">
        <v>2248.8000000000002</v>
      </c>
      <c r="DK19" s="52">
        <v>48</v>
      </c>
      <c r="DL19" s="52">
        <v>2</v>
      </c>
      <c r="DM19" s="54">
        <v>15.600000000000001</v>
      </c>
    </row>
    <row r="20" spans="1:117" x14ac:dyDescent="0.2">
      <c r="A20" s="33">
        <v>18</v>
      </c>
      <c r="B20" s="34" t="s">
        <v>431</v>
      </c>
      <c r="C20" s="116">
        <v>3.8055555555555554</v>
      </c>
      <c r="D20" s="117" t="s">
        <v>432</v>
      </c>
      <c r="E20" s="37">
        <v>1</v>
      </c>
      <c r="F20" s="118">
        <v>34044</v>
      </c>
      <c r="G20" s="119">
        <v>32.556164383561644</v>
      </c>
      <c r="H20" s="39" t="s">
        <v>389</v>
      </c>
      <c r="I20" s="119">
        <v>22.12876712328767</v>
      </c>
      <c r="J20" s="120">
        <v>68</v>
      </c>
      <c r="K20" s="120">
        <v>213</v>
      </c>
      <c r="L20" s="119">
        <v>4.62</v>
      </c>
      <c r="M20" s="55">
        <v>0</v>
      </c>
      <c r="N20" s="121">
        <v>0</v>
      </c>
      <c r="O20" s="122">
        <v>7.4908476485497047E-2</v>
      </c>
      <c r="P20" s="122">
        <v>0</v>
      </c>
      <c r="Q20" s="122">
        <v>0.11454267775326658</v>
      </c>
      <c r="R20" s="122">
        <v>0.14792899408284022</v>
      </c>
      <c r="S20" s="42">
        <v>0.14792899408284022</v>
      </c>
      <c r="T20" s="42">
        <v>0.14792899408284022</v>
      </c>
      <c r="U20" s="42">
        <v>1.8631178707224333E-2</v>
      </c>
      <c r="V20" s="42">
        <v>8.0747981300467481E-2</v>
      </c>
      <c r="W20" s="42">
        <v>8.0747981300467481E-2</v>
      </c>
      <c r="X20" s="43">
        <v>8.0747981300467481E-2</v>
      </c>
      <c r="Y20" s="44" t="s">
        <v>645</v>
      </c>
      <c r="Z20" s="45">
        <v>93.506477491862995</v>
      </c>
      <c r="AA20" s="45">
        <v>32.383001730103807</v>
      </c>
      <c r="AB20" s="45">
        <v>0.19642857142857142</v>
      </c>
      <c r="AC20" s="45">
        <v>7.2790697674418601</v>
      </c>
      <c r="AD20" s="45">
        <v>54.6</v>
      </c>
      <c r="AE20" s="45">
        <v>2.4300000000000002</v>
      </c>
      <c r="AF20" s="46">
        <v>32.4</v>
      </c>
      <c r="AG20" s="128">
        <v>1</v>
      </c>
      <c r="AH20" s="49">
        <v>8</v>
      </c>
      <c r="AI20" s="49">
        <v>0</v>
      </c>
      <c r="AJ20" s="49">
        <v>2</v>
      </c>
      <c r="AK20" s="49">
        <v>3</v>
      </c>
      <c r="AL20" s="49">
        <v>8</v>
      </c>
      <c r="AM20" s="49">
        <v>2</v>
      </c>
      <c r="AN20" s="49">
        <v>0</v>
      </c>
      <c r="AO20" s="49">
        <v>0</v>
      </c>
      <c r="AP20" s="50">
        <v>1</v>
      </c>
      <c r="AQ20" s="56"/>
      <c r="AR20" s="57">
        <v>1</v>
      </c>
      <c r="AS20" s="57"/>
      <c r="AT20" s="57"/>
      <c r="AU20" s="57"/>
      <c r="AV20" s="57"/>
      <c r="AW20" s="57"/>
      <c r="AX20" s="57"/>
      <c r="AY20" s="57"/>
      <c r="AZ20" s="57"/>
      <c r="BA20" s="57"/>
      <c r="BB20" s="57">
        <v>1</v>
      </c>
      <c r="BC20" s="57"/>
      <c r="BD20" s="57"/>
      <c r="BE20" s="59"/>
      <c r="BF20" s="56">
        <v>133</v>
      </c>
      <c r="BG20" s="57">
        <v>1013</v>
      </c>
      <c r="BH20" s="57">
        <v>1</v>
      </c>
      <c r="BI20" s="57"/>
      <c r="BJ20" s="57">
        <v>27</v>
      </c>
      <c r="BK20" s="57"/>
      <c r="BL20" s="57"/>
      <c r="BM20" s="57"/>
      <c r="BN20" s="57"/>
      <c r="BO20" s="57"/>
      <c r="BP20" s="57">
        <v>0</v>
      </c>
      <c r="BQ20" s="57">
        <v>762.5</v>
      </c>
      <c r="BR20" s="57">
        <v>0</v>
      </c>
      <c r="BS20" s="57">
        <v>0</v>
      </c>
      <c r="BT20" s="59"/>
      <c r="BU20" s="56"/>
      <c r="BV20" s="57">
        <v>1</v>
      </c>
      <c r="BW20" s="57"/>
      <c r="BX20" s="57"/>
      <c r="BY20" s="57"/>
      <c r="BZ20" s="57"/>
      <c r="CA20" s="125"/>
      <c r="CB20" s="129"/>
      <c r="CC20" s="58"/>
      <c r="CD20" s="129"/>
      <c r="CE20" s="57"/>
      <c r="CF20" s="57">
        <v>1</v>
      </c>
      <c r="CG20" s="57"/>
      <c r="CH20" s="57"/>
      <c r="CI20" s="59"/>
      <c r="CJ20" s="51">
        <v>626</v>
      </c>
      <c r="CK20" s="52">
        <v>3263</v>
      </c>
      <c r="CL20" s="52">
        <v>8</v>
      </c>
      <c r="CM20" s="52"/>
      <c r="CN20" s="52">
        <v>86</v>
      </c>
      <c r="CO20" s="52"/>
      <c r="CP20" s="53">
        <v>7.2790697674418601</v>
      </c>
      <c r="CQ20" s="52"/>
      <c r="CR20" s="53"/>
      <c r="CS20" s="52"/>
      <c r="CT20" s="52">
        <v>49</v>
      </c>
      <c r="CU20" s="52">
        <v>2630</v>
      </c>
      <c r="CV20" s="52">
        <v>6</v>
      </c>
      <c r="CW20" s="52">
        <v>0</v>
      </c>
      <c r="CX20" s="54"/>
      <c r="CY20" s="51">
        <v>574</v>
      </c>
      <c r="CZ20" s="52">
        <v>2918.5</v>
      </c>
      <c r="DA20" s="52">
        <v>3</v>
      </c>
      <c r="DB20" s="52">
        <v>24.7</v>
      </c>
      <c r="DC20" s="52">
        <v>112</v>
      </c>
      <c r="DD20" s="52">
        <v>22</v>
      </c>
      <c r="DE20" s="53">
        <v>5.125</v>
      </c>
      <c r="DF20" s="53">
        <v>54.6</v>
      </c>
      <c r="DG20" s="53">
        <v>2.4300000000000002</v>
      </c>
      <c r="DH20" s="53">
        <v>32.4</v>
      </c>
      <c r="DI20" s="52">
        <v>171</v>
      </c>
      <c r="DJ20" s="52">
        <v>2117.7000000000003</v>
      </c>
      <c r="DK20" s="52">
        <v>17</v>
      </c>
      <c r="DL20" s="52">
        <v>0</v>
      </c>
      <c r="DM20" s="54">
        <v>16.900000000000002</v>
      </c>
    </row>
    <row r="21" spans="1:117" ht="15.75" customHeight="1" x14ac:dyDescent="0.2">
      <c r="A21" s="33">
        <v>19</v>
      </c>
      <c r="B21" s="34" t="s">
        <v>433</v>
      </c>
      <c r="C21" s="116">
        <v>3.5777777777777784</v>
      </c>
      <c r="D21" s="117" t="s">
        <v>434</v>
      </c>
      <c r="E21" s="37">
        <v>1</v>
      </c>
      <c r="F21" s="118">
        <v>33514</v>
      </c>
      <c r="G21" s="119">
        <v>34.008219178082193</v>
      </c>
      <c r="H21" s="39" t="s">
        <v>389</v>
      </c>
      <c r="I21" s="119">
        <v>23.580821917808219</v>
      </c>
      <c r="J21" s="120">
        <v>69</v>
      </c>
      <c r="K21" s="120">
        <v>198</v>
      </c>
      <c r="L21" s="119">
        <v>4.6100000000000003</v>
      </c>
      <c r="M21" s="55">
        <v>7</v>
      </c>
      <c r="N21" s="121">
        <v>3.7841796875E-2</v>
      </c>
      <c r="O21" s="122">
        <v>0</v>
      </c>
      <c r="P21" s="122">
        <v>6.3829787234042548E-2</v>
      </c>
      <c r="Q21" s="122">
        <v>9.8981077147016011E-2</v>
      </c>
      <c r="R21" s="122">
        <v>0.22109770338653173</v>
      </c>
      <c r="S21" s="42">
        <v>0.22109770338653173</v>
      </c>
      <c r="T21" s="42">
        <v>0.22109770338653173</v>
      </c>
      <c r="U21" s="42">
        <v>2.3723723723723725E-2</v>
      </c>
      <c r="V21" s="42">
        <v>8.0078567651280505E-2</v>
      </c>
      <c r="W21" s="42">
        <v>8.0078567651280505E-2</v>
      </c>
      <c r="X21" s="43">
        <v>8.0078567651280505E-2</v>
      </c>
      <c r="Y21" s="44">
        <v>22.92876712328767</v>
      </c>
      <c r="Z21" s="45">
        <v>87.678171541102756</v>
      </c>
      <c r="AA21" s="45">
        <v>29.236294896030248</v>
      </c>
      <c r="AB21" s="45">
        <v>0.1864406779661017</v>
      </c>
      <c r="AC21" s="45">
        <v>6.5326086956521738</v>
      </c>
      <c r="AD21" s="45">
        <v>55.6</v>
      </c>
      <c r="AE21" s="45">
        <v>3</v>
      </c>
      <c r="AF21" s="46">
        <v>36.799999999999997</v>
      </c>
      <c r="AG21" s="128">
        <v>4</v>
      </c>
      <c r="AH21" s="49">
        <v>8</v>
      </c>
      <c r="AI21" s="49">
        <v>0</v>
      </c>
      <c r="AJ21" s="49">
        <v>1</v>
      </c>
      <c r="AK21" s="49">
        <v>2</v>
      </c>
      <c r="AL21" s="49">
        <v>6</v>
      </c>
      <c r="AM21" s="49">
        <v>2</v>
      </c>
      <c r="AN21" s="49">
        <v>2</v>
      </c>
      <c r="AO21" s="49">
        <v>1</v>
      </c>
      <c r="AP21" s="50">
        <v>0</v>
      </c>
      <c r="AQ21" s="56">
        <v>181</v>
      </c>
      <c r="AR21" s="57">
        <v>1876.8000000000002</v>
      </c>
      <c r="AS21" s="57">
        <v>2</v>
      </c>
      <c r="AT21" s="57"/>
      <c r="AU21" s="57">
        <v>22</v>
      </c>
      <c r="AV21" s="57"/>
      <c r="AW21" s="57"/>
      <c r="AX21" s="57"/>
      <c r="AY21" s="57"/>
      <c r="AZ21" s="57"/>
      <c r="BA21" s="57">
        <v>5</v>
      </c>
      <c r="BB21" s="57">
        <v>3038.3999999999996</v>
      </c>
      <c r="BC21" s="57">
        <v>2</v>
      </c>
      <c r="BD21" s="57">
        <v>0</v>
      </c>
      <c r="BE21" s="59"/>
      <c r="BF21" s="56"/>
      <c r="BG21" s="57">
        <v>1</v>
      </c>
      <c r="BH21" s="57"/>
      <c r="BI21" s="57"/>
      <c r="BJ21" s="57"/>
      <c r="BK21" s="57"/>
      <c r="BL21" s="57"/>
      <c r="BM21" s="57"/>
      <c r="BN21" s="57"/>
      <c r="BO21" s="57"/>
      <c r="BP21" s="57"/>
      <c r="BQ21" s="57">
        <v>1</v>
      </c>
      <c r="BR21" s="57"/>
      <c r="BS21" s="57"/>
      <c r="BT21" s="59"/>
      <c r="BU21" s="56">
        <v>251</v>
      </c>
      <c r="BV21" s="57">
        <v>2615</v>
      </c>
      <c r="BW21" s="57">
        <v>1</v>
      </c>
      <c r="BX21" s="57"/>
      <c r="BY21" s="57">
        <v>46</v>
      </c>
      <c r="BZ21" s="57"/>
      <c r="CA21" s="125"/>
      <c r="CB21" s="129"/>
      <c r="CC21" s="58"/>
      <c r="CD21" s="129"/>
      <c r="CE21" s="57">
        <v>22</v>
      </c>
      <c r="CF21" s="57">
        <v>1662</v>
      </c>
      <c r="CG21" s="57">
        <v>9</v>
      </c>
      <c r="CH21" s="57">
        <v>0</v>
      </c>
      <c r="CI21" s="59"/>
      <c r="CJ21" s="51">
        <v>601</v>
      </c>
      <c r="CK21" s="52">
        <v>3540</v>
      </c>
      <c r="CL21" s="52">
        <v>9</v>
      </c>
      <c r="CM21" s="52"/>
      <c r="CN21" s="52">
        <v>92</v>
      </c>
      <c r="CO21" s="52"/>
      <c r="CP21" s="53">
        <v>6.5326086956521738</v>
      </c>
      <c r="CQ21" s="52"/>
      <c r="CR21" s="53"/>
      <c r="CS21" s="52"/>
      <c r="CT21" s="52">
        <v>79</v>
      </c>
      <c r="CU21" s="52">
        <v>3330</v>
      </c>
      <c r="CV21" s="52">
        <v>11</v>
      </c>
      <c r="CW21" s="52">
        <v>1</v>
      </c>
      <c r="CX21" s="54"/>
      <c r="CY21" s="51">
        <v>924</v>
      </c>
      <c r="CZ21" s="52">
        <v>2490.6</v>
      </c>
      <c r="DA21" s="52">
        <v>4</v>
      </c>
      <c r="DB21" s="52">
        <v>16.8</v>
      </c>
      <c r="DC21" s="52">
        <v>177</v>
      </c>
      <c r="DD21" s="52">
        <v>33</v>
      </c>
      <c r="DE21" s="53">
        <v>5.2203389830508478</v>
      </c>
      <c r="DF21" s="53">
        <v>55.6</v>
      </c>
      <c r="DG21" s="53">
        <v>3</v>
      </c>
      <c r="DH21" s="53">
        <v>36.799999999999997</v>
      </c>
      <c r="DI21" s="52">
        <v>212</v>
      </c>
      <c r="DJ21" s="52">
        <v>2647.4</v>
      </c>
      <c r="DK21" s="52">
        <v>28</v>
      </c>
      <c r="DL21" s="52">
        <v>1</v>
      </c>
      <c r="DM21" s="54">
        <v>25.2</v>
      </c>
    </row>
    <row r="22" spans="1:117" ht="15.75" customHeight="1" x14ac:dyDescent="0.2">
      <c r="A22" s="33">
        <v>20</v>
      </c>
      <c r="B22" s="34" t="s">
        <v>435</v>
      </c>
      <c r="C22" s="116">
        <v>3.4111111111111114</v>
      </c>
      <c r="D22" s="117" t="s">
        <v>436</v>
      </c>
      <c r="E22" s="37">
        <v>3</v>
      </c>
      <c r="F22" s="118">
        <v>34104</v>
      </c>
      <c r="G22" s="119">
        <v>32.391780821917806</v>
      </c>
      <c r="H22" s="39" t="s">
        <v>389</v>
      </c>
      <c r="I22" s="119">
        <v>21.964383561643835</v>
      </c>
      <c r="J22" s="120">
        <v>71</v>
      </c>
      <c r="K22" s="120">
        <v>224</v>
      </c>
      <c r="L22" s="119">
        <v>4.62</v>
      </c>
      <c r="M22" s="55">
        <v>0</v>
      </c>
      <c r="N22" s="121">
        <v>0</v>
      </c>
      <c r="O22" s="122">
        <v>0.19337579617834394</v>
      </c>
      <c r="P22" s="122">
        <v>0.12537382102599495</v>
      </c>
      <c r="Q22" s="122">
        <v>0.20685111989459815</v>
      </c>
      <c r="R22" s="122">
        <v>0.17514652557640992</v>
      </c>
      <c r="S22" s="42">
        <v>0.19099882273550403</v>
      </c>
      <c r="T22" s="42">
        <v>0.17189894046195364</v>
      </c>
      <c r="U22" s="42">
        <v>7.6440611524892205E-2</v>
      </c>
      <c r="V22" s="42">
        <v>2.2318851733559086E-2</v>
      </c>
      <c r="W22" s="42">
        <v>4.9379731629225647E-2</v>
      </c>
      <c r="X22" s="43">
        <v>4.4441758466303084E-2</v>
      </c>
      <c r="Y22" s="44">
        <v>18.30958904109589</v>
      </c>
      <c r="Z22" s="45">
        <v>98.335450507874697</v>
      </c>
      <c r="AA22" s="45">
        <v>31.238246379686569</v>
      </c>
      <c r="AB22" s="45">
        <v>0.10869565217391304</v>
      </c>
      <c r="AC22" s="45">
        <v>4.2242990654205608</v>
      </c>
      <c r="AD22" s="45">
        <v>24.8</v>
      </c>
      <c r="AE22" s="45">
        <v>2.36</v>
      </c>
      <c r="AF22" s="46">
        <v>24.1</v>
      </c>
      <c r="AG22" s="128">
        <v>3</v>
      </c>
      <c r="AH22" s="49">
        <v>5</v>
      </c>
      <c r="AI22" s="49">
        <v>10</v>
      </c>
      <c r="AJ22" s="49">
        <v>4</v>
      </c>
      <c r="AK22" s="49">
        <v>0</v>
      </c>
      <c r="AL22" s="49">
        <v>0</v>
      </c>
      <c r="AM22" s="49">
        <v>0</v>
      </c>
      <c r="AN22" s="49">
        <v>0</v>
      </c>
      <c r="AO22" s="49">
        <v>0</v>
      </c>
      <c r="AP22" s="50">
        <v>0.25</v>
      </c>
      <c r="AQ22" s="56"/>
      <c r="AR22" s="57">
        <v>1</v>
      </c>
      <c r="AS22" s="57"/>
      <c r="AT22" s="57"/>
      <c r="AU22" s="57"/>
      <c r="AV22" s="57"/>
      <c r="AW22" s="57"/>
      <c r="AX22" s="57"/>
      <c r="AY22" s="57"/>
      <c r="AZ22" s="57"/>
      <c r="BA22" s="57"/>
      <c r="BB22" s="57">
        <v>1</v>
      </c>
      <c r="BC22" s="57"/>
      <c r="BD22" s="57"/>
      <c r="BE22" s="59"/>
      <c r="BF22" s="56">
        <v>742</v>
      </c>
      <c r="BG22" s="57">
        <v>2026</v>
      </c>
      <c r="BH22" s="57">
        <v>5</v>
      </c>
      <c r="BI22" s="57"/>
      <c r="BJ22" s="57">
        <v>172</v>
      </c>
      <c r="BK22" s="57"/>
      <c r="BL22" s="57"/>
      <c r="BM22" s="57"/>
      <c r="BN22" s="57"/>
      <c r="BO22" s="57"/>
      <c r="BP22" s="57">
        <v>17</v>
      </c>
      <c r="BQ22" s="57">
        <v>1899</v>
      </c>
      <c r="BR22" s="57">
        <v>3</v>
      </c>
      <c r="BS22" s="57">
        <v>0</v>
      </c>
      <c r="BT22" s="59"/>
      <c r="BU22" s="56">
        <v>324</v>
      </c>
      <c r="BV22" s="57">
        <v>1372</v>
      </c>
      <c r="BW22" s="57">
        <v>4</v>
      </c>
      <c r="BX22" s="57"/>
      <c r="BY22" s="57">
        <v>61</v>
      </c>
      <c r="BZ22" s="57"/>
      <c r="CA22" s="125"/>
      <c r="CB22" s="129"/>
      <c r="CC22" s="58"/>
      <c r="CD22" s="129"/>
      <c r="CE22" s="57">
        <v>112</v>
      </c>
      <c r="CF22" s="57">
        <v>2105.6</v>
      </c>
      <c r="CG22" s="57">
        <v>15</v>
      </c>
      <c r="CH22" s="57">
        <v>1</v>
      </c>
      <c r="CI22" s="59"/>
      <c r="CJ22" s="51">
        <v>904</v>
      </c>
      <c r="CK22" s="52">
        <v>2762</v>
      </c>
      <c r="CL22" s="52">
        <v>9</v>
      </c>
      <c r="CM22" s="52"/>
      <c r="CN22" s="52">
        <v>214</v>
      </c>
      <c r="CO22" s="52"/>
      <c r="CP22" s="53">
        <v>4.2242990654205608</v>
      </c>
      <c r="CQ22" s="52"/>
      <c r="CR22" s="53"/>
      <c r="CS22" s="52"/>
      <c r="CT22" s="52">
        <v>195</v>
      </c>
      <c r="CU22" s="52">
        <v>2551</v>
      </c>
      <c r="CV22" s="52">
        <v>17</v>
      </c>
      <c r="CW22" s="52">
        <v>2</v>
      </c>
      <c r="CX22" s="54"/>
      <c r="CY22" s="51">
        <v>710</v>
      </c>
      <c r="CZ22" s="52">
        <v>1786.2</v>
      </c>
      <c r="DA22" s="52">
        <v>6</v>
      </c>
      <c r="DB22" s="52">
        <v>18.2</v>
      </c>
      <c r="DC22" s="52">
        <v>184</v>
      </c>
      <c r="DD22" s="52">
        <v>20</v>
      </c>
      <c r="DE22" s="53">
        <v>3.8586956521739131</v>
      </c>
      <c r="DF22" s="53">
        <v>24.8</v>
      </c>
      <c r="DG22" s="53">
        <v>2.36</v>
      </c>
      <c r="DH22" s="53">
        <v>24.1</v>
      </c>
      <c r="DI22" s="52">
        <v>58</v>
      </c>
      <c r="DJ22" s="52">
        <v>2598.7000000000003</v>
      </c>
      <c r="DK22" s="52">
        <v>16</v>
      </c>
      <c r="DL22" s="52">
        <v>0</v>
      </c>
      <c r="DM22" s="54">
        <v>14.3</v>
      </c>
    </row>
    <row r="23" spans="1:117" ht="15.75" customHeight="1" x14ac:dyDescent="0.2">
      <c r="A23" s="33">
        <v>21</v>
      </c>
      <c r="B23" s="34" t="s">
        <v>437</v>
      </c>
      <c r="C23" s="116">
        <v>2.95</v>
      </c>
      <c r="D23" s="117" t="s">
        <v>438</v>
      </c>
      <c r="E23" s="37">
        <v>4</v>
      </c>
      <c r="F23" s="118">
        <v>33599</v>
      </c>
      <c r="G23" s="119">
        <v>33.775342465753425</v>
      </c>
      <c r="H23" s="39" t="s">
        <v>389</v>
      </c>
      <c r="I23" s="119">
        <v>23.347945205479451</v>
      </c>
      <c r="J23" s="120">
        <v>74</v>
      </c>
      <c r="K23" s="120">
        <v>234</v>
      </c>
      <c r="L23" s="119">
        <v>4.63</v>
      </c>
      <c r="M23" s="55">
        <v>0</v>
      </c>
      <c r="N23" s="121">
        <v>0</v>
      </c>
      <c r="O23" s="122">
        <v>0.1579079079079079</v>
      </c>
      <c r="P23" s="122">
        <v>0</v>
      </c>
      <c r="Q23" s="122">
        <v>0.17576364546820231</v>
      </c>
      <c r="R23" s="122">
        <v>0.12639698223686061</v>
      </c>
      <c r="S23" s="42">
        <v>0.15108031385253146</v>
      </c>
      <c r="T23" s="42">
        <v>0.13597228246727833</v>
      </c>
      <c r="U23" s="42">
        <v>0.11943425877422735</v>
      </c>
      <c r="V23" s="42">
        <v>3.0864197530864196E-2</v>
      </c>
      <c r="W23" s="42">
        <v>7.5149228152545766E-2</v>
      </c>
      <c r="X23" s="43">
        <v>6.7634305337291187E-2</v>
      </c>
      <c r="Y23" s="44">
        <v>19.693150684931506</v>
      </c>
      <c r="Z23" s="45">
        <v>101.8408203513915</v>
      </c>
      <c r="AA23" s="45">
        <v>30.04054054054054</v>
      </c>
      <c r="AB23" s="45">
        <v>0.15625</v>
      </c>
      <c r="AC23" s="45">
        <v>5.0613496932515334</v>
      </c>
      <c r="AD23" s="45">
        <v>35.5</v>
      </c>
      <c r="AE23" s="45">
        <v>2.2599999999999998</v>
      </c>
      <c r="AF23" s="46">
        <v>22.4</v>
      </c>
      <c r="AG23" s="128">
        <v>1</v>
      </c>
      <c r="AH23" s="49">
        <v>7</v>
      </c>
      <c r="AI23" s="49">
        <v>6</v>
      </c>
      <c r="AJ23" s="49">
        <v>6</v>
      </c>
      <c r="AK23" s="49">
        <v>1</v>
      </c>
      <c r="AL23" s="49">
        <v>1</v>
      </c>
      <c r="AM23" s="49">
        <v>0</v>
      </c>
      <c r="AN23" s="49">
        <v>0</v>
      </c>
      <c r="AO23" s="49">
        <v>0</v>
      </c>
      <c r="AP23" s="50">
        <v>0</v>
      </c>
      <c r="AQ23" s="56"/>
      <c r="AR23" s="57">
        <v>1</v>
      </c>
      <c r="AS23" s="57"/>
      <c r="AT23" s="57"/>
      <c r="AU23" s="57"/>
      <c r="AV23" s="57"/>
      <c r="AW23" s="57"/>
      <c r="AX23" s="57"/>
      <c r="AY23" s="57"/>
      <c r="AZ23" s="57"/>
      <c r="BA23" s="57"/>
      <c r="BB23" s="57">
        <v>1</v>
      </c>
      <c r="BC23" s="57"/>
      <c r="BD23" s="57"/>
      <c r="BE23" s="59"/>
      <c r="BF23" s="56">
        <v>533</v>
      </c>
      <c r="BG23" s="57">
        <v>1458</v>
      </c>
      <c r="BH23" s="57">
        <v>4</v>
      </c>
      <c r="BI23" s="57"/>
      <c r="BJ23" s="57">
        <v>140</v>
      </c>
      <c r="BK23" s="57"/>
      <c r="BL23" s="57"/>
      <c r="BM23" s="57"/>
      <c r="BN23" s="57"/>
      <c r="BO23" s="57"/>
      <c r="BP23" s="57">
        <v>98</v>
      </c>
      <c r="BQ23" s="57">
        <v>2538</v>
      </c>
      <c r="BR23" s="57">
        <v>16</v>
      </c>
      <c r="BS23" s="57">
        <v>1</v>
      </c>
      <c r="BT23" s="59"/>
      <c r="BU23" s="56"/>
      <c r="BV23" s="57">
        <v>1</v>
      </c>
      <c r="BW23" s="57"/>
      <c r="BX23" s="57"/>
      <c r="BY23" s="57"/>
      <c r="BZ23" s="57"/>
      <c r="CA23" s="125"/>
      <c r="CB23" s="129"/>
      <c r="CC23" s="58"/>
      <c r="CD23" s="129"/>
      <c r="CE23" s="57"/>
      <c r="CF23" s="57">
        <v>1</v>
      </c>
      <c r="CG23" s="57"/>
      <c r="CH23" s="57"/>
      <c r="CI23" s="59"/>
      <c r="CJ23" s="51">
        <v>825</v>
      </c>
      <c r="CK23" s="52">
        <v>4082</v>
      </c>
      <c r="CL23" s="52">
        <v>8</v>
      </c>
      <c r="CM23" s="52"/>
      <c r="CN23" s="52">
        <v>163</v>
      </c>
      <c r="CO23" s="52"/>
      <c r="CP23" s="53">
        <v>5.0613496932515334</v>
      </c>
      <c r="CQ23" s="52"/>
      <c r="CR23" s="53"/>
      <c r="CS23" s="52"/>
      <c r="CT23" s="52">
        <v>228</v>
      </c>
      <c r="CU23" s="52">
        <v>1909</v>
      </c>
      <c r="CV23" s="52">
        <v>24</v>
      </c>
      <c r="CW23" s="52">
        <v>1</v>
      </c>
      <c r="CX23" s="54"/>
      <c r="CY23" s="51">
        <v>379</v>
      </c>
      <c r="CZ23" s="52">
        <v>1284.3</v>
      </c>
      <c r="DA23" s="52">
        <v>4</v>
      </c>
      <c r="DB23" s="52">
        <v>19.8</v>
      </c>
      <c r="DC23" s="52">
        <v>96</v>
      </c>
      <c r="DD23" s="52">
        <v>15</v>
      </c>
      <c r="DE23" s="53">
        <v>3.9479166666666665</v>
      </c>
      <c r="DF23" s="53">
        <v>35.5</v>
      </c>
      <c r="DG23" s="53">
        <v>2.2599999999999998</v>
      </c>
      <c r="DH23" s="53">
        <v>22.4</v>
      </c>
      <c r="DI23" s="52">
        <v>70</v>
      </c>
      <c r="DJ23" s="52">
        <v>2268</v>
      </c>
      <c r="DK23" s="52">
        <v>6</v>
      </c>
      <c r="DL23" s="52">
        <v>0</v>
      </c>
      <c r="DM23" s="54">
        <v>14.4</v>
      </c>
    </row>
    <row r="24" spans="1:117" ht="15.75" customHeight="1" x14ac:dyDescent="0.2">
      <c r="A24" s="33">
        <v>22</v>
      </c>
      <c r="B24" s="34" t="s">
        <v>439</v>
      </c>
      <c r="C24" s="116">
        <v>2.8333333333333335</v>
      </c>
      <c r="D24" s="117" t="s">
        <v>438</v>
      </c>
      <c r="E24" s="37">
        <v>4</v>
      </c>
      <c r="F24" s="118">
        <v>33159</v>
      </c>
      <c r="G24" s="119">
        <v>34.980821917808221</v>
      </c>
      <c r="H24" s="39" t="s">
        <v>389</v>
      </c>
      <c r="I24" s="119">
        <v>24.553424657534247</v>
      </c>
      <c r="J24" s="120">
        <v>68</v>
      </c>
      <c r="K24" s="120">
        <v>218</v>
      </c>
      <c r="L24" s="119">
        <v>4.58</v>
      </c>
      <c r="M24" s="55">
        <v>0</v>
      </c>
      <c r="N24" s="121">
        <v>0.15767634854771784</v>
      </c>
      <c r="O24" s="122">
        <v>0.30812117623840535</v>
      </c>
      <c r="P24" s="122">
        <v>0</v>
      </c>
      <c r="Q24" s="122">
        <v>7.1614583333333329E-2</v>
      </c>
      <c r="R24" s="122">
        <v>0.16689891056498607</v>
      </c>
      <c r="S24" s="42">
        <v>0.23751004340169571</v>
      </c>
      <c r="T24" s="42">
        <v>0.21375903906152613</v>
      </c>
      <c r="U24" s="42">
        <v>3.6396724294813468E-3</v>
      </c>
      <c r="V24" s="42">
        <v>1.984126984126984E-2</v>
      </c>
      <c r="W24" s="42">
        <v>1.984126984126984E-2</v>
      </c>
      <c r="X24" s="43">
        <v>1.7857142857142856E-2</v>
      </c>
      <c r="Y24" s="44">
        <v>19.898630136986302</v>
      </c>
      <c r="Z24" s="45">
        <v>99.08880188646431</v>
      </c>
      <c r="AA24" s="45">
        <v>33.143166089965398</v>
      </c>
      <c r="AB24" s="45">
        <v>0.16513761467889909</v>
      </c>
      <c r="AC24" s="45">
        <v>5.0681818181818183</v>
      </c>
      <c r="AD24" s="45">
        <v>38.1</v>
      </c>
      <c r="AE24" s="45">
        <v>2.25</v>
      </c>
      <c r="AF24" s="46">
        <v>33.700000000000003</v>
      </c>
      <c r="AG24" s="128">
        <v>4</v>
      </c>
      <c r="AH24" s="49">
        <v>1</v>
      </c>
      <c r="AI24" s="49">
        <v>5</v>
      </c>
      <c r="AJ24" s="49">
        <v>5</v>
      </c>
      <c r="AK24" s="49">
        <v>2</v>
      </c>
      <c r="AL24" s="49">
        <v>1</v>
      </c>
      <c r="AM24" s="49">
        <v>0</v>
      </c>
      <c r="AN24" s="49">
        <v>0</v>
      </c>
      <c r="AO24" s="49">
        <v>0</v>
      </c>
      <c r="AP24" s="50">
        <v>0.5</v>
      </c>
      <c r="AQ24" s="56">
        <v>1093</v>
      </c>
      <c r="AR24" s="57">
        <v>3002</v>
      </c>
      <c r="AS24" s="57">
        <v>5</v>
      </c>
      <c r="AT24" s="57"/>
      <c r="AU24" s="57">
        <v>182</v>
      </c>
      <c r="AV24" s="57"/>
      <c r="AW24" s="57"/>
      <c r="AX24" s="57"/>
      <c r="AY24" s="57"/>
      <c r="AZ24" s="57"/>
      <c r="BA24" s="57">
        <v>9</v>
      </c>
      <c r="BB24" s="57">
        <v>3987</v>
      </c>
      <c r="BC24" s="57">
        <v>1</v>
      </c>
      <c r="BD24" s="57">
        <v>0</v>
      </c>
      <c r="BE24" s="59"/>
      <c r="BF24" s="56">
        <v>1242</v>
      </c>
      <c r="BG24" s="57">
        <v>2187.6000000000004</v>
      </c>
      <c r="BH24" s="57">
        <v>2</v>
      </c>
      <c r="BI24" s="57"/>
      <c r="BJ24" s="57">
        <v>242</v>
      </c>
      <c r="BK24" s="57"/>
      <c r="BL24" s="57"/>
      <c r="BM24" s="57"/>
      <c r="BN24" s="57"/>
      <c r="BO24" s="57"/>
      <c r="BP24" s="57">
        <v>7</v>
      </c>
      <c r="BQ24" s="57">
        <v>1866</v>
      </c>
      <c r="BR24" s="57">
        <v>2</v>
      </c>
      <c r="BS24" s="57">
        <v>0</v>
      </c>
      <c r="BT24" s="59"/>
      <c r="BU24" s="56"/>
      <c r="BV24" s="57">
        <v>1</v>
      </c>
      <c r="BW24" s="57"/>
      <c r="BX24" s="57"/>
      <c r="BY24" s="57"/>
      <c r="BZ24" s="57"/>
      <c r="CA24" s="125"/>
      <c r="CB24" s="129"/>
      <c r="CC24" s="58"/>
      <c r="CD24" s="129"/>
      <c r="CE24" s="57"/>
      <c r="CF24" s="57">
        <v>1</v>
      </c>
      <c r="CG24" s="57"/>
      <c r="CH24" s="57"/>
      <c r="CI24" s="59"/>
      <c r="CJ24" s="51">
        <v>223</v>
      </c>
      <c r="CK24" s="52">
        <v>1027.6000000000001</v>
      </c>
      <c r="CL24" s="52">
        <v>2</v>
      </c>
      <c r="CM24" s="52"/>
      <c r="CN24" s="52">
        <v>44</v>
      </c>
      <c r="CO24" s="52"/>
      <c r="CP24" s="53">
        <v>5.0681818181818183</v>
      </c>
      <c r="CQ24" s="52"/>
      <c r="CR24" s="53"/>
      <c r="CS24" s="52"/>
      <c r="CT24" s="52">
        <v>8</v>
      </c>
      <c r="CU24" s="52">
        <v>2198</v>
      </c>
      <c r="CV24" s="52">
        <v>2</v>
      </c>
      <c r="CW24" s="52">
        <v>0</v>
      </c>
      <c r="CX24" s="54"/>
      <c r="CY24" s="51">
        <v>487</v>
      </c>
      <c r="CZ24" s="52">
        <v>1141.5999999999999</v>
      </c>
      <c r="DA24" s="52">
        <v>5</v>
      </c>
      <c r="DB24" s="52">
        <v>17.600000000000001</v>
      </c>
      <c r="DC24" s="52">
        <v>109</v>
      </c>
      <c r="DD24" s="52">
        <v>18</v>
      </c>
      <c r="DE24" s="53">
        <v>4.4678899082568808</v>
      </c>
      <c r="DF24" s="53">
        <v>38.1</v>
      </c>
      <c r="DG24" s="53">
        <v>2.25</v>
      </c>
      <c r="DH24" s="53">
        <v>33.700000000000003</v>
      </c>
      <c r="DI24" s="52">
        <v>40</v>
      </c>
      <c r="DJ24" s="52">
        <v>2016</v>
      </c>
      <c r="DK24" s="52">
        <v>3</v>
      </c>
      <c r="DL24" s="52">
        <v>0</v>
      </c>
      <c r="DM24" s="54">
        <v>12.8</v>
      </c>
    </row>
    <row r="25" spans="1:117" ht="15.75" customHeight="1" x14ac:dyDescent="0.2">
      <c r="A25" s="33">
        <v>23</v>
      </c>
      <c r="B25" s="34" t="s">
        <v>440</v>
      </c>
      <c r="C25" s="116">
        <v>2.6444444444444439</v>
      </c>
      <c r="D25" s="117" t="s">
        <v>441</v>
      </c>
      <c r="E25" s="37">
        <v>1</v>
      </c>
      <c r="F25" s="118">
        <v>33949</v>
      </c>
      <c r="G25" s="119">
        <v>32.816438356164383</v>
      </c>
      <c r="H25" s="39" t="s">
        <v>385</v>
      </c>
      <c r="I25" s="119">
        <v>22.389041095890413</v>
      </c>
      <c r="J25" s="120">
        <v>67</v>
      </c>
      <c r="K25" s="120">
        <v>195</v>
      </c>
      <c r="L25" s="119">
        <v>4.49</v>
      </c>
      <c r="M25" s="55">
        <v>0</v>
      </c>
      <c r="N25" s="121">
        <v>0</v>
      </c>
      <c r="O25" s="122">
        <v>0</v>
      </c>
      <c r="P25" s="122">
        <v>7.5333976036358621E-2</v>
      </c>
      <c r="Q25" s="122">
        <v>7.7840064838578957E-2</v>
      </c>
      <c r="R25" s="122">
        <v>0.11839408578539012</v>
      </c>
      <c r="S25" s="42">
        <v>0.11839408578539012</v>
      </c>
      <c r="T25" s="42">
        <v>0.11839408578539012</v>
      </c>
      <c r="U25" s="42">
        <v>1.3894964361989552E-2</v>
      </c>
      <c r="V25" s="42">
        <v>2.8641571194762683E-2</v>
      </c>
      <c r="W25" s="42">
        <v>2.8641571194762683E-2</v>
      </c>
      <c r="X25" s="43">
        <v>2.8641571194762683E-2</v>
      </c>
      <c r="Y25" s="44" t="s">
        <v>645</v>
      </c>
      <c r="Z25" s="45">
        <v>95.957570335423796</v>
      </c>
      <c r="AA25" s="45">
        <v>30.537981733125417</v>
      </c>
      <c r="AB25" s="45">
        <v>0.22222222222222221</v>
      </c>
      <c r="AC25" s="45">
        <v>7.0172413793103452</v>
      </c>
      <c r="AD25" s="45">
        <v>57.1</v>
      </c>
      <c r="AE25" s="45">
        <v>2.31</v>
      </c>
      <c r="AF25" s="46">
        <v>47.2</v>
      </c>
      <c r="AG25" s="128">
        <v>0</v>
      </c>
      <c r="AH25" s="49">
        <v>3</v>
      </c>
      <c r="AI25" s="49">
        <v>0</v>
      </c>
      <c r="AJ25" s="49">
        <v>3</v>
      </c>
      <c r="AK25" s="49">
        <v>5</v>
      </c>
      <c r="AL25" s="49">
        <v>8</v>
      </c>
      <c r="AM25" s="49">
        <v>2</v>
      </c>
      <c r="AN25" s="49">
        <v>0</v>
      </c>
      <c r="AO25" s="49">
        <v>0</v>
      </c>
      <c r="AP25" s="50">
        <v>0</v>
      </c>
      <c r="AQ25" s="56"/>
      <c r="AR25" s="57">
        <v>1</v>
      </c>
      <c r="AS25" s="57"/>
      <c r="AT25" s="57"/>
      <c r="AU25" s="57"/>
      <c r="AV25" s="57"/>
      <c r="AW25" s="57"/>
      <c r="AX25" s="57"/>
      <c r="AY25" s="57"/>
      <c r="AZ25" s="57"/>
      <c r="BA25" s="57"/>
      <c r="BB25" s="57">
        <v>1</v>
      </c>
      <c r="BC25" s="57"/>
      <c r="BD25" s="57"/>
      <c r="BE25" s="59"/>
      <c r="BF25" s="56"/>
      <c r="BG25" s="57">
        <v>1</v>
      </c>
      <c r="BH25" s="57"/>
      <c r="BI25" s="57"/>
      <c r="BJ25" s="57"/>
      <c r="BK25" s="57"/>
      <c r="BL25" s="57"/>
      <c r="BM25" s="57"/>
      <c r="BN25" s="57"/>
      <c r="BO25" s="57"/>
      <c r="BP25" s="57"/>
      <c r="BQ25" s="57">
        <v>1</v>
      </c>
      <c r="BR25" s="57"/>
      <c r="BS25" s="57"/>
      <c r="BT25" s="59"/>
      <c r="BU25" s="56">
        <v>376</v>
      </c>
      <c r="BV25" s="57">
        <v>4114</v>
      </c>
      <c r="BW25" s="57">
        <v>5</v>
      </c>
      <c r="BX25" s="57"/>
      <c r="BY25" s="57">
        <v>62</v>
      </c>
      <c r="BZ25" s="57"/>
      <c r="CA25" s="125"/>
      <c r="CB25" s="129"/>
      <c r="CC25" s="58"/>
      <c r="CD25" s="129"/>
      <c r="CE25" s="57">
        <v>171</v>
      </c>
      <c r="CF25" s="57">
        <v>3147</v>
      </c>
      <c r="CG25" s="57">
        <v>12</v>
      </c>
      <c r="CH25" s="57">
        <v>0</v>
      </c>
      <c r="CI25" s="59"/>
      <c r="CJ25" s="51">
        <v>407</v>
      </c>
      <c r="CK25" s="52">
        <v>2036.1</v>
      </c>
      <c r="CL25" s="52">
        <v>6</v>
      </c>
      <c r="CM25" s="52"/>
      <c r="CN25" s="52">
        <v>58</v>
      </c>
      <c r="CO25" s="52"/>
      <c r="CP25" s="53">
        <v>7.0172413793103452</v>
      </c>
      <c r="CQ25" s="52"/>
      <c r="CR25" s="53"/>
      <c r="CS25" s="52"/>
      <c r="CT25" s="52">
        <v>54</v>
      </c>
      <c r="CU25" s="52">
        <v>3886.3</v>
      </c>
      <c r="CV25" s="52">
        <v>10</v>
      </c>
      <c r="CW25" s="52">
        <v>0</v>
      </c>
      <c r="CX25" s="54"/>
      <c r="CY25" s="51">
        <v>542</v>
      </c>
      <c r="CZ25" s="52">
        <v>1798.8000000000002</v>
      </c>
      <c r="DA25" s="52">
        <v>7</v>
      </c>
      <c r="DB25" s="52">
        <v>18</v>
      </c>
      <c r="DC25" s="52">
        <v>81</v>
      </c>
      <c r="DD25" s="52">
        <v>18</v>
      </c>
      <c r="DE25" s="53">
        <v>6.6913580246913584</v>
      </c>
      <c r="DF25" s="53">
        <v>57.1</v>
      </c>
      <c r="DG25" s="53">
        <v>2.31</v>
      </c>
      <c r="DH25" s="53">
        <v>47.2</v>
      </c>
      <c r="DI25" s="52">
        <v>105</v>
      </c>
      <c r="DJ25" s="52">
        <v>3666</v>
      </c>
      <c r="DK25" s="52">
        <v>16</v>
      </c>
      <c r="DL25" s="52">
        <v>1</v>
      </c>
      <c r="DM25" s="54">
        <v>36</v>
      </c>
    </row>
    <row r="26" spans="1:117" ht="15.75" customHeight="1" thickBot="1" x14ac:dyDescent="0.25">
      <c r="A26" s="60">
        <v>24</v>
      </c>
      <c r="B26" s="62" t="s">
        <v>442</v>
      </c>
      <c r="C26" s="134">
        <v>1.6944444444444446</v>
      </c>
      <c r="D26" s="135" t="s">
        <v>432</v>
      </c>
      <c r="E26" s="66">
        <v>1</v>
      </c>
      <c r="F26" s="136">
        <v>33542</v>
      </c>
      <c r="G26" s="137">
        <v>33.93150684931507</v>
      </c>
      <c r="H26" s="68" t="s">
        <v>389</v>
      </c>
      <c r="I26" s="137">
        <v>23.504109589041096</v>
      </c>
      <c r="J26" s="138">
        <v>72</v>
      </c>
      <c r="K26" s="138">
        <v>226</v>
      </c>
      <c r="L26" s="137">
        <v>4.83</v>
      </c>
      <c r="M26" s="139">
        <v>7</v>
      </c>
      <c r="N26" s="140">
        <v>0</v>
      </c>
      <c r="O26" s="141">
        <v>7.5601672334986908E-2</v>
      </c>
      <c r="P26" s="141">
        <v>0.10800819526100125</v>
      </c>
      <c r="Q26" s="141">
        <v>5.6989484520920654E-2</v>
      </c>
      <c r="R26" s="141">
        <v>0.12390294269488901</v>
      </c>
      <c r="S26" s="71">
        <v>0.12390294269488901</v>
      </c>
      <c r="T26" s="71">
        <v>0.12390294269488901</v>
      </c>
      <c r="U26" s="71">
        <v>0</v>
      </c>
      <c r="V26" s="71">
        <v>2.1485573971761818E-2</v>
      </c>
      <c r="W26" s="71">
        <v>2.1485573971761818E-2</v>
      </c>
      <c r="X26" s="72">
        <v>2.1485573971761818E-2</v>
      </c>
      <c r="Y26" s="73" t="s">
        <v>645</v>
      </c>
      <c r="Z26" s="74">
        <v>83.051964911755832</v>
      </c>
      <c r="AA26" s="74">
        <v>30.647762345679013</v>
      </c>
      <c r="AB26" s="74">
        <v>0.15555555555555556</v>
      </c>
      <c r="AC26" s="74">
        <v>4.9444444444444446</v>
      </c>
      <c r="AD26" s="74">
        <v>41</v>
      </c>
      <c r="AE26" s="74">
        <v>2.57</v>
      </c>
      <c r="AF26" s="75">
        <v>27.4</v>
      </c>
      <c r="AG26" s="142">
        <v>1</v>
      </c>
      <c r="AH26" s="78">
        <v>2</v>
      </c>
      <c r="AI26" s="78">
        <v>0</v>
      </c>
      <c r="AJ26" s="78">
        <v>0</v>
      </c>
      <c r="AK26" s="78">
        <v>1</v>
      </c>
      <c r="AL26" s="215">
        <v>1</v>
      </c>
      <c r="AM26" s="78">
        <v>0</v>
      </c>
      <c r="AN26" s="78">
        <v>0</v>
      </c>
      <c r="AO26" s="78">
        <v>1</v>
      </c>
      <c r="AP26" s="79">
        <v>1</v>
      </c>
      <c r="AQ26" s="80"/>
      <c r="AR26" s="81">
        <v>1</v>
      </c>
      <c r="AS26" s="81"/>
      <c r="AT26" s="81"/>
      <c r="AU26" s="81"/>
      <c r="AV26" s="81"/>
      <c r="AW26" s="81"/>
      <c r="AX26" s="81"/>
      <c r="AY26" s="81"/>
      <c r="AZ26" s="81"/>
      <c r="BA26" s="81"/>
      <c r="BB26" s="81">
        <v>1</v>
      </c>
      <c r="BC26" s="81"/>
      <c r="BD26" s="81"/>
      <c r="BE26" s="83"/>
      <c r="BF26" s="80">
        <v>336</v>
      </c>
      <c r="BG26" s="81">
        <v>2633.7999999999997</v>
      </c>
      <c r="BH26" s="81">
        <v>8</v>
      </c>
      <c r="BI26" s="81"/>
      <c r="BJ26" s="81">
        <v>62</v>
      </c>
      <c r="BK26" s="81"/>
      <c r="BL26" s="81"/>
      <c r="BM26" s="81"/>
      <c r="BN26" s="81"/>
      <c r="BO26" s="81"/>
      <c r="BP26" s="81">
        <v>13</v>
      </c>
      <c r="BQ26" s="81">
        <v>1982.5</v>
      </c>
      <c r="BR26" s="81">
        <v>3</v>
      </c>
      <c r="BS26" s="81">
        <v>1</v>
      </c>
      <c r="BT26" s="83"/>
      <c r="BU26" s="80">
        <v>464</v>
      </c>
      <c r="BV26" s="81">
        <v>2084.3999999999996</v>
      </c>
      <c r="BW26" s="81">
        <v>6</v>
      </c>
      <c r="BX26" s="81"/>
      <c r="BY26" s="81">
        <v>82</v>
      </c>
      <c r="BZ26" s="81"/>
      <c r="CA26" s="143"/>
      <c r="CB26" s="144"/>
      <c r="CC26" s="82"/>
      <c r="CD26" s="144"/>
      <c r="CE26" s="81">
        <v>21</v>
      </c>
      <c r="CF26" s="81">
        <v>2406</v>
      </c>
      <c r="CG26" s="81">
        <v>3</v>
      </c>
      <c r="CH26" s="81">
        <v>0</v>
      </c>
      <c r="CI26" s="83"/>
      <c r="CJ26" s="145">
        <v>310</v>
      </c>
      <c r="CK26" s="81">
        <v>2427.6000000000004</v>
      </c>
      <c r="CL26" s="81">
        <v>7</v>
      </c>
      <c r="CM26" s="81"/>
      <c r="CN26" s="81">
        <v>68</v>
      </c>
      <c r="CO26" s="81"/>
      <c r="CP26" s="82">
        <v>4.5588235294117645</v>
      </c>
      <c r="CQ26" s="81"/>
      <c r="CR26" s="82"/>
      <c r="CS26" s="81"/>
      <c r="CT26" s="81">
        <v>0</v>
      </c>
      <c r="CU26" s="81">
        <v>3012</v>
      </c>
      <c r="CV26" s="81">
        <v>1</v>
      </c>
      <c r="CW26" s="81">
        <v>0</v>
      </c>
      <c r="CX26" s="83"/>
      <c r="CY26" s="145">
        <v>445</v>
      </c>
      <c r="CZ26" s="146">
        <v>2245</v>
      </c>
      <c r="DA26" s="146">
        <v>6</v>
      </c>
      <c r="DB26" s="146">
        <v>19</v>
      </c>
      <c r="DC26" s="146">
        <v>90</v>
      </c>
      <c r="DD26" s="146">
        <v>14</v>
      </c>
      <c r="DE26" s="147">
        <v>4.9444444444444446</v>
      </c>
      <c r="DF26" s="147">
        <v>41</v>
      </c>
      <c r="DG26" s="147">
        <v>2.57</v>
      </c>
      <c r="DH26" s="147">
        <v>27.4</v>
      </c>
      <c r="DI26" s="146">
        <v>35</v>
      </c>
      <c r="DJ26" s="146">
        <v>1629</v>
      </c>
      <c r="DK26" s="146">
        <v>4</v>
      </c>
      <c r="DL26" s="146">
        <v>0</v>
      </c>
      <c r="DM26" s="148">
        <v>13</v>
      </c>
    </row>
    <row r="27" spans="1:117" ht="15.75" customHeight="1" x14ac:dyDescent="0.2"/>
    <row r="28" spans="1:117" ht="15.75" customHeight="1" x14ac:dyDescent="0.2"/>
    <row r="29" spans="1:117" ht="15.75" customHeight="1" x14ac:dyDescent="0.2"/>
    <row r="30" spans="1:117" ht="15.75" customHeight="1" x14ac:dyDescent="0.2"/>
    <row r="31" spans="1:117" ht="15.75" customHeight="1" x14ac:dyDescent="0.2"/>
    <row r="32" spans="1:117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2:DM2" xr:uid="{00000000-0009-0000-0000-000005000000}">
    <sortState xmlns:xlrd2="http://schemas.microsoft.com/office/spreadsheetml/2017/richdata2" ref="A3:DM26">
      <sortCondition ref="A2"/>
    </sortState>
  </autoFilter>
  <mergeCells count="10">
    <mergeCell ref="BU1:CI1"/>
    <mergeCell ref="CJ1:CX1"/>
    <mergeCell ref="CY1:DM1"/>
    <mergeCell ref="A1:C1"/>
    <mergeCell ref="D1:M1"/>
    <mergeCell ref="N1:X1"/>
    <mergeCell ref="Y1:AF1"/>
    <mergeCell ref="AG1:AP1"/>
    <mergeCell ref="AQ1:BE1"/>
    <mergeCell ref="BF1:BT1"/>
  </mergeCells>
  <conditionalFormatting sqref="B3:B26">
    <cfRule type="expression" dxfId="159" priority="1" stopIfTrue="1">
      <formula>C3&gt;=13</formula>
    </cfRule>
    <cfRule type="expression" dxfId="158" priority="2">
      <formula>AND(C3&gt;=12,C3&lt;13)</formula>
    </cfRule>
    <cfRule type="expression" dxfId="157" priority="3" stopIfTrue="1">
      <formula>AND(C3&gt;=11,C3&lt;12)</formula>
    </cfRule>
    <cfRule type="expression" dxfId="156" priority="4">
      <formula>AND(C3&gt;=9,C3&lt;11)</formula>
    </cfRule>
    <cfRule type="expression" dxfId="155" priority="5">
      <formula>AND(C3&gt;=7,C3&lt;9)</formula>
    </cfRule>
    <cfRule type="expression" dxfId="154" priority="6" stopIfTrue="1">
      <formula>AND(C3&gt;=6,C3&lt;7)</formula>
    </cfRule>
    <cfRule type="expression" dxfId="153" priority="7" stopIfTrue="1">
      <formula>AND(C3&gt;=5,C3&lt;6)</formula>
    </cfRule>
    <cfRule type="expression" dxfId="152" priority="8">
      <formula>C3&lt;5</formula>
    </cfRule>
  </conditionalFormatting>
  <conditionalFormatting sqref="C3:C2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H26">
    <cfRule type="containsText" dxfId="151" priority="9" operator="containsText" text="SR">
      <formula>NOT(ISERROR(SEARCH(("SR"),(H3))))</formula>
    </cfRule>
  </conditionalFormatting>
  <conditionalFormatting sqref="N3:R26">
    <cfRule type="cellIs" dxfId="150" priority="10" stopIfTrue="1" operator="between">
      <formula>0.15</formula>
      <formula>0.1999</formula>
    </cfRule>
    <cfRule type="cellIs" dxfId="149" priority="11" operator="equal">
      <formula>0</formula>
    </cfRule>
    <cfRule type="colorScale" priority="12">
      <colorScale>
        <cfvo type="formula" val="0.1899"/>
        <cfvo type="formula" val="0.2"/>
        <cfvo type="formula" val="0.4"/>
        <color rgb="FFFACACA"/>
        <color rgb="FFC0E399"/>
        <color rgb="FF63BE7B"/>
      </colorScale>
    </cfRule>
  </conditionalFormatting>
  <conditionalFormatting sqref="S3:T26">
    <cfRule type="colorScale" priority="13">
      <colorScale>
        <cfvo type="formula" val="0.1499"/>
        <cfvo type="formula" val="0.15"/>
        <cfvo type="formula" val="0.4"/>
        <color rgb="FFFACACA"/>
        <color rgb="FFCEF9B9"/>
        <color rgb="FF00B050"/>
      </colorScale>
    </cfRule>
  </conditionalFormatting>
  <conditionalFormatting sqref="U3:V2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:W2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:X2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S1000"/>
  <sheetViews>
    <sheetView zoomScale="80" zoomScaleNormal="80" workbookViewId="0">
      <selection activeCell="Y6" sqref="Y6"/>
    </sheetView>
  </sheetViews>
  <sheetFormatPr baseColWidth="10" defaultColWidth="14.5" defaultRowHeight="15" customHeight="1" x14ac:dyDescent="0.2"/>
  <cols>
    <col min="1" max="1" width="8.5" customWidth="1"/>
    <col min="2" max="2" width="22.83203125" customWidth="1"/>
    <col min="3" max="3" width="12" customWidth="1"/>
    <col min="4" max="4" width="17.5" customWidth="1"/>
    <col min="5" max="5" width="10.83203125" customWidth="1"/>
    <col min="6" max="6" width="11.5" customWidth="1"/>
    <col min="7" max="7" width="7.5" customWidth="1"/>
    <col min="8" max="8" width="8" customWidth="1"/>
    <col min="9" max="9" width="12.6640625" customWidth="1"/>
    <col min="10" max="10" width="10" customWidth="1"/>
    <col min="11" max="11" width="10.5" customWidth="1"/>
    <col min="12" max="12" width="11.33203125" customWidth="1"/>
    <col min="13" max="13" width="12.5" customWidth="1"/>
    <col min="14" max="20" width="9.83203125" customWidth="1"/>
    <col min="21" max="22" width="11" customWidth="1"/>
    <col min="23" max="23" width="10" customWidth="1"/>
    <col min="24" max="24" width="11" customWidth="1"/>
    <col min="25" max="25" width="9.33203125" customWidth="1"/>
    <col min="26" max="26" width="9.5" customWidth="1"/>
    <col min="27" max="27" width="7.6640625" customWidth="1"/>
    <col min="28" max="28" width="10.1640625" customWidth="1"/>
    <col min="29" max="29" width="7.33203125" customWidth="1"/>
    <col min="30" max="30" width="7.5" customWidth="1"/>
    <col min="31" max="31" width="9.83203125" customWidth="1"/>
    <col min="32" max="32" width="11.5" customWidth="1"/>
    <col min="33" max="33" width="10.83203125" customWidth="1"/>
    <col min="34" max="34" width="11" customWidth="1"/>
    <col min="35" max="35" width="10.33203125" customWidth="1"/>
    <col min="36" max="36" width="10.5" customWidth="1"/>
    <col min="37" max="37" width="10.1640625" customWidth="1"/>
    <col min="38" max="39" width="8.5" customWidth="1"/>
    <col min="40" max="40" width="10.83203125" customWidth="1"/>
    <col min="41" max="41" width="7.6640625" customWidth="1"/>
    <col min="42" max="42" width="9.5" customWidth="1"/>
    <col min="43" max="43" width="12" customWidth="1"/>
    <col min="44" max="44" width="12.6640625" customWidth="1"/>
    <col min="45" max="45" width="12.33203125" customWidth="1"/>
    <col min="46" max="46" width="12.1640625" customWidth="1"/>
    <col min="47" max="47" width="6.6640625" customWidth="1"/>
    <col min="48" max="48" width="8" customWidth="1"/>
    <col min="49" max="49" width="7.33203125" customWidth="1"/>
    <col min="50" max="50" width="7.5" customWidth="1"/>
    <col min="51" max="51" width="9.83203125" customWidth="1"/>
    <col min="52" max="52" width="11.5" customWidth="1"/>
    <col min="53" max="53" width="10.83203125" customWidth="1"/>
    <col min="54" max="54" width="12.6640625" customWidth="1"/>
    <col min="55" max="55" width="8.1640625" customWidth="1"/>
    <col min="56" max="56" width="11.33203125" customWidth="1"/>
    <col min="57" max="57" width="13" customWidth="1"/>
    <col min="58" max="58" width="12" customWidth="1"/>
    <col min="59" max="59" width="12.6640625" customWidth="1"/>
    <col min="60" max="60" width="12.33203125" customWidth="1"/>
    <col min="61" max="61" width="12.1640625" customWidth="1"/>
    <col min="62" max="62" width="6.6640625" customWidth="1"/>
    <col min="63" max="63" width="8" customWidth="1"/>
    <col min="64" max="64" width="7.33203125" customWidth="1"/>
    <col min="65" max="65" width="7.5" customWidth="1"/>
    <col min="66" max="66" width="9.83203125" customWidth="1"/>
    <col min="67" max="67" width="11.5" customWidth="1"/>
    <col min="68" max="68" width="10.83203125" customWidth="1"/>
    <col min="69" max="69" width="12.6640625" customWidth="1"/>
    <col min="70" max="70" width="8.1640625" customWidth="1"/>
    <col min="71" max="71" width="11.33203125" customWidth="1"/>
    <col min="72" max="72" width="13" customWidth="1"/>
    <col min="73" max="73" width="12" customWidth="1"/>
    <col min="74" max="74" width="12.6640625" customWidth="1"/>
    <col min="75" max="75" width="12.33203125" customWidth="1"/>
    <col min="76" max="76" width="12.1640625" customWidth="1"/>
    <col min="77" max="77" width="6.6640625" customWidth="1"/>
    <col min="78" max="78" width="8" customWidth="1"/>
    <col min="79" max="79" width="7.33203125" customWidth="1"/>
    <col min="80" max="80" width="7.5" customWidth="1"/>
    <col min="81" max="81" width="9.83203125" customWidth="1"/>
    <col min="82" max="82" width="11.5" customWidth="1"/>
    <col min="83" max="83" width="10.83203125" customWidth="1"/>
    <col min="84" max="84" width="12.6640625" customWidth="1"/>
    <col min="85" max="85" width="8.1640625" customWidth="1"/>
    <col min="86" max="86" width="11.33203125" customWidth="1"/>
    <col min="87" max="87" width="13" customWidth="1"/>
    <col min="88" max="88" width="12" customWidth="1"/>
    <col min="89" max="89" width="12.6640625" customWidth="1"/>
    <col min="90" max="90" width="12.33203125" customWidth="1"/>
    <col min="91" max="91" width="12.1640625" customWidth="1"/>
    <col min="92" max="92" width="6.6640625" customWidth="1"/>
    <col min="93" max="93" width="8" customWidth="1"/>
    <col min="94" max="94" width="7.33203125" customWidth="1"/>
    <col min="95" max="95" width="7.5" customWidth="1"/>
    <col min="96" max="96" width="9.83203125" customWidth="1"/>
    <col min="97" max="97" width="11.5" customWidth="1"/>
    <col min="98" max="98" width="10.83203125" customWidth="1"/>
    <col min="99" max="99" width="12.6640625" customWidth="1"/>
    <col min="100" max="100" width="8.1640625" customWidth="1"/>
    <col min="101" max="101" width="11.33203125" customWidth="1"/>
    <col min="102" max="102" width="13" customWidth="1"/>
    <col min="103" max="103" width="12" customWidth="1"/>
    <col min="104" max="104" width="12.6640625" customWidth="1"/>
    <col min="105" max="105" width="12.33203125" customWidth="1"/>
    <col min="106" max="106" width="12.1640625" customWidth="1"/>
    <col min="107" max="107" width="6.6640625" customWidth="1"/>
    <col min="108" max="108" width="8" customWidth="1"/>
    <col min="109" max="109" width="7.33203125" customWidth="1"/>
    <col min="110" max="110" width="7.5" customWidth="1"/>
    <col min="111" max="111" width="9.83203125" customWidth="1"/>
    <col min="112" max="113" width="10.83203125" customWidth="1"/>
    <col min="114" max="114" width="12.6640625" customWidth="1"/>
    <col min="115" max="115" width="8.1640625" customWidth="1"/>
    <col min="116" max="116" width="11.33203125" customWidth="1"/>
    <col min="117" max="117" width="13" customWidth="1"/>
    <col min="118" max="118" width="8" customWidth="1"/>
    <col min="119" max="119" width="3.5" customWidth="1"/>
    <col min="120" max="120" width="16.5" customWidth="1"/>
    <col min="121" max="121" width="11" customWidth="1"/>
    <col min="122" max="122" width="14.5" customWidth="1"/>
    <col min="123" max="123" width="10.5" customWidth="1"/>
  </cols>
  <sheetData>
    <row r="1" spans="1:123" x14ac:dyDescent="0.2">
      <c r="A1" s="259"/>
      <c r="B1" s="251"/>
      <c r="C1" s="253"/>
      <c r="D1" s="254" t="s">
        <v>156</v>
      </c>
      <c r="E1" s="251"/>
      <c r="F1" s="251"/>
      <c r="G1" s="251"/>
      <c r="H1" s="251"/>
      <c r="I1" s="251"/>
      <c r="J1" s="251"/>
      <c r="K1" s="251"/>
      <c r="L1" s="251"/>
      <c r="M1" s="253"/>
      <c r="N1" s="255" t="s">
        <v>157</v>
      </c>
      <c r="O1" s="251"/>
      <c r="P1" s="251"/>
      <c r="Q1" s="251"/>
      <c r="R1" s="251"/>
      <c r="S1" s="251"/>
      <c r="T1" s="251"/>
      <c r="U1" s="251"/>
      <c r="V1" s="251"/>
      <c r="W1" s="251"/>
      <c r="X1" s="253"/>
      <c r="Y1" s="256" t="s">
        <v>158</v>
      </c>
      <c r="Z1" s="251"/>
      <c r="AA1" s="251"/>
      <c r="AB1" s="251"/>
      <c r="AC1" s="251"/>
      <c r="AD1" s="251"/>
      <c r="AE1" s="251"/>
      <c r="AF1" s="253"/>
      <c r="AG1" s="260" t="s">
        <v>159</v>
      </c>
      <c r="AH1" s="251"/>
      <c r="AI1" s="251"/>
      <c r="AJ1" s="251"/>
      <c r="AK1" s="251"/>
      <c r="AL1" s="251"/>
      <c r="AM1" s="251"/>
      <c r="AN1" s="251"/>
      <c r="AO1" s="251"/>
      <c r="AP1" s="253"/>
      <c r="AQ1" s="247" t="s">
        <v>374</v>
      </c>
      <c r="AR1" s="248"/>
      <c r="AS1" s="248"/>
      <c r="AT1" s="248"/>
      <c r="AU1" s="248"/>
      <c r="AV1" s="248"/>
      <c r="AW1" s="248"/>
      <c r="AX1" s="248"/>
      <c r="AY1" s="248"/>
      <c r="AZ1" s="248"/>
      <c r="BA1" s="248"/>
      <c r="BB1" s="248"/>
      <c r="BC1" s="248"/>
      <c r="BD1" s="248"/>
      <c r="BE1" s="249"/>
      <c r="BF1" s="247" t="s">
        <v>375</v>
      </c>
      <c r="BG1" s="248"/>
      <c r="BH1" s="248"/>
      <c r="BI1" s="248"/>
      <c r="BJ1" s="248"/>
      <c r="BK1" s="248"/>
      <c r="BL1" s="248"/>
      <c r="BM1" s="248"/>
      <c r="BN1" s="248"/>
      <c r="BO1" s="248"/>
      <c r="BP1" s="248"/>
      <c r="BQ1" s="248"/>
      <c r="BR1" s="248"/>
      <c r="BS1" s="248"/>
      <c r="BT1" s="249"/>
      <c r="BU1" s="247" t="s">
        <v>376</v>
      </c>
      <c r="BV1" s="248"/>
      <c r="BW1" s="248"/>
      <c r="BX1" s="248"/>
      <c r="BY1" s="248"/>
      <c r="BZ1" s="248"/>
      <c r="CA1" s="248"/>
      <c r="CB1" s="248"/>
      <c r="CC1" s="248"/>
      <c r="CD1" s="248"/>
      <c r="CE1" s="248"/>
      <c r="CF1" s="248"/>
      <c r="CG1" s="248"/>
      <c r="CH1" s="248"/>
      <c r="CI1" s="249"/>
      <c r="CJ1" s="247" t="s">
        <v>377</v>
      </c>
      <c r="CK1" s="248"/>
      <c r="CL1" s="248"/>
      <c r="CM1" s="248"/>
      <c r="CN1" s="248"/>
      <c r="CO1" s="248"/>
      <c r="CP1" s="248"/>
      <c r="CQ1" s="248"/>
      <c r="CR1" s="248"/>
      <c r="CS1" s="248"/>
      <c r="CT1" s="248"/>
      <c r="CU1" s="248"/>
      <c r="CV1" s="248"/>
      <c r="CW1" s="248"/>
      <c r="CX1" s="249"/>
      <c r="CY1" s="247" t="s">
        <v>443</v>
      </c>
      <c r="CZ1" s="248"/>
      <c r="DA1" s="248"/>
      <c r="DB1" s="248"/>
      <c r="DC1" s="248"/>
      <c r="DD1" s="248"/>
      <c r="DE1" s="248"/>
      <c r="DF1" s="248"/>
      <c r="DG1" s="248"/>
      <c r="DH1" s="248"/>
      <c r="DI1" s="248"/>
      <c r="DJ1" s="248"/>
      <c r="DK1" s="248"/>
      <c r="DL1" s="248"/>
      <c r="DM1" s="249"/>
      <c r="DN1" s="114"/>
      <c r="DO1" s="11"/>
    </row>
    <row r="2" spans="1:123" ht="16" thickBot="1" x14ac:dyDescent="0.25">
      <c r="A2" s="15" t="s">
        <v>56</v>
      </c>
      <c r="B2" s="16" t="s">
        <v>58</v>
      </c>
      <c r="C2" s="17" t="s">
        <v>2</v>
      </c>
      <c r="D2" s="115" t="s">
        <v>168</v>
      </c>
      <c r="E2" s="19" t="s">
        <v>24</v>
      </c>
      <c r="F2" s="19" t="s">
        <v>28</v>
      </c>
      <c r="G2" s="19" t="s">
        <v>30</v>
      </c>
      <c r="H2" s="19" t="s">
        <v>57</v>
      </c>
      <c r="I2" s="19" t="s">
        <v>34</v>
      </c>
      <c r="J2" s="19" t="s">
        <v>170</v>
      </c>
      <c r="K2" s="19" t="s">
        <v>171</v>
      </c>
      <c r="L2" s="19" t="s">
        <v>172</v>
      </c>
      <c r="M2" s="20" t="s">
        <v>22</v>
      </c>
      <c r="N2" s="21" t="s">
        <v>36</v>
      </c>
      <c r="O2" s="22" t="s">
        <v>38</v>
      </c>
      <c r="P2" s="22" t="s">
        <v>40</v>
      </c>
      <c r="Q2" s="22" t="s">
        <v>42</v>
      </c>
      <c r="R2" s="22" t="s">
        <v>44</v>
      </c>
      <c r="S2" s="22" t="s">
        <v>18</v>
      </c>
      <c r="T2" s="22" t="s">
        <v>20</v>
      </c>
      <c r="U2" s="22" t="s">
        <v>173</v>
      </c>
      <c r="V2" s="22" t="s">
        <v>174</v>
      </c>
      <c r="W2" s="22" t="s">
        <v>175</v>
      </c>
      <c r="X2" s="23" t="s">
        <v>176</v>
      </c>
      <c r="Y2" s="24" t="s">
        <v>177</v>
      </c>
      <c r="Z2" s="25" t="s">
        <v>178</v>
      </c>
      <c r="AA2" s="25" t="s">
        <v>179</v>
      </c>
      <c r="AB2" s="25" t="s">
        <v>180</v>
      </c>
      <c r="AC2" s="25" t="s">
        <v>8</v>
      </c>
      <c r="AD2" s="25" t="s">
        <v>12</v>
      </c>
      <c r="AE2" s="25" t="s">
        <v>10</v>
      </c>
      <c r="AF2" s="26" t="s">
        <v>14</v>
      </c>
      <c r="AG2" s="27" t="s">
        <v>183</v>
      </c>
      <c r="AH2" s="28" t="s">
        <v>176</v>
      </c>
      <c r="AI2" s="28" t="s">
        <v>185</v>
      </c>
      <c r="AJ2" s="28" t="s">
        <v>186</v>
      </c>
      <c r="AK2" s="28" t="s">
        <v>180</v>
      </c>
      <c r="AL2" s="28" t="s">
        <v>187</v>
      </c>
      <c r="AM2" s="28" t="s">
        <v>188</v>
      </c>
      <c r="AN2" s="28" t="s">
        <v>189</v>
      </c>
      <c r="AO2" s="28" t="s">
        <v>26</v>
      </c>
      <c r="AP2" s="29" t="s">
        <v>16</v>
      </c>
      <c r="AQ2" s="30" t="s">
        <v>190</v>
      </c>
      <c r="AR2" s="31" t="s">
        <v>191</v>
      </c>
      <c r="AS2" s="31" t="s">
        <v>192</v>
      </c>
      <c r="AT2" s="31" t="s">
        <v>193</v>
      </c>
      <c r="AU2" s="31" t="s">
        <v>194</v>
      </c>
      <c r="AV2" s="31" t="s">
        <v>195</v>
      </c>
      <c r="AW2" s="31" t="s">
        <v>8</v>
      </c>
      <c r="AX2" s="31" t="s">
        <v>12</v>
      </c>
      <c r="AY2" s="31" t="s">
        <v>10</v>
      </c>
      <c r="AZ2" s="31" t="s">
        <v>14</v>
      </c>
      <c r="BA2" s="31" t="s">
        <v>196</v>
      </c>
      <c r="BB2" s="31" t="s">
        <v>191</v>
      </c>
      <c r="BC2" s="31" t="s">
        <v>197</v>
      </c>
      <c r="BD2" s="31" t="s">
        <v>198</v>
      </c>
      <c r="BE2" s="32" t="s">
        <v>199</v>
      </c>
      <c r="BF2" s="30" t="s">
        <v>190</v>
      </c>
      <c r="BG2" s="31" t="s">
        <v>191</v>
      </c>
      <c r="BH2" s="31" t="s">
        <v>192</v>
      </c>
      <c r="BI2" s="31" t="s">
        <v>193</v>
      </c>
      <c r="BJ2" s="31" t="s">
        <v>194</v>
      </c>
      <c r="BK2" s="31" t="s">
        <v>195</v>
      </c>
      <c r="BL2" s="31" t="s">
        <v>8</v>
      </c>
      <c r="BM2" s="31" t="s">
        <v>12</v>
      </c>
      <c r="BN2" s="31" t="s">
        <v>10</v>
      </c>
      <c r="BO2" s="31" t="s">
        <v>14</v>
      </c>
      <c r="BP2" s="31" t="s">
        <v>196</v>
      </c>
      <c r="BQ2" s="31" t="s">
        <v>191</v>
      </c>
      <c r="BR2" s="31" t="s">
        <v>197</v>
      </c>
      <c r="BS2" s="31" t="s">
        <v>198</v>
      </c>
      <c r="BT2" s="32" t="s">
        <v>199</v>
      </c>
      <c r="BU2" s="30" t="s">
        <v>190</v>
      </c>
      <c r="BV2" s="31" t="s">
        <v>191</v>
      </c>
      <c r="BW2" s="31" t="s">
        <v>192</v>
      </c>
      <c r="BX2" s="31" t="s">
        <v>193</v>
      </c>
      <c r="BY2" s="31" t="s">
        <v>194</v>
      </c>
      <c r="BZ2" s="31" t="s">
        <v>195</v>
      </c>
      <c r="CA2" s="31" t="s">
        <v>8</v>
      </c>
      <c r="CB2" s="31" t="s">
        <v>12</v>
      </c>
      <c r="CC2" s="31" t="s">
        <v>10</v>
      </c>
      <c r="CD2" s="31" t="s">
        <v>14</v>
      </c>
      <c r="CE2" s="31" t="s">
        <v>196</v>
      </c>
      <c r="CF2" s="31" t="s">
        <v>191</v>
      </c>
      <c r="CG2" s="31" t="s">
        <v>197</v>
      </c>
      <c r="CH2" s="31" t="s">
        <v>198</v>
      </c>
      <c r="CI2" s="32" t="s">
        <v>199</v>
      </c>
      <c r="CJ2" s="30" t="s">
        <v>190</v>
      </c>
      <c r="CK2" s="31" t="s">
        <v>191</v>
      </c>
      <c r="CL2" s="31" t="s">
        <v>192</v>
      </c>
      <c r="CM2" s="31" t="s">
        <v>193</v>
      </c>
      <c r="CN2" s="31" t="s">
        <v>194</v>
      </c>
      <c r="CO2" s="31" t="s">
        <v>195</v>
      </c>
      <c r="CP2" s="31" t="s">
        <v>8</v>
      </c>
      <c r="CQ2" s="31" t="s">
        <v>12</v>
      </c>
      <c r="CR2" s="31" t="s">
        <v>10</v>
      </c>
      <c r="CS2" s="31" t="s">
        <v>14</v>
      </c>
      <c r="CT2" s="31" t="s">
        <v>196</v>
      </c>
      <c r="CU2" s="31" t="s">
        <v>191</v>
      </c>
      <c r="CV2" s="31" t="s">
        <v>197</v>
      </c>
      <c r="CW2" s="31" t="s">
        <v>198</v>
      </c>
      <c r="CX2" s="32" t="s">
        <v>199</v>
      </c>
      <c r="CY2" s="30" t="s">
        <v>190</v>
      </c>
      <c r="CZ2" s="31" t="s">
        <v>191</v>
      </c>
      <c r="DA2" s="31" t="s">
        <v>192</v>
      </c>
      <c r="DB2" s="31" t="s">
        <v>193</v>
      </c>
      <c r="DC2" s="31" t="s">
        <v>194</v>
      </c>
      <c r="DD2" s="31" t="s">
        <v>195</v>
      </c>
      <c r="DE2" s="31" t="s">
        <v>8</v>
      </c>
      <c r="DF2" s="31" t="s">
        <v>12</v>
      </c>
      <c r="DG2" s="31" t="s">
        <v>10</v>
      </c>
      <c r="DH2" s="31" t="s">
        <v>378</v>
      </c>
      <c r="DI2" s="31" t="s">
        <v>196</v>
      </c>
      <c r="DJ2" s="31" t="s">
        <v>191</v>
      </c>
      <c r="DK2" s="31" t="s">
        <v>197</v>
      </c>
      <c r="DL2" s="31" t="s">
        <v>198</v>
      </c>
      <c r="DM2" s="32" t="s">
        <v>199</v>
      </c>
      <c r="DN2" s="34"/>
      <c r="DO2" s="34"/>
      <c r="DP2" s="34" t="s">
        <v>379</v>
      </c>
      <c r="DQ2" s="34" t="s">
        <v>380</v>
      </c>
      <c r="DR2" s="34" t="s">
        <v>381</v>
      </c>
      <c r="DS2" s="34" t="s">
        <v>382</v>
      </c>
    </row>
    <row r="3" spans="1:123" x14ac:dyDescent="0.2">
      <c r="A3" s="33">
        <v>1</v>
      </c>
      <c r="B3" s="34" t="s">
        <v>444</v>
      </c>
      <c r="C3" s="116">
        <v>13.611111111111111</v>
      </c>
      <c r="D3" s="117" t="s">
        <v>445</v>
      </c>
      <c r="E3" s="37">
        <v>2</v>
      </c>
      <c r="F3" s="118">
        <v>34902</v>
      </c>
      <c r="G3" s="119">
        <v>30.205479452054796</v>
      </c>
      <c r="H3" s="39" t="s">
        <v>385</v>
      </c>
      <c r="I3" s="119">
        <v>20.780821917808218</v>
      </c>
      <c r="J3" s="120">
        <v>72</v>
      </c>
      <c r="K3" s="120">
        <v>225</v>
      </c>
      <c r="L3" s="120">
        <v>4.47</v>
      </c>
      <c r="M3" s="55">
        <v>1</v>
      </c>
      <c r="N3" s="121">
        <v>0</v>
      </c>
      <c r="O3" s="122">
        <v>0</v>
      </c>
      <c r="P3" s="122">
        <v>7.9535623587196153E-2</v>
      </c>
      <c r="Q3" s="122">
        <v>0.27234818868908001</v>
      </c>
      <c r="R3" s="122">
        <v>0.35865539666507185</v>
      </c>
      <c r="S3" s="42">
        <v>0.35865539666507185</v>
      </c>
      <c r="T3" s="42">
        <v>0.35865539666507185</v>
      </c>
      <c r="U3" s="42">
        <v>5.5847834884662079E-2</v>
      </c>
      <c r="V3" s="42">
        <v>7.9449152542372878E-2</v>
      </c>
      <c r="W3" s="42">
        <v>7.9449152542372878E-2</v>
      </c>
      <c r="X3" s="43">
        <v>7.9449152542372878E-2</v>
      </c>
      <c r="Y3" s="44">
        <v>19.126027397260273</v>
      </c>
      <c r="Z3" s="45">
        <v>112.71518320084868</v>
      </c>
      <c r="AA3" s="45">
        <v>30.512152777777775</v>
      </c>
      <c r="AB3" s="149">
        <v>0.18213058419243985</v>
      </c>
      <c r="AC3" s="45">
        <v>6.8472727272727276</v>
      </c>
      <c r="AD3" s="45">
        <v>61.5</v>
      </c>
      <c r="AE3" s="45">
        <v>3.6</v>
      </c>
      <c r="AF3" s="46">
        <v>42.9</v>
      </c>
      <c r="AG3" s="128">
        <v>10</v>
      </c>
      <c r="AH3" s="49">
        <v>8</v>
      </c>
      <c r="AI3" s="49">
        <v>7</v>
      </c>
      <c r="AJ3" s="49">
        <v>9</v>
      </c>
      <c r="AK3" s="124">
        <v>5</v>
      </c>
      <c r="AL3" s="124">
        <v>7</v>
      </c>
      <c r="AM3" s="124">
        <v>4</v>
      </c>
      <c r="AN3" s="124">
        <v>5</v>
      </c>
      <c r="AO3" s="49">
        <v>10</v>
      </c>
      <c r="AP3" s="50">
        <v>1</v>
      </c>
      <c r="AQ3" s="51"/>
      <c r="AR3" s="52">
        <v>1</v>
      </c>
      <c r="AS3" s="52"/>
      <c r="AT3" s="52"/>
      <c r="AU3" s="52"/>
      <c r="AV3" s="52"/>
      <c r="AW3" s="52"/>
      <c r="AX3" s="52"/>
      <c r="AY3" s="52"/>
      <c r="AZ3" s="52"/>
      <c r="BA3" s="52"/>
      <c r="BB3" s="52">
        <v>1</v>
      </c>
      <c r="BC3" s="52"/>
      <c r="BD3" s="52"/>
      <c r="BE3" s="54"/>
      <c r="BF3" s="51"/>
      <c r="BG3" s="52">
        <v>1</v>
      </c>
      <c r="BH3" s="52"/>
      <c r="BI3" s="52"/>
      <c r="BJ3" s="52"/>
      <c r="BK3" s="52"/>
      <c r="BL3" s="52"/>
      <c r="BM3" s="52"/>
      <c r="BN3" s="52"/>
      <c r="BO3" s="52"/>
      <c r="BP3" s="52"/>
      <c r="BQ3" s="52">
        <v>1</v>
      </c>
      <c r="BR3" s="52"/>
      <c r="BS3" s="52"/>
      <c r="BT3" s="54"/>
      <c r="BU3" s="51">
        <v>262</v>
      </c>
      <c r="BV3" s="52">
        <v>2160.2000000000003</v>
      </c>
      <c r="BW3" s="52">
        <v>2</v>
      </c>
      <c r="BX3" s="52">
        <v>22.400000000000002</v>
      </c>
      <c r="BY3" s="52"/>
      <c r="BZ3" s="52"/>
      <c r="CA3" s="125"/>
      <c r="CB3" s="125"/>
      <c r="CC3" s="53"/>
      <c r="CD3" s="125"/>
      <c r="CE3" s="52">
        <v>23</v>
      </c>
      <c r="CF3" s="52">
        <v>1423.1000000000001</v>
      </c>
      <c r="CG3" s="52">
        <v>3</v>
      </c>
      <c r="CH3" s="52">
        <v>1</v>
      </c>
      <c r="CI3" s="54">
        <v>19</v>
      </c>
      <c r="CJ3" s="51">
        <v>1883</v>
      </c>
      <c r="CK3" s="52">
        <v>3967.5</v>
      </c>
      <c r="CL3" s="52">
        <v>18</v>
      </c>
      <c r="CM3" s="52">
        <v>40.5</v>
      </c>
      <c r="CN3" s="52">
        <v>275</v>
      </c>
      <c r="CO3" s="52">
        <v>41</v>
      </c>
      <c r="CP3" s="52">
        <v>6.8472727272727276</v>
      </c>
      <c r="CQ3" s="52">
        <v>58.5</v>
      </c>
      <c r="CR3" s="53">
        <v>3.6</v>
      </c>
      <c r="CS3" s="52">
        <v>42.9</v>
      </c>
      <c r="CT3" s="52">
        <v>207</v>
      </c>
      <c r="CU3" s="52">
        <v>3706.5</v>
      </c>
      <c r="CV3" s="52">
        <v>26</v>
      </c>
      <c r="CW3" s="52">
        <v>0</v>
      </c>
      <c r="CX3" s="54">
        <v>42</v>
      </c>
      <c r="CY3" s="51">
        <v>1829</v>
      </c>
      <c r="CZ3" s="52">
        <v>3188.9</v>
      </c>
      <c r="DA3" s="52">
        <v>23</v>
      </c>
      <c r="DB3" s="52">
        <v>39</v>
      </c>
      <c r="DC3" s="52">
        <v>291</v>
      </c>
      <c r="DD3" s="52">
        <v>53</v>
      </c>
      <c r="DE3" s="52">
        <v>6.2852233676975944</v>
      </c>
      <c r="DF3" s="52">
        <v>61.5</v>
      </c>
      <c r="DG3" s="52">
        <v>3.54</v>
      </c>
      <c r="DH3" s="52">
        <v>41</v>
      </c>
      <c r="DI3" s="52">
        <v>195</v>
      </c>
      <c r="DJ3" s="52">
        <v>2454.4</v>
      </c>
      <c r="DK3" s="52">
        <v>26</v>
      </c>
      <c r="DL3" s="52">
        <v>0</v>
      </c>
      <c r="DM3" s="54">
        <v>19.5</v>
      </c>
      <c r="DN3" s="126"/>
      <c r="DO3" s="11">
        <v>1</v>
      </c>
      <c r="DP3" s="42" t="s">
        <v>386</v>
      </c>
      <c r="DQ3" s="7">
        <v>1</v>
      </c>
      <c r="DR3" s="127">
        <v>40787</v>
      </c>
      <c r="DS3" s="127">
        <v>42487</v>
      </c>
    </row>
    <row r="4" spans="1:123" x14ac:dyDescent="0.2">
      <c r="A4" s="33">
        <v>2</v>
      </c>
      <c r="B4" s="34" t="s">
        <v>446</v>
      </c>
      <c r="C4" s="116">
        <v>11.5</v>
      </c>
      <c r="D4" s="117" t="s">
        <v>398</v>
      </c>
      <c r="E4" s="37">
        <v>1</v>
      </c>
      <c r="F4" s="118">
        <v>34338</v>
      </c>
      <c r="G4" s="119">
        <v>31.75068493150685</v>
      </c>
      <c r="H4" s="39" t="s">
        <v>385</v>
      </c>
      <c r="I4" s="119">
        <v>22.326027397260273</v>
      </c>
      <c r="J4" s="120">
        <v>75</v>
      </c>
      <c r="K4" s="120">
        <v>247</v>
      </c>
      <c r="L4" s="120">
        <v>4.54</v>
      </c>
      <c r="M4" s="55">
        <v>2</v>
      </c>
      <c r="N4" s="121">
        <v>0</v>
      </c>
      <c r="O4" s="122">
        <v>0</v>
      </c>
      <c r="P4" s="122">
        <v>9.7555604492402553E-2</v>
      </c>
      <c r="Q4" s="122">
        <v>0.16556096122659592</v>
      </c>
      <c r="R4" s="122">
        <v>0.3619047619047619</v>
      </c>
      <c r="S4" s="42">
        <v>0.3619047619047619</v>
      </c>
      <c r="T4" s="42">
        <v>0.3619047619047619</v>
      </c>
      <c r="U4" s="42">
        <v>3.4184958618207993E-2</v>
      </c>
      <c r="V4" s="42">
        <v>2.7300748568912372E-2</v>
      </c>
      <c r="W4" s="42">
        <v>3.0742853593560181E-2</v>
      </c>
      <c r="X4" s="43">
        <v>3.0742853593560181E-2</v>
      </c>
      <c r="Y4" s="44">
        <v>20.671232876712327</v>
      </c>
      <c r="Z4" s="45">
        <v>116.27960223846479</v>
      </c>
      <c r="AA4" s="45">
        <v>30.869511111111109</v>
      </c>
      <c r="AB4" s="45">
        <v>0.19191919191919191</v>
      </c>
      <c r="AC4" s="45">
        <v>5.7558139534883717</v>
      </c>
      <c r="AD4" s="45">
        <v>71.599999999999994</v>
      </c>
      <c r="AE4" s="45">
        <v>3.38</v>
      </c>
      <c r="AF4" s="46">
        <v>36.6</v>
      </c>
      <c r="AG4" s="128">
        <v>10</v>
      </c>
      <c r="AH4" s="49">
        <v>3</v>
      </c>
      <c r="AI4" s="49">
        <v>3</v>
      </c>
      <c r="AJ4" s="49">
        <v>10</v>
      </c>
      <c r="AK4" s="49">
        <v>5</v>
      </c>
      <c r="AL4" s="49">
        <v>3</v>
      </c>
      <c r="AM4" s="49">
        <v>5</v>
      </c>
      <c r="AN4" s="49">
        <v>4</v>
      </c>
      <c r="AO4" s="49">
        <v>7</v>
      </c>
      <c r="AP4" s="50">
        <v>2</v>
      </c>
      <c r="AQ4" s="56"/>
      <c r="AR4" s="57">
        <v>1</v>
      </c>
      <c r="AS4" s="57"/>
      <c r="AT4" s="57"/>
      <c r="AU4" s="57"/>
      <c r="AV4" s="57"/>
      <c r="AW4" s="57"/>
      <c r="AX4" s="57"/>
      <c r="AY4" s="57"/>
      <c r="AZ4" s="57"/>
      <c r="BA4" s="57"/>
      <c r="BB4" s="57">
        <v>1</v>
      </c>
      <c r="BC4" s="57"/>
      <c r="BD4" s="57"/>
      <c r="BE4" s="59"/>
      <c r="BF4" s="56"/>
      <c r="BG4" s="57">
        <v>1</v>
      </c>
      <c r="BH4" s="57"/>
      <c r="BI4" s="57"/>
      <c r="BJ4" s="57"/>
      <c r="BK4" s="57"/>
      <c r="BL4" s="57"/>
      <c r="BM4" s="57"/>
      <c r="BN4" s="57"/>
      <c r="BO4" s="57"/>
      <c r="BP4" s="57"/>
      <c r="BQ4" s="57">
        <v>1</v>
      </c>
      <c r="BR4" s="57"/>
      <c r="BS4" s="57"/>
      <c r="BT4" s="59"/>
      <c r="BU4" s="56">
        <v>382</v>
      </c>
      <c r="BV4" s="57">
        <v>2056</v>
      </c>
      <c r="BW4" s="57">
        <v>3</v>
      </c>
      <c r="BX4" s="57">
        <v>22</v>
      </c>
      <c r="BY4" s="57"/>
      <c r="BZ4" s="57"/>
      <c r="CA4" s="129"/>
      <c r="CB4" s="129"/>
      <c r="CC4" s="58"/>
      <c r="CD4" s="129"/>
      <c r="CE4" s="57">
        <v>61</v>
      </c>
      <c r="CF4" s="57">
        <v>2485</v>
      </c>
      <c r="CG4" s="57">
        <v>5</v>
      </c>
      <c r="CH4" s="57">
        <v>1</v>
      </c>
      <c r="CI4" s="59">
        <v>23</v>
      </c>
      <c r="CJ4" s="51">
        <v>990</v>
      </c>
      <c r="CK4" s="52">
        <v>2892.4</v>
      </c>
      <c r="CL4" s="52">
        <v>11</v>
      </c>
      <c r="CM4" s="52">
        <v>35</v>
      </c>
      <c r="CN4" s="52">
        <v>172</v>
      </c>
      <c r="CO4" s="52">
        <v>31</v>
      </c>
      <c r="CP4" s="52">
        <v>5.7558139534883717</v>
      </c>
      <c r="CQ4" s="52">
        <v>61.6</v>
      </c>
      <c r="CR4" s="53">
        <v>3.03</v>
      </c>
      <c r="CS4" s="52">
        <v>32.5</v>
      </c>
      <c r="CT4" s="52">
        <v>133</v>
      </c>
      <c r="CU4" s="52">
        <v>3890.5999999999995</v>
      </c>
      <c r="CV4" s="52">
        <v>5</v>
      </c>
      <c r="CW4" s="52">
        <v>2</v>
      </c>
      <c r="CX4" s="54">
        <v>32.199999999999996</v>
      </c>
      <c r="CY4" s="51">
        <v>2225</v>
      </c>
      <c r="CZ4" s="52">
        <v>2998.5</v>
      </c>
      <c r="DA4" s="52">
        <v>28</v>
      </c>
      <c r="DB4" s="52">
        <v>33</v>
      </c>
      <c r="DC4" s="52">
        <v>396</v>
      </c>
      <c r="DD4" s="52">
        <v>76</v>
      </c>
      <c r="DE4" s="52">
        <v>5.6186868686868685</v>
      </c>
      <c r="DF4" s="52">
        <v>71.599999999999994</v>
      </c>
      <c r="DG4" s="52">
        <v>3.38</v>
      </c>
      <c r="DH4" s="52">
        <v>36.6</v>
      </c>
      <c r="DI4" s="52">
        <v>93</v>
      </c>
      <c r="DJ4" s="52">
        <v>3406.5</v>
      </c>
      <c r="DK4" s="52">
        <v>10</v>
      </c>
      <c r="DL4" s="52">
        <v>0</v>
      </c>
      <c r="DM4" s="54">
        <v>22.5</v>
      </c>
      <c r="DN4" s="126"/>
      <c r="DO4" s="11">
        <v>2</v>
      </c>
      <c r="DP4" s="42" t="s">
        <v>390</v>
      </c>
      <c r="DQ4" s="7">
        <v>1</v>
      </c>
      <c r="DR4" s="130">
        <v>41153</v>
      </c>
    </row>
    <row r="5" spans="1:123" x14ac:dyDescent="0.2">
      <c r="A5" s="33">
        <v>3</v>
      </c>
      <c r="B5" s="34" t="s">
        <v>447</v>
      </c>
      <c r="C5" s="116">
        <v>10.527777777777779</v>
      </c>
      <c r="D5" s="117" t="s">
        <v>398</v>
      </c>
      <c r="E5" s="37">
        <v>1</v>
      </c>
      <c r="F5" s="118">
        <v>34360</v>
      </c>
      <c r="G5" s="119">
        <v>31.69041095890411</v>
      </c>
      <c r="H5" s="39" t="s">
        <v>389</v>
      </c>
      <c r="I5" s="119">
        <v>22.265753424657536</v>
      </c>
      <c r="J5" s="120">
        <v>73</v>
      </c>
      <c r="K5" s="120">
        <v>210</v>
      </c>
      <c r="L5" s="120">
        <v>4.45</v>
      </c>
      <c r="M5" s="55">
        <v>3</v>
      </c>
      <c r="N5" s="121">
        <v>0</v>
      </c>
      <c r="O5" s="122">
        <v>5.2562663673774782E-2</v>
      </c>
      <c r="P5" s="122">
        <v>0.16596264339052269</v>
      </c>
      <c r="Q5" s="122">
        <v>0.11186790505675955</v>
      </c>
      <c r="R5" s="122">
        <v>0.12141956404251486</v>
      </c>
      <c r="S5" s="42">
        <v>0.14369110371651878</v>
      </c>
      <c r="T5" s="42">
        <v>0.14369110371651878</v>
      </c>
      <c r="U5" s="42">
        <v>0.1043540842029507</v>
      </c>
      <c r="V5" s="42">
        <v>8.8405649832334121E-2</v>
      </c>
      <c r="W5" s="42">
        <v>9.6379867017642409E-2</v>
      </c>
      <c r="X5" s="43">
        <v>9.6379867017642409E-2</v>
      </c>
      <c r="Y5" s="44">
        <v>19.610958904109587</v>
      </c>
      <c r="Z5" s="45">
        <v>107.10487692015971</v>
      </c>
      <c r="AA5" s="45">
        <v>27.703133796209421</v>
      </c>
      <c r="AB5" s="45">
        <v>0.2857142857142857</v>
      </c>
      <c r="AC5" s="45">
        <v>5.4782608695652177</v>
      </c>
      <c r="AD5" s="45">
        <v>100.6</v>
      </c>
      <c r="AE5" s="45">
        <v>2.88</v>
      </c>
      <c r="AF5" s="46">
        <v>42.1</v>
      </c>
      <c r="AG5" s="128">
        <v>1</v>
      </c>
      <c r="AH5" s="49">
        <v>9</v>
      </c>
      <c r="AI5" s="49">
        <v>6</v>
      </c>
      <c r="AJ5" s="49">
        <v>8</v>
      </c>
      <c r="AK5" s="49">
        <v>9</v>
      </c>
      <c r="AL5" s="49">
        <v>2</v>
      </c>
      <c r="AM5" s="49">
        <v>8</v>
      </c>
      <c r="AN5" s="49">
        <v>2</v>
      </c>
      <c r="AO5" s="49">
        <v>6</v>
      </c>
      <c r="AP5" s="50">
        <v>2</v>
      </c>
      <c r="AQ5" s="56"/>
      <c r="AR5" s="57">
        <v>1</v>
      </c>
      <c r="AS5" s="57"/>
      <c r="AT5" s="57"/>
      <c r="AU5" s="57"/>
      <c r="AV5" s="57"/>
      <c r="AW5" s="57"/>
      <c r="AX5" s="57"/>
      <c r="AY5" s="57"/>
      <c r="AZ5" s="57"/>
      <c r="BA5" s="57"/>
      <c r="BB5" s="57">
        <v>1</v>
      </c>
      <c r="BC5" s="57"/>
      <c r="BD5" s="57"/>
      <c r="BE5" s="59"/>
      <c r="BF5" s="56">
        <v>281</v>
      </c>
      <c r="BG5" s="57">
        <v>2730</v>
      </c>
      <c r="BH5" s="57">
        <v>5</v>
      </c>
      <c r="BI5" s="57">
        <v>31.200000000000003</v>
      </c>
      <c r="BJ5" s="57"/>
      <c r="BK5" s="57"/>
      <c r="BL5" s="57"/>
      <c r="BM5" s="57"/>
      <c r="BN5" s="57"/>
      <c r="BO5" s="57"/>
      <c r="BP5" s="57">
        <v>0</v>
      </c>
      <c r="BQ5" s="57">
        <v>2616</v>
      </c>
      <c r="BR5" s="57">
        <v>0</v>
      </c>
      <c r="BS5" s="57">
        <v>26.400000000000002</v>
      </c>
      <c r="BT5" s="59"/>
      <c r="BU5" s="56">
        <v>694</v>
      </c>
      <c r="BV5" s="57">
        <v>2261.6</v>
      </c>
      <c r="BW5" s="57">
        <v>8</v>
      </c>
      <c r="BX5" s="57">
        <v>24.200000000000003</v>
      </c>
      <c r="BY5" s="57"/>
      <c r="BZ5" s="57"/>
      <c r="CA5" s="129"/>
      <c r="CB5" s="129"/>
      <c r="CC5" s="58"/>
      <c r="CD5" s="129"/>
      <c r="CE5" s="57">
        <v>135</v>
      </c>
      <c r="CF5" s="57">
        <v>2733.5</v>
      </c>
      <c r="CG5" s="57">
        <v>12</v>
      </c>
      <c r="CH5" s="57">
        <v>1</v>
      </c>
      <c r="CI5" s="59">
        <v>23</v>
      </c>
      <c r="CJ5" s="51">
        <v>126</v>
      </c>
      <c r="CK5" s="52">
        <v>1033</v>
      </c>
      <c r="CL5" s="52">
        <v>4</v>
      </c>
      <c r="CM5" s="52">
        <v>12.5</v>
      </c>
      <c r="CN5" s="52">
        <v>23</v>
      </c>
      <c r="CO5" s="52">
        <v>6</v>
      </c>
      <c r="CP5" s="52">
        <v>5.4782608695652177</v>
      </c>
      <c r="CQ5" s="52">
        <v>48.3</v>
      </c>
      <c r="CR5" s="53">
        <v>2.17</v>
      </c>
      <c r="CS5" s="52">
        <v>23</v>
      </c>
      <c r="CT5" s="52">
        <v>145</v>
      </c>
      <c r="CU5" s="52">
        <v>1389.5</v>
      </c>
      <c r="CV5" s="52">
        <v>4</v>
      </c>
      <c r="CW5" s="52">
        <v>2</v>
      </c>
      <c r="CX5" s="54">
        <v>11.5</v>
      </c>
      <c r="CY5" s="51">
        <v>413</v>
      </c>
      <c r="CZ5" s="52">
        <v>2598.7000000000003</v>
      </c>
      <c r="DA5" s="52">
        <v>1</v>
      </c>
      <c r="DB5" s="52">
        <v>28.6</v>
      </c>
      <c r="DC5" s="52">
        <v>77</v>
      </c>
      <c r="DD5" s="52">
        <v>22</v>
      </c>
      <c r="DE5" s="52">
        <v>5.3636363636363633</v>
      </c>
      <c r="DF5" s="52">
        <v>100.6</v>
      </c>
      <c r="DG5" s="52">
        <v>2.88</v>
      </c>
      <c r="DH5" s="52">
        <v>42.1</v>
      </c>
      <c r="DI5" s="52">
        <v>261</v>
      </c>
      <c r="DJ5" s="52">
        <v>2952.2999999999997</v>
      </c>
      <c r="DK5" s="52">
        <v>29</v>
      </c>
      <c r="DL5" s="52">
        <v>1</v>
      </c>
      <c r="DM5" s="54">
        <v>19.5</v>
      </c>
      <c r="DN5" s="126"/>
      <c r="DO5" s="5">
        <v>3</v>
      </c>
      <c r="DP5" s="42" t="s">
        <v>393</v>
      </c>
      <c r="DQ5" s="7">
        <v>0.9</v>
      </c>
      <c r="DR5" s="130">
        <v>41518</v>
      </c>
    </row>
    <row r="6" spans="1:123" x14ac:dyDescent="0.2">
      <c r="A6" s="33">
        <v>4</v>
      </c>
      <c r="B6" s="34" t="s">
        <v>448</v>
      </c>
      <c r="C6" s="116">
        <v>9.5222222222222221</v>
      </c>
      <c r="D6" s="117" t="s">
        <v>449</v>
      </c>
      <c r="E6" s="37">
        <v>2</v>
      </c>
      <c r="F6" s="118">
        <v>34474</v>
      </c>
      <c r="G6" s="119">
        <v>31.378082191780823</v>
      </c>
      <c r="H6" s="39" t="s">
        <v>389</v>
      </c>
      <c r="I6" s="119">
        <v>21.953424657534246</v>
      </c>
      <c r="J6" s="120">
        <v>73</v>
      </c>
      <c r="K6" s="120">
        <v>220</v>
      </c>
      <c r="L6" s="120">
        <v>4.4800000000000004</v>
      </c>
      <c r="M6" s="55">
        <v>3</v>
      </c>
      <c r="N6" s="121">
        <v>0</v>
      </c>
      <c r="O6" s="122">
        <v>0</v>
      </c>
      <c r="P6" s="122">
        <v>1.9733596447952636E-2</v>
      </c>
      <c r="Q6" s="122">
        <v>0.11097666378565255</v>
      </c>
      <c r="R6" s="122">
        <v>0.25921165381319622</v>
      </c>
      <c r="S6" s="42">
        <v>0.25921165381319622</v>
      </c>
      <c r="T6" s="42">
        <v>0.25921165381319622</v>
      </c>
      <c r="U6" s="42">
        <v>0.13902734743365217</v>
      </c>
      <c r="V6" s="42">
        <v>0.10831721470019343</v>
      </c>
      <c r="W6" s="42">
        <v>0.1236722810669228</v>
      </c>
      <c r="X6" s="43">
        <v>0.1236722810669228</v>
      </c>
      <c r="Y6" s="44">
        <v>21.298630136986301</v>
      </c>
      <c r="Z6" s="45">
        <v>109.22966972583036</v>
      </c>
      <c r="AA6" s="45">
        <v>29.022330643647965</v>
      </c>
      <c r="AB6" s="45">
        <v>0.27564102564102566</v>
      </c>
      <c r="AC6" s="45">
        <v>6.5576923076923075</v>
      </c>
      <c r="AD6" s="45">
        <v>74.7</v>
      </c>
      <c r="AE6" s="45">
        <v>2.83</v>
      </c>
      <c r="AF6" s="46">
        <v>49.7</v>
      </c>
      <c r="AG6" s="128">
        <v>6</v>
      </c>
      <c r="AH6" s="49">
        <v>9</v>
      </c>
      <c r="AI6" s="49">
        <v>2</v>
      </c>
      <c r="AJ6" s="49">
        <v>9</v>
      </c>
      <c r="AK6" s="49">
        <v>9</v>
      </c>
      <c r="AL6" s="49">
        <v>6</v>
      </c>
      <c r="AM6" s="49">
        <v>5</v>
      </c>
      <c r="AN6" s="49">
        <v>2</v>
      </c>
      <c r="AO6" s="49">
        <v>6</v>
      </c>
      <c r="AP6" s="50">
        <v>0.5</v>
      </c>
      <c r="AQ6" s="56"/>
      <c r="AR6" s="57">
        <v>1</v>
      </c>
      <c r="AS6" s="57"/>
      <c r="AT6" s="57"/>
      <c r="AU6" s="57"/>
      <c r="AV6" s="57"/>
      <c r="AW6" s="57"/>
      <c r="AX6" s="57"/>
      <c r="AY6" s="57"/>
      <c r="AZ6" s="57"/>
      <c r="BA6" s="57"/>
      <c r="BB6" s="57">
        <v>1</v>
      </c>
      <c r="BC6" s="57"/>
      <c r="BD6" s="57"/>
      <c r="BE6" s="59"/>
      <c r="BF6" s="56"/>
      <c r="BG6" s="57">
        <v>1</v>
      </c>
      <c r="BH6" s="57"/>
      <c r="BI6" s="57"/>
      <c r="BJ6" s="57"/>
      <c r="BK6" s="57"/>
      <c r="BL6" s="57"/>
      <c r="BM6" s="57"/>
      <c r="BN6" s="57"/>
      <c r="BO6" s="57"/>
      <c r="BP6" s="57"/>
      <c r="BQ6" s="57">
        <v>1</v>
      </c>
      <c r="BR6" s="57"/>
      <c r="BS6" s="57"/>
      <c r="BT6" s="59"/>
      <c r="BU6" s="56">
        <v>0</v>
      </c>
      <c r="BV6" s="57">
        <v>1355.3999999999999</v>
      </c>
      <c r="BW6" s="57">
        <v>0</v>
      </c>
      <c r="BX6" s="57">
        <v>8.1</v>
      </c>
      <c r="BY6" s="57"/>
      <c r="BZ6" s="57"/>
      <c r="CA6" s="129"/>
      <c r="CB6" s="129"/>
      <c r="CC6" s="58"/>
      <c r="CD6" s="129"/>
      <c r="CE6" s="57">
        <v>72</v>
      </c>
      <c r="CF6" s="57">
        <v>2293.2000000000003</v>
      </c>
      <c r="CG6" s="57">
        <v>7</v>
      </c>
      <c r="CH6" s="57">
        <v>0</v>
      </c>
      <c r="CI6" s="59">
        <v>18.900000000000002</v>
      </c>
      <c r="CJ6" s="51">
        <v>126</v>
      </c>
      <c r="CK6" s="52">
        <v>2073.5</v>
      </c>
      <c r="CL6" s="52">
        <v>1</v>
      </c>
      <c r="CM6" s="52">
        <v>23.400000000000002</v>
      </c>
      <c r="CN6" s="52">
        <v>10</v>
      </c>
      <c r="CO6" s="52">
        <v>2</v>
      </c>
      <c r="CP6" s="52">
        <v>12.6</v>
      </c>
      <c r="CQ6" s="52">
        <v>262.60000000000002</v>
      </c>
      <c r="CR6" s="53">
        <v>6.4</v>
      </c>
      <c r="CS6" s="52">
        <v>81.7</v>
      </c>
      <c r="CT6" s="52">
        <v>516</v>
      </c>
      <c r="CU6" s="52">
        <v>3711.5</v>
      </c>
      <c r="CV6" s="52">
        <v>29</v>
      </c>
      <c r="CW6" s="52">
        <v>2</v>
      </c>
      <c r="CX6" s="54">
        <v>29.9</v>
      </c>
      <c r="CY6" s="51">
        <v>1023</v>
      </c>
      <c r="CZ6" s="52">
        <v>2291.3000000000002</v>
      </c>
      <c r="DA6" s="52">
        <v>11</v>
      </c>
      <c r="DB6" s="52">
        <v>24.200000000000003</v>
      </c>
      <c r="DC6" s="52">
        <v>156</v>
      </c>
      <c r="DD6" s="52">
        <v>43</v>
      </c>
      <c r="DE6" s="52">
        <v>6.5576923076923075</v>
      </c>
      <c r="DF6" s="52">
        <v>74.7</v>
      </c>
      <c r="DG6" s="52">
        <v>2.83</v>
      </c>
      <c r="DH6" s="52">
        <v>49.7</v>
      </c>
      <c r="DI6" s="52">
        <v>308</v>
      </c>
      <c r="DJ6" s="52">
        <v>2843.5</v>
      </c>
      <c r="DK6" s="52">
        <v>26</v>
      </c>
      <c r="DL6" s="52">
        <v>1</v>
      </c>
      <c r="DM6" s="54">
        <v>20.9</v>
      </c>
      <c r="DN6" s="126"/>
      <c r="DO6" s="5">
        <v>4</v>
      </c>
      <c r="DP6" s="42" t="s">
        <v>396</v>
      </c>
      <c r="DQ6" s="7">
        <v>0.9</v>
      </c>
      <c r="DR6" s="130">
        <v>41883</v>
      </c>
    </row>
    <row r="7" spans="1:123" x14ac:dyDescent="0.2">
      <c r="A7" s="33">
        <v>5</v>
      </c>
      <c r="B7" s="34" t="s">
        <v>450</v>
      </c>
      <c r="C7" s="116">
        <v>8.8833333333333329</v>
      </c>
      <c r="D7" s="117" t="s">
        <v>392</v>
      </c>
      <c r="E7" s="37">
        <v>2</v>
      </c>
      <c r="F7" s="118">
        <v>34640</v>
      </c>
      <c r="G7" s="119">
        <v>30.923287671232877</v>
      </c>
      <c r="H7" s="39" t="s">
        <v>385</v>
      </c>
      <c r="I7" s="119">
        <v>21.4986301369863</v>
      </c>
      <c r="J7" s="120">
        <v>72</v>
      </c>
      <c r="K7" s="120">
        <v>230</v>
      </c>
      <c r="L7" s="120">
        <v>4.57</v>
      </c>
      <c r="M7" s="55">
        <v>5</v>
      </c>
      <c r="N7" s="121">
        <v>0</v>
      </c>
      <c r="O7" s="122">
        <v>0</v>
      </c>
      <c r="P7" s="122">
        <v>0.22276655728613026</v>
      </c>
      <c r="Q7" s="122">
        <v>0.32171530029334566</v>
      </c>
      <c r="R7" s="122">
        <v>0.29061184920792293</v>
      </c>
      <c r="S7" s="42">
        <v>0.30616357475063427</v>
      </c>
      <c r="T7" s="42">
        <v>0.30616357475063427</v>
      </c>
      <c r="U7" s="42">
        <v>2.7359781121751022E-2</v>
      </c>
      <c r="V7" s="42">
        <v>4.0087739202783447E-2</v>
      </c>
      <c r="W7" s="42">
        <v>4.0087739202783447E-2</v>
      </c>
      <c r="X7" s="43">
        <v>4.0087739202783447E-2</v>
      </c>
      <c r="Y7" s="44">
        <v>18.843835616438355</v>
      </c>
      <c r="Z7" s="45">
        <v>105.46127836691821</v>
      </c>
      <c r="AA7" s="45">
        <v>31.190200617283953</v>
      </c>
      <c r="AB7" s="45">
        <v>0.22295081967213115</v>
      </c>
      <c r="AC7" s="45">
        <v>6.1887755102040813</v>
      </c>
      <c r="AD7" s="45">
        <v>67.7</v>
      </c>
      <c r="AE7" s="45">
        <v>3.69</v>
      </c>
      <c r="AF7" s="46">
        <v>37.299999999999997</v>
      </c>
      <c r="AG7" s="128">
        <v>8</v>
      </c>
      <c r="AH7" s="49">
        <v>4</v>
      </c>
      <c r="AI7" s="49">
        <v>9</v>
      </c>
      <c r="AJ7" s="49">
        <v>8</v>
      </c>
      <c r="AK7" s="49">
        <v>7</v>
      </c>
      <c r="AL7" s="49">
        <v>5</v>
      </c>
      <c r="AM7" s="49">
        <v>4</v>
      </c>
      <c r="AN7" s="49">
        <v>5</v>
      </c>
      <c r="AO7" s="49">
        <v>3</v>
      </c>
      <c r="AP7" s="50">
        <v>0.25</v>
      </c>
      <c r="AQ7" s="56"/>
      <c r="AR7" s="57">
        <v>1</v>
      </c>
      <c r="AS7" s="57"/>
      <c r="AT7" s="57"/>
      <c r="AU7" s="57"/>
      <c r="AV7" s="57"/>
      <c r="AW7" s="57"/>
      <c r="AX7" s="57"/>
      <c r="AY7" s="57"/>
      <c r="AZ7" s="57"/>
      <c r="BA7" s="57"/>
      <c r="BB7" s="57">
        <v>1</v>
      </c>
      <c r="BC7" s="57"/>
      <c r="BD7" s="57"/>
      <c r="BE7" s="59"/>
      <c r="BF7" s="56"/>
      <c r="BG7" s="57">
        <v>1</v>
      </c>
      <c r="BH7" s="57"/>
      <c r="BI7" s="57"/>
      <c r="BJ7" s="57"/>
      <c r="BK7" s="57"/>
      <c r="BL7" s="57"/>
      <c r="BM7" s="57"/>
      <c r="BN7" s="57"/>
      <c r="BO7" s="57"/>
      <c r="BP7" s="57"/>
      <c r="BQ7" s="57">
        <v>1</v>
      </c>
      <c r="BR7" s="57"/>
      <c r="BS7" s="57"/>
      <c r="BT7" s="59"/>
      <c r="BU7" s="56">
        <v>881</v>
      </c>
      <c r="BV7" s="57">
        <v>1964.6</v>
      </c>
      <c r="BW7" s="57">
        <v>2</v>
      </c>
      <c r="BX7" s="57">
        <v>15.399999999999999</v>
      </c>
      <c r="BY7" s="57"/>
      <c r="BZ7" s="57"/>
      <c r="CA7" s="129"/>
      <c r="CB7" s="129"/>
      <c r="CC7" s="58"/>
      <c r="CD7" s="129"/>
      <c r="CE7" s="57">
        <v>83</v>
      </c>
      <c r="CF7" s="57">
        <v>2362.8000000000002</v>
      </c>
      <c r="CG7" s="57">
        <v>4</v>
      </c>
      <c r="CH7" s="57">
        <v>1</v>
      </c>
      <c r="CI7" s="59">
        <v>17.600000000000001</v>
      </c>
      <c r="CJ7" s="51">
        <v>1595</v>
      </c>
      <c r="CK7" s="52">
        <v>2550</v>
      </c>
      <c r="CL7" s="52">
        <v>13</v>
      </c>
      <c r="CM7" s="52">
        <v>27.599999999999998</v>
      </c>
      <c r="CN7" s="52">
        <v>305</v>
      </c>
      <c r="CO7" s="52">
        <v>68</v>
      </c>
      <c r="CP7" s="52">
        <v>5.2295081967213113</v>
      </c>
      <c r="CQ7" s="52">
        <v>67.2</v>
      </c>
      <c r="CR7" s="53">
        <v>3.02</v>
      </c>
      <c r="CS7" s="52">
        <v>32.799999999999997</v>
      </c>
      <c r="CT7" s="52">
        <v>72</v>
      </c>
      <c r="CU7" s="52">
        <v>2631.6000000000004</v>
      </c>
      <c r="CV7" s="52">
        <v>9</v>
      </c>
      <c r="CW7" s="52">
        <v>1</v>
      </c>
      <c r="CX7" s="54">
        <v>15.600000000000001</v>
      </c>
      <c r="CY7" s="51">
        <v>1213</v>
      </c>
      <c r="CZ7" s="52">
        <v>1894.5</v>
      </c>
      <c r="DA7" s="52">
        <v>9</v>
      </c>
      <c r="DB7" s="52">
        <v>18.900000000000002</v>
      </c>
      <c r="DC7" s="52">
        <v>196</v>
      </c>
      <c r="DD7" s="52">
        <v>33</v>
      </c>
      <c r="DE7" s="52">
        <v>6.1887755102040813</v>
      </c>
      <c r="DF7" s="52">
        <v>67.7</v>
      </c>
      <c r="DG7" s="52">
        <v>3.69</v>
      </c>
      <c r="DH7" s="52">
        <v>37.299999999999997</v>
      </c>
      <c r="DI7" s="52">
        <v>106</v>
      </c>
      <c r="DJ7" s="52">
        <v>2644.2000000000003</v>
      </c>
      <c r="DK7" s="52">
        <v>11</v>
      </c>
      <c r="DL7" s="52">
        <v>1</v>
      </c>
      <c r="DM7" s="54">
        <v>18.900000000000002</v>
      </c>
      <c r="DN7" s="126"/>
      <c r="DO7" s="5">
        <v>5</v>
      </c>
      <c r="DP7" s="42" t="s">
        <v>399</v>
      </c>
      <c r="DQ7" s="7">
        <v>0.85</v>
      </c>
      <c r="DR7" s="130">
        <v>42248</v>
      </c>
    </row>
    <row r="8" spans="1:123" x14ac:dyDescent="0.2">
      <c r="A8" s="33">
        <v>6</v>
      </c>
      <c r="B8" s="34" t="s">
        <v>453</v>
      </c>
      <c r="C8" s="116">
        <v>8.155555555555555</v>
      </c>
      <c r="D8" s="117" t="s">
        <v>454</v>
      </c>
      <c r="E8" s="37">
        <v>1</v>
      </c>
      <c r="F8" s="118">
        <v>34367</v>
      </c>
      <c r="G8" s="119">
        <v>31.671232876712327</v>
      </c>
      <c r="H8" s="39" t="s">
        <v>389</v>
      </c>
      <c r="I8" s="119">
        <v>22.246575342465754</v>
      </c>
      <c r="J8" s="120">
        <v>71</v>
      </c>
      <c r="K8" s="120">
        <v>220</v>
      </c>
      <c r="L8" s="120">
        <v>4.5599999999999996</v>
      </c>
      <c r="M8" s="55">
        <v>5</v>
      </c>
      <c r="N8" s="121">
        <v>0</v>
      </c>
      <c r="O8" s="122">
        <v>9.4976418155856529E-2</v>
      </c>
      <c r="P8" s="122">
        <v>0.22678488100793281</v>
      </c>
      <c r="Q8" s="122">
        <v>0.24592648730579766</v>
      </c>
      <c r="R8" s="122">
        <v>0</v>
      </c>
      <c r="S8" s="42">
        <v>0.24592648730579766</v>
      </c>
      <c r="T8" s="42">
        <v>0.24592648730579766</v>
      </c>
      <c r="U8" s="42">
        <v>4.2553191489361701E-2</v>
      </c>
      <c r="V8" s="42">
        <v>0</v>
      </c>
      <c r="W8" s="42">
        <v>2.1276595744680851E-2</v>
      </c>
      <c r="X8" s="43">
        <v>2.1276595744680851E-2</v>
      </c>
      <c r="Y8" s="44">
        <v>19.591780821917808</v>
      </c>
      <c r="Z8" s="45">
        <v>101.76379767300138</v>
      </c>
      <c r="AA8" s="45">
        <v>30.68042055147788</v>
      </c>
      <c r="AB8" s="45">
        <v>0.30805687203791471</v>
      </c>
      <c r="AC8" s="45">
        <v>5.6587677725118484</v>
      </c>
      <c r="AD8" s="45">
        <v>101.9</v>
      </c>
      <c r="AE8" s="45">
        <v>3.48</v>
      </c>
      <c r="AF8" s="46">
        <v>34.299999999999997</v>
      </c>
      <c r="AG8" s="128">
        <v>6</v>
      </c>
      <c r="AH8" s="49">
        <v>2</v>
      </c>
      <c r="AI8" s="49">
        <v>6</v>
      </c>
      <c r="AJ8" s="49">
        <v>6</v>
      </c>
      <c r="AK8" s="49">
        <v>10</v>
      </c>
      <c r="AL8" s="49">
        <v>3</v>
      </c>
      <c r="AM8" s="49">
        <v>8</v>
      </c>
      <c r="AN8" s="49">
        <v>4</v>
      </c>
      <c r="AO8" s="49">
        <v>3</v>
      </c>
      <c r="AP8" s="50">
        <v>1</v>
      </c>
      <c r="AQ8" s="56"/>
      <c r="AR8" s="57">
        <v>1</v>
      </c>
      <c r="AS8" s="57"/>
      <c r="AT8" s="57"/>
      <c r="AU8" s="57"/>
      <c r="AV8" s="57"/>
      <c r="AW8" s="57"/>
      <c r="AX8" s="57"/>
      <c r="AY8" s="57"/>
      <c r="AZ8" s="57"/>
      <c r="BA8" s="57"/>
      <c r="BB8" s="57">
        <v>1</v>
      </c>
      <c r="BC8" s="57"/>
      <c r="BD8" s="57"/>
      <c r="BE8" s="59"/>
      <c r="BF8" s="56">
        <v>231</v>
      </c>
      <c r="BG8" s="57">
        <v>1305.7</v>
      </c>
      <c r="BH8" s="57">
        <v>0</v>
      </c>
      <c r="BI8" s="57">
        <v>11</v>
      </c>
      <c r="BJ8" s="57"/>
      <c r="BK8" s="57"/>
      <c r="BL8" s="57"/>
      <c r="BM8" s="57"/>
      <c r="BN8" s="57"/>
      <c r="BO8" s="57"/>
      <c r="BP8" s="57">
        <v>208</v>
      </c>
      <c r="BQ8" s="57">
        <v>3316.5</v>
      </c>
      <c r="BR8" s="57">
        <v>8</v>
      </c>
      <c r="BS8" s="57">
        <v>2</v>
      </c>
      <c r="BT8" s="59">
        <v>20.9</v>
      </c>
      <c r="BU8" s="56">
        <v>900</v>
      </c>
      <c r="BV8" s="57">
        <v>2504</v>
      </c>
      <c r="BW8" s="57">
        <v>4</v>
      </c>
      <c r="BX8" s="57">
        <v>14</v>
      </c>
      <c r="BY8" s="57"/>
      <c r="BZ8" s="57"/>
      <c r="CA8" s="129"/>
      <c r="CB8" s="129"/>
      <c r="CC8" s="58"/>
      <c r="CD8" s="129"/>
      <c r="CE8" s="57">
        <v>72</v>
      </c>
      <c r="CF8" s="57">
        <v>1782</v>
      </c>
      <c r="CG8" s="57">
        <v>7</v>
      </c>
      <c r="CH8" s="57">
        <v>2</v>
      </c>
      <c r="CI8" s="59">
        <v>15</v>
      </c>
      <c r="CJ8" s="51">
        <v>1194</v>
      </c>
      <c r="CK8" s="52">
        <v>2834</v>
      </c>
      <c r="CL8" s="52">
        <v>12</v>
      </c>
      <c r="CM8" s="52">
        <v>31.2</v>
      </c>
      <c r="CN8" s="52">
        <v>211</v>
      </c>
      <c r="CO8" s="52">
        <v>65</v>
      </c>
      <c r="CP8" s="52">
        <v>5.6587677725118484</v>
      </c>
      <c r="CQ8" s="52">
        <v>101.9</v>
      </c>
      <c r="CR8" s="53">
        <v>3.48</v>
      </c>
      <c r="CS8" s="52">
        <v>34.299999999999997</v>
      </c>
      <c r="CT8" s="52">
        <v>104</v>
      </c>
      <c r="CU8" s="52">
        <v>2444</v>
      </c>
      <c r="CV8" s="52">
        <v>8</v>
      </c>
      <c r="CW8" s="52">
        <v>0</v>
      </c>
      <c r="CX8" s="54">
        <v>20.8</v>
      </c>
      <c r="CY8" s="51"/>
      <c r="CZ8" s="52">
        <v>1</v>
      </c>
      <c r="DA8" s="52"/>
      <c r="DB8" s="52">
        <v>0</v>
      </c>
      <c r="DC8" s="52"/>
      <c r="DD8" s="52"/>
      <c r="DE8" s="52"/>
      <c r="DF8" s="52"/>
      <c r="DG8" s="52"/>
      <c r="DH8" s="52"/>
      <c r="DI8" s="52">
        <v>0</v>
      </c>
      <c r="DJ8" s="52">
        <v>1</v>
      </c>
      <c r="DK8" s="52">
        <v>0</v>
      </c>
      <c r="DL8" s="52">
        <v>0</v>
      </c>
      <c r="DM8" s="54">
        <v>0</v>
      </c>
      <c r="DN8" s="126"/>
      <c r="DO8" s="5">
        <v>6</v>
      </c>
      <c r="DP8" s="42" t="s">
        <v>402</v>
      </c>
      <c r="DQ8" s="7">
        <v>0.7</v>
      </c>
      <c r="DR8" s="130"/>
    </row>
    <row r="9" spans="1:123" x14ac:dyDescent="0.2">
      <c r="A9" s="33">
        <v>7</v>
      </c>
      <c r="B9" s="34" t="s">
        <v>451</v>
      </c>
      <c r="C9" s="116">
        <v>8.1388888888888893</v>
      </c>
      <c r="D9" s="117" t="s">
        <v>452</v>
      </c>
      <c r="E9" s="37">
        <v>5</v>
      </c>
      <c r="F9" s="118">
        <v>34654</v>
      </c>
      <c r="G9" s="119">
        <v>30.884931506849316</v>
      </c>
      <c r="H9" s="39" t="s">
        <v>385</v>
      </c>
      <c r="I9" s="119">
        <v>21.460273972602739</v>
      </c>
      <c r="J9" s="120">
        <v>70</v>
      </c>
      <c r="K9" s="120">
        <v>208</v>
      </c>
      <c r="L9" s="120">
        <v>4.54</v>
      </c>
      <c r="M9" s="55">
        <v>5</v>
      </c>
      <c r="N9" s="121">
        <v>0</v>
      </c>
      <c r="O9" s="122">
        <v>0</v>
      </c>
      <c r="P9" s="122">
        <v>0.14918454935622319</v>
      </c>
      <c r="Q9" s="122">
        <v>0.29105140263755058</v>
      </c>
      <c r="R9" s="122">
        <v>0.26098016220412612</v>
      </c>
      <c r="S9" s="42">
        <v>0.27601578242083835</v>
      </c>
      <c r="T9" s="42">
        <v>0.2346134150577126</v>
      </c>
      <c r="U9" s="42">
        <v>5.9858840346645223E-2</v>
      </c>
      <c r="V9" s="42">
        <v>6.5766701280719972E-2</v>
      </c>
      <c r="W9" s="42">
        <v>6.5766701280719972E-2</v>
      </c>
      <c r="X9" s="43">
        <v>5.5901696088611973E-2</v>
      </c>
      <c r="Y9" s="44">
        <v>19.805479452054794</v>
      </c>
      <c r="Z9" s="45">
        <v>97.919665042917714</v>
      </c>
      <c r="AA9" s="45">
        <v>29.841632653061225</v>
      </c>
      <c r="AB9" s="45">
        <v>0.30932203389830509</v>
      </c>
      <c r="AC9" s="45">
        <v>6.3012048192771086</v>
      </c>
      <c r="AD9" s="45">
        <v>115.6</v>
      </c>
      <c r="AE9" s="45">
        <v>3.58</v>
      </c>
      <c r="AF9" s="46">
        <v>41.9</v>
      </c>
      <c r="AG9" s="128">
        <v>5</v>
      </c>
      <c r="AH9" s="49">
        <v>6</v>
      </c>
      <c r="AI9" s="49">
        <v>5</v>
      </c>
      <c r="AJ9" s="49">
        <v>4</v>
      </c>
      <c r="AK9" s="49">
        <v>10</v>
      </c>
      <c r="AL9" s="49">
        <v>5</v>
      </c>
      <c r="AM9" s="49">
        <v>9</v>
      </c>
      <c r="AN9" s="49">
        <v>5</v>
      </c>
      <c r="AO9" s="49">
        <v>3</v>
      </c>
      <c r="AP9" s="50">
        <v>0</v>
      </c>
      <c r="AQ9" s="56"/>
      <c r="AR9" s="57">
        <v>1</v>
      </c>
      <c r="AS9" s="57"/>
      <c r="AT9" s="57"/>
      <c r="AU9" s="57"/>
      <c r="AV9" s="57"/>
      <c r="AW9" s="57"/>
      <c r="AX9" s="57"/>
      <c r="AY9" s="57"/>
      <c r="AZ9" s="57"/>
      <c r="BA9" s="57"/>
      <c r="BB9" s="57">
        <v>1</v>
      </c>
      <c r="BC9" s="57"/>
      <c r="BD9" s="57"/>
      <c r="BE9" s="59"/>
      <c r="BF9" s="56"/>
      <c r="BG9" s="57">
        <v>1</v>
      </c>
      <c r="BH9" s="57"/>
      <c r="BI9" s="57"/>
      <c r="BJ9" s="57"/>
      <c r="BK9" s="57"/>
      <c r="BL9" s="57"/>
      <c r="BM9" s="57"/>
      <c r="BN9" s="57"/>
      <c r="BO9" s="57"/>
      <c r="BP9" s="57"/>
      <c r="BQ9" s="57">
        <v>1</v>
      </c>
      <c r="BR9" s="57"/>
      <c r="BS9" s="57"/>
      <c r="BT9" s="59"/>
      <c r="BU9" s="56">
        <v>573</v>
      </c>
      <c r="BV9" s="57">
        <v>2556</v>
      </c>
      <c r="BW9" s="57">
        <v>6</v>
      </c>
      <c r="BX9" s="57">
        <v>36</v>
      </c>
      <c r="BY9" s="57"/>
      <c r="BZ9" s="57"/>
      <c r="CA9" s="129"/>
      <c r="CB9" s="129"/>
      <c r="CC9" s="58"/>
      <c r="CD9" s="129"/>
      <c r="CE9" s="57">
        <v>296</v>
      </c>
      <c r="CF9" s="57">
        <v>3269</v>
      </c>
      <c r="CG9" s="57">
        <v>24</v>
      </c>
      <c r="CH9" s="57">
        <v>0</v>
      </c>
      <c r="CI9" s="59">
        <v>25</v>
      </c>
      <c r="CJ9" s="51">
        <v>1569</v>
      </c>
      <c r="CK9" s="52">
        <v>2723.5</v>
      </c>
      <c r="CL9" s="52">
        <v>9</v>
      </c>
      <c r="CM9" s="52">
        <v>26</v>
      </c>
      <c r="CN9" s="52">
        <v>249</v>
      </c>
      <c r="CO9" s="52">
        <v>31</v>
      </c>
      <c r="CP9" s="52">
        <v>6.3012048192771086</v>
      </c>
      <c r="CQ9" s="52">
        <v>43</v>
      </c>
      <c r="CR9" s="53">
        <v>2.88</v>
      </c>
      <c r="CS9" s="52">
        <v>41.9</v>
      </c>
      <c r="CT9" s="52">
        <v>201</v>
      </c>
      <c r="CU9" s="52">
        <v>3357.9</v>
      </c>
      <c r="CV9" s="52">
        <v>26</v>
      </c>
      <c r="CW9" s="52">
        <v>2</v>
      </c>
      <c r="CX9" s="54">
        <v>23.400000000000002</v>
      </c>
      <c r="CY9" s="51">
        <v>1333</v>
      </c>
      <c r="CZ9" s="52">
        <v>2298.4</v>
      </c>
      <c r="DA9" s="52">
        <v>14</v>
      </c>
      <c r="DB9" s="52">
        <v>26</v>
      </c>
      <c r="DC9" s="52">
        <v>236</v>
      </c>
      <c r="DD9" s="52">
        <v>73</v>
      </c>
      <c r="DE9" s="52">
        <v>5.648305084745763</v>
      </c>
      <c r="DF9" s="52">
        <v>115.6</v>
      </c>
      <c r="DG9" s="52">
        <v>3.58</v>
      </c>
      <c r="DH9" s="52">
        <v>39.9</v>
      </c>
      <c r="DI9" s="52">
        <v>247</v>
      </c>
      <c r="DJ9" s="52">
        <v>3755.7</v>
      </c>
      <c r="DK9" s="52">
        <v>30</v>
      </c>
      <c r="DL9" s="52">
        <v>1</v>
      </c>
      <c r="DM9" s="54">
        <v>23.400000000000002</v>
      </c>
      <c r="DN9" s="126"/>
      <c r="DO9" s="5">
        <v>7</v>
      </c>
      <c r="DP9" s="42" t="s">
        <v>405</v>
      </c>
      <c r="DQ9" s="7">
        <v>0.65</v>
      </c>
    </row>
    <row r="10" spans="1:123" x14ac:dyDescent="0.2">
      <c r="A10" s="33">
        <v>8</v>
      </c>
      <c r="B10" s="34" t="s">
        <v>455</v>
      </c>
      <c r="C10" s="116">
        <v>8.0166666666666675</v>
      </c>
      <c r="D10" s="117" t="s">
        <v>456</v>
      </c>
      <c r="E10" s="37">
        <v>10</v>
      </c>
      <c r="F10" s="118">
        <v>34355</v>
      </c>
      <c r="G10" s="119">
        <v>31.704109589041096</v>
      </c>
      <c r="H10" s="39" t="s">
        <v>389</v>
      </c>
      <c r="I10" s="119">
        <v>22.279452054794522</v>
      </c>
      <c r="J10" s="120">
        <v>70</v>
      </c>
      <c r="K10" s="120">
        <v>215</v>
      </c>
      <c r="L10" s="120">
        <v>4.5599999999999996</v>
      </c>
      <c r="M10" s="55">
        <v>4</v>
      </c>
      <c r="N10" s="121">
        <v>0</v>
      </c>
      <c r="O10" s="122">
        <v>0.17721701514059121</v>
      </c>
      <c r="P10" s="122">
        <v>0.2736209721463681</v>
      </c>
      <c r="Q10" s="122">
        <v>0.29904476760764187</v>
      </c>
      <c r="R10" s="122">
        <v>0.29096939544700734</v>
      </c>
      <c r="S10" s="42">
        <v>0.29500708152732458</v>
      </c>
      <c r="T10" s="42">
        <v>0.17700424891639474</v>
      </c>
      <c r="U10" s="42">
        <v>0.1090404440919905</v>
      </c>
      <c r="V10" s="42">
        <v>0.13526461139604348</v>
      </c>
      <c r="W10" s="42">
        <v>0.13526461139604348</v>
      </c>
      <c r="X10" s="43">
        <v>8.1158766837626087E-2</v>
      </c>
      <c r="Y10" s="44">
        <v>18.624657534246577</v>
      </c>
      <c r="Z10" s="45">
        <v>99.45098408952407</v>
      </c>
      <c r="AA10" s="45">
        <v>30.845918367346936</v>
      </c>
      <c r="AB10" s="45">
        <v>0.28063241106719367</v>
      </c>
      <c r="AC10" s="45">
        <v>5.4010152284263961</v>
      </c>
      <c r="AD10" s="45">
        <v>98.8</v>
      </c>
      <c r="AE10" s="45">
        <v>3.33</v>
      </c>
      <c r="AF10" s="46">
        <v>49.2</v>
      </c>
      <c r="AG10" s="128">
        <v>3</v>
      </c>
      <c r="AH10" s="49">
        <v>8</v>
      </c>
      <c r="AI10" s="49">
        <v>9</v>
      </c>
      <c r="AJ10" s="49">
        <v>5</v>
      </c>
      <c r="AK10" s="49">
        <v>9</v>
      </c>
      <c r="AL10" s="49">
        <v>2</v>
      </c>
      <c r="AM10" s="49">
        <v>7</v>
      </c>
      <c r="AN10" s="49">
        <v>4</v>
      </c>
      <c r="AO10" s="49">
        <v>4</v>
      </c>
      <c r="AP10" s="50">
        <v>0</v>
      </c>
      <c r="AQ10" s="56"/>
      <c r="AR10" s="57">
        <v>1</v>
      </c>
      <c r="AS10" s="57"/>
      <c r="AT10" s="57"/>
      <c r="AU10" s="57"/>
      <c r="AV10" s="57"/>
      <c r="AW10" s="57"/>
      <c r="AX10" s="57"/>
      <c r="AY10" s="57"/>
      <c r="AZ10" s="57"/>
      <c r="BA10" s="57"/>
      <c r="BB10" s="57">
        <v>1</v>
      </c>
      <c r="BC10" s="57"/>
      <c r="BD10" s="57"/>
      <c r="BE10" s="59"/>
      <c r="BF10" s="56">
        <v>1194</v>
      </c>
      <c r="BG10" s="57">
        <v>2726</v>
      </c>
      <c r="BH10" s="57">
        <v>27</v>
      </c>
      <c r="BI10" s="57">
        <v>47</v>
      </c>
      <c r="BJ10" s="57"/>
      <c r="BK10" s="57"/>
      <c r="BL10" s="57"/>
      <c r="BM10" s="57"/>
      <c r="BN10" s="57"/>
      <c r="BO10" s="57"/>
      <c r="BP10" s="57">
        <v>35</v>
      </c>
      <c r="BQ10" s="57">
        <v>4209</v>
      </c>
      <c r="BR10" s="57">
        <v>10</v>
      </c>
      <c r="BS10" s="57">
        <v>1</v>
      </c>
      <c r="BT10" s="59">
        <v>33</v>
      </c>
      <c r="BU10" s="56">
        <v>917</v>
      </c>
      <c r="BV10" s="57">
        <v>1602</v>
      </c>
      <c r="BW10" s="57">
        <v>4</v>
      </c>
      <c r="BX10" s="57">
        <v>12</v>
      </c>
      <c r="BY10" s="57"/>
      <c r="BZ10" s="57"/>
      <c r="CA10" s="129"/>
      <c r="CB10" s="129"/>
      <c r="CC10" s="58"/>
      <c r="CD10" s="129"/>
      <c r="CE10" s="57">
        <v>85</v>
      </c>
      <c r="CF10" s="57">
        <v>2060</v>
      </c>
      <c r="CG10" s="57">
        <v>14</v>
      </c>
      <c r="CH10" s="57">
        <v>1</v>
      </c>
      <c r="CI10" s="59">
        <v>8</v>
      </c>
      <c r="CJ10" s="51">
        <v>1293</v>
      </c>
      <c r="CK10" s="52">
        <v>2080.4</v>
      </c>
      <c r="CL10" s="52">
        <v>23</v>
      </c>
      <c r="CM10" s="52">
        <v>32.199999999999996</v>
      </c>
      <c r="CN10" s="52">
        <v>253</v>
      </c>
      <c r="CO10" s="52">
        <v>71</v>
      </c>
      <c r="CP10" s="52">
        <v>5.1106719367588935</v>
      </c>
      <c r="CQ10" s="52">
        <v>98.8</v>
      </c>
      <c r="CR10" s="53">
        <v>3.33</v>
      </c>
      <c r="CS10" s="52">
        <v>45.6</v>
      </c>
      <c r="CT10" s="52">
        <v>385</v>
      </c>
      <c r="CU10" s="52">
        <v>3530.7999999999997</v>
      </c>
      <c r="CV10" s="52">
        <v>30</v>
      </c>
      <c r="CW10" s="52">
        <v>6</v>
      </c>
      <c r="CX10" s="54">
        <v>29.400000000000002</v>
      </c>
      <c r="CY10" s="51">
        <v>1064</v>
      </c>
      <c r="CZ10" s="52">
        <v>1757.8000000000002</v>
      </c>
      <c r="DA10" s="52">
        <v>19</v>
      </c>
      <c r="DB10" s="52">
        <v>23.1</v>
      </c>
      <c r="DC10" s="52">
        <v>197</v>
      </c>
      <c r="DD10" s="52">
        <v>54</v>
      </c>
      <c r="DE10" s="52">
        <v>5.4010152284263961</v>
      </c>
      <c r="DF10" s="52">
        <v>98.8</v>
      </c>
      <c r="DG10" s="52">
        <v>3.27</v>
      </c>
      <c r="DH10" s="52">
        <v>49.2</v>
      </c>
      <c r="DI10" s="52">
        <v>480</v>
      </c>
      <c r="DJ10" s="52">
        <v>3548.6000000000004</v>
      </c>
      <c r="DK10" s="52">
        <v>35</v>
      </c>
      <c r="DL10" s="52">
        <v>7</v>
      </c>
      <c r="DM10" s="54">
        <v>24.200000000000003</v>
      </c>
      <c r="DN10" s="126"/>
      <c r="DO10" s="5">
        <v>8</v>
      </c>
      <c r="DP10" s="42" t="s">
        <v>408</v>
      </c>
      <c r="DQ10" s="7">
        <v>0.65</v>
      </c>
      <c r="DR10" s="131"/>
    </row>
    <row r="11" spans="1:123" x14ac:dyDescent="0.2">
      <c r="A11" s="33">
        <v>9</v>
      </c>
      <c r="B11" s="34" t="s">
        <v>457</v>
      </c>
      <c r="C11" s="116">
        <v>7.8611111111111107</v>
      </c>
      <c r="D11" s="117" t="s">
        <v>454</v>
      </c>
      <c r="E11" s="37">
        <v>1</v>
      </c>
      <c r="F11" s="118">
        <v>34572</v>
      </c>
      <c r="G11" s="119">
        <v>31.109589041095891</v>
      </c>
      <c r="H11" s="39" t="s">
        <v>385</v>
      </c>
      <c r="I11" s="119">
        <v>21.684931506849313</v>
      </c>
      <c r="J11" s="120">
        <v>70</v>
      </c>
      <c r="K11" s="120">
        <v>217</v>
      </c>
      <c r="L11" s="120">
        <v>4.59</v>
      </c>
      <c r="M11" s="55">
        <v>5</v>
      </c>
      <c r="N11" s="121">
        <v>0</v>
      </c>
      <c r="O11" s="122">
        <v>0</v>
      </c>
      <c r="P11" s="122">
        <v>0.25408306112925805</v>
      </c>
      <c r="Q11" s="122">
        <v>0.211443728685108</v>
      </c>
      <c r="R11" s="122">
        <v>0.27108582735592379</v>
      </c>
      <c r="S11" s="42">
        <v>0.27108582735592379</v>
      </c>
      <c r="T11" s="42">
        <v>0.27108582735592379</v>
      </c>
      <c r="U11" s="42">
        <v>3.6824877250409165E-3</v>
      </c>
      <c r="V11" s="42">
        <v>1.8355991510353928E-2</v>
      </c>
      <c r="W11" s="42">
        <v>1.8355991510353928E-2</v>
      </c>
      <c r="X11" s="43">
        <v>1.8355991510353928E-2</v>
      </c>
      <c r="Y11" s="44">
        <v>19.030136986301368</v>
      </c>
      <c r="Z11" s="45">
        <v>97.777513158483714</v>
      </c>
      <c r="AA11" s="45">
        <v>31.132857142857141</v>
      </c>
      <c r="AB11" s="45">
        <v>0.2140221402214022</v>
      </c>
      <c r="AC11" s="45">
        <v>5.8302583025830259</v>
      </c>
      <c r="AD11" s="45">
        <v>65.599999999999994</v>
      </c>
      <c r="AE11" s="45">
        <v>3.38</v>
      </c>
      <c r="AF11" s="46">
        <v>38.9</v>
      </c>
      <c r="AG11" s="128">
        <v>7</v>
      </c>
      <c r="AH11" s="49">
        <v>1</v>
      </c>
      <c r="AI11" s="49">
        <v>8</v>
      </c>
      <c r="AJ11" s="49">
        <v>4</v>
      </c>
      <c r="AK11" s="49">
        <v>6</v>
      </c>
      <c r="AL11" s="49">
        <v>4</v>
      </c>
      <c r="AM11" s="49">
        <v>4</v>
      </c>
      <c r="AN11" s="49">
        <v>4</v>
      </c>
      <c r="AO11" s="49">
        <v>3</v>
      </c>
      <c r="AP11" s="50">
        <v>1</v>
      </c>
      <c r="AQ11" s="56"/>
      <c r="AR11" s="57">
        <v>1</v>
      </c>
      <c r="AS11" s="57"/>
      <c r="AT11" s="57"/>
      <c r="AU11" s="57"/>
      <c r="AV11" s="57"/>
      <c r="AW11" s="57"/>
      <c r="AX11" s="57"/>
      <c r="AY11" s="57"/>
      <c r="AZ11" s="57"/>
      <c r="BA11" s="57"/>
      <c r="BB11" s="57">
        <v>1</v>
      </c>
      <c r="BC11" s="57"/>
      <c r="BD11" s="57"/>
      <c r="BE11" s="59"/>
      <c r="BF11" s="56"/>
      <c r="BG11" s="57">
        <v>1</v>
      </c>
      <c r="BH11" s="57"/>
      <c r="BI11" s="57"/>
      <c r="BJ11" s="57"/>
      <c r="BK11" s="57"/>
      <c r="BL11" s="57"/>
      <c r="BM11" s="57"/>
      <c r="BN11" s="57"/>
      <c r="BO11" s="57"/>
      <c r="BP11" s="57"/>
      <c r="BQ11" s="57">
        <v>1</v>
      </c>
      <c r="BR11" s="57"/>
      <c r="BS11" s="57"/>
      <c r="BT11" s="59"/>
      <c r="BU11" s="56">
        <v>1026</v>
      </c>
      <c r="BV11" s="57">
        <v>2504</v>
      </c>
      <c r="BW11" s="57">
        <v>4</v>
      </c>
      <c r="BX11" s="57">
        <v>14</v>
      </c>
      <c r="BY11" s="57"/>
      <c r="BZ11" s="57"/>
      <c r="CA11" s="129"/>
      <c r="CB11" s="129"/>
      <c r="CC11" s="58"/>
      <c r="CD11" s="129"/>
      <c r="CE11" s="57">
        <v>63</v>
      </c>
      <c r="CF11" s="57">
        <v>1782</v>
      </c>
      <c r="CG11" s="57">
        <v>11</v>
      </c>
      <c r="CH11" s="57">
        <v>0</v>
      </c>
      <c r="CI11" s="59">
        <v>15</v>
      </c>
      <c r="CJ11" s="51">
        <v>1107</v>
      </c>
      <c r="CK11" s="52">
        <v>2834</v>
      </c>
      <c r="CL11" s="52">
        <v>12</v>
      </c>
      <c r="CM11" s="52">
        <v>31.2</v>
      </c>
      <c r="CN11" s="52">
        <v>203</v>
      </c>
      <c r="CO11" s="52">
        <v>39</v>
      </c>
      <c r="CP11" s="52">
        <v>5.4532019704433496</v>
      </c>
      <c r="CQ11" s="52">
        <v>65.599999999999994</v>
      </c>
      <c r="CR11" s="53">
        <v>3.38</v>
      </c>
      <c r="CS11" s="52">
        <v>38</v>
      </c>
      <c r="CT11" s="52">
        <v>9</v>
      </c>
      <c r="CU11" s="52">
        <v>2444</v>
      </c>
      <c r="CV11" s="52">
        <v>3</v>
      </c>
      <c r="CW11" s="52">
        <v>0</v>
      </c>
      <c r="CX11" s="54">
        <v>20.8</v>
      </c>
      <c r="CY11" s="51">
        <v>1580</v>
      </c>
      <c r="CZ11" s="52">
        <v>2577.9</v>
      </c>
      <c r="DA11" s="52">
        <v>20</v>
      </c>
      <c r="DB11" s="52">
        <v>31.2</v>
      </c>
      <c r="DC11" s="52">
        <v>271</v>
      </c>
      <c r="DD11" s="52">
        <v>58</v>
      </c>
      <c r="DE11" s="52">
        <v>5.8302583025830259</v>
      </c>
      <c r="DF11" s="52">
        <v>63.5</v>
      </c>
      <c r="DG11" s="52">
        <v>3.01</v>
      </c>
      <c r="DH11" s="52">
        <v>38.9</v>
      </c>
      <c r="DI11" s="52">
        <v>64</v>
      </c>
      <c r="DJ11" s="52">
        <v>3486.6</v>
      </c>
      <c r="DK11" s="52">
        <v>13</v>
      </c>
      <c r="DL11" s="52">
        <v>0</v>
      </c>
      <c r="DM11" s="54">
        <v>31.2</v>
      </c>
      <c r="DN11" s="126"/>
      <c r="DO11" s="5">
        <v>9</v>
      </c>
      <c r="DP11" s="42" t="s">
        <v>411</v>
      </c>
      <c r="DQ11" s="7">
        <v>0.65</v>
      </c>
      <c r="DR11" s="131"/>
    </row>
    <row r="12" spans="1:123" x14ac:dyDescent="0.2">
      <c r="A12" s="33">
        <v>10</v>
      </c>
      <c r="B12" s="34" t="s">
        <v>458</v>
      </c>
      <c r="C12" s="116">
        <v>7.6999999999999993</v>
      </c>
      <c r="D12" s="117" t="s">
        <v>459</v>
      </c>
      <c r="E12" s="37">
        <v>5</v>
      </c>
      <c r="F12" s="118">
        <v>33751</v>
      </c>
      <c r="G12" s="119">
        <v>33.358904109589041</v>
      </c>
      <c r="H12" s="39" t="s">
        <v>389</v>
      </c>
      <c r="I12" s="119">
        <v>23.934246575342467</v>
      </c>
      <c r="J12" s="120">
        <v>71</v>
      </c>
      <c r="K12" s="120">
        <v>219</v>
      </c>
      <c r="L12" s="120">
        <v>4.5599999999999996</v>
      </c>
      <c r="M12" s="55">
        <v>4</v>
      </c>
      <c r="N12" s="121">
        <v>0</v>
      </c>
      <c r="O12" s="122">
        <v>0</v>
      </c>
      <c r="P12" s="122">
        <v>0</v>
      </c>
      <c r="Q12" s="122">
        <v>0.35756050185320992</v>
      </c>
      <c r="R12" s="122">
        <v>0.43360881542699725</v>
      </c>
      <c r="S12" s="42">
        <v>0.43360881542699725</v>
      </c>
      <c r="T12" s="42">
        <v>0.36856749311294768</v>
      </c>
      <c r="U12" s="42">
        <v>0.11906151511614335</v>
      </c>
      <c r="V12" s="42">
        <v>0.17630700778642935</v>
      </c>
      <c r="W12" s="42">
        <v>0.17630700778642935</v>
      </c>
      <c r="X12" s="43">
        <v>0.14986095661846494</v>
      </c>
      <c r="Y12" s="44">
        <v>22.279452054794522</v>
      </c>
      <c r="Z12" s="45">
        <v>101.30123495630592</v>
      </c>
      <c r="AA12" s="45">
        <v>30.540964094425711</v>
      </c>
      <c r="AB12" s="45">
        <v>0.21348314606741572</v>
      </c>
      <c r="AC12" s="45">
        <v>5.1477663230240553</v>
      </c>
      <c r="AD12" s="45">
        <v>71.7</v>
      </c>
      <c r="AE12" s="45">
        <v>3.18</v>
      </c>
      <c r="AF12" s="46">
        <v>34.9</v>
      </c>
      <c r="AG12" s="128">
        <v>10</v>
      </c>
      <c r="AH12" s="49">
        <v>10</v>
      </c>
      <c r="AI12" s="49">
        <v>1</v>
      </c>
      <c r="AJ12" s="49">
        <v>6</v>
      </c>
      <c r="AK12" s="49">
        <v>6</v>
      </c>
      <c r="AL12" s="49">
        <v>1</v>
      </c>
      <c r="AM12" s="49">
        <v>5</v>
      </c>
      <c r="AN12" s="49">
        <v>3</v>
      </c>
      <c r="AO12" s="49">
        <v>4</v>
      </c>
      <c r="AP12" s="50">
        <v>0</v>
      </c>
      <c r="AQ12" s="56"/>
      <c r="AR12" s="57">
        <v>1</v>
      </c>
      <c r="AS12" s="57"/>
      <c r="AT12" s="57"/>
      <c r="AU12" s="57"/>
      <c r="AV12" s="57"/>
      <c r="AW12" s="57"/>
      <c r="AX12" s="57"/>
      <c r="AY12" s="57"/>
      <c r="AZ12" s="57"/>
      <c r="BA12" s="57"/>
      <c r="BB12" s="57">
        <v>1</v>
      </c>
      <c r="BC12" s="57"/>
      <c r="BD12" s="57"/>
      <c r="BE12" s="59"/>
      <c r="BF12" s="56"/>
      <c r="BG12" s="57">
        <v>1</v>
      </c>
      <c r="BH12" s="57"/>
      <c r="BI12" s="57"/>
      <c r="BJ12" s="57"/>
      <c r="BK12" s="57"/>
      <c r="BL12" s="57"/>
      <c r="BM12" s="57"/>
      <c r="BN12" s="57"/>
      <c r="BO12" s="57"/>
      <c r="BP12" s="57"/>
      <c r="BQ12" s="57">
        <v>1</v>
      </c>
      <c r="BR12" s="57"/>
      <c r="BS12" s="57"/>
      <c r="BT12" s="59"/>
      <c r="BU12" s="56"/>
      <c r="BV12" s="57">
        <v>1</v>
      </c>
      <c r="BW12" s="57"/>
      <c r="BX12" s="57"/>
      <c r="BY12" s="57"/>
      <c r="BZ12" s="57"/>
      <c r="CA12" s="129"/>
      <c r="CB12" s="129"/>
      <c r="CC12" s="58"/>
      <c r="CD12" s="129"/>
      <c r="CE12" s="57"/>
      <c r="CF12" s="57">
        <v>1</v>
      </c>
      <c r="CG12" s="57"/>
      <c r="CH12" s="57"/>
      <c r="CI12" s="59"/>
      <c r="CJ12" s="51">
        <v>1498</v>
      </c>
      <c r="CK12" s="52">
        <v>2475.2000000000003</v>
      </c>
      <c r="CL12" s="52">
        <v>10</v>
      </c>
      <c r="CM12" s="52">
        <v>20.8</v>
      </c>
      <c r="CN12" s="52">
        <v>291</v>
      </c>
      <c r="CO12" s="52">
        <v>46</v>
      </c>
      <c r="CP12" s="52">
        <v>5.1477663230240553</v>
      </c>
      <c r="CQ12" s="52">
        <v>49.4</v>
      </c>
      <c r="CR12" s="53">
        <v>3.18</v>
      </c>
      <c r="CS12" s="52">
        <v>34.9</v>
      </c>
      <c r="CT12" s="52">
        <v>306</v>
      </c>
      <c r="CU12" s="52">
        <v>2570.1</v>
      </c>
      <c r="CV12" s="52">
        <v>43</v>
      </c>
      <c r="CW12" s="52">
        <v>2</v>
      </c>
      <c r="CX12" s="54">
        <v>19.5</v>
      </c>
      <c r="CY12" s="51">
        <v>1257</v>
      </c>
      <c r="CZ12" s="52">
        <v>1832</v>
      </c>
      <c r="DA12" s="52">
        <v>11</v>
      </c>
      <c r="DB12" s="52">
        <v>18</v>
      </c>
      <c r="DC12" s="52">
        <v>267</v>
      </c>
      <c r="DD12" s="52">
        <v>57</v>
      </c>
      <c r="DE12" s="52">
        <v>4.7078651685393256</v>
      </c>
      <c r="DF12" s="52">
        <v>71.7</v>
      </c>
      <c r="DG12" s="52">
        <v>3.07</v>
      </c>
      <c r="DH12" s="52">
        <v>24.6</v>
      </c>
      <c r="DI12" s="52">
        <v>317</v>
      </c>
      <c r="DJ12" s="52">
        <v>1798</v>
      </c>
      <c r="DK12" s="52">
        <v>37</v>
      </c>
      <c r="DL12" s="52">
        <v>0</v>
      </c>
      <c r="DM12" s="54">
        <v>12</v>
      </c>
      <c r="DN12" s="126"/>
      <c r="DO12" s="5">
        <v>10</v>
      </c>
      <c r="DP12" s="42" t="s">
        <v>414</v>
      </c>
      <c r="DQ12" s="7">
        <v>0.6</v>
      </c>
    </row>
    <row r="13" spans="1:123" x14ac:dyDescent="0.2">
      <c r="A13" s="33">
        <v>11</v>
      </c>
      <c r="B13" s="34" t="s">
        <v>460</v>
      </c>
      <c r="C13" s="116">
        <v>7.1222222222222218</v>
      </c>
      <c r="D13" s="117" t="s">
        <v>461</v>
      </c>
      <c r="E13" s="37">
        <v>3</v>
      </c>
      <c r="F13" s="118">
        <v>34022</v>
      </c>
      <c r="G13" s="119">
        <v>32.61643835616438</v>
      </c>
      <c r="H13" s="39" t="s">
        <v>389</v>
      </c>
      <c r="I13" s="119">
        <v>23.19178082191781</v>
      </c>
      <c r="J13" s="120">
        <v>68</v>
      </c>
      <c r="K13" s="120">
        <v>204</v>
      </c>
      <c r="L13" s="120">
        <v>4.49</v>
      </c>
      <c r="M13" s="55">
        <v>5</v>
      </c>
      <c r="N13" s="121">
        <v>8.411248052132031E-2</v>
      </c>
      <c r="O13" s="122">
        <v>0</v>
      </c>
      <c r="P13" s="122">
        <v>0.11725375081539464</v>
      </c>
      <c r="Q13" s="122">
        <v>0.23507240626859746</v>
      </c>
      <c r="R13" s="122">
        <v>0.24955200106192341</v>
      </c>
      <c r="S13" s="42">
        <v>0.24955200106192341</v>
      </c>
      <c r="T13" s="42">
        <v>0.22459680095573106</v>
      </c>
      <c r="U13" s="42">
        <v>7.7613215608088856E-2</v>
      </c>
      <c r="V13" s="42">
        <v>7.708159949272779E-2</v>
      </c>
      <c r="W13" s="42">
        <v>7.7347407550408323E-2</v>
      </c>
      <c r="X13" s="43">
        <v>6.9612666795367498E-2</v>
      </c>
      <c r="Y13" s="44">
        <v>21.536986301369861</v>
      </c>
      <c r="Z13" s="45">
        <v>100.38638127398181</v>
      </c>
      <c r="AA13" s="45">
        <v>31.014705882352942</v>
      </c>
      <c r="AB13" s="45">
        <v>0.28877005347593582</v>
      </c>
      <c r="AC13" s="45">
        <v>6.482608695652174</v>
      </c>
      <c r="AD13" s="45">
        <v>107.3</v>
      </c>
      <c r="AE13" s="45">
        <v>3.53</v>
      </c>
      <c r="AF13" s="46">
        <v>43.1</v>
      </c>
      <c r="AG13" s="128">
        <v>4</v>
      </c>
      <c r="AH13" s="49">
        <v>7</v>
      </c>
      <c r="AI13" s="49">
        <v>2</v>
      </c>
      <c r="AJ13" s="49">
        <v>5</v>
      </c>
      <c r="AK13" s="49">
        <v>9</v>
      </c>
      <c r="AL13" s="49">
        <v>6</v>
      </c>
      <c r="AM13" s="49">
        <v>8</v>
      </c>
      <c r="AN13" s="49">
        <v>5</v>
      </c>
      <c r="AO13" s="49">
        <v>3</v>
      </c>
      <c r="AP13" s="50">
        <v>0</v>
      </c>
      <c r="AQ13" s="56">
        <v>366</v>
      </c>
      <c r="AR13" s="57">
        <v>1502.4</v>
      </c>
      <c r="AS13" s="57">
        <v>3</v>
      </c>
      <c r="AT13" s="57">
        <v>20.399999999999999</v>
      </c>
      <c r="AU13" s="57"/>
      <c r="AV13" s="57"/>
      <c r="AW13" s="57"/>
      <c r="AX13" s="57"/>
      <c r="AY13" s="57"/>
      <c r="AZ13" s="57"/>
      <c r="BA13" s="57">
        <v>109</v>
      </c>
      <c r="BB13" s="57">
        <v>4144.7999999999993</v>
      </c>
      <c r="BC13" s="57">
        <v>19</v>
      </c>
      <c r="BD13" s="57">
        <v>0</v>
      </c>
      <c r="BE13" s="59">
        <v>31.200000000000003</v>
      </c>
      <c r="BF13" s="56"/>
      <c r="BG13" s="57">
        <v>1</v>
      </c>
      <c r="BH13" s="57"/>
      <c r="BI13" s="57"/>
      <c r="BJ13" s="57"/>
      <c r="BK13" s="57"/>
      <c r="BL13" s="57"/>
      <c r="BM13" s="57"/>
      <c r="BN13" s="57"/>
      <c r="BO13" s="57"/>
      <c r="BP13" s="57"/>
      <c r="BQ13" s="57">
        <v>1</v>
      </c>
      <c r="BR13" s="57"/>
      <c r="BS13" s="57"/>
      <c r="BT13" s="59"/>
      <c r="BU13" s="56">
        <v>450</v>
      </c>
      <c r="BV13" s="57">
        <v>1418.4</v>
      </c>
      <c r="BW13" s="57">
        <v>4</v>
      </c>
      <c r="BX13" s="57">
        <v>18</v>
      </c>
      <c r="BY13" s="57"/>
      <c r="BZ13" s="57"/>
      <c r="CA13" s="129"/>
      <c r="CB13" s="129"/>
      <c r="CC13" s="58"/>
      <c r="CD13" s="129"/>
      <c r="CE13" s="57">
        <v>269</v>
      </c>
      <c r="CF13" s="57">
        <v>4713.6000000000004</v>
      </c>
      <c r="CG13" s="57">
        <v>34</v>
      </c>
      <c r="CH13" s="57">
        <v>0</v>
      </c>
      <c r="CI13" s="59">
        <v>32.400000000000006</v>
      </c>
      <c r="CJ13" s="51">
        <v>1095</v>
      </c>
      <c r="CK13" s="52">
        <v>1836</v>
      </c>
      <c r="CL13" s="52">
        <v>2</v>
      </c>
      <c r="CM13" s="52">
        <v>8.3999999999999986</v>
      </c>
      <c r="CN13" s="52">
        <v>187</v>
      </c>
      <c r="CO13" s="52">
        <v>54</v>
      </c>
      <c r="CP13" s="52">
        <v>5.855614973262032</v>
      </c>
      <c r="CQ13" s="52">
        <v>107.3</v>
      </c>
      <c r="CR13" s="53">
        <v>3.53</v>
      </c>
      <c r="CS13" s="52">
        <v>32.1</v>
      </c>
      <c r="CT13" s="52">
        <v>327</v>
      </c>
      <c r="CU13" s="52">
        <v>4213.2000000000007</v>
      </c>
      <c r="CV13" s="52">
        <v>30</v>
      </c>
      <c r="CW13" s="52">
        <v>2</v>
      </c>
      <c r="CX13" s="54">
        <v>39.599999999999994</v>
      </c>
      <c r="CY13" s="51">
        <v>1491</v>
      </c>
      <c r="CZ13" s="52">
        <v>2486.9</v>
      </c>
      <c r="DA13" s="52">
        <v>14</v>
      </c>
      <c r="DB13" s="52">
        <v>33.800000000000004</v>
      </c>
      <c r="DC13" s="52">
        <v>230</v>
      </c>
      <c r="DD13" s="52">
        <v>55</v>
      </c>
      <c r="DE13" s="52">
        <v>6.482608695652174</v>
      </c>
      <c r="DF13" s="52">
        <v>86.1</v>
      </c>
      <c r="DG13" s="52">
        <v>3.48</v>
      </c>
      <c r="DH13" s="52">
        <v>43.1</v>
      </c>
      <c r="DI13" s="52">
        <v>389</v>
      </c>
      <c r="DJ13" s="52">
        <v>5046.5999999999995</v>
      </c>
      <c r="DK13" s="52">
        <v>41</v>
      </c>
      <c r="DL13" s="52">
        <v>2</v>
      </c>
      <c r="DM13" s="54">
        <v>39</v>
      </c>
      <c r="DN13" s="126"/>
      <c r="DO13" s="11">
        <v>11</v>
      </c>
      <c r="DP13" s="42" t="s">
        <v>417</v>
      </c>
      <c r="DQ13" s="7">
        <v>0.55000000000000004</v>
      </c>
    </row>
    <row r="14" spans="1:123" x14ac:dyDescent="0.2">
      <c r="A14" s="33">
        <v>12</v>
      </c>
      <c r="B14" s="34" t="s">
        <v>462</v>
      </c>
      <c r="C14" s="116">
        <v>7.0611111111111118</v>
      </c>
      <c r="D14" s="117" t="s">
        <v>463</v>
      </c>
      <c r="E14" s="37">
        <v>5</v>
      </c>
      <c r="F14" s="118">
        <v>34448</v>
      </c>
      <c r="G14" s="119">
        <v>31.449315068493149</v>
      </c>
      <c r="H14" s="39" t="s">
        <v>385</v>
      </c>
      <c r="I14" s="119">
        <v>22.024657534246575</v>
      </c>
      <c r="J14" s="120">
        <v>73</v>
      </c>
      <c r="K14" s="120">
        <v>220</v>
      </c>
      <c r="L14" s="120">
        <v>4.4400000000000004</v>
      </c>
      <c r="M14" s="55">
        <v>7</v>
      </c>
      <c r="N14" s="121">
        <v>0</v>
      </c>
      <c r="O14" s="122">
        <v>0</v>
      </c>
      <c r="P14" s="122">
        <v>6.1358629353822636E-2</v>
      </c>
      <c r="Q14" s="122">
        <v>0.15633967267617899</v>
      </c>
      <c r="R14" s="122">
        <v>0.18207196029776676</v>
      </c>
      <c r="S14" s="42">
        <v>0.18207196029776676</v>
      </c>
      <c r="T14" s="42">
        <v>0.15476116625310174</v>
      </c>
      <c r="U14" s="42">
        <v>3.61357782647138E-2</v>
      </c>
      <c r="V14" s="42">
        <v>0.16461120401337792</v>
      </c>
      <c r="W14" s="42">
        <v>0.16461120401337792</v>
      </c>
      <c r="X14" s="43">
        <v>0.13991952341137123</v>
      </c>
      <c r="Y14" s="44">
        <v>20.36986301369863</v>
      </c>
      <c r="Z14" s="45">
        <v>113.2193861811719</v>
      </c>
      <c r="AA14" s="45">
        <v>29.022330643647965</v>
      </c>
      <c r="AB14" s="45">
        <v>0.27659574468085107</v>
      </c>
      <c r="AC14" s="45">
        <v>5.7872340425531918</v>
      </c>
      <c r="AD14" s="45">
        <v>58.6</v>
      </c>
      <c r="AE14" s="45">
        <v>2.64</v>
      </c>
      <c r="AF14" s="46">
        <v>60.7</v>
      </c>
      <c r="AG14" s="128">
        <v>2</v>
      </c>
      <c r="AH14" s="49">
        <v>10</v>
      </c>
      <c r="AI14" s="49">
        <v>4</v>
      </c>
      <c r="AJ14" s="49">
        <v>9</v>
      </c>
      <c r="AK14" s="49">
        <v>9</v>
      </c>
      <c r="AL14" s="49">
        <v>3</v>
      </c>
      <c r="AM14" s="49">
        <v>3</v>
      </c>
      <c r="AN14" s="49">
        <v>1</v>
      </c>
      <c r="AO14" s="49">
        <v>1</v>
      </c>
      <c r="AP14" s="50">
        <v>0.75</v>
      </c>
      <c r="AQ14" s="56"/>
      <c r="AR14" s="57">
        <v>1</v>
      </c>
      <c r="AS14" s="57"/>
      <c r="AT14" s="57"/>
      <c r="AU14" s="57"/>
      <c r="AV14" s="57"/>
      <c r="AW14" s="57"/>
      <c r="AX14" s="57"/>
      <c r="AY14" s="57"/>
      <c r="AZ14" s="57"/>
      <c r="BA14" s="57"/>
      <c r="BB14" s="57">
        <v>1</v>
      </c>
      <c r="BC14" s="57"/>
      <c r="BD14" s="57"/>
      <c r="BE14" s="59"/>
      <c r="BF14" s="56"/>
      <c r="BG14" s="57">
        <v>1</v>
      </c>
      <c r="BH14" s="57"/>
      <c r="BI14" s="57"/>
      <c r="BJ14" s="57"/>
      <c r="BK14" s="57"/>
      <c r="BL14" s="57"/>
      <c r="BM14" s="57"/>
      <c r="BN14" s="57"/>
      <c r="BO14" s="57"/>
      <c r="BP14" s="57"/>
      <c r="BQ14" s="57">
        <v>1</v>
      </c>
      <c r="BR14" s="57"/>
      <c r="BS14" s="57"/>
      <c r="BT14" s="59"/>
      <c r="BU14" s="56">
        <v>332</v>
      </c>
      <c r="BV14" s="57">
        <v>2627.9</v>
      </c>
      <c r="BW14" s="57">
        <v>4</v>
      </c>
      <c r="BX14" s="57">
        <v>29.700000000000003</v>
      </c>
      <c r="BY14" s="57"/>
      <c r="BZ14" s="57"/>
      <c r="CA14" s="129"/>
      <c r="CB14" s="129"/>
      <c r="CC14" s="58"/>
      <c r="CD14" s="129"/>
      <c r="CE14" s="57">
        <v>5</v>
      </c>
      <c r="CF14" s="57">
        <v>2864.3999999999996</v>
      </c>
      <c r="CG14" s="57">
        <v>1</v>
      </c>
      <c r="CH14" s="57">
        <v>1</v>
      </c>
      <c r="CI14" s="59">
        <v>20.9</v>
      </c>
      <c r="CJ14" s="51">
        <v>696</v>
      </c>
      <c r="CK14" s="52">
        <v>2451.7999999999997</v>
      </c>
      <c r="CL14" s="52">
        <v>9</v>
      </c>
      <c r="CM14" s="52">
        <v>20.8</v>
      </c>
      <c r="CN14" s="52">
        <v>131</v>
      </c>
      <c r="CO14" s="52">
        <v>25</v>
      </c>
      <c r="CP14" s="52">
        <v>5.3129770992366412</v>
      </c>
      <c r="CQ14" s="52">
        <v>38</v>
      </c>
      <c r="CR14" s="53">
        <v>2.2200000000000002</v>
      </c>
      <c r="CS14" s="52">
        <v>43</v>
      </c>
      <c r="CT14" s="52">
        <v>94</v>
      </c>
      <c r="CU14" s="52">
        <v>2601.2999999999997</v>
      </c>
      <c r="CV14" s="52">
        <v>15</v>
      </c>
      <c r="CW14" s="52">
        <v>0</v>
      </c>
      <c r="CX14" s="54">
        <v>18.2</v>
      </c>
      <c r="CY14" s="51">
        <v>272</v>
      </c>
      <c r="CZ14" s="52">
        <v>1310.4000000000001</v>
      </c>
      <c r="DA14" s="52">
        <v>4</v>
      </c>
      <c r="DB14" s="52">
        <v>16.8</v>
      </c>
      <c r="DC14" s="52">
        <v>47</v>
      </c>
      <c r="DD14" s="52">
        <v>13</v>
      </c>
      <c r="DE14" s="52">
        <v>5.7872340425531918</v>
      </c>
      <c r="DF14" s="52">
        <v>58.6</v>
      </c>
      <c r="DG14" s="52">
        <v>2.64</v>
      </c>
      <c r="DH14" s="52">
        <v>60.7</v>
      </c>
      <c r="DI14" s="52">
        <v>315</v>
      </c>
      <c r="DJ14" s="52">
        <v>1913.6</v>
      </c>
      <c r="DK14" s="52">
        <v>25</v>
      </c>
      <c r="DL14" s="52">
        <v>3</v>
      </c>
      <c r="DM14" s="54">
        <v>10.4</v>
      </c>
      <c r="DN14" s="126"/>
      <c r="DO14" s="11">
        <v>12</v>
      </c>
      <c r="DP14" s="42" t="s">
        <v>420</v>
      </c>
      <c r="DQ14" s="7">
        <v>0.5</v>
      </c>
    </row>
    <row r="15" spans="1:123" x14ac:dyDescent="0.2">
      <c r="A15" s="33">
        <v>13</v>
      </c>
      <c r="B15" s="34" t="s">
        <v>464</v>
      </c>
      <c r="C15" s="116">
        <v>6.6333333333333337</v>
      </c>
      <c r="D15" s="117" t="s">
        <v>465</v>
      </c>
      <c r="E15" s="37">
        <v>3</v>
      </c>
      <c r="F15" s="118">
        <v>34354</v>
      </c>
      <c r="G15" s="119">
        <v>31.706849315068492</v>
      </c>
      <c r="H15" s="39" t="s">
        <v>385</v>
      </c>
      <c r="I15" s="119">
        <v>22.282191780821918</v>
      </c>
      <c r="J15" s="132">
        <v>71</v>
      </c>
      <c r="K15" s="132">
        <v>208</v>
      </c>
      <c r="L15" s="132">
        <v>4.47</v>
      </c>
      <c r="M15" s="55">
        <v>5</v>
      </c>
      <c r="N15" s="121">
        <v>0</v>
      </c>
      <c r="O15" s="122">
        <v>0</v>
      </c>
      <c r="P15" s="122">
        <v>7.1573398215733983E-2</v>
      </c>
      <c r="Q15" s="122">
        <v>0.1606796564779758</v>
      </c>
      <c r="R15" s="122">
        <v>0.2674748640977534</v>
      </c>
      <c r="S15" s="42">
        <v>0.2674748640977534</v>
      </c>
      <c r="T15" s="42">
        <v>0.24072737768797806</v>
      </c>
      <c r="U15" s="42">
        <v>7.9107012860956075E-2</v>
      </c>
      <c r="V15" s="42">
        <v>4.6796146199724727E-2</v>
      </c>
      <c r="W15" s="42">
        <v>6.2951579530340404E-2</v>
      </c>
      <c r="X15" s="43">
        <v>5.6656421577306368E-2</v>
      </c>
      <c r="Y15" s="44">
        <v>20.627397260273973</v>
      </c>
      <c r="Z15" s="45">
        <v>104.19892491456234</v>
      </c>
      <c r="AA15" s="45">
        <v>29.006943066851814</v>
      </c>
      <c r="AB15" s="45">
        <v>0.18487394957983194</v>
      </c>
      <c r="AC15" s="45">
        <v>6.3655462184873945</v>
      </c>
      <c r="AD15" s="45">
        <v>50</v>
      </c>
      <c r="AE15" s="45">
        <v>2.74</v>
      </c>
      <c r="AF15" s="46">
        <v>32.700000000000003</v>
      </c>
      <c r="AG15" s="128">
        <v>6</v>
      </c>
      <c r="AH15" s="49">
        <v>6</v>
      </c>
      <c r="AI15" s="49">
        <v>3</v>
      </c>
      <c r="AJ15" s="49">
        <v>7</v>
      </c>
      <c r="AK15" s="49">
        <v>5</v>
      </c>
      <c r="AL15" s="49">
        <v>5</v>
      </c>
      <c r="AM15" s="49">
        <v>3</v>
      </c>
      <c r="AN15" s="49">
        <v>1</v>
      </c>
      <c r="AO15" s="49">
        <v>3</v>
      </c>
      <c r="AP15" s="50">
        <v>0</v>
      </c>
      <c r="AQ15" s="56"/>
      <c r="AR15" s="57">
        <v>1</v>
      </c>
      <c r="AS15" s="57"/>
      <c r="AT15" s="57"/>
      <c r="AU15" s="57"/>
      <c r="AV15" s="57"/>
      <c r="AW15" s="57"/>
      <c r="AX15" s="57"/>
      <c r="AY15" s="57"/>
      <c r="AZ15" s="57"/>
      <c r="BA15" s="57"/>
      <c r="BB15" s="57">
        <v>1</v>
      </c>
      <c r="BC15" s="57"/>
      <c r="BD15" s="57"/>
      <c r="BE15" s="59"/>
      <c r="BF15" s="56"/>
      <c r="BG15" s="57">
        <v>1</v>
      </c>
      <c r="BH15" s="57"/>
      <c r="BI15" s="57"/>
      <c r="BJ15" s="57"/>
      <c r="BK15" s="57"/>
      <c r="BL15" s="57"/>
      <c r="BM15" s="57"/>
      <c r="BN15" s="57"/>
      <c r="BO15" s="57"/>
      <c r="BP15" s="57"/>
      <c r="BQ15" s="57">
        <v>1</v>
      </c>
      <c r="BR15" s="57"/>
      <c r="BS15" s="57"/>
      <c r="BT15" s="59"/>
      <c r="BU15" s="56">
        <v>221</v>
      </c>
      <c r="BV15" s="57">
        <v>1784</v>
      </c>
      <c r="BW15" s="57">
        <v>1</v>
      </c>
      <c r="BX15" s="57">
        <v>18</v>
      </c>
      <c r="BY15" s="57"/>
      <c r="BZ15" s="57"/>
      <c r="CA15" s="129"/>
      <c r="CB15" s="129"/>
      <c r="CC15" s="58"/>
      <c r="CD15" s="129"/>
      <c r="CE15" s="57">
        <v>132</v>
      </c>
      <c r="CF15" s="57">
        <v>3148</v>
      </c>
      <c r="CG15" s="57">
        <v>11</v>
      </c>
      <c r="CH15" s="57">
        <v>0</v>
      </c>
      <c r="CI15" s="59">
        <v>16</v>
      </c>
      <c r="CJ15" s="51">
        <v>718</v>
      </c>
      <c r="CK15" s="52">
        <v>2376.4</v>
      </c>
      <c r="CL15" s="52">
        <v>2</v>
      </c>
      <c r="CM15" s="52">
        <v>18.2</v>
      </c>
      <c r="CN15" s="52">
        <v>148</v>
      </c>
      <c r="CO15" s="52">
        <v>17</v>
      </c>
      <c r="CP15" s="52">
        <v>4.8513513513513518</v>
      </c>
      <c r="CQ15" s="52">
        <v>35.1</v>
      </c>
      <c r="CR15" s="53">
        <v>2.42</v>
      </c>
      <c r="CS15" s="52">
        <v>21.2</v>
      </c>
      <c r="CT15" s="52">
        <v>326</v>
      </c>
      <c r="CU15" s="52">
        <v>4121</v>
      </c>
      <c r="CV15" s="52">
        <v>31</v>
      </c>
      <c r="CW15" s="52">
        <v>0</v>
      </c>
      <c r="CX15" s="54">
        <v>26</v>
      </c>
      <c r="CY15" s="51">
        <v>1515</v>
      </c>
      <c r="CZ15" s="52">
        <v>2966.6</v>
      </c>
      <c r="DA15" s="52">
        <v>9</v>
      </c>
      <c r="DB15" s="52">
        <v>24.7</v>
      </c>
      <c r="DC15" s="52">
        <v>238</v>
      </c>
      <c r="DD15" s="52">
        <v>44</v>
      </c>
      <c r="DE15" s="52">
        <v>6.3655462184873945</v>
      </c>
      <c r="DF15" s="52">
        <v>50</v>
      </c>
      <c r="DG15" s="52">
        <v>2.74</v>
      </c>
      <c r="DH15" s="52">
        <v>32.700000000000003</v>
      </c>
      <c r="DI15" s="52">
        <v>153</v>
      </c>
      <c r="DJ15" s="52">
        <v>3269.5</v>
      </c>
      <c r="DK15" s="52">
        <v>25</v>
      </c>
      <c r="DL15" s="52">
        <v>0</v>
      </c>
      <c r="DM15" s="54">
        <v>26</v>
      </c>
      <c r="DN15" s="126"/>
      <c r="DO15" s="11"/>
      <c r="DP15" s="42"/>
    </row>
    <row r="16" spans="1:123" x14ac:dyDescent="0.2">
      <c r="A16" s="33">
        <v>14</v>
      </c>
      <c r="B16" s="34" t="s">
        <v>467</v>
      </c>
      <c r="C16" s="116">
        <v>6.2888888888888879</v>
      </c>
      <c r="D16" s="117" t="s">
        <v>468</v>
      </c>
      <c r="E16" s="37">
        <v>7</v>
      </c>
      <c r="F16" s="118">
        <v>34249</v>
      </c>
      <c r="G16" s="119">
        <v>31.994520547945207</v>
      </c>
      <c r="H16" s="39" t="s">
        <v>469</v>
      </c>
      <c r="I16" s="119">
        <v>22.56986301369863</v>
      </c>
      <c r="J16" s="120">
        <v>70</v>
      </c>
      <c r="K16" s="120">
        <v>192</v>
      </c>
      <c r="L16" s="120">
        <v>4.41</v>
      </c>
      <c r="M16" s="55">
        <v>4</v>
      </c>
      <c r="N16" s="121">
        <v>2.7293537594646939E-2</v>
      </c>
      <c r="O16" s="122">
        <v>8.242442352706808E-2</v>
      </c>
      <c r="P16" s="122">
        <v>4.0543279951348061E-3</v>
      </c>
      <c r="Q16" s="122">
        <v>0.25010561892691169</v>
      </c>
      <c r="R16" s="122">
        <v>0.36883531693220273</v>
      </c>
      <c r="S16" s="42">
        <v>0.36883531693220273</v>
      </c>
      <c r="T16" s="42">
        <v>0.23974295600593179</v>
      </c>
      <c r="U16" s="42">
        <v>0.10005265929436546</v>
      </c>
      <c r="V16" s="42">
        <v>0.11519378231150897</v>
      </c>
      <c r="W16" s="42">
        <v>0.11519378231150897</v>
      </c>
      <c r="X16" s="43">
        <v>7.4875958502480827E-2</v>
      </c>
      <c r="Y16" s="44">
        <v>20.915068493150685</v>
      </c>
      <c r="Z16" s="45">
        <v>101.52590430430308</v>
      </c>
      <c r="AA16" s="45">
        <v>27.546122448979592</v>
      </c>
      <c r="AB16" s="45">
        <v>0.1858974358974359</v>
      </c>
      <c r="AC16" s="45">
        <v>5.6410256410256414</v>
      </c>
      <c r="AD16" s="45">
        <v>63.3</v>
      </c>
      <c r="AE16" s="45">
        <v>3.06</v>
      </c>
      <c r="AF16" s="46">
        <v>43.6</v>
      </c>
      <c r="AG16" s="128">
        <v>5</v>
      </c>
      <c r="AH16" s="49">
        <v>7</v>
      </c>
      <c r="AI16" s="49">
        <v>3</v>
      </c>
      <c r="AJ16" s="49">
        <v>6</v>
      </c>
      <c r="AK16" s="49">
        <v>5</v>
      </c>
      <c r="AL16" s="49">
        <v>3</v>
      </c>
      <c r="AM16" s="49">
        <v>4</v>
      </c>
      <c r="AN16" s="49">
        <v>3</v>
      </c>
      <c r="AO16" s="49">
        <v>4</v>
      </c>
      <c r="AP16" s="50">
        <v>0</v>
      </c>
      <c r="AQ16" s="56">
        <v>107</v>
      </c>
      <c r="AR16" s="57">
        <v>1221.5999999999999</v>
      </c>
      <c r="AS16" s="57">
        <v>1</v>
      </c>
      <c r="AT16" s="57">
        <v>16.799999999999997</v>
      </c>
      <c r="AU16" s="57"/>
      <c r="AV16" s="57"/>
      <c r="AW16" s="57"/>
      <c r="AX16" s="57"/>
      <c r="AY16" s="57"/>
      <c r="AZ16" s="57"/>
      <c r="BA16" s="57">
        <v>17</v>
      </c>
      <c r="BB16" s="57">
        <v>3321.6000000000004</v>
      </c>
      <c r="BC16" s="57">
        <v>3</v>
      </c>
      <c r="BD16" s="57">
        <v>0</v>
      </c>
      <c r="BE16" s="59">
        <v>13.200000000000001</v>
      </c>
      <c r="BF16" s="56">
        <v>205</v>
      </c>
      <c r="BG16" s="57">
        <v>1021.5</v>
      </c>
      <c r="BH16" s="57">
        <v>1</v>
      </c>
      <c r="BI16" s="57">
        <v>11.700000000000001</v>
      </c>
      <c r="BJ16" s="57"/>
      <c r="BK16" s="57"/>
      <c r="BL16" s="57"/>
      <c r="BM16" s="57"/>
      <c r="BN16" s="57"/>
      <c r="BO16" s="57"/>
      <c r="BP16" s="57">
        <v>126</v>
      </c>
      <c r="BQ16" s="57">
        <v>2994.2999999999997</v>
      </c>
      <c r="BR16" s="57">
        <v>10</v>
      </c>
      <c r="BS16" s="57">
        <v>1</v>
      </c>
      <c r="BT16" s="59">
        <v>24.3</v>
      </c>
      <c r="BU16" s="56">
        <v>2</v>
      </c>
      <c r="BV16" s="57">
        <v>137.30000000000001</v>
      </c>
      <c r="BW16" s="57">
        <v>0</v>
      </c>
      <c r="BX16" s="57">
        <v>1</v>
      </c>
      <c r="BY16" s="57"/>
      <c r="BZ16" s="57"/>
      <c r="CA16" s="129"/>
      <c r="CB16" s="129"/>
      <c r="CC16" s="58"/>
      <c r="CD16" s="129"/>
      <c r="CE16" s="57">
        <v>0</v>
      </c>
      <c r="CF16" s="57">
        <v>356</v>
      </c>
      <c r="CG16" s="57"/>
      <c r="CH16" s="57"/>
      <c r="CI16" s="59">
        <v>2.8</v>
      </c>
      <c r="CJ16" s="51">
        <v>880</v>
      </c>
      <c r="CK16" s="52">
        <v>1695.6000000000001</v>
      </c>
      <c r="CL16" s="52">
        <v>4</v>
      </c>
      <c r="CM16" s="52">
        <v>10.8</v>
      </c>
      <c r="CN16" s="52">
        <v>156</v>
      </c>
      <c r="CO16" s="52">
        <v>29</v>
      </c>
      <c r="CP16" s="52">
        <v>5.6410256410256414</v>
      </c>
      <c r="CQ16" s="52">
        <v>63.3</v>
      </c>
      <c r="CR16" s="53">
        <v>3.06</v>
      </c>
      <c r="CS16" s="52">
        <v>43.6</v>
      </c>
      <c r="CT16" s="52">
        <v>304</v>
      </c>
      <c r="CU16" s="52">
        <v>3038.3999999999996</v>
      </c>
      <c r="CV16" s="52">
        <v>28</v>
      </c>
      <c r="CW16" s="52">
        <v>1</v>
      </c>
      <c r="CX16" s="54">
        <v>15.600000000000001</v>
      </c>
      <c r="CY16" s="51">
        <v>1608</v>
      </c>
      <c r="CZ16" s="52">
        <v>2377.7000000000003</v>
      </c>
      <c r="DA16" s="52">
        <v>13</v>
      </c>
      <c r="DB16" s="52">
        <v>23.400000000000002</v>
      </c>
      <c r="DC16" s="52">
        <v>293</v>
      </c>
      <c r="DD16" s="52">
        <v>43</v>
      </c>
      <c r="DE16" s="52">
        <v>5.4880546075085324</v>
      </c>
      <c r="DF16" s="52">
        <v>41.4</v>
      </c>
      <c r="DG16" s="52">
        <v>2.75</v>
      </c>
      <c r="DH16" s="52">
        <v>41.7</v>
      </c>
      <c r="DI16" s="52">
        <v>332</v>
      </c>
      <c r="DJ16" s="52">
        <v>2882.1</v>
      </c>
      <c r="DK16" s="52">
        <v>46</v>
      </c>
      <c r="DL16" s="52">
        <v>2</v>
      </c>
      <c r="DM16" s="54">
        <v>20.8</v>
      </c>
      <c r="DN16" s="126"/>
      <c r="DO16" s="11"/>
      <c r="DP16" s="42"/>
    </row>
    <row r="17" spans="1:117" x14ac:dyDescent="0.2">
      <c r="A17" s="33">
        <v>15</v>
      </c>
      <c r="B17" s="34" t="s">
        <v>466</v>
      </c>
      <c r="C17" s="116">
        <v>6.2444444444444445</v>
      </c>
      <c r="D17" s="117" t="s">
        <v>424</v>
      </c>
      <c r="E17" s="37">
        <v>1</v>
      </c>
      <c r="F17" s="118">
        <v>34240</v>
      </c>
      <c r="G17" s="119">
        <v>32.019178082191779</v>
      </c>
      <c r="H17" s="39" t="s">
        <v>385</v>
      </c>
      <c r="I17" s="119">
        <v>22.594520547945205</v>
      </c>
      <c r="J17" s="120">
        <v>70</v>
      </c>
      <c r="K17" s="120">
        <v>207</v>
      </c>
      <c r="L17" s="120">
        <v>4.5999999999999996</v>
      </c>
      <c r="M17" s="55">
        <v>6</v>
      </c>
      <c r="N17" s="121">
        <v>0</v>
      </c>
      <c r="O17" s="122">
        <v>0</v>
      </c>
      <c r="P17" s="122">
        <v>0.19120794302354138</v>
      </c>
      <c r="Q17" s="122">
        <v>0.12626949582879943</v>
      </c>
      <c r="R17" s="122">
        <v>0.25210084033613445</v>
      </c>
      <c r="S17" s="42">
        <v>0.25210084033613445</v>
      </c>
      <c r="T17" s="42">
        <v>0.25210084033613445</v>
      </c>
      <c r="U17" s="42">
        <v>-3.7057624606262737E-3</v>
      </c>
      <c r="V17" s="42">
        <v>5.4201477594421045E-2</v>
      </c>
      <c r="W17" s="42">
        <v>5.4201477594421045E-2</v>
      </c>
      <c r="X17" s="43">
        <v>5.4201477594421045E-2</v>
      </c>
      <c r="Y17" s="44">
        <v>19.93972602739726</v>
      </c>
      <c r="Z17" s="45">
        <v>92.463220185748369</v>
      </c>
      <c r="AA17" s="45">
        <v>29.698163265306121</v>
      </c>
      <c r="AB17" s="45">
        <v>0.18604651162790697</v>
      </c>
      <c r="AC17" s="45">
        <v>4.8706896551724137</v>
      </c>
      <c r="AD17" s="45">
        <v>53.8</v>
      </c>
      <c r="AE17" s="45">
        <v>2.52</v>
      </c>
      <c r="AF17" s="46">
        <v>35.4</v>
      </c>
      <c r="AG17" s="128">
        <v>6</v>
      </c>
      <c r="AH17" s="49">
        <v>6</v>
      </c>
      <c r="AI17" s="49">
        <v>5</v>
      </c>
      <c r="AJ17" s="49">
        <v>2</v>
      </c>
      <c r="AK17" s="49">
        <v>5</v>
      </c>
      <c r="AL17" s="49">
        <v>0</v>
      </c>
      <c r="AM17" s="49">
        <v>3</v>
      </c>
      <c r="AN17" s="49">
        <v>1</v>
      </c>
      <c r="AO17" s="49">
        <v>2</v>
      </c>
      <c r="AP17" s="50">
        <v>1</v>
      </c>
      <c r="AQ17" s="56"/>
      <c r="AR17" s="57">
        <v>1</v>
      </c>
      <c r="AS17" s="57"/>
      <c r="AT17" s="57"/>
      <c r="AU17" s="57"/>
      <c r="AV17" s="57"/>
      <c r="AW17" s="57"/>
      <c r="AX17" s="57"/>
      <c r="AY17" s="57"/>
      <c r="AZ17" s="57"/>
      <c r="BA17" s="57"/>
      <c r="BB17" s="57">
        <v>1</v>
      </c>
      <c r="BC17" s="57"/>
      <c r="BD17" s="57"/>
      <c r="BE17" s="59"/>
      <c r="BF17" s="56"/>
      <c r="BG17" s="57">
        <v>1</v>
      </c>
      <c r="BH17" s="57"/>
      <c r="BI17" s="57"/>
      <c r="BJ17" s="57"/>
      <c r="BK17" s="57"/>
      <c r="BL17" s="57"/>
      <c r="BM17" s="57"/>
      <c r="BN17" s="57"/>
      <c r="BO17" s="57"/>
      <c r="BP17" s="57"/>
      <c r="BQ17" s="57">
        <v>1</v>
      </c>
      <c r="BR17" s="57"/>
      <c r="BS17" s="57"/>
      <c r="BT17" s="59"/>
      <c r="BU17" s="56">
        <v>508</v>
      </c>
      <c r="BV17" s="57">
        <v>1312.2</v>
      </c>
      <c r="BW17" s="57">
        <v>4</v>
      </c>
      <c r="BX17" s="57">
        <v>10.799999999999999</v>
      </c>
      <c r="BY17" s="57"/>
      <c r="BZ17" s="57"/>
      <c r="CA17" s="129"/>
      <c r="CB17" s="129"/>
      <c r="CC17" s="58"/>
      <c r="CD17" s="129"/>
      <c r="CE17" s="57">
        <v>37</v>
      </c>
      <c r="CF17" s="57">
        <v>1538.1000000000001</v>
      </c>
      <c r="CG17" s="57">
        <v>5</v>
      </c>
      <c r="CH17" s="57">
        <v>0</v>
      </c>
      <c r="CI17" s="59">
        <v>8.1</v>
      </c>
      <c r="CJ17" s="51">
        <v>565</v>
      </c>
      <c r="CK17" s="52">
        <v>2252.3999999999996</v>
      </c>
      <c r="CL17" s="52">
        <v>6</v>
      </c>
      <c r="CM17" s="52">
        <v>21.6</v>
      </c>
      <c r="CN17" s="52">
        <v>116</v>
      </c>
      <c r="CO17" s="52">
        <v>20</v>
      </c>
      <c r="CP17" s="52">
        <v>4.8706896551724137</v>
      </c>
      <c r="CQ17" s="52">
        <v>34.1</v>
      </c>
      <c r="CR17" s="53">
        <v>1.91</v>
      </c>
      <c r="CS17" s="52">
        <v>35.4</v>
      </c>
      <c r="CT17" s="52">
        <v>-8</v>
      </c>
      <c r="CU17" s="52">
        <v>2158.8000000000002</v>
      </c>
      <c r="CV17" s="52">
        <v>2</v>
      </c>
      <c r="CW17" s="52">
        <v>0</v>
      </c>
      <c r="CX17" s="54">
        <v>18</v>
      </c>
      <c r="CY17" s="51">
        <v>1025</v>
      </c>
      <c r="CZ17" s="52">
        <v>1792</v>
      </c>
      <c r="DA17" s="52">
        <v>13</v>
      </c>
      <c r="DB17" s="52">
        <v>19.599999999999998</v>
      </c>
      <c r="DC17" s="52">
        <v>258</v>
      </c>
      <c r="DD17" s="52">
        <v>48</v>
      </c>
      <c r="DE17" s="52">
        <v>3.9728682170542635</v>
      </c>
      <c r="DF17" s="52">
        <v>53.8</v>
      </c>
      <c r="DG17" s="52">
        <v>2.52</v>
      </c>
      <c r="DH17" s="52">
        <v>32.299999999999997</v>
      </c>
      <c r="DI17" s="52">
        <v>157</v>
      </c>
      <c r="DJ17" s="52">
        <v>2896.6</v>
      </c>
      <c r="DK17" s="52">
        <v>18</v>
      </c>
      <c r="DL17" s="52">
        <v>0</v>
      </c>
      <c r="DM17" s="54">
        <v>19.599999999999998</v>
      </c>
    </row>
    <row r="18" spans="1:117" x14ac:dyDescent="0.2">
      <c r="A18" s="33">
        <v>16</v>
      </c>
      <c r="B18" s="34" t="s">
        <v>470</v>
      </c>
      <c r="C18" s="116">
        <v>6.0555555555555554</v>
      </c>
      <c r="D18" s="117" t="s">
        <v>471</v>
      </c>
      <c r="E18" s="37">
        <v>2</v>
      </c>
      <c r="F18" s="118">
        <v>34112</v>
      </c>
      <c r="G18" s="119">
        <v>32.369863013698627</v>
      </c>
      <c r="H18" s="39" t="s">
        <v>469</v>
      </c>
      <c r="I18" s="119">
        <v>22.945205479452056</v>
      </c>
      <c r="J18" s="120">
        <v>69</v>
      </c>
      <c r="K18" s="120">
        <v>198</v>
      </c>
      <c r="L18" s="120">
        <v>4.4800000000000004</v>
      </c>
      <c r="M18" s="55">
        <v>0</v>
      </c>
      <c r="N18" s="121">
        <v>6.1849873488895139E-2</v>
      </c>
      <c r="O18" s="122">
        <v>0.18981793661496965</v>
      </c>
      <c r="P18" s="122">
        <v>0.25664062500000001</v>
      </c>
      <c r="Q18" s="122">
        <v>0.24356531026827788</v>
      </c>
      <c r="R18" s="122">
        <v>0.29514354708881135</v>
      </c>
      <c r="S18" s="42">
        <v>0.29514354708881135</v>
      </c>
      <c r="T18" s="42">
        <v>0.29514354708881135</v>
      </c>
      <c r="U18" s="42">
        <v>0.13148980723039971</v>
      </c>
      <c r="V18" s="42">
        <v>0.12873185428649686</v>
      </c>
      <c r="W18" s="42">
        <v>0.13011083075844829</v>
      </c>
      <c r="X18" s="43">
        <v>0.13011083075844829</v>
      </c>
      <c r="Y18" s="44">
        <v>19.290410958904111</v>
      </c>
      <c r="Z18" s="45">
        <v>98.306702753247322</v>
      </c>
      <c r="AA18" s="45">
        <v>29.236294896030248</v>
      </c>
      <c r="AB18" s="45">
        <v>0.20155038759689922</v>
      </c>
      <c r="AC18" s="45">
        <v>5.4883720930232558</v>
      </c>
      <c r="AD18" s="45">
        <v>69.2</v>
      </c>
      <c r="AE18" s="45">
        <v>3.02</v>
      </c>
      <c r="AF18" s="46">
        <v>48.2</v>
      </c>
      <c r="AG18" s="128">
        <v>8</v>
      </c>
      <c r="AH18" s="49">
        <v>9</v>
      </c>
      <c r="AI18" s="49">
        <v>7</v>
      </c>
      <c r="AJ18" s="49">
        <v>4</v>
      </c>
      <c r="AK18" s="49">
        <v>6</v>
      </c>
      <c r="AL18" s="49">
        <v>2</v>
      </c>
      <c r="AM18" s="49">
        <v>4</v>
      </c>
      <c r="AN18" s="49">
        <v>3</v>
      </c>
      <c r="AO18" s="49">
        <v>0</v>
      </c>
      <c r="AP18" s="50">
        <v>0.25</v>
      </c>
      <c r="AQ18" s="56">
        <v>52</v>
      </c>
      <c r="AR18" s="57">
        <v>515.09999999999991</v>
      </c>
      <c r="AS18" s="57">
        <v>0</v>
      </c>
      <c r="AT18" s="57">
        <v>4.8000000000000007</v>
      </c>
      <c r="AU18" s="57"/>
      <c r="AV18" s="57"/>
      <c r="AW18" s="57"/>
      <c r="AX18" s="57"/>
      <c r="AY18" s="57"/>
      <c r="AZ18" s="57"/>
      <c r="BA18" s="57">
        <v>14</v>
      </c>
      <c r="BB18" s="57">
        <v>552</v>
      </c>
      <c r="BC18" s="57">
        <v>2</v>
      </c>
      <c r="BD18" s="57">
        <v>0</v>
      </c>
      <c r="BE18" s="59">
        <v>3.3000000000000003</v>
      </c>
      <c r="BF18" s="56">
        <v>312</v>
      </c>
      <c r="BG18" s="57">
        <v>1278</v>
      </c>
      <c r="BH18" s="57">
        <v>0</v>
      </c>
      <c r="BI18" s="57">
        <v>10</v>
      </c>
      <c r="BJ18" s="57"/>
      <c r="BK18" s="57"/>
      <c r="BL18" s="57"/>
      <c r="BM18" s="57"/>
      <c r="BN18" s="57"/>
      <c r="BO18" s="57"/>
      <c r="BP18" s="57">
        <v>251</v>
      </c>
      <c r="BQ18" s="57">
        <v>1688</v>
      </c>
      <c r="BR18" s="57">
        <v>29</v>
      </c>
      <c r="BS18" s="57">
        <v>0</v>
      </c>
      <c r="BT18" s="59">
        <v>9</v>
      </c>
      <c r="BU18" s="56">
        <v>779</v>
      </c>
      <c r="BV18" s="57">
        <v>1668</v>
      </c>
      <c r="BW18" s="57">
        <v>7</v>
      </c>
      <c r="BX18" s="57">
        <v>19</v>
      </c>
      <c r="BY18" s="57"/>
      <c r="BZ18" s="57"/>
      <c r="CA18" s="129"/>
      <c r="CB18" s="129"/>
      <c r="CC18" s="58"/>
      <c r="CD18" s="129"/>
      <c r="CE18" s="57">
        <v>535</v>
      </c>
      <c r="CF18" s="57">
        <v>3452</v>
      </c>
      <c r="CG18" s="57">
        <v>50</v>
      </c>
      <c r="CH18" s="57">
        <v>4</v>
      </c>
      <c r="CI18" s="59">
        <v>23</v>
      </c>
      <c r="CJ18" s="51">
        <v>736</v>
      </c>
      <c r="CK18" s="52">
        <v>1527.5</v>
      </c>
      <c r="CL18" s="52">
        <v>8</v>
      </c>
      <c r="CM18" s="52">
        <v>15.6</v>
      </c>
      <c r="CN18" s="52">
        <v>143</v>
      </c>
      <c r="CO18" s="52">
        <v>24</v>
      </c>
      <c r="CP18" s="52">
        <v>5.1468531468531467</v>
      </c>
      <c r="CQ18" s="52">
        <v>42.9</v>
      </c>
      <c r="CR18" s="53">
        <v>2.59</v>
      </c>
      <c r="CS18" s="52">
        <v>48.2</v>
      </c>
      <c r="CT18" s="52">
        <v>427</v>
      </c>
      <c r="CU18" s="52">
        <v>3247.4</v>
      </c>
      <c r="CV18" s="52">
        <v>50</v>
      </c>
      <c r="CW18" s="52">
        <v>2</v>
      </c>
      <c r="CX18" s="54">
        <v>24.7</v>
      </c>
      <c r="CY18" s="51">
        <v>708</v>
      </c>
      <c r="CZ18" s="52">
        <v>1163.7</v>
      </c>
      <c r="DA18" s="52">
        <v>3</v>
      </c>
      <c r="DB18" s="52">
        <v>9.9</v>
      </c>
      <c r="DC18" s="52">
        <v>129</v>
      </c>
      <c r="DD18" s="52">
        <v>26</v>
      </c>
      <c r="DE18" s="52">
        <v>5.4883720930232558</v>
      </c>
      <c r="DF18" s="52">
        <v>69.2</v>
      </c>
      <c r="DG18" s="52">
        <v>3.02</v>
      </c>
      <c r="DH18" s="52">
        <v>45.5</v>
      </c>
      <c r="DI18" s="52">
        <v>282</v>
      </c>
      <c r="DJ18" s="52">
        <v>2190.6</v>
      </c>
      <c r="DK18" s="52">
        <v>37</v>
      </c>
      <c r="DL18" s="52">
        <v>2</v>
      </c>
      <c r="DM18" s="54">
        <v>11.700000000000001</v>
      </c>
    </row>
    <row r="19" spans="1:117" x14ac:dyDescent="0.2">
      <c r="A19" s="33">
        <v>17</v>
      </c>
      <c r="B19" s="34" t="s">
        <v>472</v>
      </c>
      <c r="C19" s="116">
        <v>5.1888888888888891</v>
      </c>
      <c r="D19" s="117" t="s">
        <v>473</v>
      </c>
      <c r="E19" s="37">
        <v>3</v>
      </c>
      <c r="F19" s="118">
        <v>34295</v>
      </c>
      <c r="G19" s="119">
        <v>31.86849315068493</v>
      </c>
      <c r="H19" s="39" t="s">
        <v>389</v>
      </c>
      <c r="I19" s="119">
        <v>22.443835616438356</v>
      </c>
      <c r="J19" s="120">
        <v>71</v>
      </c>
      <c r="K19" s="120">
        <v>198</v>
      </c>
      <c r="L19" s="120">
        <v>4.57</v>
      </c>
      <c r="M19" s="55">
        <v>0</v>
      </c>
      <c r="N19" s="121">
        <v>0</v>
      </c>
      <c r="O19" s="122">
        <v>0.16989567809239942</v>
      </c>
      <c r="P19" s="122">
        <v>0.18025616994689159</v>
      </c>
      <c r="Q19" s="122">
        <v>0.30730969234247552</v>
      </c>
      <c r="R19" s="122">
        <v>0.1360215313703686</v>
      </c>
      <c r="S19" s="42">
        <v>0.22166561185642206</v>
      </c>
      <c r="T19" s="42">
        <v>0.19949905067077986</v>
      </c>
      <c r="U19" s="42">
        <v>0.19350302348474194</v>
      </c>
      <c r="V19" s="42">
        <v>0.14559979384099986</v>
      </c>
      <c r="W19" s="42">
        <v>0.16955140866287088</v>
      </c>
      <c r="X19" s="43">
        <v>0.15259626779658381</v>
      </c>
      <c r="Y19" s="44">
        <v>18.789041095890411</v>
      </c>
      <c r="Z19" s="45">
        <v>90.788404854999158</v>
      </c>
      <c r="AA19" s="45">
        <v>27.612378496330095</v>
      </c>
      <c r="AB19" s="45">
        <v>0.18181818181818182</v>
      </c>
      <c r="AC19" s="45">
        <v>5.5333333333333332</v>
      </c>
      <c r="AD19" s="45">
        <v>50.7</v>
      </c>
      <c r="AE19" s="45">
        <v>2.74</v>
      </c>
      <c r="AF19" s="46">
        <v>43.3</v>
      </c>
      <c r="AG19" s="128">
        <v>3</v>
      </c>
      <c r="AH19" s="49">
        <v>10</v>
      </c>
      <c r="AI19" s="49">
        <v>9</v>
      </c>
      <c r="AJ19" s="49">
        <v>2</v>
      </c>
      <c r="AK19" s="49">
        <v>5</v>
      </c>
      <c r="AL19" s="49">
        <v>3</v>
      </c>
      <c r="AM19" s="49">
        <v>3</v>
      </c>
      <c r="AN19" s="49">
        <v>1</v>
      </c>
      <c r="AO19" s="49">
        <v>0</v>
      </c>
      <c r="AP19" s="50">
        <v>0.25</v>
      </c>
      <c r="AQ19" s="56"/>
      <c r="AR19" s="57">
        <v>1</v>
      </c>
      <c r="AS19" s="57"/>
      <c r="AT19" s="57"/>
      <c r="AU19" s="57"/>
      <c r="AV19" s="57"/>
      <c r="AW19" s="57"/>
      <c r="AX19" s="57"/>
      <c r="AY19" s="57"/>
      <c r="AZ19" s="57"/>
      <c r="BA19" s="57"/>
      <c r="BB19" s="57">
        <v>1</v>
      </c>
      <c r="BC19" s="57"/>
      <c r="BD19" s="57"/>
      <c r="BE19" s="59"/>
      <c r="BF19" s="56">
        <v>493</v>
      </c>
      <c r="BG19" s="57">
        <v>2670</v>
      </c>
      <c r="BH19" s="57">
        <v>2</v>
      </c>
      <c r="BI19" s="57">
        <v>27</v>
      </c>
      <c r="BJ19" s="57"/>
      <c r="BK19" s="57"/>
      <c r="BL19" s="57"/>
      <c r="BM19" s="57"/>
      <c r="BN19" s="57"/>
      <c r="BO19" s="57"/>
      <c r="BP19" s="57">
        <v>533</v>
      </c>
      <c r="BQ19" s="57">
        <v>3369</v>
      </c>
      <c r="BR19" s="57">
        <v>38</v>
      </c>
      <c r="BS19" s="57">
        <v>4</v>
      </c>
      <c r="BT19" s="59">
        <v>33</v>
      </c>
      <c r="BU19" s="56">
        <v>501</v>
      </c>
      <c r="BV19" s="57">
        <v>2679</v>
      </c>
      <c r="BW19" s="57">
        <v>6</v>
      </c>
      <c r="BX19" s="57">
        <v>36</v>
      </c>
      <c r="BY19" s="57"/>
      <c r="BZ19" s="57"/>
      <c r="CA19" s="129"/>
      <c r="CB19" s="129"/>
      <c r="CC19" s="58"/>
      <c r="CD19" s="129"/>
      <c r="CE19" s="57">
        <v>653</v>
      </c>
      <c r="CF19" s="57">
        <v>3723</v>
      </c>
      <c r="CG19" s="57">
        <v>63</v>
      </c>
      <c r="CH19" s="57">
        <v>4</v>
      </c>
      <c r="CI19" s="59">
        <v>28</v>
      </c>
      <c r="CJ19" s="51">
        <v>1079</v>
      </c>
      <c r="CK19" s="52">
        <v>2194.4</v>
      </c>
      <c r="CL19" s="52">
        <v>9</v>
      </c>
      <c r="CM19" s="52">
        <v>19.5</v>
      </c>
      <c r="CN19" s="52">
        <v>195</v>
      </c>
      <c r="CO19" s="52">
        <v>24</v>
      </c>
      <c r="CP19" s="52">
        <v>5.5333333333333332</v>
      </c>
      <c r="CQ19" s="52">
        <v>39.4</v>
      </c>
      <c r="CR19" s="53">
        <v>2.74</v>
      </c>
      <c r="CS19" s="52">
        <v>43.3</v>
      </c>
      <c r="CT19" s="52">
        <v>688</v>
      </c>
      <c r="CU19" s="52">
        <v>3555.5</v>
      </c>
      <c r="CV19" s="52">
        <v>62</v>
      </c>
      <c r="CW19" s="52">
        <v>3</v>
      </c>
      <c r="CX19" s="54">
        <v>33.800000000000004</v>
      </c>
      <c r="CY19" s="51">
        <v>279</v>
      </c>
      <c r="CZ19" s="52">
        <v>2324.4</v>
      </c>
      <c r="DA19" s="52">
        <v>1</v>
      </c>
      <c r="DB19" s="52">
        <v>19.5</v>
      </c>
      <c r="DC19" s="52">
        <v>55</v>
      </c>
      <c r="DD19" s="52">
        <v>10</v>
      </c>
      <c r="DE19" s="52">
        <v>5.0727272727272723</v>
      </c>
      <c r="DF19" s="52">
        <v>50.7</v>
      </c>
      <c r="DG19" s="52">
        <v>2.4900000000000002</v>
      </c>
      <c r="DH19" s="52">
        <v>33.700000000000003</v>
      </c>
      <c r="DI19" s="52">
        <v>565</v>
      </c>
      <c r="DJ19" s="52">
        <v>3880.5</v>
      </c>
      <c r="DK19" s="52">
        <v>58</v>
      </c>
      <c r="DL19" s="52">
        <v>3</v>
      </c>
      <c r="DM19" s="54">
        <v>29.9</v>
      </c>
    </row>
    <row r="20" spans="1:117" x14ac:dyDescent="0.2">
      <c r="A20" s="33">
        <v>18</v>
      </c>
      <c r="B20" s="34" t="s">
        <v>474</v>
      </c>
      <c r="C20" s="116">
        <v>4.8277777777777784</v>
      </c>
      <c r="D20" s="117" t="s">
        <v>426</v>
      </c>
      <c r="E20" s="37">
        <v>1</v>
      </c>
      <c r="F20" s="118">
        <v>34512</v>
      </c>
      <c r="G20" s="119">
        <v>31.273972602739725</v>
      </c>
      <c r="H20" s="39" t="s">
        <v>385</v>
      </c>
      <c r="I20" s="119">
        <v>21.849315068493151</v>
      </c>
      <c r="J20" s="120">
        <v>70</v>
      </c>
      <c r="K20" s="120">
        <v>228</v>
      </c>
      <c r="L20" s="120">
        <v>4.6399999999999997</v>
      </c>
      <c r="M20" s="55">
        <v>0</v>
      </c>
      <c r="N20" s="121">
        <v>0</v>
      </c>
      <c r="O20" s="122">
        <v>0</v>
      </c>
      <c r="P20" s="122">
        <v>0</v>
      </c>
      <c r="Q20" s="122">
        <v>3.5202086049543675E-2</v>
      </c>
      <c r="R20" s="122">
        <v>0.23457483311497906</v>
      </c>
      <c r="S20" s="42">
        <v>0.23457483311497906</v>
      </c>
      <c r="T20" s="42">
        <v>0.23457483311497906</v>
      </c>
      <c r="U20" s="42">
        <v>0</v>
      </c>
      <c r="V20" s="42">
        <v>4.9656395477721126E-2</v>
      </c>
      <c r="W20" s="42">
        <v>4.9656395477721126E-2</v>
      </c>
      <c r="X20" s="43">
        <v>4.9656395477721126E-2</v>
      </c>
      <c r="Y20" s="44">
        <v>21.194520547945206</v>
      </c>
      <c r="Z20" s="45">
        <v>98.376851809959561</v>
      </c>
      <c r="AA20" s="45">
        <v>32.711020408163265</v>
      </c>
      <c r="AB20" s="45">
        <v>0.2</v>
      </c>
      <c r="AC20" s="45">
        <v>5.4</v>
      </c>
      <c r="AD20" s="45">
        <v>74</v>
      </c>
      <c r="AE20" s="45">
        <v>3.7</v>
      </c>
      <c r="AF20" s="46">
        <v>18.100000000000001</v>
      </c>
      <c r="AG20" s="128">
        <v>5</v>
      </c>
      <c r="AH20" s="49">
        <v>5</v>
      </c>
      <c r="AI20" s="49">
        <v>2</v>
      </c>
      <c r="AJ20" s="49">
        <v>4</v>
      </c>
      <c r="AK20" s="49">
        <v>6</v>
      </c>
      <c r="AL20" s="49">
        <v>2</v>
      </c>
      <c r="AM20" s="49">
        <v>5</v>
      </c>
      <c r="AN20" s="49">
        <v>5</v>
      </c>
      <c r="AO20" s="49">
        <v>0</v>
      </c>
      <c r="AP20" s="50">
        <v>0</v>
      </c>
      <c r="AQ20" s="56"/>
      <c r="AR20" s="57">
        <v>1</v>
      </c>
      <c r="AS20" s="57"/>
      <c r="AT20" s="57"/>
      <c r="AU20" s="57"/>
      <c r="AV20" s="57"/>
      <c r="AW20" s="57"/>
      <c r="AX20" s="57"/>
      <c r="AY20" s="57"/>
      <c r="AZ20" s="57"/>
      <c r="BA20" s="57"/>
      <c r="BB20" s="57">
        <v>1</v>
      </c>
      <c r="BC20" s="57"/>
      <c r="BD20" s="57"/>
      <c r="BE20" s="59"/>
      <c r="BF20" s="56"/>
      <c r="BG20" s="57">
        <v>1</v>
      </c>
      <c r="BH20" s="57"/>
      <c r="BI20" s="57"/>
      <c r="BJ20" s="57"/>
      <c r="BK20" s="57"/>
      <c r="BL20" s="57"/>
      <c r="BM20" s="57"/>
      <c r="BN20" s="57"/>
      <c r="BO20" s="57"/>
      <c r="BP20" s="57"/>
      <c r="BQ20" s="57">
        <v>1</v>
      </c>
      <c r="BR20" s="57"/>
      <c r="BS20" s="57"/>
      <c r="BT20" s="59"/>
      <c r="BU20" s="56"/>
      <c r="BV20" s="57">
        <v>1</v>
      </c>
      <c r="BW20" s="57"/>
      <c r="BX20" s="57"/>
      <c r="BY20" s="57"/>
      <c r="BZ20" s="57"/>
      <c r="CA20" s="129"/>
      <c r="CB20" s="129"/>
      <c r="CC20" s="58"/>
      <c r="CD20" s="129"/>
      <c r="CE20" s="57"/>
      <c r="CF20" s="57">
        <v>1</v>
      </c>
      <c r="CG20" s="57"/>
      <c r="CH20" s="57"/>
      <c r="CI20" s="59"/>
      <c r="CJ20" s="51">
        <v>54</v>
      </c>
      <c r="CK20" s="52">
        <v>1533</v>
      </c>
      <c r="CL20" s="52">
        <v>0</v>
      </c>
      <c r="CM20" s="52">
        <v>15</v>
      </c>
      <c r="CN20" s="52">
        <v>10</v>
      </c>
      <c r="CO20" s="52">
        <v>2</v>
      </c>
      <c r="CP20" s="52">
        <v>5.4</v>
      </c>
      <c r="CQ20" s="52">
        <v>74</v>
      </c>
      <c r="CR20" s="53">
        <v>3.7</v>
      </c>
      <c r="CS20" s="52">
        <v>0</v>
      </c>
      <c r="CT20" s="52"/>
      <c r="CU20" s="52">
        <v>1</v>
      </c>
      <c r="CV20" s="52"/>
      <c r="CW20" s="52"/>
      <c r="CX20" s="54">
        <v>10.8</v>
      </c>
      <c r="CY20" s="51">
        <v>1016</v>
      </c>
      <c r="CZ20" s="52">
        <v>2553.2000000000003</v>
      </c>
      <c r="DA20" s="52">
        <v>13</v>
      </c>
      <c r="DB20" s="52">
        <v>28.6</v>
      </c>
      <c r="DC20" s="52">
        <v>237</v>
      </c>
      <c r="DD20" s="52">
        <v>31</v>
      </c>
      <c r="DE20" s="52">
        <v>4.2869198312236287</v>
      </c>
      <c r="DF20" s="52">
        <v>30.7</v>
      </c>
      <c r="DG20" s="52">
        <v>2.0499999999999998</v>
      </c>
      <c r="DH20" s="52">
        <v>18.100000000000001</v>
      </c>
      <c r="DI20" s="52">
        <v>112</v>
      </c>
      <c r="DJ20" s="52">
        <v>2255.5</v>
      </c>
      <c r="DK20" s="52">
        <v>11</v>
      </c>
      <c r="DL20" s="52">
        <v>0</v>
      </c>
      <c r="DM20" s="54">
        <v>10.4</v>
      </c>
    </row>
    <row r="21" spans="1:117" ht="15.75" customHeight="1" x14ac:dyDescent="0.2">
      <c r="A21" s="33">
        <v>19</v>
      </c>
      <c r="B21" s="34" t="s">
        <v>475</v>
      </c>
      <c r="C21" s="116">
        <v>4.6777777777777771</v>
      </c>
      <c r="D21" s="117" t="s">
        <v>476</v>
      </c>
      <c r="E21" s="37">
        <v>8</v>
      </c>
      <c r="F21" s="118">
        <v>34178</v>
      </c>
      <c r="G21" s="119">
        <v>32.18904109589041</v>
      </c>
      <c r="H21" s="39" t="s">
        <v>389</v>
      </c>
      <c r="I21" s="119">
        <v>22.764383561643836</v>
      </c>
      <c r="J21" s="120">
        <v>72</v>
      </c>
      <c r="K21" s="120">
        <v>238</v>
      </c>
      <c r="L21" s="120">
        <v>4.6399999999999997</v>
      </c>
      <c r="M21" s="55">
        <v>0</v>
      </c>
      <c r="N21" s="121">
        <v>0</v>
      </c>
      <c r="O21" s="122">
        <v>5.2276517886037186E-3</v>
      </c>
      <c r="P21" s="122">
        <v>3.8476913851688985E-2</v>
      </c>
      <c r="Q21" s="122">
        <v>0.25957411687025422</v>
      </c>
      <c r="R21" s="122">
        <v>0.20573176823176825</v>
      </c>
      <c r="S21" s="42">
        <v>0.23265294255101124</v>
      </c>
      <c r="T21" s="42">
        <v>0.15122441265815731</v>
      </c>
      <c r="U21" s="42">
        <v>3.1058395137754692E-2</v>
      </c>
      <c r="V21" s="42">
        <v>3.5066896849374189E-2</v>
      </c>
      <c r="W21" s="42">
        <v>3.5066896849374189E-2</v>
      </c>
      <c r="X21" s="43">
        <v>2.2793482952093224E-2</v>
      </c>
      <c r="Y21" s="44">
        <v>21.109589041095891</v>
      </c>
      <c r="Z21" s="45">
        <v>102.69162601215078</v>
      </c>
      <c r="AA21" s="45">
        <v>32.275077160493829</v>
      </c>
      <c r="AB21" s="45">
        <v>0.24390243902439024</v>
      </c>
      <c r="AC21" s="45">
        <v>8.6390243902439021</v>
      </c>
      <c r="AD21" s="45">
        <v>113</v>
      </c>
      <c r="AE21" s="45">
        <v>4.67</v>
      </c>
      <c r="AF21" s="46">
        <v>56.2</v>
      </c>
      <c r="AG21" s="128">
        <v>2</v>
      </c>
      <c r="AH21" s="49">
        <v>2</v>
      </c>
      <c r="AI21" s="49">
        <v>3</v>
      </c>
      <c r="AJ21" s="49">
        <v>6</v>
      </c>
      <c r="AK21" s="49">
        <v>8</v>
      </c>
      <c r="AL21" s="49">
        <v>10</v>
      </c>
      <c r="AM21" s="49">
        <v>9</v>
      </c>
      <c r="AN21" s="49">
        <v>8</v>
      </c>
      <c r="AO21" s="49">
        <v>0</v>
      </c>
      <c r="AP21" s="50">
        <v>0</v>
      </c>
      <c r="AQ21" s="56"/>
      <c r="AR21" s="57">
        <v>1</v>
      </c>
      <c r="AS21" s="57"/>
      <c r="AT21" s="57"/>
      <c r="AU21" s="57"/>
      <c r="AV21" s="57"/>
      <c r="AW21" s="57"/>
      <c r="AX21" s="57"/>
      <c r="AY21" s="57"/>
      <c r="AZ21" s="57"/>
      <c r="BA21" s="57"/>
      <c r="BB21" s="57">
        <v>1</v>
      </c>
      <c r="BC21" s="57"/>
      <c r="BD21" s="57"/>
      <c r="BE21" s="59"/>
      <c r="BF21" s="56">
        <v>0</v>
      </c>
      <c r="BG21" s="57">
        <v>1</v>
      </c>
      <c r="BH21" s="57"/>
      <c r="BI21" s="57"/>
      <c r="BJ21" s="57"/>
      <c r="BK21" s="57"/>
      <c r="BL21" s="57"/>
      <c r="BM21" s="57"/>
      <c r="BN21" s="57"/>
      <c r="BO21" s="57"/>
      <c r="BP21" s="57">
        <v>21</v>
      </c>
      <c r="BQ21" s="57">
        <v>4016.1000000000004</v>
      </c>
      <c r="BR21" s="57">
        <v>3</v>
      </c>
      <c r="BS21" s="57">
        <v>1</v>
      </c>
      <c r="BT21" s="59">
        <v>36.299999999999997</v>
      </c>
      <c r="BU21" s="56">
        <v>13</v>
      </c>
      <c r="BV21" s="57">
        <v>2470.8000000000002</v>
      </c>
      <c r="BW21" s="57">
        <v>3</v>
      </c>
      <c r="BX21" s="57">
        <v>28.799999999999997</v>
      </c>
      <c r="BY21" s="57"/>
      <c r="BZ21" s="57"/>
      <c r="CA21" s="129"/>
      <c r="CB21" s="129"/>
      <c r="CC21" s="58"/>
      <c r="CD21" s="129"/>
      <c r="CE21" s="57">
        <v>218</v>
      </c>
      <c r="CF21" s="57">
        <v>3532.7999999999997</v>
      </c>
      <c r="CG21" s="57">
        <v>12</v>
      </c>
      <c r="CH21" s="57">
        <v>2</v>
      </c>
      <c r="CI21" s="59">
        <v>36</v>
      </c>
      <c r="CJ21" s="51">
        <v>1771</v>
      </c>
      <c r="CK21" s="52">
        <v>3534.7</v>
      </c>
      <c r="CL21" s="52">
        <v>17</v>
      </c>
      <c r="CM21" s="52">
        <v>37.699999999999996</v>
      </c>
      <c r="CN21" s="52">
        <v>205</v>
      </c>
      <c r="CO21" s="52">
        <v>50</v>
      </c>
      <c r="CP21" s="52">
        <v>8.6390243902439021</v>
      </c>
      <c r="CQ21" s="52">
        <v>113</v>
      </c>
      <c r="CR21" s="53">
        <v>4.67</v>
      </c>
      <c r="CS21" s="52">
        <v>56.2</v>
      </c>
      <c r="CT21" s="52">
        <v>116</v>
      </c>
      <c r="CU21" s="52">
        <v>3734.9</v>
      </c>
      <c r="CV21" s="52">
        <v>6</v>
      </c>
      <c r="CW21" s="52">
        <v>2</v>
      </c>
      <c r="CX21" s="54">
        <v>37.699999999999996</v>
      </c>
      <c r="CY21" s="51">
        <v>594</v>
      </c>
      <c r="CZ21" s="52">
        <v>1349.6</v>
      </c>
      <c r="DA21" s="52">
        <v>5</v>
      </c>
      <c r="DB21" s="52">
        <v>12</v>
      </c>
      <c r="DC21" s="52">
        <v>94</v>
      </c>
      <c r="DD21" s="52">
        <v>13</v>
      </c>
      <c r="DE21" s="52">
        <v>6.3191489361702127</v>
      </c>
      <c r="DF21" s="52">
        <v>48.4</v>
      </c>
      <c r="DG21" s="52">
        <v>3.46</v>
      </c>
      <c r="DH21" s="52">
        <v>46.5</v>
      </c>
      <c r="DI21" s="52">
        <v>65</v>
      </c>
      <c r="DJ21" s="52">
        <v>1853.6</v>
      </c>
      <c r="DK21" s="52">
        <v>6</v>
      </c>
      <c r="DL21" s="52">
        <v>1</v>
      </c>
      <c r="DM21" s="54">
        <v>15.2</v>
      </c>
    </row>
    <row r="22" spans="1:117" ht="15.75" customHeight="1" x14ac:dyDescent="0.2">
      <c r="A22" s="33">
        <v>20</v>
      </c>
      <c r="B22" s="34" t="s">
        <v>477</v>
      </c>
      <c r="C22" s="116">
        <v>4.4666666666666668</v>
      </c>
      <c r="D22" s="117" t="s">
        <v>407</v>
      </c>
      <c r="E22" s="37">
        <v>1</v>
      </c>
      <c r="F22" s="118">
        <v>34113</v>
      </c>
      <c r="G22" s="119">
        <v>32.367123287671234</v>
      </c>
      <c r="H22" s="39" t="s">
        <v>389</v>
      </c>
      <c r="I22" s="119">
        <v>22.942465753424656</v>
      </c>
      <c r="J22" s="120">
        <v>73</v>
      </c>
      <c r="K22" s="120">
        <v>220</v>
      </c>
      <c r="L22" s="120">
        <v>4.54</v>
      </c>
      <c r="M22" s="55">
        <v>0</v>
      </c>
      <c r="N22" s="121">
        <v>0.12808896210873147</v>
      </c>
      <c r="O22" s="122">
        <v>0</v>
      </c>
      <c r="P22" s="122">
        <v>0.10738763778781465</v>
      </c>
      <c r="Q22" s="122">
        <v>0.13400240565328525</v>
      </c>
      <c r="R22" s="122">
        <v>0.2174980060126388</v>
      </c>
      <c r="S22" s="42">
        <v>0.2174980060126388</v>
      </c>
      <c r="T22" s="42">
        <v>0.2174980060126388</v>
      </c>
      <c r="U22" s="42">
        <v>4.2197828139754485E-2</v>
      </c>
      <c r="V22" s="42">
        <v>7.5502008032128518E-2</v>
      </c>
      <c r="W22" s="42">
        <v>7.5502008032128518E-2</v>
      </c>
      <c r="X22" s="43">
        <v>7.5502008032128518E-2</v>
      </c>
      <c r="Y22" s="44">
        <v>22.287671232876711</v>
      </c>
      <c r="Z22" s="45">
        <v>103.56887648770143</v>
      </c>
      <c r="AA22" s="45">
        <v>29.022330643647965</v>
      </c>
      <c r="AB22" s="45">
        <v>0.16981132075471697</v>
      </c>
      <c r="AC22" s="45">
        <v>5.3773584905660377</v>
      </c>
      <c r="AD22" s="45">
        <v>50.8</v>
      </c>
      <c r="AE22" s="45">
        <v>2.63</v>
      </c>
      <c r="AF22" s="46">
        <v>38.1</v>
      </c>
      <c r="AG22" s="128">
        <v>4</v>
      </c>
      <c r="AH22" s="49">
        <v>8</v>
      </c>
      <c r="AI22" s="49">
        <v>1</v>
      </c>
      <c r="AJ22" s="49">
        <v>7</v>
      </c>
      <c r="AK22" s="49">
        <v>4</v>
      </c>
      <c r="AL22" s="49">
        <v>2</v>
      </c>
      <c r="AM22" s="49">
        <v>3</v>
      </c>
      <c r="AN22" s="49">
        <v>1</v>
      </c>
      <c r="AO22" s="49">
        <v>0</v>
      </c>
      <c r="AP22" s="50">
        <v>0.5</v>
      </c>
      <c r="AQ22" s="56">
        <v>486</v>
      </c>
      <c r="AR22" s="57">
        <v>2497</v>
      </c>
      <c r="AS22" s="57">
        <v>3</v>
      </c>
      <c r="AT22" s="57">
        <v>28</v>
      </c>
      <c r="AU22" s="57"/>
      <c r="AV22" s="57"/>
      <c r="AW22" s="57"/>
      <c r="AX22" s="57"/>
      <c r="AY22" s="57"/>
      <c r="AZ22" s="57"/>
      <c r="BA22" s="57">
        <v>136</v>
      </c>
      <c r="BB22" s="57">
        <v>2359</v>
      </c>
      <c r="BC22" s="57">
        <v>15</v>
      </c>
      <c r="BD22" s="57">
        <v>0</v>
      </c>
      <c r="BE22" s="59">
        <v>19</v>
      </c>
      <c r="BF22" s="56"/>
      <c r="BG22" s="57">
        <v>1</v>
      </c>
      <c r="BH22" s="57"/>
      <c r="BI22" s="57"/>
      <c r="BJ22" s="57"/>
      <c r="BK22" s="57"/>
      <c r="BL22" s="57"/>
      <c r="BM22" s="57"/>
      <c r="BN22" s="57"/>
      <c r="BO22" s="57"/>
      <c r="BP22" s="57"/>
      <c r="BQ22" s="57">
        <v>1</v>
      </c>
      <c r="BR22" s="57"/>
      <c r="BS22" s="57"/>
      <c r="BT22" s="59"/>
      <c r="BU22" s="56">
        <v>221</v>
      </c>
      <c r="BV22" s="57">
        <v>1389.5</v>
      </c>
      <c r="BW22" s="57">
        <v>3</v>
      </c>
      <c r="BX22" s="57">
        <v>14.700000000000001</v>
      </c>
      <c r="BY22" s="57"/>
      <c r="BZ22" s="57"/>
      <c r="CA22" s="129"/>
      <c r="CB22" s="129"/>
      <c r="CC22" s="58"/>
      <c r="CD22" s="129"/>
      <c r="CE22" s="57">
        <v>119</v>
      </c>
      <c r="CF22" s="57">
        <v>1776.6000000000001</v>
      </c>
      <c r="CG22" s="57">
        <v>9</v>
      </c>
      <c r="CH22" s="57">
        <v>2</v>
      </c>
      <c r="CI22" s="59">
        <v>16.099999999999998</v>
      </c>
      <c r="CJ22" s="51">
        <v>570</v>
      </c>
      <c r="CK22" s="52">
        <v>1932</v>
      </c>
      <c r="CL22" s="52">
        <v>4</v>
      </c>
      <c r="CM22" s="52">
        <v>21.6</v>
      </c>
      <c r="CN22" s="52">
        <v>106</v>
      </c>
      <c r="CO22" s="52">
        <v>18</v>
      </c>
      <c r="CP22" s="52">
        <v>5.3773584905660377</v>
      </c>
      <c r="CQ22" s="52">
        <v>37.9</v>
      </c>
      <c r="CR22" s="53">
        <v>2.4700000000000002</v>
      </c>
      <c r="CS22" s="52">
        <v>38.1</v>
      </c>
      <c r="CT22" s="52">
        <v>143</v>
      </c>
      <c r="CU22" s="52">
        <v>3388.7999999999997</v>
      </c>
      <c r="CV22" s="52">
        <v>18</v>
      </c>
      <c r="CW22" s="52">
        <v>1</v>
      </c>
      <c r="CX22" s="54">
        <v>26.400000000000002</v>
      </c>
      <c r="CY22" s="51">
        <v>568</v>
      </c>
      <c r="CZ22" s="52">
        <v>1392.3</v>
      </c>
      <c r="DA22" s="52">
        <v>3</v>
      </c>
      <c r="DB22" s="52">
        <v>8.1</v>
      </c>
      <c r="DC22" s="52">
        <v>123</v>
      </c>
      <c r="DD22" s="52">
        <v>15</v>
      </c>
      <c r="DE22" s="52">
        <v>4.6178861788617889</v>
      </c>
      <c r="DF22" s="52">
        <v>50.8</v>
      </c>
      <c r="DG22" s="52">
        <v>2.63</v>
      </c>
      <c r="DH22" s="52">
        <v>28.9</v>
      </c>
      <c r="DI22" s="52">
        <v>141</v>
      </c>
      <c r="DJ22" s="52">
        <v>1867.5</v>
      </c>
      <c r="DK22" s="52">
        <v>17</v>
      </c>
      <c r="DL22" s="52">
        <v>0</v>
      </c>
      <c r="DM22" s="54">
        <v>12.6</v>
      </c>
    </row>
    <row r="23" spans="1:117" ht="15.75" customHeight="1" x14ac:dyDescent="0.2">
      <c r="A23" s="33">
        <v>21</v>
      </c>
      <c r="B23" s="34" t="s">
        <v>479</v>
      </c>
      <c r="C23" s="116">
        <v>3.6833333333333336</v>
      </c>
      <c r="D23" s="117" t="s">
        <v>480</v>
      </c>
      <c r="E23" s="37">
        <v>4</v>
      </c>
      <c r="F23" s="118">
        <v>34114</v>
      </c>
      <c r="G23" s="119">
        <v>32.364383561643834</v>
      </c>
      <c r="H23" s="39" t="s">
        <v>389</v>
      </c>
      <c r="I23" s="119">
        <v>22.93972602739726</v>
      </c>
      <c r="J23" s="120">
        <v>72</v>
      </c>
      <c r="K23" s="120">
        <v>217</v>
      </c>
      <c r="L23" s="120">
        <v>4.75</v>
      </c>
      <c r="M23" s="55">
        <v>0</v>
      </c>
      <c r="N23" s="121">
        <v>0</v>
      </c>
      <c r="O23" s="122">
        <v>0.22981956315289648</v>
      </c>
      <c r="P23" s="122">
        <v>0.19488565956967444</v>
      </c>
      <c r="Q23" s="122">
        <v>0.19395537143395161</v>
      </c>
      <c r="R23" s="122">
        <v>0.1637228808774901</v>
      </c>
      <c r="S23" s="42">
        <v>0.19677122201519329</v>
      </c>
      <c r="T23" s="42">
        <v>0.17709409981367397</v>
      </c>
      <c r="U23" s="42">
        <v>5.0150829562594271E-2</v>
      </c>
      <c r="V23" s="42">
        <v>0</v>
      </c>
      <c r="W23" s="42">
        <v>2.5075414781297135E-2</v>
      </c>
      <c r="X23" s="43">
        <v>2.2567873303167424E-2</v>
      </c>
      <c r="Y23" s="44">
        <v>19.284931506849315</v>
      </c>
      <c r="Z23" s="45">
        <v>85.254103329471079</v>
      </c>
      <c r="AA23" s="45">
        <v>29.427276234567902</v>
      </c>
      <c r="AB23" s="45">
        <v>0.18902439024390244</v>
      </c>
      <c r="AC23" s="45">
        <v>6.7666666666666666</v>
      </c>
      <c r="AD23" s="45">
        <v>56.2</v>
      </c>
      <c r="AE23" s="45">
        <v>2.87</v>
      </c>
      <c r="AF23" s="46">
        <v>35.5</v>
      </c>
      <c r="AG23" s="128">
        <v>3</v>
      </c>
      <c r="AH23" s="49">
        <v>2</v>
      </c>
      <c r="AI23" s="49">
        <v>7</v>
      </c>
      <c r="AJ23" s="49">
        <v>1</v>
      </c>
      <c r="AK23" s="49">
        <v>5</v>
      </c>
      <c r="AL23" s="49">
        <v>7</v>
      </c>
      <c r="AM23" s="49">
        <v>3</v>
      </c>
      <c r="AN23" s="49">
        <v>2</v>
      </c>
      <c r="AO23" s="49">
        <v>0</v>
      </c>
      <c r="AP23" s="50">
        <v>0</v>
      </c>
      <c r="AQ23" s="56"/>
      <c r="AR23" s="57">
        <v>1</v>
      </c>
      <c r="AS23" s="57"/>
      <c r="AT23" s="57"/>
      <c r="AU23" s="57"/>
      <c r="AV23" s="57"/>
      <c r="AW23" s="57"/>
      <c r="AX23" s="57"/>
      <c r="AY23" s="57"/>
      <c r="AZ23" s="57"/>
      <c r="BA23" s="57"/>
      <c r="BB23" s="57">
        <v>1</v>
      </c>
      <c r="BC23" s="57"/>
      <c r="BD23" s="57"/>
      <c r="BE23" s="59"/>
      <c r="BF23" s="56">
        <v>694</v>
      </c>
      <c r="BG23" s="57">
        <v>1111</v>
      </c>
      <c r="BH23" s="57">
        <v>3</v>
      </c>
      <c r="BI23" s="57">
        <v>9</v>
      </c>
      <c r="BJ23" s="57"/>
      <c r="BK23" s="57"/>
      <c r="BL23" s="57"/>
      <c r="BM23" s="57"/>
      <c r="BN23" s="57"/>
      <c r="BO23" s="57"/>
      <c r="BP23" s="57">
        <v>274</v>
      </c>
      <c r="BQ23" s="57">
        <v>3101</v>
      </c>
      <c r="BR23" s="57">
        <v>30</v>
      </c>
      <c r="BS23" s="57">
        <v>1</v>
      </c>
      <c r="BT23" s="59">
        <v>24</v>
      </c>
      <c r="BU23" s="56">
        <v>768</v>
      </c>
      <c r="BV23" s="57">
        <v>1789.6999999999998</v>
      </c>
      <c r="BW23" s="57">
        <v>4</v>
      </c>
      <c r="BX23" s="57">
        <v>13.2</v>
      </c>
      <c r="BY23" s="57"/>
      <c r="BZ23" s="57"/>
      <c r="CA23" s="129"/>
      <c r="CB23" s="129"/>
      <c r="CC23" s="58"/>
      <c r="CD23" s="129"/>
      <c r="CE23" s="57">
        <v>97</v>
      </c>
      <c r="CF23" s="57">
        <v>2648.8</v>
      </c>
      <c r="CG23" s="57">
        <v>16</v>
      </c>
      <c r="CH23" s="57">
        <v>0</v>
      </c>
      <c r="CI23" s="59">
        <v>13.2</v>
      </c>
      <c r="CJ23" s="51">
        <v>897</v>
      </c>
      <c r="CK23" s="52">
        <v>2658.5</v>
      </c>
      <c r="CL23" s="52">
        <v>9</v>
      </c>
      <c r="CM23" s="52">
        <v>26</v>
      </c>
      <c r="CN23" s="52">
        <v>164</v>
      </c>
      <c r="CO23" s="52">
        <v>31</v>
      </c>
      <c r="CP23" s="52">
        <v>5.4695121951219514</v>
      </c>
      <c r="CQ23" s="52">
        <v>56.2</v>
      </c>
      <c r="CR23" s="53">
        <v>2.87</v>
      </c>
      <c r="CS23" s="52">
        <v>32.200000000000003</v>
      </c>
      <c r="CT23" s="52">
        <v>133</v>
      </c>
      <c r="CU23" s="52">
        <v>2652</v>
      </c>
      <c r="CV23" s="52">
        <v>15</v>
      </c>
      <c r="CW23" s="52">
        <v>1</v>
      </c>
      <c r="CX23" s="54">
        <v>23.400000000000002</v>
      </c>
      <c r="CY23" s="51">
        <v>203</v>
      </c>
      <c r="CZ23" s="52">
        <v>607.5</v>
      </c>
      <c r="DA23" s="52">
        <v>3</v>
      </c>
      <c r="DB23" s="52">
        <v>8.3999999999999986</v>
      </c>
      <c r="DC23" s="52">
        <v>30</v>
      </c>
      <c r="DD23" s="52">
        <v>2</v>
      </c>
      <c r="DE23" s="52">
        <v>6.7666666666666666</v>
      </c>
      <c r="DF23" s="52">
        <v>13.1</v>
      </c>
      <c r="DG23" s="52">
        <v>1.97</v>
      </c>
      <c r="DH23" s="52">
        <v>35.5</v>
      </c>
      <c r="DI23" s="52"/>
      <c r="DJ23" s="52">
        <v>632.40000000000009</v>
      </c>
      <c r="DK23" s="52"/>
      <c r="DL23" s="52"/>
      <c r="DM23" s="54">
        <v>4.5</v>
      </c>
    </row>
    <row r="24" spans="1:117" ht="15.75" customHeight="1" x14ac:dyDescent="0.2">
      <c r="A24" s="33">
        <v>22</v>
      </c>
      <c r="B24" s="34" t="s">
        <v>478</v>
      </c>
      <c r="C24" s="116">
        <v>3.6222222222222227</v>
      </c>
      <c r="D24" s="117" t="s">
        <v>441</v>
      </c>
      <c r="E24" s="37">
        <v>1</v>
      </c>
      <c r="F24" s="118">
        <v>34115</v>
      </c>
      <c r="G24" s="119">
        <v>32.361643835616441</v>
      </c>
      <c r="H24" s="39" t="s">
        <v>389</v>
      </c>
      <c r="I24" s="119">
        <v>22.936986301369863</v>
      </c>
      <c r="J24" s="120">
        <v>71</v>
      </c>
      <c r="K24" s="120">
        <v>227</v>
      </c>
      <c r="L24" s="120">
        <v>4.63</v>
      </c>
      <c r="M24" s="55">
        <v>0</v>
      </c>
      <c r="N24" s="121">
        <v>4.9732211170619739E-2</v>
      </c>
      <c r="O24" s="122">
        <v>0</v>
      </c>
      <c r="P24" s="122">
        <v>6.1968121032014052E-2</v>
      </c>
      <c r="Q24" s="122">
        <v>0.12040696823305519</v>
      </c>
      <c r="R24" s="122">
        <v>0.24393754047636185</v>
      </c>
      <c r="S24" s="42">
        <v>0.24393754047636185</v>
      </c>
      <c r="T24" s="42">
        <v>0.24393754047636185</v>
      </c>
      <c r="U24" s="42">
        <v>2.1276595744680851E-2</v>
      </c>
      <c r="V24" s="42">
        <v>5.4456182115756584E-2</v>
      </c>
      <c r="W24" s="42">
        <v>5.4456182115756584E-2</v>
      </c>
      <c r="X24" s="43">
        <v>5.4456182115756584E-2</v>
      </c>
      <c r="Y24" s="44">
        <v>22.282191780821918</v>
      </c>
      <c r="Z24" s="45">
        <v>98.794300084469526</v>
      </c>
      <c r="AA24" s="45">
        <v>31.656615750843088</v>
      </c>
      <c r="AB24" s="45">
        <v>0.17886178861788618</v>
      </c>
      <c r="AC24" s="45">
        <v>4.8471074380165291</v>
      </c>
      <c r="AD24" s="45">
        <v>50.1</v>
      </c>
      <c r="AE24" s="45">
        <v>2.76</v>
      </c>
      <c r="AF24" s="46">
        <v>27.9</v>
      </c>
      <c r="AG24" s="128">
        <v>6</v>
      </c>
      <c r="AH24" s="49">
        <v>6</v>
      </c>
      <c r="AI24" s="49">
        <v>1</v>
      </c>
      <c r="AJ24" s="49">
        <v>5</v>
      </c>
      <c r="AK24" s="49">
        <v>4</v>
      </c>
      <c r="AL24" s="49">
        <v>0</v>
      </c>
      <c r="AM24" s="49">
        <v>3</v>
      </c>
      <c r="AN24" s="49">
        <v>2</v>
      </c>
      <c r="AO24" s="49">
        <v>0</v>
      </c>
      <c r="AP24" s="50">
        <v>0</v>
      </c>
      <c r="AQ24" s="56">
        <v>254</v>
      </c>
      <c r="AR24" s="57">
        <v>2992</v>
      </c>
      <c r="AS24" s="57">
        <v>1</v>
      </c>
      <c r="AT24" s="57">
        <v>30</v>
      </c>
      <c r="AU24" s="57"/>
      <c r="AV24" s="57"/>
      <c r="AW24" s="57"/>
      <c r="AX24" s="57"/>
      <c r="AY24" s="57"/>
      <c r="AZ24" s="57"/>
      <c r="BA24" s="57">
        <v>6</v>
      </c>
      <c r="BB24" s="57">
        <v>2236</v>
      </c>
      <c r="BC24" s="57">
        <v>1</v>
      </c>
      <c r="BD24" s="57">
        <v>0</v>
      </c>
      <c r="BE24" s="59">
        <v>28</v>
      </c>
      <c r="BF24" s="56"/>
      <c r="BG24" s="57">
        <v>1</v>
      </c>
      <c r="BH24" s="57"/>
      <c r="BI24" s="57"/>
      <c r="BJ24" s="57"/>
      <c r="BK24" s="57"/>
      <c r="BL24" s="57"/>
      <c r="BM24" s="57"/>
      <c r="BN24" s="57"/>
      <c r="BO24" s="57"/>
      <c r="BP24" s="57"/>
      <c r="BQ24" s="57">
        <v>1</v>
      </c>
      <c r="BR24" s="57"/>
      <c r="BS24" s="57"/>
      <c r="BT24" s="59"/>
      <c r="BU24" s="56">
        <v>329</v>
      </c>
      <c r="BV24" s="57">
        <v>2036.1</v>
      </c>
      <c r="BW24" s="57">
        <v>7</v>
      </c>
      <c r="BX24" s="57">
        <v>27.5</v>
      </c>
      <c r="BY24" s="57"/>
      <c r="BZ24" s="57"/>
      <c r="CA24" s="129"/>
      <c r="CB24" s="129"/>
      <c r="CC24" s="58"/>
      <c r="CD24" s="129"/>
      <c r="CE24" s="57">
        <v>38</v>
      </c>
      <c r="CF24" s="57">
        <v>3886.3</v>
      </c>
      <c r="CG24" s="57">
        <v>3</v>
      </c>
      <c r="CH24" s="57">
        <v>0</v>
      </c>
      <c r="CI24" s="59">
        <v>34.1</v>
      </c>
      <c r="CJ24" s="51">
        <v>580</v>
      </c>
      <c r="CK24" s="52">
        <v>1798.8000000000002</v>
      </c>
      <c r="CL24" s="52">
        <v>5</v>
      </c>
      <c r="CM24" s="52">
        <v>18</v>
      </c>
      <c r="CN24" s="52">
        <v>123</v>
      </c>
      <c r="CO24" s="52">
        <v>22</v>
      </c>
      <c r="CP24" s="52">
        <v>4.7154471544715451</v>
      </c>
      <c r="CQ24" s="52">
        <v>50.1</v>
      </c>
      <c r="CR24" s="53">
        <v>2.76</v>
      </c>
      <c r="CS24" s="52">
        <v>27.9</v>
      </c>
      <c r="CT24" s="52">
        <v>78</v>
      </c>
      <c r="CU24" s="52">
        <v>3666</v>
      </c>
      <c r="CV24" s="52">
        <v>9</v>
      </c>
      <c r="CW24" s="52">
        <v>0</v>
      </c>
      <c r="CX24" s="54">
        <v>36</v>
      </c>
      <c r="CY24" s="51">
        <v>1173</v>
      </c>
      <c r="CZ24" s="52">
        <v>2198.2999999999997</v>
      </c>
      <c r="DA24" s="52">
        <v>7</v>
      </c>
      <c r="DB24" s="52">
        <v>11.700000000000001</v>
      </c>
      <c r="DC24" s="52">
        <v>242</v>
      </c>
      <c r="DD24" s="52">
        <v>38</v>
      </c>
      <c r="DE24" s="52">
        <v>4.8471074380165291</v>
      </c>
      <c r="DF24" s="52">
        <v>41.7</v>
      </c>
      <c r="DG24" s="52">
        <v>2.57</v>
      </c>
      <c r="DH24" s="52">
        <v>27.1</v>
      </c>
      <c r="DI24" s="52">
        <v>183</v>
      </c>
      <c r="DJ24" s="52">
        <v>3360.5</v>
      </c>
      <c r="DK24" s="52">
        <v>29</v>
      </c>
      <c r="DL24" s="52">
        <v>24.7</v>
      </c>
      <c r="DM24" s="54">
        <v>0</v>
      </c>
    </row>
    <row r="25" spans="1:117" ht="15.75" customHeight="1" x14ac:dyDescent="0.2">
      <c r="A25" s="33">
        <v>23</v>
      </c>
      <c r="B25" s="34" t="s">
        <v>481</v>
      </c>
      <c r="C25" s="116">
        <v>3.5999999999999996</v>
      </c>
      <c r="D25" s="117" t="s">
        <v>384</v>
      </c>
      <c r="E25" s="37">
        <v>1</v>
      </c>
      <c r="F25" s="118">
        <v>34381</v>
      </c>
      <c r="G25" s="119">
        <v>31.632876712328766</v>
      </c>
      <c r="H25" s="39" t="s">
        <v>389</v>
      </c>
      <c r="I25" s="119">
        <v>22.208219178082192</v>
      </c>
      <c r="J25" s="120">
        <v>71</v>
      </c>
      <c r="K25" s="120">
        <v>219</v>
      </c>
      <c r="L25" s="120">
        <v>4.3099999999999996</v>
      </c>
      <c r="M25" s="55">
        <v>7</v>
      </c>
      <c r="N25" s="121">
        <v>0</v>
      </c>
      <c r="O25" s="122">
        <v>0.12983045669772414</v>
      </c>
      <c r="P25" s="122">
        <v>0.14749018797769056</v>
      </c>
      <c r="Q25" s="122">
        <v>1.3807136109294382E-2</v>
      </c>
      <c r="R25" s="122">
        <v>9.1272243069846271E-2</v>
      </c>
      <c r="S25" s="42">
        <v>0.11938121552376842</v>
      </c>
      <c r="T25" s="42">
        <v>0.11938121552376842</v>
      </c>
      <c r="U25" s="42">
        <v>-8.3375020843755206E-3</v>
      </c>
      <c r="V25" s="42">
        <v>1.375178036442218E-2</v>
      </c>
      <c r="W25" s="42">
        <v>1.375178036442218E-2</v>
      </c>
      <c r="X25" s="43">
        <v>1.375178036442218E-2</v>
      </c>
      <c r="Y25" s="44" t="s">
        <v>645</v>
      </c>
      <c r="Z25" s="45">
        <v>126.930219145066</v>
      </c>
      <c r="AA25" s="45">
        <v>30.540964094425711</v>
      </c>
      <c r="AB25" s="45">
        <v>0.17647058823529413</v>
      </c>
      <c r="AC25" s="45">
        <v>5.132352941176471</v>
      </c>
      <c r="AD25" s="45">
        <v>46.3</v>
      </c>
      <c r="AE25" s="45">
        <v>2.78</v>
      </c>
      <c r="AF25" s="46">
        <v>19.5</v>
      </c>
      <c r="AG25" s="128">
        <v>0</v>
      </c>
      <c r="AH25" s="49">
        <v>1</v>
      </c>
      <c r="AI25" s="49">
        <v>0</v>
      </c>
      <c r="AJ25" s="49">
        <v>10</v>
      </c>
      <c r="AK25" s="49">
        <v>4</v>
      </c>
      <c r="AL25" s="49">
        <v>1</v>
      </c>
      <c r="AM25" s="49">
        <v>2</v>
      </c>
      <c r="AN25" s="49">
        <v>2</v>
      </c>
      <c r="AO25" s="49">
        <v>1</v>
      </c>
      <c r="AP25" s="50">
        <v>1</v>
      </c>
      <c r="AQ25" s="56"/>
      <c r="AR25" s="57">
        <v>1</v>
      </c>
      <c r="AS25" s="57"/>
      <c r="AT25" s="57"/>
      <c r="AU25" s="57"/>
      <c r="AV25" s="57"/>
      <c r="AW25" s="57"/>
      <c r="AX25" s="57"/>
      <c r="AY25" s="57"/>
      <c r="AZ25" s="57"/>
      <c r="BA25" s="57"/>
      <c r="BB25" s="57">
        <v>1</v>
      </c>
      <c r="BC25" s="57"/>
      <c r="BD25" s="57"/>
      <c r="BE25" s="59"/>
      <c r="BF25" s="56">
        <v>759</v>
      </c>
      <c r="BG25" s="57">
        <v>2556</v>
      </c>
      <c r="BH25" s="57">
        <v>8</v>
      </c>
      <c r="BI25" s="57">
        <v>32</v>
      </c>
      <c r="BJ25" s="57"/>
      <c r="BK25" s="57"/>
      <c r="BL25" s="57"/>
      <c r="BM25" s="57"/>
      <c r="BN25" s="57"/>
      <c r="BO25" s="57"/>
      <c r="BP25" s="57">
        <v>91</v>
      </c>
      <c r="BQ25" s="57">
        <v>3991</v>
      </c>
      <c r="BR25" s="57">
        <v>11</v>
      </c>
      <c r="BS25" s="57">
        <v>1</v>
      </c>
      <c r="BT25" s="59">
        <v>37</v>
      </c>
      <c r="BU25" s="56">
        <v>246</v>
      </c>
      <c r="BV25" s="57">
        <v>849.5</v>
      </c>
      <c r="BW25" s="57">
        <v>1</v>
      </c>
      <c r="BX25" s="57">
        <v>10</v>
      </c>
      <c r="BY25" s="57"/>
      <c r="BZ25" s="57"/>
      <c r="CA25" s="129"/>
      <c r="CB25" s="129"/>
      <c r="CC25" s="58"/>
      <c r="CD25" s="129"/>
      <c r="CE25" s="57">
        <v>111</v>
      </c>
      <c r="CF25" s="57">
        <v>1571</v>
      </c>
      <c r="CG25" s="57">
        <v>8</v>
      </c>
      <c r="CH25" s="57">
        <v>1</v>
      </c>
      <c r="CI25" s="59">
        <v>12</v>
      </c>
      <c r="CJ25" s="51">
        <v>24</v>
      </c>
      <c r="CK25" s="52">
        <v>776.40000000000009</v>
      </c>
      <c r="CL25" s="52">
        <v>0</v>
      </c>
      <c r="CM25" s="52">
        <v>8.6999999999999993</v>
      </c>
      <c r="CN25" s="52">
        <v>12</v>
      </c>
      <c r="CO25" s="52">
        <v>1</v>
      </c>
      <c r="CP25" s="52">
        <v>2</v>
      </c>
      <c r="CQ25" s="52">
        <v>7.1</v>
      </c>
      <c r="CR25" s="53">
        <v>0.92</v>
      </c>
      <c r="CS25" s="52">
        <v>0</v>
      </c>
      <c r="CT25" s="52">
        <v>-5</v>
      </c>
      <c r="CU25" s="52">
        <v>599.70000000000005</v>
      </c>
      <c r="CV25" s="52">
        <v>1</v>
      </c>
      <c r="CW25" s="52">
        <v>0</v>
      </c>
      <c r="CX25" s="54">
        <v>5.4</v>
      </c>
      <c r="CY25" s="51">
        <v>349</v>
      </c>
      <c r="CZ25" s="52">
        <v>2094.4</v>
      </c>
      <c r="DA25" s="52">
        <v>3</v>
      </c>
      <c r="DB25" s="52">
        <v>18.7</v>
      </c>
      <c r="DC25" s="52">
        <v>68</v>
      </c>
      <c r="DD25" s="52">
        <v>12</v>
      </c>
      <c r="DE25" s="52">
        <v>5.132352941176471</v>
      </c>
      <c r="DF25" s="52">
        <v>46.3</v>
      </c>
      <c r="DG25" s="52">
        <v>2.78</v>
      </c>
      <c r="DH25" s="52">
        <v>19.5</v>
      </c>
      <c r="DI25" s="52">
        <v>28</v>
      </c>
      <c r="DJ25" s="52">
        <v>2036.1</v>
      </c>
      <c r="DK25" s="52">
        <v>4</v>
      </c>
      <c r="DL25" s="52">
        <v>1</v>
      </c>
      <c r="DM25" s="54">
        <v>12.100000000000001</v>
      </c>
    </row>
    <row r="26" spans="1:117" ht="15.75" customHeight="1" x14ac:dyDescent="0.2">
      <c r="A26" s="33">
        <v>24</v>
      </c>
      <c r="B26" s="34" t="s">
        <v>482</v>
      </c>
      <c r="C26" s="116">
        <v>3.583333333333333</v>
      </c>
      <c r="D26" s="117" t="s">
        <v>483</v>
      </c>
      <c r="E26" s="37">
        <v>5</v>
      </c>
      <c r="F26" s="118">
        <v>33886</v>
      </c>
      <c r="G26" s="119">
        <v>32.989041095890414</v>
      </c>
      <c r="H26" s="39" t="s">
        <v>389</v>
      </c>
      <c r="I26" s="119">
        <v>23.564383561643837</v>
      </c>
      <c r="J26" s="120">
        <v>72</v>
      </c>
      <c r="K26" s="120">
        <v>209</v>
      </c>
      <c r="L26" s="120">
        <v>4.46</v>
      </c>
      <c r="M26" s="55">
        <v>7</v>
      </c>
      <c r="N26" s="121">
        <v>0</v>
      </c>
      <c r="O26" s="122">
        <v>2.3213220887639489E-2</v>
      </c>
      <c r="P26" s="122">
        <v>0.10885141093474428</v>
      </c>
      <c r="Q26" s="122">
        <v>0.24613932159956839</v>
      </c>
      <c r="R26" s="122">
        <v>6.6200113485908832E-2</v>
      </c>
      <c r="S26" s="42">
        <v>0.15616971754273862</v>
      </c>
      <c r="T26" s="42">
        <v>0.13274425991132782</v>
      </c>
      <c r="U26" s="42">
        <v>8.18129163046626E-2</v>
      </c>
      <c r="V26" s="42">
        <v>6.3846767757382286E-3</v>
      </c>
      <c r="W26" s="42">
        <v>4.4098796540200415E-2</v>
      </c>
      <c r="X26" s="43">
        <v>3.7483977059170351E-2</v>
      </c>
      <c r="Y26" s="44">
        <v>21.909589041095892</v>
      </c>
      <c r="Z26" s="45">
        <v>105.64205650925143</v>
      </c>
      <c r="AA26" s="45">
        <v>28.342399691358025</v>
      </c>
      <c r="AB26" s="45">
        <v>0.17452830188679244</v>
      </c>
      <c r="AC26" s="45">
        <v>5.2877358490566042</v>
      </c>
      <c r="AD26" s="45">
        <v>53.2</v>
      </c>
      <c r="AE26" s="45">
        <v>2.81</v>
      </c>
      <c r="AF26" s="46">
        <v>25.6</v>
      </c>
      <c r="AG26" s="128">
        <v>1</v>
      </c>
      <c r="AH26" s="49">
        <v>4</v>
      </c>
      <c r="AI26" s="49">
        <v>2</v>
      </c>
      <c r="AJ26" s="49">
        <v>8</v>
      </c>
      <c r="AK26" s="49">
        <v>4</v>
      </c>
      <c r="AL26" s="49">
        <v>2</v>
      </c>
      <c r="AM26" s="49">
        <v>3</v>
      </c>
      <c r="AN26" s="49">
        <v>2</v>
      </c>
      <c r="AO26" s="49">
        <v>1</v>
      </c>
      <c r="AP26" s="50">
        <v>0</v>
      </c>
      <c r="AQ26" s="56"/>
      <c r="AR26" s="57">
        <v>1</v>
      </c>
      <c r="AS26" s="57"/>
      <c r="AT26" s="57"/>
      <c r="AU26" s="57"/>
      <c r="AV26" s="57"/>
      <c r="AW26" s="57"/>
      <c r="AX26" s="57"/>
      <c r="AY26" s="57"/>
      <c r="AZ26" s="57"/>
      <c r="BA26" s="57"/>
      <c r="BB26" s="57">
        <v>1</v>
      </c>
      <c r="BC26" s="57"/>
      <c r="BD26" s="57"/>
      <c r="BE26" s="59"/>
      <c r="BF26" s="56">
        <v>109</v>
      </c>
      <c r="BG26" s="57">
        <v>2196</v>
      </c>
      <c r="BH26" s="57">
        <v>1</v>
      </c>
      <c r="BI26" s="57">
        <v>18</v>
      </c>
      <c r="BJ26" s="57"/>
      <c r="BK26" s="57"/>
      <c r="BL26" s="57"/>
      <c r="BM26" s="57"/>
      <c r="BN26" s="57"/>
      <c r="BO26" s="57"/>
      <c r="BP26" s="57">
        <v>0</v>
      </c>
      <c r="BQ26" s="57">
        <v>2499.6000000000004</v>
      </c>
      <c r="BR26" s="57">
        <v>0</v>
      </c>
      <c r="BS26" s="57">
        <v>0</v>
      </c>
      <c r="BT26" s="59">
        <v>13</v>
      </c>
      <c r="BU26" s="56">
        <v>317</v>
      </c>
      <c r="BV26" s="57">
        <v>977.6</v>
      </c>
      <c r="BW26" s="57">
        <v>2</v>
      </c>
      <c r="BX26" s="57">
        <v>6.4</v>
      </c>
      <c r="BY26" s="57"/>
      <c r="BZ26" s="57"/>
      <c r="CA26" s="129"/>
      <c r="CB26" s="129"/>
      <c r="CC26" s="58"/>
      <c r="CD26" s="129"/>
      <c r="CE26" s="57">
        <v>78</v>
      </c>
      <c r="CF26" s="57">
        <v>2651.2</v>
      </c>
      <c r="CG26" s="57">
        <v>11</v>
      </c>
      <c r="CH26" s="57">
        <v>0</v>
      </c>
      <c r="CI26" s="59">
        <v>14.4</v>
      </c>
      <c r="CJ26" s="51">
        <v>1121</v>
      </c>
      <c r="CK26" s="52">
        <v>1788</v>
      </c>
      <c r="CL26" s="52">
        <v>12</v>
      </c>
      <c r="CM26" s="52">
        <v>21.6</v>
      </c>
      <c r="CN26" s="52">
        <v>212</v>
      </c>
      <c r="CO26" s="52">
        <v>37</v>
      </c>
      <c r="CP26" s="52">
        <v>5.2877358490566042</v>
      </c>
      <c r="CQ26" s="52">
        <v>53.2</v>
      </c>
      <c r="CR26" s="53">
        <v>2.81</v>
      </c>
      <c r="CS26" s="52">
        <v>25.6</v>
      </c>
      <c r="CT26" s="52">
        <v>339</v>
      </c>
      <c r="CU26" s="52">
        <v>4143.6000000000004</v>
      </c>
      <c r="CV26" s="52">
        <v>31</v>
      </c>
      <c r="CW26" s="52">
        <v>2</v>
      </c>
      <c r="CX26" s="54">
        <v>37.200000000000003</v>
      </c>
      <c r="CY26" s="51">
        <v>326</v>
      </c>
      <c r="CZ26" s="52">
        <v>1528</v>
      </c>
      <c r="DA26" s="52">
        <v>3</v>
      </c>
      <c r="DB26" s="52">
        <v>12</v>
      </c>
      <c r="DC26" s="52">
        <v>66</v>
      </c>
      <c r="DD26" s="52">
        <v>10</v>
      </c>
      <c r="DE26" s="52">
        <v>4.9393939393939394</v>
      </c>
      <c r="DF26" s="52">
        <v>41.1</v>
      </c>
      <c r="DG26" s="52">
        <v>2.58</v>
      </c>
      <c r="DH26" s="52">
        <v>24.2</v>
      </c>
      <c r="DI26" s="52">
        <v>24</v>
      </c>
      <c r="DJ26" s="52">
        <v>3759</v>
      </c>
      <c r="DK26" s="52">
        <v>3</v>
      </c>
      <c r="DL26" s="52">
        <v>0</v>
      </c>
      <c r="DM26" s="54">
        <v>34</v>
      </c>
    </row>
    <row r="27" spans="1:117" ht="15.75" customHeight="1" x14ac:dyDescent="0.2">
      <c r="A27" s="33">
        <v>25</v>
      </c>
      <c r="B27" s="34" t="s">
        <v>484</v>
      </c>
      <c r="C27" s="116">
        <v>3.3499999999999996</v>
      </c>
      <c r="D27" s="117" t="s">
        <v>485</v>
      </c>
      <c r="E27" s="37">
        <v>7</v>
      </c>
      <c r="F27" s="118">
        <v>33744</v>
      </c>
      <c r="G27" s="119">
        <v>33.37808219178082</v>
      </c>
      <c r="H27" s="39" t="s">
        <v>389</v>
      </c>
      <c r="I27" s="119">
        <v>23.953424657534246</v>
      </c>
      <c r="J27" s="120">
        <v>71</v>
      </c>
      <c r="K27" s="120">
        <v>198</v>
      </c>
      <c r="L27" s="120">
        <v>4.4000000000000004</v>
      </c>
      <c r="M27" s="55">
        <v>0</v>
      </c>
      <c r="N27" s="121">
        <v>0</v>
      </c>
      <c r="O27" s="122">
        <v>0.11388196176226101</v>
      </c>
      <c r="P27" s="122">
        <v>7.3355418835778508E-2</v>
      </c>
      <c r="Q27" s="122">
        <v>0.24036451801688824</v>
      </c>
      <c r="R27" s="122">
        <v>0.17623672290681805</v>
      </c>
      <c r="S27" s="42">
        <v>0.20830062046185316</v>
      </c>
      <c r="T27" s="42">
        <v>0.13539540330020455</v>
      </c>
      <c r="U27" s="42">
        <v>6.0400151000377503E-2</v>
      </c>
      <c r="V27" s="42">
        <v>1.1446886446886447E-3</v>
      </c>
      <c r="W27" s="42">
        <v>3.0772419822533075E-2</v>
      </c>
      <c r="X27" s="43">
        <v>2.0002072884646501E-2</v>
      </c>
      <c r="Y27" s="44">
        <v>22.298630136986301</v>
      </c>
      <c r="Z27" s="45">
        <v>105.65364387678434</v>
      </c>
      <c r="AA27" s="45">
        <v>27.612378496330095</v>
      </c>
      <c r="AB27" s="45">
        <v>0.21232876712328766</v>
      </c>
      <c r="AC27" s="45">
        <v>9.6964285714285712</v>
      </c>
      <c r="AD27" s="45">
        <v>76.599999999999994</v>
      </c>
      <c r="AE27" s="45">
        <v>3.96</v>
      </c>
      <c r="AF27" s="46">
        <v>71</v>
      </c>
      <c r="AG27" s="128">
        <v>1</v>
      </c>
      <c r="AH27" s="49">
        <v>2</v>
      </c>
      <c r="AI27" s="49">
        <v>1</v>
      </c>
      <c r="AJ27" s="49">
        <v>8</v>
      </c>
      <c r="AK27" s="49">
        <v>6</v>
      </c>
      <c r="AL27" s="49">
        <v>10</v>
      </c>
      <c r="AM27" s="49">
        <v>5</v>
      </c>
      <c r="AN27" s="49">
        <v>5</v>
      </c>
      <c r="AO27" s="49">
        <v>0</v>
      </c>
      <c r="AP27" s="50">
        <v>0</v>
      </c>
      <c r="AQ27" s="56"/>
      <c r="AR27" s="57">
        <v>1</v>
      </c>
      <c r="AS27" s="57"/>
      <c r="AT27" s="57"/>
      <c r="AU27" s="57"/>
      <c r="AV27" s="57"/>
      <c r="AW27" s="57"/>
      <c r="AX27" s="57"/>
      <c r="AY27" s="57"/>
      <c r="AZ27" s="57"/>
      <c r="BA27" s="57"/>
      <c r="BB27" s="57">
        <v>1</v>
      </c>
      <c r="BC27" s="57"/>
      <c r="BD27" s="57"/>
      <c r="BE27" s="59"/>
      <c r="BF27" s="56">
        <v>462</v>
      </c>
      <c r="BG27" s="57">
        <v>3917</v>
      </c>
      <c r="BH27" s="57">
        <v>6</v>
      </c>
      <c r="BI27" s="57">
        <v>34</v>
      </c>
      <c r="BJ27" s="57"/>
      <c r="BK27" s="57"/>
      <c r="BL27" s="57"/>
      <c r="BM27" s="57"/>
      <c r="BN27" s="57"/>
      <c r="BO27" s="57"/>
      <c r="BP27" s="57">
        <v>86</v>
      </c>
      <c r="BQ27" s="57">
        <v>895</v>
      </c>
      <c r="BR27" s="57">
        <v>4</v>
      </c>
      <c r="BS27" s="57">
        <v>1</v>
      </c>
      <c r="BT27" s="59">
        <v>5</v>
      </c>
      <c r="BU27" s="56">
        <v>273</v>
      </c>
      <c r="BV27" s="57">
        <v>3396.8</v>
      </c>
      <c r="BW27" s="57">
        <v>6</v>
      </c>
      <c r="BX27" s="57">
        <v>36.299999999999997</v>
      </c>
      <c r="BY27" s="57"/>
      <c r="BZ27" s="57"/>
      <c r="CA27" s="129"/>
      <c r="CB27" s="129"/>
      <c r="CC27" s="58"/>
      <c r="CD27" s="129"/>
      <c r="CE27" s="57">
        <v>68</v>
      </c>
      <c r="CF27" s="57">
        <v>1251.8</v>
      </c>
      <c r="CG27" s="57">
        <v>6</v>
      </c>
      <c r="CH27" s="57">
        <v>0</v>
      </c>
      <c r="CI27" s="59">
        <v>8.8000000000000007</v>
      </c>
      <c r="CJ27" s="51">
        <v>1086</v>
      </c>
      <c r="CK27" s="52">
        <v>3724.7999999999997</v>
      </c>
      <c r="CL27" s="52">
        <v>12</v>
      </c>
      <c r="CM27" s="52">
        <v>33.599999999999994</v>
      </c>
      <c r="CN27" s="52">
        <v>112</v>
      </c>
      <c r="CO27" s="52">
        <v>18</v>
      </c>
      <c r="CP27" s="52">
        <v>9.6964285714285712</v>
      </c>
      <c r="CQ27" s="52">
        <v>73.099999999999994</v>
      </c>
      <c r="CR27" s="53">
        <v>3.96</v>
      </c>
      <c r="CS27" s="52">
        <v>71</v>
      </c>
      <c r="CT27" s="52">
        <v>64</v>
      </c>
      <c r="CU27" s="52">
        <v>1059.5999999999999</v>
      </c>
      <c r="CV27" s="52">
        <v>7</v>
      </c>
      <c r="CW27" s="52">
        <v>0</v>
      </c>
      <c r="CX27" s="54">
        <v>7.1999999999999993</v>
      </c>
      <c r="CY27" s="51">
        <v>889</v>
      </c>
      <c r="CZ27" s="52">
        <v>3308.5</v>
      </c>
      <c r="DA27" s="52">
        <v>11</v>
      </c>
      <c r="DB27" s="52">
        <v>41.6</v>
      </c>
      <c r="DC27" s="52">
        <v>146</v>
      </c>
      <c r="DD27" s="52">
        <v>31</v>
      </c>
      <c r="DE27" s="52">
        <v>6.0890410958904111</v>
      </c>
      <c r="DF27" s="52">
        <v>76.599999999999994</v>
      </c>
      <c r="DG27" s="52">
        <v>3.63</v>
      </c>
      <c r="DH27" s="52">
        <v>54.6</v>
      </c>
      <c r="DI27" s="52">
        <v>2</v>
      </c>
      <c r="DJ27" s="52">
        <v>1747.2</v>
      </c>
      <c r="DK27" s="52">
        <v>1</v>
      </c>
      <c r="DL27" s="52">
        <v>0</v>
      </c>
      <c r="DM27" s="54">
        <v>6.5</v>
      </c>
    </row>
    <row r="28" spans="1:117" ht="15.75" customHeight="1" x14ac:dyDescent="0.2">
      <c r="A28" s="33">
        <v>26</v>
      </c>
      <c r="B28" s="34" t="s">
        <v>488</v>
      </c>
      <c r="C28" s="116">
        <v>3.2388888888888889</v>
      </c>
      <c r="D28" s="117" t="s">
        <v>410</v>
      </c>
      <c r="E28" s="37">
        <v>5</v>
      </c>
      <c r="F28" s="118">
        <v>34197</v>
      </c>
      <c r="G28" s="119">
        <v>32.136986301369866</v>
      </c>
      <c r="H28" s="39" t="s">
        <v>389</v>
      </c>
      <c r="I28" s="119">
        <v>22.712328767123289</v>
      </c>
      <c r="J28" s="120">
        <v>72</v>
      </c>
      <c r="K28" s="120">
        <v>223</v>
      </c>
      <c r="L28" s="120">
        <v>4.53</v>
      </c>
      <c r="M28" s="55">
        <v>0</v>
      </c>
      <c r="N28" s="121">
        <v>0</v>
      </c>
      <c r="O28" s="122">
        <v>0</v>
      </c>
      <c r="P28" s="122">
        <v>0.20591786064098766</v>
      </c>
      <c r="Q28" s="122">
        <v>0</v>
      </c>
      <c r="R28" s="122">
        <v>0.13336378168531629</v>
      </c>
      <c r="S28" s="42">
        <v>0.16964082116315199</v>
      </c>
      <c r="T28" s="42">
        <v>0.14419469798867918</v>
      </c>
      <c r="U28" s="42">
        <v>0</v>
      </c>
      <c r="V28" s="42">
        <v>4.9314052651093808E-2</v>
      </c>
      <c r="W28" s="42">
        <v>4.9314052651093808E-2</v>
      </c>
      <c r="X28" s="43">
        <v>4.1916944753429733E-2</v>
      </c>
      <c r="Y28" s="44">
        <v>20.057534246575344</v>
      </c>
      <c r="Z28" s="45">
        <v>105.91123949028494</v>
      </c>
      <c r="AA28" s="45">
        <v>30.240933641975307</v>
      </c>
      <c r="AB28" s="45">
        <v>0.10588235294117647</v>
      </c>
      <c r="AC28" s="45">
        <v>5.3058823529411763</v>
      </c>
      <c r="AD28" s="45">
        <v>27.7</v>
      </c>
      <c r="AE28" s="45">
        <v>2.82</v>
      </c>
      <c r="AF28" s="46">
        <v>33.5</v>
      </c>
      <c r="AG28" s="128">
        <v>1</v>
      </c>
      <c r="AH28" s="49">
        <v>4</v>
      </c>
      <c r="AI28" s="49">
        <v>4</v>
      </c>
      <c r="AJ28" s="49">
        <v>8</v>
      </c>
      <c r="AK28" s="49">
        <v>1</v>
      </c>
      <c r="AL28" s="49">
        <v>2</v>
      </c>
      <c r="AM28" s="49">
        <v>0</v>
      </c>
      <c r="AN28" s="49">
        <v>2</v>
      </c>
      <c r="AO28" s="49">
        <v>0</v>
      </c>
      <c r="AP28" s="50">
        <v>0.5</v>
      </c>
      <c r="AQ28" s="56"/>
      <c r="AR28" s="57">
        <v>1</v>
      </c>
      <c r="AS28" s="57"/>
      <c r="AT28" s="57"/>
      <c r="AU28" s="57"/>
      <c r="AV28" s="57"/>
      <c r="AW28" s="57"/>
      <c r="AX28" s="57"/>
      <c r="AY28" s="57"/>
      <c r="AZ28" s="57"/>
      <c r="BA28" s="57"/>
      <c r="BB28" s="57">
        <v>1</v>
      </c>
      <c r="BC28" s="57"/>
      <c r="BD28" s="57"/>
      <c r="BE28" s="59"/>
      <c r="BF28" s="56"/>
      <c r="BG28" s="57">
        <v>1</v>
      </c>
      <c r="BH28" s="57"/>
      <c r="BI28" s="57"/>
      <c r="BJ28" s="57"/>
      <c r="BK28" s="57"/>
      <c r="BL28" s="57"/>
      <c r="BM28" s="57"/>
      <c r="BN28" s="57"/>
      <c r="BO28" s="57"/>
      <c r="BP28" s="57"/>
      <c r="BQ28" s="57">
        <v>1</v>
      </c>
      <c r="BR28" s="57"/>
      <c r="BS28" s="57"/>
      <c r="BT28" s="59"/>
      <c r="BU28" s="56">
        <v>703</v>
      </c>
      <c r="BV28" s="57">
        <v>1892</v>
      </c>
      <c r="BW28" s="57">
        <v>3</v>
      </c>
      <c r="BX28" s="57">
        <v>23.1</v>
      </c>
      <c r="BY28" s="57"/>
      <c r="BZ28" s="57"/>
      <c r="CA28" s="129"/>
      <c r="CB28" s="129"/>
      <c r="CC28" s="58"/>
      <c r="CD28" s="129"/>
      <c r="CE28" s="57">
        <v>201</v>
      </c>
      <c r="CF28" s="57">
        <v>2498.1</v>
      </c>
      <c r="CG28" s="57">
        <v>15</v>
      </c>
      <c r="CH28" s="57">
        <v>4</v>
      </c>
      <c r="CI28" s="59">
        <v>15.399999999999999</v>
      </c>
      <c r="CJ28" s="51"/>
      <c r="CK28" s="52"/>
      <c r="CL28" s="52"/>
      <c r="CM28" s="52"/>
      <c r="CN28" s="52"/>
      <c r="CO28" s="52"/>
      <c r="CP28" s="52"/>
      <c r="CQ28" s="52"/>
      <c r="CR28" s="53"/>
      <c r="CS28" s="52"/>
      <c r="CT28" s="52"/>
      <c r="CU28" s="52">
        <v>1</v>
      </c>
      <c r="CV28" s="52"/>
      <c r="CW28" s="52"/>
      <c r="CX28" s="54">
        <v>0</v>
      </c>
      <c r="CY28" s="51">
        <v>451</v>
      </c>
      <c r="CZ28" s="52">
        <v>1682</v>
      </c>
      <c r="DA28" s="52">
        <v>5</v>
      </c>
      <c r="DB28" s="52">
        <v>19</v>
      </c>
      <c r="DC28" s="52">
        <v>85</v>
      </c>
      <c r="DD28" s="52">
        <v>9</v>
      </c>
      <c r="DE28" s="52">
        <v>5.3058823529411763</v>
      </c>
      <c r="DF28" s="52">
        <v>27.7</v>
      </c>
      <c r="DG28" s="52">
        <v>2.82</v>
      </c>
      <c r="DH28" s="52">
        <v>33.5</v>
      </c>
      <c r="DI28" s="52">
        <v>133</v>
      </c>
      <c r="DJ28" s="52">
        <v>2697</v>
      </c>
      <c r="DK28" s="52">
        <v>17</v>
      </c>
      <c r="DL28" s="52">
        <v>1</v>
      </c>
      <c r="DM28" s="54">
        <v>21</v>
      </c>
    </row>
    <row r="29" spans="1:117" ht="15.75" customHeight="1" x14ac:dyDescent="0.2">
      <c r="A29" s="33">
        <v>27</v>
      </c>
      <c r="B29" s="34" t="s">
        <v>486</v>
      </c>
      <c r="C29" s="116">
        <v>3.1833333333333336</v>
      </c>
      <c r="D29" s="117" t="s">
        <v>487</v>
      </c>
      <c r="E29" s="37">
        <v>9</v>
      </c>
      <c r="F29" s="118">
        <v>34304</v>
      </c>
      <c r="G29" s="119">
        <v>31.843835616438355</v>
      </c>
      <c r="H29" s="39" t="s">
        <v>389</v>
      </c>
      <c r="I29" s="119">
        <v>22.419178082191781</v>
      </c>
      <c r="J29" s="120">
        <v>72</v>
      </c>
      <c r="K29" s="120">
        <v>220</v>
      </c>
      <c r="L29" s="120">
        <v>4.3499999999999996</v>
      </c>
      <c r="M29" s="55">
        <v>6</v>
      </c>
      <c r="N29" s="121">
        <v>0</v>
      </c>
      <c r="O29" s="122">
        <v>2.9784065524944155E-3</v>
      </c>
      <c r="P29" s="122">
        <v>9.6542338280950962E-2</v>
      </c>
      <c r="Q29" s="122">
        <v>0.12661141804788212</v>
      </c>
      <c r="R29" s="122">
        <v>0.28244508619935238</v>
      </c>
      <c r="S29" s="42">
        <v>0.28244508619935238</v>
      </c>
      <c r="T29" s="42">
        <v>0.18358930602957904</v>
      </c>
      <c r="U29" s="42">
        <v>7.9051383399209474E-2</v>
      </c>
      <c r="V29" s="42">
        <v>7.6379388964888273E-2</v>
      </c>
      <c r="W29" s="42">
        <v>7.7715386182048873E-2</v>
      </c>
      <c r="X29" s="43">
        <v>5.051500101833177E-2</v>
      </c>
      <c r="Y29" s="44">
        <v>21.764383561643836</v>
      </c>
      <c r="Z29" s="45">
        <v>122.8840874375441</v>
      </c>
      <c r="AA29" s="45">
        <v>29.834104938271604</v>
      </c>
      <c r="AB29" s="45">
        <v>0.13461538461538461</v>
      </c>
      <c r="AC29" s="45">
        <v>5.240384615384615</v>
      </c>
      <c r="AD29" s="45">
        <v>42.1</v>
      </c>
      <c r="AE29" s="45">
        <v>2.41</v>
      </c>
      <c r="AF29" s="46">
        <v>46.3</v>
      </c>
      <c r="AG29" s="128">
        <v>3</v>
      </c>
      <c r="AH29" s="49">
        <v>5</v>
      </c>
      <c r="AI29" s="49">
        <v>2</v>
      </c>
      <c r="AJ29" s="49">
        <v>10</v>
      </c>
      <c r="AK29" s="49">
        <v>2</v>
      </c>
      <c r="AL29" s="49">
        <v>1</v>
      </c>
      <c r="AM29" s="49">
        <v>2</v>
      </c>
      <c r="AN29" s="49">
        <v>0</v>
      </c>
      <c r="AO29" s="49">
        <v>2</v>
      </c>
      <c r="AP29" s="50">
        <v>0</v>
      </c>
      <c r="AQ29" s="56"/>
      <c r="AR29" s="57">
        <v>1</v>
      </c>
      <c r="AS29" s="57"/>
      <c r="AT29" s="57"/>
      <c r="AU29" s="57"/>
      <c r="AV29" s="57"/>
      <c r="AW29" s="57"/>
      <c r="AX29" s="57"/>
      <c r="AY29" s="57"/>
      <c r="AZ29" s="57"/>
      <c r="BA29" s="57"/>
      <c r="BB29" s="57">
        <v>1</v>
      </c>
      <c r="BC29" s="57"/>
      <c r="BD29" s="57"/>
      <c r="BE29" s="59"/>
      <c r="BF29" s="56">
        <v>12</v>
      </c>
      <c r="BG29" s="57">
        <v>1970</v>
      </c>
      <c r="BH29" s="57">
        <v>0</v>
      </c>
      <c r="BI29" s="57">
        <v>13</v>
      </c>
      <c r="BJ29" s="57"/>
      <c r="BK29" s="57"/>
      <c r="BL29" s="57"/>
      <c r="BM29" s="57"/>
      <c r="BN29" s="57"/>
      <c r="BO29" s="57"/>
      <c r="BP29" s="57">
        <v>0</v>
      </c>
      <c r="BQ29" s="57">
        <v>2059</v>
      </c>
      <c r="BR29" s="57">
        <v>0</v>
      </c>
      <c r="BS29" s="57">
        <v>0</v>
      </c>
      <c r="BT29" s="59">
        <v>19</v>
      </c>
      <c r="BU29" s="56">
        <v>201</v>
      </c>
      <c r="BV29" s="57">
        <v>1104.6000000000001</v>
      </c>
      <c r="BW29" s="57">
        <v>2</v>
      </c>
      <c r="BX29" s="57">
        <v>7.7000000000000011</v>
      </c>
      <c r="BY29" s="57"/>
      <c r="BZ29" s="57"/>
      <c r="CA29" s="129"/>
      <c r="CB29" s="129"/>
      <c r="CC29" s="58"/>
      <c r="CD29" s="129"/>
      <c r="CE29" s="57">
        <v>26</v>
      </c>
      <c r="CF29" s="57">
        <v>1246.7</v>
      </c>
      <c r="CG29" s="57">
        <v>3</v>
      </c>
      <c r="CH29" s="57">
        <v>0</v>
      </c>
      <c r="CI29" s="59">
        <v>8.4</v>
      </c>
      <c r="CJ29" s="51">
        <v>296</v>
      </c>
      <c r="CK29" s="52">
        <v>1653.6000000000001</v>
      </c>
      <c r="CL29" s="52">
        <v>1</v>
      </c>
      <c r="CM29" s="52">
        <v>9.6000000000000014</v>
      </c>
      <c r="CN29" s="52">
        <v>60</v>
      </c>
      <c r="CO29" s="52">
        <v>3</v>
      </c>
      <c r="CP29" s="52">
        <v>4.9333333333333336</v>
      </c>
      <c r="CQ29" s="52">
        <v>18.100000000000001</v>
      </c>
      <c r="CR29" s="53">
        <v>2.38</v>
      </c>
      <c r="CS29" s="52">
        <v>32.4</v>
      </c>
      <c r="CT29" s="52">
        <v>144</v>
      </c>
      <c r="CU29" s="52">
        <v>1821.6000000000001</v>
      </c>
      <c r="CV29" s="52">
        <v>19</v>
      </c>
      <c r="CW29" s="52">
        <v>2</v>
      </c>
      <c r="CX29" s="54">
        <v>13.200000000000001</v>
      </c>
      <c r="CY29" s="51">
        <v>1090</v>
      </c>
      <c r="CZ29" s="52">
        <v>1939.1999999999998</v>
      </c>
      <c r="DA29" s="52">
        <v>14</v>
      </c>
      <c r="DB29" s="52">
        <v>20.399999999999999</v>
      </c>
      <c r="DC29" s="52">
        <v>208</v>
      </c>
      <c r="DD29" s="52">
        <v>28</v>
      </c>
      <c r="DE29" s="52">
        <v>5.240384615384615</v>
      </c>
      <c r="DF29" s="52">
        <v>42.1</v>
      </c>
      <c r="DG29" s="52">
        <v>2.41</v>
      </c>
      <c r="DH29" s="52">
        <v>46.3</v>
      </c>
      <c r="DI29" s="52">
        <v>201</v>
      </c>
      <c r="DJ29" s="52">
        <v>2631.6000000000004</v>
      </c>
      <c r="DK29" s="52">
        <v>21</v>
      </c>
      <c r="DL29" s="52">
        <v>2</v>
      </c>
      <c r="DM29" s="54">
        <v>18</v>
      </c>
    </row>
    <row r="30" spans="1:117" ht="15.75" customHeight="1" thickBot="1" x14ac:dyDescent="0.25">
      <c r="A30" s="60">
        <v>28</v>
      </c>
      <c r="B30" s="62" t="s">
        <v>489</v>
      </c>
      <c r="C30" s="134">
        <v>2.6999999999999997</v>
      </c>
      <c r="D30" s="135" t="s">
        <v>490</v>
      </c>
      <c r="E30" s="66">
        <v>4</v>
      </c>
      <c r="F30" s="136">
        <v>34001</v>
      </c>
      <c r="G30" s="137">
        <v>32.673972602739724</v>
      </c>
      <c r="H30" s="68" t="s">
        <v>389</v>
      </c>
      <c r="I30" s="137">
        <v>23.24931506849315</v>
      </c>
      <c r="J30" s="138">
        <v>72</v>
      </c>
      <c r="K30" s="138">
        <v>200</v>
      </c>
      <c r="L30" s="138">
        <v>4.54</v>
      </c>
      <c r="M30" s="139">
        <v>7</v>
      </c>
      <c r="N30" s="140">
        <v>0</v>
      </c>
      <c r="O30" s="141">
        <v>3.1207333723425001E-2</v>
      </c>
      <c r="P30" s="141">
        <v>7.1945592512410075E-2</v>
      </c>
      <c r="Q30" s="141">
        <v>0</v>
      </c>
      <c r="R30" s="141">
        <v>4.9414246849147747E-2</v>
      </c>
      <c r="S30" s="71">
        <v>6.0679919680778911E-2</v>
      </c>
      <c r="T30" s="71">
        <v>5.4611927712701021E-2</v>
      </c>
      <c r="U30" s="71">
        <v>0</v>
      </c>
      <c r="V30" s="71">
        <v>2.7651348309107818E-2</v>
      </c>
      <c r="W30" s="71">
        <v>2.7651348309107818E-2</v>
      </c>
      <c r="X30" s="72">
        <v>2.4886213478197038E-2</v>
      </c>
      <c r="Y30" s="73" t="s">
        <v>645</v>
      </c>
      <c r="Z30" s="74">
        <v>94.15352407972857</v>
      </c>
      <c r="AA30" s="74">
        <v>27.121913580246911</v>
      </c>
      <c r="AB30" s="74">
        <v>0.12195121951219512</v>
      </c>
      <c r="AC30" s="74">
        <v>5.9268292682926829</v>
      </c>
      <c r="AD30" s="74">
        <v>36.6</v>
      </c>
      <c r="AE30" s="74">
        <v>3.05</v>
      </c>
      <c r="AF30" s="75">
        <v>50.6</v>
      </c>
      <c r="AG30" s="142">
        <v>0</v>
      </c>
      <c r="AH30" s="78">
        <v>2</v>
      </c>
      <c r="AI30" s="78">
        <v>0</v>
      </c>
      <c r="AJ30" s="78">
        <v>2</v>
      </c>
      <c r="AK30" s="78">
        <v>2</v>
      </c>
      <c r="AL30" s="215">
        <v>4</v>
      </c>
      <c r="AM30" s="78">
        <v>1</v>
      </c>
      <c r="AN30" s="78">
        <v>3</v>
      </c>
      <c r="AO30" s="78">
        <v>1</v>
      </c>
      <c r="AP30" s="79">
        <v>1</v>
      </c>
      <c r="AQ30" s="80"/>
      <c r="AR30" s="81">
        <v>1</v>
      </c>
      <c r="AS30" s="81"/>
      <c r="AT30" s="81"/>
      <c r="AU30" s="81"/>
      <c r="AV30" s="81"/>
      <c r="AW30" s="81"/>
      <c r="AX30" s="81"/>
      <c r="AY30" s="81"/>
      <c r="AZ30" s="81"/>
      <c r="BA30" s="81"/>
      <c r="BB30" s="81">
        <v>1</v>
      </c>
      <c r="BC30" s="81"/>
      <c r="BD30" s="81"/>
      <c r="BE30" s="83"/>
      <c r="BF30" s="80">
        <v>119</v>
      </c>
      <c r="BG30" s="81">
        <v>1528.8</v>
      </c>
      <c r="BH30" s="81">
        <v>0</v>
      </c>
      <c r="BI30" s="81">
        <v>16</v>
      </c>
      <c r="BJ30" s="81"/>
      <c r="BK30" s="81"/>
      <c r="BL30" s="81"/>
      <c r="BM30" s="81"/>
      <c r="BN30" s="81"/>
      <c r="BO30" s="81"/>
      <c r="BP30" s="81">
        <v>9</v>
      </c>
      <c r="BQ30" s="81">
        <v>2572.8000000000002</v>
      </c>
      <c r="BR30" s="81">
        <v>3</v>
      </c>
      <c r="BS30" s="81">
        <v>0</v>
      </c>
      <c r="BT30" s="83">
        <v>24.8</v>
      </c>
      <c r="BU30" s="80">
        <v>246</v>
      </c>
      <c r="BV30" s="81">
        <v>1575</v>
      </c>
      <c r="BW30" s="81">
        <v>2</v>
      </c>
      <c r="BX30" s="81">
        <v>18</v>
      </c>
      <c r="BY30" s="81"/>
      <c r="BZ30" s="81"/>
      <c r="CA30" s="144"/>
      <c r="CB30" s="144"/>
      <c r="CC30" s="82"/>
      <c r="CD30" s="144"/>
      <c r="CE30" s="81">
        <v>83</v>
      </c>
      <c r="CF30" s="81">
        <v>2997.9</v>
      </c>
      <c r="CG30" s="81">
        <v>6</v>
      </c>
      <c r="CH30" s="81">
        <v>1</v>
      </c>
      <c r="CI30" s="83">
        <v>27</v>
      </c>
      <c r="CJ30" s="145">
        <v>0</v>
      </c>
      <c r="CK30" s="81">
        <v>1</v>
      </c>
      <c r="CL30" s="81"/>
      <c r="CM30" s="81">
        <v>0</v>
      </c>
      <c r="CN30" s="81"/>
      <c r="CO30" s="81"/>
      <c r="CP30" s="81"/>
      <c r="CQ30" s="81"/>
      <c r="CR30" s="82"/>
      <c r="CS30" s="81"/>
      <c r="CT30" s="81"/>
      <c r="CU30" s="81">
        <v>1</v>
      </c>
      <c r="CV30" s="81"/>
      <c r="CW30" s="81"/>
      <c r="CX30" s="83">
        <v>0</v>
      </c>
      <c r="CY30" s="80">
        <v>243</v>
      </c>
      <c r="CZ30" s="81">
        <v>3117.7999999999997</v>
      </c>
      <c r="DA30" s="81">
        <v>3</v>
      </c>
      <c r="DB30" s="81">
        <v>32.199999999999996</v>
      </c>
      <c r="DC30" s="81">
        <v>41</v>
      </c>
      <c r="DD30" s="81">
        <v>5</v>
      </c>
      <c r="DE30" s="81">
        <v>5.9268292682926829</v>
      </c>
      <c r="DF30" s="81">
        <v>36.6</v>
      </c>
      <c r="DG30" s="81">
        <v>3.05</v>
      </c>
      <c r="DH30" s="81">
        <v>50.6</v>
      </c>
      <c r="DI30" s="81">
        <v>113</v>
      </c>
      <c r="DJ30" s="81">
        <v>4086.5999999999995</v>
      </c>
      <c r="DK30" s="81">
        <v>9</v>
      </c>
      <c r="DL30" s="81">
        <v>2</v>
      </c>
      <c r="DM30" s="83">
        <v>32.199999999999996</v>
      </c>
    </row>
    <row r="31" spans="1:117" ht="15.75" customHeight="1" x14ac:dyDescent="0.2"/>
    <row r="32" spans="1:117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2:DM2" xr:uid="{00000000-0009-0000-0000-000006000000}">
    <sortState xmlns:xlrd2="http://schemas.microsoft.com/office/spreadsheetml/2017/richdata2" ref="A3:DM30">
      <sortCondition ref="A2"/>
    </sortState>
  </autoFilter>
  <mergeCells count="10">
    <mergeCell ref="BU1:CI1"/>
    <mergeCell ref="CJ1:CX1"/>
    <mergeCell ref="CY1:DM1"/>
    <mergeCell ref="A1:C1"/>
    <mergeCell ref="D1:M1"/>
    <mergeCell ref="N1:X1"/>
    <mergeCell ref="Y1:AF1"/>
    <mergeCell ref="AG1:AP1"/>
    <mergeCell ref="AQ1:BE1"/>
    <mergeCell ref="BF1:BT1"/>
  </mergeCells>
  <conditionalFormatting sqref="B3:B30">
    <cfRule type="expression" dxfId="148" priority="1" stopIfTrue="1">
      <formula>C3&gt;=13</formula>
    </cfRule>
    <cfRule type="expression" dxfId="147" priority="2">
      <formula>AND(C3&gt;=12,C3&lt;13)</formula>
    </cfRule>
    <cfRule type="expression" dxfId="146" priority="3" stopIfTrue="1">
      <formula>AND(C3&gt;=11,C3&lt;12)</formula>
    </cfRule>
    <cfRule type="expression" dxfId="145" priority="4">
      <formula>AND(C3&gt;=9,C3&lt;11)</formula>
    </cfRule>
    <cfRule type="expression" dxfId="144" priority="5">
      <formula>AND(C3&gt;=7,C3&lt;9)</formula>
    </cfRule>
    <cfRule type="expression" dxfId="143" priority="6" stopIfTrue="1">
      <formula>AND(C3&gt;=6,C3&lt;7)</formula>
    </cfRule>
    <cfRule type="expression" dxfId="142" priority="7" stopIfTrue="1">
      <formula>AND(C3&gt;=5,C3&lt;6)</formula>
    </cfRule>
    <cfRule type="expression" dxfId="141" priority="8">
      <formula>C3&lt;5</formula>
    </cfRule>
  </conditionalFormatting>
  <conditionalFormatting sqref="C3:C3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H30">
    <cfRule type="containsText" dxfId="140" priority="10" operator="containsText" text="SR">
      <formula>NOT(ISERROR(SEARCH(("SR"),(H3))))</formula>
    </cfRule>
  </conditionalFormatting>
  <conditionalFormatting sqref="N3:R30">
    <cfRule type="cellIs" dxfId="139" priority="11" stopIfTrue="1" operator="between">
      <formula>0.15</formula>
      <formula>0.1999</formula>
    </cfRule>
    <cfRule type="cellIs" dxfId="138" priority="12" operator="equal">
      <formula>0</formula>
    </cfRule>
    <cfRule type="colorScale" priority="13">
      <colorScale>
        <cfvo type="formula" val="0.1899"/>
        <cfvo type="formula" val="0.2"/>
        <cfvo type="formula" val="0.4"/>
        <color rgb="FFFACACA"/>
        <color rgb="FFC0E399"/>
        <color rgb="FF63BE7B"/>
      </colorScale>
    </cfRule>
  </conditionalFormatting>
  <conditionalFormatting sqref="S3:T30">
    <cfRule type="colorScale" priority="14">
      <colorScale>
        <cfvo type="formula" val="0.1499"/>
        <cfvo type="formula" val="0.15"/>
        <cfvo type="formula" val="0.4"/>
        <color rgb="FFFACACA"/>
        <color rgb="FFCEF9B9"/>
        <color rgb="FF00B050"/>
      </colorScale>
    </cfRule>
  </conditionalFormatting>
  <conditionalFormatting sqref="U3:V3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:W3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:X3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S1000"/>
  <sheetViews>
    <sheetView zoomScale="80" zoomScaleNormal="80" workbookViewId="0">
      <selection sqref="A1:XFD1048576"/>
    </sheetView>
  </sheetViews>
  <sheetFormatPr baseColWidth="10" defaultColWidth="14.5" defaultRowHeight="15" customHeight="1" x14ac:dyDescent="0.2"/>
  <cols>
    <col min="1" max="1" width="8.5" customWidth="1"/>
    <col min="2" max="2" width="22.83203125" customWidth="1"/>
    <col min="3" max="3" width="12" customWidth="1"/>
    <col min="4" max="4" width="17.5" customWidth="1"/>
    <col min="5" max="5" width="10.83203125" customWidth="1"/>
    <col min="6" max="6" width="11.5" customWidth="1"/>
    <col min="7" max="7" width="7.5" customWidth="1"/>
    <col min="8" max="8" width="8" customWidth="1"/>
    <col min="9" max="9" width="12.6640625" customWidth="1"/>
    <col min="10" max="10" width="10" customWidth="1"/>
    <col min="11" max="11" width="10.5" customWidth="1"/>
    <col min="12" max="12" width="11.33203125" customWidth="1"/>
    <col min="13" max="13" width="12.5" customWidth="1"/>
    <col min="14" max="20" width="9.83203125" customWidth="1"/>
    <col min="21" max="22" width="11" customWidth="1"/>
    <col min="23" max="23" width="10" customWidth="1"/>
    <col min="24" max="24" width="11" customWidth="1"/>
    <col min="25" max="25" width="9.33203125" customWidth="1"/>
    <col min="26" max="26" width="9.5" customWidth="1"/>
    <col min="27" max="27" width="7.6640625" customWidth="1"/>
    <col min="28" max="28" width="10.1640625" customWidth="1"/>
    <col min="29" max="29" width="7.33203125" customWidth="1"/>
    <col min="30" max="30" width="7.5" customWidth="1"/>
    <col min="31" max="31" width="9.83203125" customWidth="1"/>
    <col min="32" max="32" width="11.5" customWidth="1"/>
    <col min="33" max="33" width="10.83203125" customWidth="1"/>
    <col min="34" max="34" width="11" customWidth="1"/>
    <col min="35" max="35" width="10.33203125" customWidth="1"/>
    <col min="36" max="36" width="10.5" customWidth="1"/>
    <col min="37" max="37" width="10.1640625" customWidth="1"/>
    <col min="38" max="39" width="8.5" customWidth="1"/>
    <col min="40" max="40" width="10.83203125" customWidth="1"/>
    <col min="41" max="41" width="7.6640625" customWidth="1"/>
    <col min="42" max="42" width="9.5" customWidth="1"/>
    <col min="43" max="43" width="12" customWidth="1"/>
    <col min="44" max="44" width="12.6640625" customWidth="1"/>
    <col min="45" max="45" width="12.33203125" customWidth="1"/>
    <col min="46" max="46" width="12.1640625" customWidth="1"/>
    <col min="47" max="47" width="6.6640625" customWidth="1"/>
    <col min="48" max="48" width="8" customWidth="1"/>
    <col min="49" max="49" width="7.33203125" customWidth="1"/>
    <col min="50" max="50" width="7.5" customWidth="1"/>
    <col min="51" max="51" width="9.83203125" customWidth="1"/>
    <col min="52" max="52" width="11.5" customWidth="1"/>
    <col min="53" max="53" width="10.83203125" customWidth="1"/>
    <col min="54" max="54" width="12.6640625" customWidth="1"/>
    <col min="55" max="55" width="8.1640625" customWidth="1"/>
    <col min="56" max="56" width="11.33203125" customWidth="1"/>
    <col min="57" max="57" width="13" customWidth="1"/>
    <col min="58" max="58" width="12" customWidth="1"/>
    <col min="59" max="59" width="12.6640625" customWidth="1"/>
    <col min="60" max="60" width="12.33203125" customWidth="1"/>
    <col min="61" max="61" width="12.1640625" customWidth="1"/>
    <col min="62" max="62" width="6.6640625" customWidth="1"/>
    <col min="63" max="63" width="8" customWidth="1"/>
    <col min="64" max="64" width="7.33203125" customWidth="1"/>
    <col min="65" max="65" width="7.5" customWidth="1"/>
    <col min="66" max="66" width="9.83203125" customWidth="1"/>
    <col min="67" max="67" width="11.5" customWidth="1"/>
    <col min="68" max="68" width="10.83203125" customWidth="1"/>
    <col min="69" max="69" width="12.6640625" customWidth="1"/>
    <col min="70" max="70" width="8.1640625" customWidth="1"/>
    <col min="71" max="71" width="11.33203125" customWidth="1"/>
    <col min="72" max="72" width="13" customWidth="1"/>
    <col min="73" max="73" width="12" customWidth="1"/>
    <col min="74" max="74" width="12.6640625" customWidth="1"/>
    <col min="75" max="75" width="12.33203125" customWidth="1"/>
    <col min="76" max="76" width="12.1640625" customWidth="1"/>
    <col min="77" max="77" width="6.6640625" customWidth="1"/>
    <col min="78" max="78" width="8" customWidth="1"/>
    <col min="79" max="79" width="7.33203125" customWidth="1"/>
    <col min="80" max="80" width="7.5" customWidth="1"/>
    <col min="81" max="81" width="9.83203125" customWidth="1"/>
    <col min="82" max="82" width="11.5" customWidth="1"/>
    <col min="83" max="83" width="10.83203125" customWidth="1"/>
    <col min="84" max="84" width="12.6640625" customWidth="1"/>
    <col min="85" max="85" width="8.1640625" customWidth="1"/>
    <col min="86" max="86" width="11.33203125" customWidth="1"/>
    <col min="87" max="87" width="13" customWidth="1"/>
    <col min="88" max="88" width="12" customWidth="1"/>
    <col min="89" max="89" width="12.6640625" customWidth="1"/>
    <col min="90" max="90" width="12.33203125" customWidth="1"/>
    <col min="91" max="91" width="12.1640625" customWidth="1"/>
    <col min="92" max="92" width="6.6640625" customWidth="1"/>
    <col min="93" max="93" width="8" customWidth="1"/>
    <col min="94" max="94" width="7.33203125" customWidth="1"/>
    <col min="95" max="95" width="7.5" customWidth="1"/>
    <col min="96" max="96" width="9.83203125" customWidth="1"/>
    <col min="97" max="97" width="11.5" customWidth="1"/>
    <col min="98" max="98" width="10.83203125" customWidth="1"/>
    <col min="99" max="99" width="12.6640625" customWidth="1"/>
    <col min="100" max="100" width="8.1640625" customWidth="1"/>
    <col min="101" max="101" width="11.33203125" customWidth="1"/>
    <col min="102" max="102" width="13" customWidth="1"/>
    <col min="103" max="103" width="12" customWidth="1"/>
    <col min="104" max="104" width="12.6640625" customWidth="1"/>
    <col min="105" max="105" width="12.33203125" customWidth="1"/>
    <col min="106" max="106" width="12.1640625" customWidth="1"/>
    <col min="107" max="107" width="6.6640625" customWidth="1"/>
    <col min="108" max="108" width="8" customWidth="1"/>
    <col min="109" max="109" width="7.33203125" customWidth="1"/>
    <col min="110" max="110" width="7.5" customWidth="1"/>
    <col min="111" max="111" width="9.83203125" customWidth="1"/>
    <col min="112" max="113" width="10.83203125" customWidth="1"/>
    <col min="114" max="114" width="12.6640625" customWidth="1"/>
    <col min="115" max="115" width="8.1640625" customWidth="1"/>
    <col min="116" max="116" width="11.33203125" customWidth="1"/>
    <col min="117" max="117" width="13" customWidth="1"/>
    <col min="118" max="118" width="8" customWidth="1"/>
    <col min="119" max="119" width="3.5" customWidth="1"/>
    <col min="120" max="120" width="16.5" customWidth="1"/>
    <col min="121" max="121" width="11" customWidth="1"/>
    <col min="122" max="122" width="14.5" customWidth="1"/>
    <col min="123" max="123" width="10.5" customWidth="1"/>
  </cols>
  <sheetData>
    <row r="1" spans="1:123" x14ac:dyDescent="0.2">
      <c r="A1" s="259"/>
      <c r="B1" s="251"/>
      <c r="C1" s="253"/>
      <c r="D1" s="254" t="s">
        <v>156</v>
      </c>
      <c r="E1" s="251"/>
      <c r="F1" s="251"/>
      <c r="G1" s="251"/>
      <c r="H1" s="251"/>
      <c r="I1" s="251"/>
      <c r="J1" s="251"/>
      <c r="K1" s="251"/>
      <c r="L1" s="251"/>
      <c r="M1" s="253"/>
      <c r="N1" s="255" t="s">
        <v>157</v>
      </c>
      <c r="O1" s="251"/>
      <c r="P1" s="251"/>
      <c r="Q1" s="251"/>
      <c r="R1" s="251"/>
      <c r="S1" s="251"/>
      <c r="T1" s="251"/>
      <c r="U1" s="251"/>
      <c r="V1" s="251"/>
      <c r="W1" s="251"/>
      <c r="X1" s="253"/>
      <c r="Y1" s="256" t="s">
        <v>158</v>
      </c>
      <c r="Z1" s="251"/>
      <c r="AA1" s="251"/>
      <c r="AB1" s="251"/>
      <c r="AC1" s="251"/>
      <c r="AD1" s="251"/>
      <c r="AE1" s="251"/>
      <c r="AF1" s="253"/>
      <c r="AG1" s="260" t="s">
        <v>159</v>
      </c>
      <c r="AH1" s="251"/>
      <c r="AI1" s="251"/>
      <c r="AJ1" s="251"/>
      <c r="AK1" s="251"/>
      <c r="AL1" s="251"/>
      <c r="AM1" s="251"/>
      <c r="AN1" s="251"/>
      <c r="AO1" s="251"/>
      <c r="AP1" s="253"/>
      <c r="AQ1" s="247" t="s">
        <v>375</v>
      </c>
      <c r="AR1" s="248"/>
      <c r="AS1" s="248"/>
      <c r="AT1" s="248"/>
      <c r="AU1" s="248"/>
      <c r="AV1" s="248"/>
      <c r="AW1" s="248"/>
      <c r="AX1" s="248"/>
      <c r="AY1" s="248"/>
      <c r="AZ1" s="248"/>
      <c r="BA1" s="248"/>
      <c r="BB1" s="248"/>
      <c r="BC1" s="248"/>
      <c r="BD1" s="248"/>
      <c r="BE1" s="249"/>
      <c r="BF1" s="247" t="s">
        <v>376</v>
      </c>
      <c r="BG1" s="248"/>
      <c r="BH1" s="248"/>
      <c r="BI1" s="248"/>
      <c r="BJ1" s="248"/>
      <c r="BK1" s="248"/>
      <c r="BL1" s="248"/>
      <c r="BM1" s="248"/>
      <c r="BN1" s="248"/>
      <c r="BO1" s="248"/>
      <c r="BP1" s="248"/>
      <c r="BQ1" s="248"/>
      <c r="BR1" s="248"/>
      <c r="BS1" s="248"/>
      <c r="BT1" s="249"/>
      <c r="BU1" s="247" t="s">
        <v>377</v>
      </c>
      <c r="BV1" s="248"/>
      <c r="BW1" s="248"/>
      <c r="BX1" s="248"/>
      <c r="BY1" s="248"/>
      <c r="BZ1" s="248"/>
      <c r="CA1" s="248"/>
      <c r="CB1" s="248"/>
      <c r="CC1" s="248"/>
      <c r="CD1" s="248"/>
      <c r="CE1" s="248"/>
      <c r="CF1" s="248"/>
      <c r="CG1" s="248"/>
      <c r="CH1" s="248"/>
      <c r="CI1" s="249"/>
      <c r="CJ1" s="247" t="s">
        <v>443</v>
      </c>
      <c r="CK1" s="248"/>
      <c r="CL1" s="248"/>
      <c r="CM1" s="248"/>
      <c r="CN1" s="248"/>
      <c r="CO1" s="248"/>
      <c r="CP1" s="248"/>
      <c r="CQ1" s="248"/>
      <c r="CR1" s="248"/>
      <c r="CS1" s="248"/>
      <c r="CT1" s="248"/>
      <c r="CU1" s="248"/>
      <c r="CV1" s="248"/>
      <c r="CW1" s="248"/>
      <c r="CX1" s="249"/>
      <c r="CY1" s="247" t="s">
        <v>491</v>
      </c>
      <c r="CZ1" s="248"/>
      <c r="DA1" s="248"/>
      <c r="DB1" s="248"/>
      <c r="DC1" s="248"/>
      <c r="DD1" s="248"/>
      <c r="DE1" s="248"/>
      <c r="DF1" s="248"/>
      <c r="DG1" s="248"/>
      <c r="DH1" s="248"/>
      <c r="DI1" s="248"/>
      <c r="DJ1" s="248"/>
      <c r="DK1" s="248"/>
      <c r="DL1" s="248"/>
      <c r="DM1" s="249"/>
      <c r="DN1" s="114"/>
      <c r="DO1" s="11"/>
    </row>
    <row r="2" spans="1:123" ht="16" thickBot="1" x14ac:dyDescent="0.25">
      <c r="A2" s="15" t="s">
        <v>56</v>
      </c>
      <c r="B2" s="16" t="s">
        <v>58</v>
      </c>
      <c r="C2" s="17" t="s">
        <v>2</v>
      </c>
      <c r="D2" s="115" t="s">
        <v>168</v>
      </c>
      <c r="E2" s="19" t="s">
        <v>24</v>
      </c>
      <c r="F2" s="19" t="s">
        <v>28</v>
      </c>
      <c r="G2" s="19" t="s">
        <v>30</v>
      </c>
      <c r="H2" s="19" t="s">
        <v>57</v>
      </c>
      <c r="I2" s="19" t="s">
        <v>34</v>
      </c>
      <c r="J2" s="19" t="s">
        <v>170</v>
      </c>
      <c r="K2" s="19" t="s">
        <v>171</v>
      </c>
      <c r="L2" s="19" t="s">
        <v>172</v>
      </c>
      <c r="M2" s="20" t="s">
        <v>22</v>
      </c>
      <c r="N2" s="21" t="s">
        <v>36</v>
      </c>
      <c r="O2" s="22" t="s">
        <v>38</v>
      </c>
      <c r="P2" s="22" t="s">
        <v>40</v>
      </c>
      <c r="Q2" s="22" t="s">
        <v>42</v>
      </c>
      <c r="R2" s="22" t="s">
        <v>44</v>
      </c>
      <c r="S2" s="22" t="s">
        <v>18</v>
      </c>
      <c r="T2" s="22" t="s">
        <v>20</v>
      </c>
      <c r="U2" s="22" t="s">
        <v>173</v>
      </c>
      <c r="V2" s="22" t="s">
        <v>174</v>
      </c>
      <c r="W2" s="22" t="s">
        <v>175</v>
      </c>
      <c r="X2" s="23" t="s">
        <v>176</v>
      </c>
      <c r="Y2" s="24" t="s">
        <v>177</v>
      </c>
      <c r="Z2" s="25" t="s">
        <v>178</v>
      </c>
      <c r="AA2" s="25" t="s">
        <v>179</v>
      </c>
      <c r="AB2" s="25" t="s">
        <v>180</v>
      </c>
      <c r="AC2" s="25" t="s">
        <v>8</v>
      </c>
      <c r="AD2" s="25" t="s">
        <v>12</v>
      </c>
      <c r="AE2" s="25" t="s">
        <v>10</v>
      </c>
      <c r="AF2" s="26" t="s">
        <v>14</v>
      </c>
      <c r="AG2" s="27" t="s">
        <v>183</v>
      </c>
      <c r="AH2" s="28" t="s">
        <v>176</v>
      </c>
      <c r="AI2" s="28" t="s">
        <v>185</v>
      </c>
      <c r="AJ2" s="28" t="s">
        <v>186</v>
      </c>
      <c r="AK2" s="28" t="s">
        <v>180</v>
      </c>
      <c r="AL2" s="28" t="s">
        <v>187</v>
      </c>
      <c r="AM2" s="28" t="s">
        <v>188</v>
      </c>
      <c r="AN2" s="28" t="s">
        <v>189</v>
      </c>
      <c r="AO2" s="28" t="s">
        <v>26</v>
      </c>
      <c r="AP2" s="29" t="s">
        <v>16</v>
      </c>
      <c r="AQ2" s="30" t="s">
        <v>190</v>
      </c>
      <c r="AR2" s="31" t="s">
        <v>191</v>
      </c>
      <c r="AS2" s="31" t="s">
        <v>192</v>
      </c>
      <c r="AT2" s="31" t="s">
        <v>193</v>
      </c>
      <c r="AU2" s="31" t="s">
        <v>194</v>
      </c>
      <c r="AV2" s="31" t="s">
        <v>195</v>
      </c>
      <c r="AW2" s="31" t="s">
        <v>8</v>
      </c>
      <c r="AX2" s="31" t="s">
        <v>12</v>
      </c>
      <c r="AY2" s="31" t="s">
        <v>10</v>
      </c>
      <c r="AZ2" s="31" t="s">
        <v>14</v>
      </c>
      <c r="BA2" s="31" t="s">
        <v>196</v>
      </c>
      <c r="BB2" s="31" t="s">
        <v>191</v>
      </c>
      <c r="BC2" s="31" t="s">
        <v>197</v>
      </c>
      <c r="BD2" s="31" t="s">
        <v>198</v>
      </c>
      <c r="BE2" s="32" t="s">
        <v>199</v>
      </c>
      <c r="BF2" s="30" t="s">
        <v>190</v>
      </c>
      <c r="BG2" s="31" t="s">
        <v>191</v>
      </c>
      <c r="BH2" s="31" t="s">
        <v>192</v>
      </c>
      <c r="BI2" s="31" t="s">
        <v>193</v>
      </c>
      <c r="BJ2" s="31" t="s">
        <v>194</v>
      </c>
      <c r="BK2" s="31" t="s">
        <v>195</v>
      </c>
      <c r="BL2" s="31" t="s">
        <v>8</v>
      </c>
      <c r="BM2" s="31" t="s">
        <v>12</v>
      </c>
      <c r="BN2" s="31" t="s">
        <v>10</v>
      </c>
      <c r="BO2" s="31" t="s">
        <v>14</v>
      </c>
      <c r="BP2" s="31" t="s">
        <v>196</v>
      </c>
      <c r="BQ2" s="31" t="s">
        <v>191</v>
      </c>
      <c r="BR2" s="31" t="s">
        <v>197</v>
      </c>
      <c r="BS2" s="31" t="s">
        <v>198</v>
      </c>
      <c r="BT2" s="32" t="s">
        <v>199</v>
      </c>
      <c r="BU2" s="30" t="s">
        <v>190</v>
      </c>
      <c r="BV2" s="31" t="s">
        <v>191</v>
      </c>
      <c r="BW2" s="31" t="s">
        <v>192</v>
      </c>
      <c r="BX2" s="31" t="s">
        <v>193</v>
      </c>
      <c r="BY2" s="31" t="s">
        <v>194</v>
      </c>
      <c r="BZ2" s="31" t="s">
        <v>195</v>
      </c>
      <c r="CA2" s="31" t="s">
        <v>8</v>
      </c>
      <c r="CB2" s="31" t="s">
        <v>12</v>
      </c>
      <c r="CC2" s="31" t="s">
        <v>10</v>
      </c>
      <c r="CD2" s="31" t="s">
        <v>14</v>
      </c>
      <c r="CE2" s="31" t="s">
        <v>196</v>
      </c>
      <c r="CF2" s="31" t="s">
        <v>191</v>
      </c>
      <c r="CG2" s="31" t="s">
        <v>197</v>
      </c>
      <c r="CH2" s="31" t="s">
        <v>198</v>
      </c>
      <c r="CI2" s="32" t="s">
        <v>199</v>
      </c>
      <c r="CJ2" s="30" t="s">
        <v>190</v>
      </c>
      <c r="CK2" s="31" t="s">
        <v>191</v>
      </c>
      <c r="CL2" s="31" t="s">
        <v>192</v>
      </c>
      <c r="CM2" s="31" t="s">
        <v>193</v>
      </c>
      <c r="CN2" s="31" t="s">
        <v>194</v>
      </c>
      <c r="CO2" s="31" t="s">
        <v>195</v>
      </c>
      <c r="CP2" s="31" t="s">
        <v>8</v>
      </c>
      <c r="CQ2" s="31" t="s">
        <v>12</v>
      </c>
      <c r="CR2" s="31" t="s">
        <v>10</v>
      </c>
      <c r="CS2" s="31" t="s">
        <v>14</v>
      </c>
      <c r="CT2" s="31" t="s">
        <v>196</v>
      </c>
      <c r="CU2" s="31" t="s">
        <v>191</v>
      </c>
      <c r="CV2" s="31" t="s">
        <v>197</v>
      </c>
      <c r="CW2" s="31" t="s">
        <v>198</v>
      </c>
      <c r="CX2" s="32" t="s">
        <v>199</v>
      </c>
      <c r="CY2" s="30" t="s">
        <v>190</v>
      </c>
      <c r="CZ2" s="31" t="s">
        <v>191</v>
      </c>
      <c r="DA2" s="31" t="s">
        <v>192</v>
      </c>
      <c r="DB2" s="31" t="s">
        <v>193</v>
      </c>
      <c r="DC2" s="31" t="s">
        <v>194</v>
      </c>
      <c r="DD2" s="31" t="s">
        <v>195</v>
      </c>
      <c r="DE2" s="31" t="s">
        <v>8</v>
      </c>
      <c r="DF2" s="31" t="s">
        <v>12</v>
      </c>
      <c r="DG2" s="31" t="s">
        <v>10</v>
      </c>
      <c r="DH2" s="31" t="s">
        <v>378</v>
      </c>
      <c r="DI2" s="31" t="s">
        <v>196</v>
      </c>
      <c r="DJ2" s="31" t="s">
        <v>191</v>
      </c>
      <c r="DK2" s="31" t="s">
        <v>197</v>
      </c>
      <c r="DL2" s="31" t="s">
        <v>198</v>
      </c>
      <c r="DM2" s="32" t="s">
        <v>199</v>
      </c>
      <c r="DN2" s="34"/>
      <c r="DO2" s="34"/>
      <c r="DP2" s="34" t="s">
        <v>379</v>
      </c>
      <c r="DQ2" s="34" t="s">
        <v>380</v>
      </c>
      <c r="DR2" s="34" t="s">
        <v>381</v>
      </c>
      <c r="DS2" s="34" t="s">
        <v>382</v>
      </c>
    </row>
    <row r="3" spans="1:123" x14ac:dyDescent="0.2">
      <c r="A3" s="33">
        <v>1</v>
      </c>
      <c r="B3" s="34" t="s">
        <v>63</v>
      </c>
      <c r="C3" s="116">
        <v>13.144444444444444</v>
      </c>
      <c r="D3" s="117" t="s">
        <v>492</v>
      </c>
      <c r="E3" s="37">
        <v>5</v>
      </c>
      <c r="F3" s="118">
        <v>35223</v>
      </c>
      <c r="G3" s="119">
        <v>29.326027397260273</v>
      </c>
      <c r="H3" s="39" t="s">
        <v>385</v>
      </c>
      <c r="I3" s="119">
        <v>20.901369863013699</v>
      </c>
      <c r="J3" s="120">
        <v>71</v>
      </c>
      <c r="K3" s="120">
        <v>202</v>
      </c>
      <c r="L3" s="120">
        <v>4.49</v>
      </c>
      <c r="M3" s="55">
        <v>1</v>
      </c>
      <c r="N3" s="121">
        <v>0</v>
      </c>
      <c r="O3" s="122">
        <v>0</v>
      </c>
      <c r="P3" s="122">
        <v>0.10906571654790181</v>
      </c>
      <c r="Q3" s="122">
        <v>0.43644415286206328</v>
      </c>
      <c r="R3" s="122">
        <v>0.39949748743718594</v>
      </c>
      <c r="S3" s="42">
        <v>0.41797082014962461</v>
      </c>
      <c r="T3" s="42">
        <v>0.35527519712718092</v>
      </c>
      <c r="U3" s="42">
        <v>0.218212478920742</v>
      </c>
      <c r="V3" s="42">
        <v>0.15466926070038911</v>
      </c>
      <c r="W3" s="42">
        <v>0.18644086981056557</v>
      </c>
      <c r="X3" s="43">
        <v>0.15847473933898074</v>
      </c>
      <c r="Y3" s="44">
        <v>19.243835616438357</v>
      </c>
      <c r="Z3" s="45">
        <v>99.402201065413365</v>
      </c>
      <c r="AA3" s="45">
        <v>28.170204324538783</v>
      </c>
      <c r="AB3" s="45">
        <v>0.21068249258160238</v>
      </c>
      <c r="AC3" s="45">
        <v>7.1</v>
      </c>
      <c r="AD3" s="45">
        <v>73.8</v>
      </c>
      <c r="AE3" s="45">
        <v>3.29</v>
      </c>
      <c r="AF3" s="45">
        <v>37.9</v>
      </c>
      <c r="AG3" s="128">
        <v>10</v>
      </c>
      <c r="AH3" s="49">
        <v>10</v>
      </c>
      <c r="AI3" s="49">
        <v>7</v>
      </c>
      <c r="AJ3" s="49">
        <v>5</v>
      </c>
      <c r="AK3" s="49">
        <v>4</v>
      </c>
      <c r="AL3" s="124">
        <v>8</v>
      </c>
      <c r="AM3" s="124">
        <v>4</v>
      </c>
      <c r="AN3" s="124">
        <v>3</v>
      </c>
      <c r="AO3" s="49">
        <v>10</v>
      </c>
      <c r="AP3" s="50">
        <v>1</v>
      </c>
      <c r="AQ3" s="51"/>
      <c r="AR3" s="52">
        <v>2440</v>
      </c>
      <c r="AS3" s="52"/>
      <c r="AT3" s="52"/>
      <c r="AU3" s="52"/>
      <c r="AV3" s="52"/>
      <c r="AW3" s="52"/>
      <c r="AX3" s="52"/>
      <c r="AY3" s="52"/>
      <c r="AZ3" s="52"/>
      <c r="BA3" s="52"/>
      <c r="BB3" s="52">
        <v>2802</v>
      </c>
      <c r="BC3" s="52"/>
      <c r="BD3" s="52"/>
      <c r="BE3" s="54"/>
      <c r="BF3" s="51"/>
      <c r="BG3" s="52">
        <v>2904</v>
      </c>
      <c r="BH3" s="52"/>
      <c r="BI3" s="52"/>
      <c r="BJ3" s="52"/>
      <c r="BK3" s="52"/>
      <c r="BL3" s="52"/>
      <c r="BM3" s="52"/>
      <c r="BN3" s="52"/>
      <c r="BO3" s="52"/>
      <c r="BP3" s="52"/>
      <c r="BQ3" s="52">
        <v>2771</v>
      </c>
      <c r="BR3" s="52"/>
      <c r="BS3" s="52"/>
      <c r="BT3" s="54"/>
      <c r="BU3" s="51">
        <v>300</v>
      </c>
      <c r="BV3" s="52">
        <v>2064</v>
      </c>
      <c r="BW3" s="52">
        <v>0</v>
      </c>
      <c r="BX3" s="52"/>
      <c r="BY3" s="52">
        <v>42</v>
      </c>
      <c r="BZ3" s="52">
        <v>5</v>
      </c>
      <c r="CA3" s="125">
        <v>7.1</v>
      </c>
      <c r="CB3" s="125">
        <v>52.3</v>
      </c>
      <c r="CC3" s="53">
        <v>2.57</v>
      </c>
      <c r="CD3" s="125">
        <v>56.3</v>
      </c>
      <c r="CE3" s="52">
        <v>251</v>
      </c>
      <c r="CF3" s="52">
        <v>2988</v>
      </c>
      <c r="CG3" s="52">
        <v>17</v>
      </c>
      <c r="CH3" s="52"/>
      <c r="CI3" s="54"/>
      <c r="CJ3" s="51">
        <v>2014</v>
      </c>
      <c r="CK3" s="52">
        <v>3132</v>
      </c>
      <c r="CL3" s="52">
        <v>8</v>
      </c>
      <c r="CM3" s="52"/>
      <c r="CN3" s="52">
        <v>337</v>
      </c>
      <c r="CO3" s="52">
        <v>71</v>
      </c>
      <c r="CP3" s="125">
        <v>6</v>
      </c>
      <c r="CQ3" s="125">
        <v>58.4</v>
      </c>
      <c r="CR3" s="53">
        <v>2.62</v>
      </c>
      <c r="CS3" s="53">
        <v>33.700000000000003</v>
      </c>
      <c r="CT3" s="52">
        <v>647</v>
      </c>
      <c r="CU3" s="52">
        <v>2965</v>
      </c>
      <c r="CV3" s="52">
        <v>45</v>
      </c>
      <c r="CW3" s="52"/>
      <c r="CX3" s="54"/>
      <c r="CY3" s="51">
        <v>1590</v>
      </c>
      <c r="CZ3" s="52">
        <v>2720</v>
      </c>
      <c r="DA3" s="52">
        <v>13</v>
      </c>
      <c r="DB3" s="52"/>
      <c r="DC3" s="52">
        <v>252</v>
      </c>
      <c r="DD3" s="52">
        <v>44</v>
      </c>
      <c r="DE3" s="53">
        <v>6.3</v>
      </c>
      <c r="DF3" s="53">
        <v>73.8</v>
      </c>
      <c r="DG3" s="53">
        <v>3.29</v>
      </c>
      <c r="DH3" s="53">
        <v>37.9</v>
      </c>
      <c r="DI3" s="52">
        <v>318</v>
      </c>
      <c r="DJ3" s="52">
        <v>2056</v>
      </c>
      <c r="DK3" s="52">
        <v>38</v>
      </c>
      <c r="DL3" s="52"/>
      <c r="DM3" s="54"/>
      <c r="DN3" s="126"/>
      <c r="DO3" s="11">
        <v>1</v>
      </c>
      <c r="DP3" s="42" t="s">
        <v>386</v>
      </c>
      <c r="DQ3" s="7">
        <v>1</v>
      </c>
      <c r="DR3" s="127">
        <v>41152</v>
      </c>
      <c r="DS3" s="127">
        <v>42852</v>
      </c>
    </row>
    <row r="4" spans="1:123" x14ac:dyDescent="0.2">
      <c r="A4" s="33">
        <v>2</v>
      </c>
      <c r="B4" s="34" t="s">
        <v>67</v>
      </c>
      <c r="C4" s="116">
        <v>12.961111111111112</v>
      </c>
      <c r="D4" s="117" t="s">
        <v>432</v>
      </c>
      <c r="E4" s="37">
        <v>1</v>
      </c>
      <c r="F4" s="118">
        <v>34717</v>
      </c>
      <c r="G4" s="119">
        <v>30.712328767123289</v>
      </c>
      <c r="H4" s="39" t="s">
        <v>385</v>
      </c>
      <c r="I4" s="119">
        <v>22.287671232876711</v>
      </c>
      <c r="J4" s="120">
        <v>73</v>
      </c>
      <c r="K4" s="120">
        <v>240</v>
      </c>
      <c r="L4" s="120">
        <v>4.51</v>
      </c>
      <c r="M4" s="55">
        <v>1</v>
      </c>
      <c r="N4" s="121">
        <v>0</v>
      </c>
      <c r="O4" s="122">
        <v>0</v>
      </c>
      <c r="P4" s="122">
        <v>0.23049434187016082</v>
      </c>
      <c r="Q4" s="122">
        <v>0.42233657327996948</v>
      </c>
      <c r="R4" s="122">
        <v>0.19519401221193619</v>
      </c>
      <c r="S4" s="42">
        <v>0.30876529274595282</v>
      </c>
      <c r="T4" s="42">
        <v>0.30876529274595282</v>
      </c>
      <c r="U4" s="42">
        <v>0.11639722863741339</v>
      </c>
      <c r="V4" s="42">
        <v>6.4007014467338891E-2</v>
      </c>
      <c r="W4" s="42">
        <v>9.0202121552376141E-2</v>
      </c>
      <c r="X4" s="43">
        <v>9.0202121552376141E-2</v>
      </c>
      <c r="Y4" s="44">
        <v>19.632876712328766</v>
      </c>
      <c r="Z4" s="45">
        <v>116.0205900552927</v>
      </c>
      <c r="AA4" s="45">
        <v>31.66072433852505</v>
      </c>
      <c r="AB4" s="45">
        <v>0.28428093645484948</v>
      </c>
      <c r="AC4" s="45">
        <v>6.6</v>
      </c>
      <c r="AD4" s="45">
        <v>108.9</v>
      </c>
      <c r="AE4" s="45">
        <v>3.65</v>
      </c>
      <c r="AF4" s="45">
        <v>46.6</v>
      </c>
      <c r="AG4" s="128">
        <v>8</v>
      </c>
      <c r="AH4" s="49">
        <v>8</v>
      </c>
      <c r="AI4" s="49">
        <v>6</v>
      </c>
      <c r="AJ4" s="49">
        <v>10</v>
      </c>
      <c r="AK4" s="49">
        <v>8</v>
      </c>
      <c r="AL4" s="49">
        <v>6</v>
      </c>
      <c r="AM4" s="49">
        <v>7</v>
      </c>
      <c r="AN4" s="49">
        <v>4</v>
      </c>
      <c r="AO4" s="49">
        <v>10</v>
      </c>
      <c r="AP4" s="50">
        <v>0.25</v>
      </c>
      <c r="AQ4" s="56"/>
      <c r="AR4" s="57">
        <v>2258</v>
      </c>
      <c r="AS4" s="57"/>
      <c r="AT4" s="57"/>
      <c r="AU4" s="57"/>
      <c r="AV4" s="57"/>
      <c r="AW4" s="57"/>
      <c r="AX4" s="57"/>
      <c r="AY4" s="57"/>
      <c r="AZ4" s="57"/>
      <c r="BA4" s="57"/>
      <c r="BB4" s="57">
        <v>2607</v>
      </c>
      <c r="BC4" s="57"/>
      <c r="BD4" s="57"/>
      <c r="BE4" s="59"/>
      <c r="BF4" s="56"/>
      <c r="BG4" s="57">
        <v>2630</v>
      </c>
      <c r="BH4" s="57"/>
      <c r="BI4" s="57"/>
      <c r="BJ4" s="57"/>
      <c r="BK4" s="57"/>
      <c r="BL4" s="57"/>
      <c r="BM4" s="57"/>
      <c r="BN4" s="57"/>
      <c r="BO4" s="57"/>
      <c r="BP4" s="57"/>
      <c r="BQ4" s="57">
        <v>3263</v>
      </c>
      <c r="BR4" s="57"/>
      <c r="BS4" s="57"/>
      <c r="BT4" s="59"/>
      <c r="BU4" s="56">
        <v>1067</v>
      </c>
      <c r="BV4" s="57">
        <v>2919</v>
      </c>
      <c r="BW4" s="57">
        <v>10</v>
      </c>
      <c r="BX4" s="57"/>
      <c r="BY4" s="57">
        <v>188</v>
      </c>
      <c r="BZ4" s="57">
        <v>31</v>
      </c>
      <c r="CA4" s="129">
        <v>5.7</v>
      </c>
      <c r="CB4" s="129">
        <v>37.5</v>
      </c>
      <c r="CC4" s="58">
        <v>2.2000000000000002</v>
      </c>
      <c r="CD4" s="129">
        <v>40.200000000000003</v>
      </c>
      <c r="CE4" s="57">
        <v>94</v>
      </c>
      <c r="CF4" s="57">
        <v>2118</v>
      </c>
      <c r="CG4" s="57">
        <v>6</v>
      </c>
      <c r="CH4" s="57"/>
      <c r="CI4" s="59"/>
      <c r="CJ4" s="56">
        <v>1964</v>
      </c>
      <c r="CK4" s="57">
        <v>3082</v>
      </c>
      <c r="CL4" s="57">
        <v>22</v>
      </c>
      <c r="CM4" s="57"/>
      <c r="CN4" s="57">
        <v>299</v>
      </c>
      <c r="CO4" s="57">
        <v>85</v>
      </c>
      <c r="CP4" s="129">
        <v>6.5</v>
      </c>
      <c r="CQ4" s="129">
        <v>108.9</v>
      </c>
      <c r="CR4" s="58">
        <v>3.65</v>
      </c>
      <c r="CS4" s="58">
        <v>42.5</v>
      </c>
      <c r="CT4" s="57">
        <v>252</v>
      </c>
      <c r="CU4" s="57">
        <v>2165</v>
      </c>
      <c r="CV4" s="57">
        <v>19</v>
      </c>
      <c r="CW4" s="57"/>
      <c r="CX4" s="59"/>
      <c r="CY4" s="56">
        <v>845</v>
      </c>
      <c r="CZ4" s="57">
        <v>2796</v>
      </c>
      <c r="DA4" s="57">
        <v>8</v>
      </c>
      <c r="DB4" s="57"/>
      <c r="DC4" s="57">
        <v>129</v>
      </c>
      <c r="DD4" s="57">
        <v>21</v>
      </c>
      <c r="DE4" s="58">
        <v>6.6</v>
      </c>
      <c r="DF4" s="58">
        <v>49.5</v>
      </c>
      <c r="DG4" s="58">
        <v>2.85</v>
      </c>
      <c r="DH4" s="58">
        <v>46.6</v>
      </c>
      <c r="DI4" s="57">
        <v>146</v>
      </c>
      <c r="DJ4" s="57">
        <v>2281</v>
      </c>
      <c r="DK4" s="57">
        <v>15</v>
      </c>
      <c r="DL4" s="57"/>
      <c r="DM4" s="59"/>
      <c r="DN4" s="126"/>
      <c r="DO4" s="11">
        <v>2</v>
      </c>
      <c r="DP4" s="42" t="s">
        <v>390</v>
      </c>
      <c r="DQ4" s="7">
        <v>1</v>
      </c>
      <c r="DR4" s="130">
        <v>41517</v>
      </c>
    </row>
    <row r="5" spans="1:123" x14ac:dyDescent="0.2">
      <c r="A5" s="33">
        <v>3</v>
      </c>
      <c r="B5" s="34" t="s">
        <v>66</v>
      </c>
      <c r="C5" s="116">
        <v>12.438888888888888</v>
      </c>
      <c r="D5" s="117" t="s">
        <v>413</v>
      </c>
      <c r="E5" s="37">
        <v>4</v>
      </c>
      <c r="F5" s="118">
        <v>34921</v>
      </c>
      <c r="G5" s="119">
        <v>30.153424657534245</v>
      </c>
      <c r="H5" s="39" t="s">
        <v>385</v>
      </c>
      <c r="I5" s="119">
        <v>21.728767123287671</v>
      </c>
      <c r="J5" s="120">
        <v>70</v>
      </c>
      <c r="K5" s="120">
        <v>210</v>
      </c>
      <c r="L5" s="120">
        <v>4.49</v>
      </c>
      <c r="M5" s="55">
        <v>2</v>
      </c>
      <c r="N5" s="121">
        <v>0</v>
      </c>
      <c r="O5" s="122">
        <v>0</v>
      </c>
      <c r="P5" s="122">
        <v>0.19404434374494256</v>
      </c>
      <c r="Q5" s="122">
        <v>0.35195936139332368</v>
      </c>
      <c r="R5" s="122">
        <v>0.36961900049480456</v>
      </c>
      <c r="S5" s="42">
        <v>0.36961900049480456</v>
      </c>
      <c r="T5" s="42">
        <v>0.33265710044532409</v>
      </c>
      <c r="U5" s="42">
        <v>7.3383458646616537E-2</v>
      </c>
      <c r="V5" s="42">
        <v>0.13923681910865132</v>
      </c>
      <c r="W5" s="42">
        <v>0.13923681910865132</v>
      </c>
      <c r="X5" s="43">
        <v>0.1253131371977862</v>
      </c>
      <c r="Y5" s="44">
        <v>19.073972602739726</v>
      </c>
      <c r="Z5" s="45">
        <v>103.33892189968716</v>
      </c>
      <c r="AA5" s="45">
        <v>30.12857142857143</v>
      </c>
      <c r="AB5" s="45">
        <v>0.31597222222222221</v>
      </c>
      <c r="AC5" s="45">
        <v>7.4</v>
      </c>
      <c r="AD5" s="45">
        <v>128.1</v>
      </c>
      <c r="AE5" s="45">
        <v>4.1900000000000004</v>
      </c>
      <c r="AF5" s="45">
        <v>62.9</v>
      </c>
      <c r="AG5" s="128">
        <v>9</v>
      </c>
      <c r="AH5" s="49">
        <v>9</v>
      </c>
      <c r="AI5" s="49">
        <v>8</v>
      </c>
      <c r="AJ5" s="49">
        <v>7</v>
      </c>
      <c r="AK5" s="49">
        <v>8</v>
      </c>
      <c r="AL5" s="49">
        <v>8</v>
      </c>
      <c r="AM5" s="49">
        <v>8</v>
      </c>
      <c r="AN5" s="49">
        <v>8</v>
      </c>
      <c r="AO5" s="49">
        <v>7</v>
      </c>
      <c r="AP5" s="50">
        <v>0</v>
      </c>
      <c r="AQ5" s="56"/>
      <c r="AR5" s="57">
        <v>2882</v>
      </c>
      <c r="AS5" s="57"/>
      <c r="AT5" s="57"/>
      <c r="AU5" s="57"/>
      <c r="AV5" s="57"/>
      <c r="AW5" s="57"/>
      <c r="AX5" s="57"/>
      <c r="AY5" s="57"/>
      <c r="AZ5" s="57"/>
      <c r="BA5" s="57"/>
      <c r="BB5" s="57">
        <v>3709</v>
      </c>
      <c r="BC5" s="57"/>
      <c r="BD5" s="57"/>
      <c r="BE5" s="59"/>
      <c r="BF5" s="56"/>
      <c r="BG5" s="57">
        <v>2844</v>
      </c>
      <c r="BH5" s="57"/>
      <c r="BI5" s="57"/>
      <c r="BJ5" s="57"/>
      <c r="BK5" s="57"/>
      <c r="BL5" s="57"/>
      <c r="BM5" s="57"/>
      <c r="BN5" s="57"/>
      <c r="BO5" s="57"/>
      <c r="BP5" s="57"/>
      <c r="BQ5" s="57">
        <v>4423</v>
      </c>
      <c r="BR5" s="57"/>
      <c r="BS5" s="57"/>
      <c r="BT5" s="59"/>
      <c r="BU5" s="56">
        <v>1006</v>
      </c>
      <c r="BV5" s="57">
        <v>1933</v>
      </c>
      <c r="BW5" s="57">
        <v>8</v>
      </c>
      <c r="BX5" s="57"/>
      <c r="BY5" s="57">
        <v>170</v>
      </c>
      <c r="BZ5" s="57">
        <v>38</v>
      </c>
      <c r="CA5" s="129">
        <v>5.9</v>
      </c>
      <c r="CB5" s="129">
        <v>74.5</v>
      </c>
      <c r="CC5" s="58">
        <v>3.41</v>
      </c>
      <c r="CD5" s="129">
        <v>50.9</v>
      </c>
      <c r="CE5" s="57">
        <v>193</v>
      </c>
      <c r="CF5" s="57">
        <v>4246</v>
      </c>
      <c r="CG5" s="57">
        <v>22</v>
      </c>
      <c r="CH5" s="57"/>
      <c r="CI5" s="59"/>
      <c r="CJ5" s="56">
        <v>1696</v>
      </c>
      <c r="CK5" s="57">
        <v>2187</v>
      </c>
      <c r="CL5" s="57">
        <v>19</v>
      </c>
      <c r="CM5" s="57"/>
      <c r="CN5" s="57">
        <v>229</v>
      </c>
      <c r="CO5" s="57">
        <v>56</v>
      </c>
      <c r="CP5" s="129">
        <v>7.4</v>
      </c>
      <c r="CQ5" s="129">
        <v>107.4</v>
      </c>
      <c r="CR5" s="58">
        <v>4</v>
      </c>
      <c r="CS5" s="58">
        <v>62.9</v>
      </c>
      <c r="CT5" s="57">
        <v>244</v>
      </c>
      <c r="CU5" s="57">
        <v>3325</v>
      </c>
      <c r="CV5" s="57">
        <v>24</v>
      </c>
      <c r="CW5" s="57"/>
      <c r="CX5" s="59"/>
      <c r="CY5" s="56">
        <v>1763</v>
      </c>
      <c r="CZ5" s="57">
        <v>2630</v>
      </c>
      <c r="DA5" s="57">
        <v>19</v>
      </c>
      <c r="DB5" s="57"/>
      <c r="DC5" s="57">
        <v>288</v>
      </c>
      <c r="DD5" s="57">
        <v>91</v>
      </c>
      <c r="DE5" s="58">
        <v>6.1</v>
      </c>
      <c r="DF5" s="58">
        <v>128.1</v>
      </c>
      <c r="DG5" s="58">
        <v>4.1900000000000004</v>
      </c>
      <c r="DH5" s="58">
        <v>45.2</v>
      </c>
      <c r="DI5" s="57">
        <v>478</v>
      </c>
      <c r="DJ5" s="57">
        <v>3433</v>
      </c>
      <c r="DK5" s="57">
        <v>33</v>
      </c>
      <c r="DL5" s="57"/>
      <c r="DM5" s="59"/>
      <c r="DN5" s="126"/>
      <c r="DO5" s="5">
        <v>3</v>
      </c>
      <c r="DP5" s="42" t="s">
        <v>393</v>
      </c>
      <c r="DQ5" s="7">
        <v>0.9</v>
      </c>
      <c r="DR5" s="130">
        <v>41883</v>
      </c>
    </row>
    <row r="6" spans="1:123" x14ac:dyDescent="0.2">
      <c r="A6" s="33">
        <v>4</v>
      </c>
      <c r="B6" s="34" t="s">
        <v>70</v>
      </c>
      <c r="C6" s="116">
        <v>11.911111111111111</v>
      </c>
      <c r="D6" s="117" t="s">
        <v>493</v>
      </c>
      <c r="E6" s="37">
        <v>3</v>
      </c>
      <c r="F6" s="118">
        <v>35270</v>
      </c>
      <c r="G6" s="119">
        <v>29.197260273972603</v>
      </c>
      <c r="H6" s="39" t="s">
        <v>494</v>
      </c>
      <c r="I6" s="119">
        <v>20.772602739726029</v>
      </c>
      <c r="J6" s="120">
        <v>71</v>
      </c>
      <c r="K6" s="120">
        <v>226</v>
      </c>
      <c r="L6" s="120">
        <v>4.43</v>
      </c>
      <c r="M6" s="55">
        <v>2</v>
      </c>
      <c r="N6" s="121">
        <v>0</v>
      </c>
      <c r="O6" s="122">
        <v>0</v>
      </c>
      <c r="P6" s="122">
        <v>0</v>
      </c>
      <c r="Q6" s="122">
        <v>0.16161323081386914</v>
      </c>
      <c r="R6" s="122">
        <v>0.25305047143649473</v>
      </c>
      <c r="S6" s="42">
        <v>0.25305047143649473</v>
      </c>
      <c r="T6" s="42">
        <v>0.22774542429284525</v>
      </c>
      <c r="U6" s="42">
        <v>8.9365951073389918E-2</v>
      </c>
      <c r="V6" s="42">
        <v>0.13014029995162071</v>
      </c>
      <c r="W6" s="42">
        <v>0.13014029995162071</v>
      </c>
      <c r="X6" s="43">
        <v>0.11712626995645864</v>
      </c>
      <c r="Y6" s="44">
        <v>19.115068493150684</v>
      </c>
      <c r="Z6" s="45">
        <v>117.36092664974906</v>
      </c>
      <c r="AA6" s="45">
        <v>31.517159293790915</v>
      </c>
      <c r="AB6" s="45">
        <v>0.27192982456140352</v>
      </c>
      <c r="AC6" s="45">
        <v>6.9</v>
      </c>
      <c r="AD6" s="45">
        <v>97.7</v>
      </c>
      <c r="AE6" s="45">
        <v>3.82</v>
      </c>
      <c r="AF6" s="45">
        <v>56.2</v>
      </c>
      <c r="AG6" s="128">
        <v>4</v>
      </c>
      <c r="AH6" s="49">
        <v>9</v>
      </c>
      <c r="AI6" s="49">
        <v>7</v>
      </c>
      <c r="AJ6" s="49">
        <v>10</v>
      </c>
      <c r="AK6" s="49">
        <v>7</v>
      </c>
      <c r="AL6" s="49">
        <v>7</v>
      </c>
      <c r="AM6" s="49">
        <v>6</v>
      </c>
      <c r="AN6" s="49">
        <v>5</v>
      </c>
      <c r="AO6" s="49">
        <v>7</v>
      </c>
      <c r="AP6" s="50">
        <v>1</v>
      </c>
      <c r="AQ6" s="56"/>
      <c r="AR6" s="57">
        <v>2098</v>
      </c>
      <c r="AS6" s="57"/>
      <c r="AT6" s="57"/>
      <c r="AU6" s="57"/>
      <c r="AV6" s="57"/>
      <c r="AW6" s="57"/>
      <c r="AX6" s="57"/>
      <c r="AY6" s="57"/>
      <c r="AZ6" s="57"/>
      <c r="BA6" s="57"/>
      <c r="BB6" s="57">
        <v>4374</v>
      </c>
      <c r="BC6" s="57"/>
      <c r="BD6" s="57"/>
      <c r="BE6" s="59"/>
      <c r="BF6" s="56"/>
      <c r="BG6" s="57">
        <v>2911</v>
      </c>
      <c r="BH6" s="57"/>
      <c r="BI6" s="57"/>
      <c r="BJ6" s="57"/>
      <c r="BK6" s="57"/>
      <c r="BL6" s="57"/>
      <c r="BM6" s="57"/>
      <c r="BN6" s="57"/>
      <c r="BO6" s="57"/>
      <c r="BP6" s="57"/>
      <c r="BQ6" s="57">
        <v>2588</v>
      </c>
      <c r="BR6" s="57"/>
      <c r="BS6" s="57"/>
      <c r="BT6" s="59"/>
      <c r="BU6" s="56">
        <v>0</v>
      </c>
      <c r="BV6" s="57">
        <v>3395</v>
      </c>
      <c r="BW6" s="57">
        <v>0</v>
      </c>
      <c r="BX6" s="57"/>
      <c r="BY6" s="57">
        <v>0</v>
      </c>
      <c r="BZ6" s="57">
        <v>0</v>
      </c>
      <c r="CA6" s="129">
        <v>0</v>
      </c>
      <c r="CB6" s="129">
        <v>0</v>
      </c>
      <c r="CC6" s="58">
        <v>0</v>
      </c>
      <c r="CD6" s="129">
        <v>0</v>
      </c>
      <c r="CE6" s="57">
        <v>0</v>
      </c>
      <c r="CF6" s="57">
        <v>2646</v>
      </c>
      <c r="CG6" s="57">
        <v>0</v>
      </c>
      <c r="CH6" s="57"/>
      <c r="CI6" s="59"/>
      <c r="CJ6" s="56">
        <v>756</v>
      </c>
      <c r="CK6" s="57">
        <v>2887</v>
      </c>
      <c r="CL6" s="57">
        <v>7</v>
      </c>
      <c r="CM6" s="57"/>
      <c r="CN6" s="57">
        <v>114</v>
      </c>
      <c r="CO6" s="57">
        <v>31</v>
      </c>
      <c r="CP6" s="129">
        <v>6.6</v>
      </c>
      <c r="CQ6" s="129">
        <v>97.7</v>
      </c>
      <c r="CR6" s="58">
        <v>3.65</v>
      </c>
      <c r="CS6" s="58">
        <v>47.2</v>
      </c>
      <c r="CT6" s="57">
        <v>358</v>
      </c>
      <c r="CU6" s="57">
        <v>4006</v>
      </c>
      <c r="CV6" s="57">
        <v>28</v>
      </c>
      <c r="CW6" s="57"/>
      <c r="CX6" s="59"/>
      <c r="CY6" s="56">
        <v>1287</v>
      </c>
      <c r="CZ6" s="57">
        <v>3078</v>
      </c>
      <c r="DA6" s="57">
        <v>10</v>
      </c>
      <c r="DB6" s="57"/>
      <c r="DC6" s="57">
        <v>187</v>
      </c>
      <c r="DD6" s="57">
        <v>48</v>
      </c>
      <c r="DE6" s="58">
        <v>6.9</v>
      </c>
      <c r="DF6" s="58">
        <v>97.2</v>
      </c>
      <c r="DG6" s="58">
        <v>3.82</v>
      </c>
      <c r="DH6" s="58">
        <v>56.2</v>
      </c>
      <c r="DI6" s="57">
        <v>538</v>
      </c>
      <c r="DJ6" s="57">
        <v>4134</v>
      </c>
      <c r="DK6" s="57">
        <v>37</v>
      </c>
      <c r="DL6" s="57"/>
      <c r="DM6" s="59"/>
      <c r="DN6" s="126"/>
      <c r="DO6" s="5">
        <v>4</v>
      </c>
      <c r="DP6" s="42" t="s">
        <v>396</v>
      </c>
      <c r="DQ6" s="7">
        <v>0.9</v>
      </c>
      <c r="DR6" s="130">
        <v>42247</v>
      </c>
    </row>
    <row r="7" spans="1:123" x14ac:dyDescent="0.2">
      <c r="A7" s="33">
        <v>5</v>
      </c>
      <c r="B7" s="34" t="s">
        <v>65</v>
      </c>
      <c r="C7" s="116">
        <v>10.844444444444443</v>
      </c>
      <c r="D7" s="117" t="s">
        <v>495</v>
      </c>
      <c r="E7" s="37">
        <v>1</v>
      </c>
      <c r="F7" s="118">
        <v>34905</v>
      </c>
      <c r="G7" s="119">
        <v>30.197260273972603</v>
      </c>
      <c r="H7" s="39" t="s">
        <v>385</v>
      </c>
      <c r="I7" s="119">
        <v>21.772602739726029</v>
      </c>
      <c r="J7" s="120">
        <v>70</v>
      </c>
      <c r="K7" s="120">
        <v>214</v>
      </c>
      <c r="L7" s="120">
        <v>4.53</v>
      </c>
      <c r="M7" s="55">
        <v>3</v>
      </c>
      <c r="N7" s="121">
        <v>0</v>
      </c>
      <c r="O7" s="122">
        <v>0</v>
      </c>
      <c r="P7" s="122">
        <v>0</v>
      </c>
      <c r="Q7" s="122">
        <v>0.18178506375227688</v>
      </c>
      <c r="R7" s="122">
        <v>0.20202020202020202</v>
      </c>
      <c r="S7" s="42">
        <v>0.20202020202020202</v>
      </c>
      <c r="T7" s="42">
        <v>0.20202020202020202</v>
      </c>
      <c r="U7" s="42">
        <v>0.11463981409759876</v>
      </c>
      <c r="V7" s="42">
        <v>0.14865637507146942</v>
      </c>
      <c r="W7" s="42">
        <v>0.14865637507146942</v>
      </c>
      <c r="X7" s="43">
        <v>0.14865637507146942</v>
      </c>
      <c r="Y7" s="44">
        <v>20.115068493150684</v>
      </c>
      <c r="Z7" s="45">
        <v>101.63679484717927</v>
      </c>
      <c r="AA7" s="45">
        <v>30.702448979591839</v>
      </c>
      <c r="AB7" s="45">
        <v>0.26415094339622641</v>
      </c>
      <c r="AC7" s="45">
        <v>6.6</v>
      </c>
      <c r="AD7" s="45">
        <v>132.1</v>
      </c>
      <c r="AE7" s="45">
        <v>3.78</v>
      </c>
      <c r="AF7" s="45">
        <v>47.7</v>
      </c>
      <c r="AG7" s="128">
        <v>4</v>
      </c>
      <c r="AH7" s="49">
        <v>10</v>
      </c>
      <c r="AI7" s="49">
        <v>4</v>
      </c>
      <c r="AJ7" s="49">
        <v>6</v>
      </c>
      <c r="AK7" s="49">
        <v>7</v>
      </c>
      <c r="AL7" s="49">
        <v>6</v>
      </c>
      <c r="AM7" s="49">
        <v>9</v>
      </c>
      <c r="AN7" s="49">
        <v>5</v>
      </c>
      <c r="AO7" s="49">
        <v>6</v>
      </c>
      <c r="AP7" s="50">
        <v>1</v>
      </c>
      <c r="AQ7" s="56"/>
      <c r="AR7" s="57">
        <v>1924</v>
      </c>
      <c r="AS7" s="57"/>
      <c r="AT7" s="57"/>
      <c r="AU7" s="57"/>
      <c r="AV7" s="57"/>
      <c r="AW7" s="57"/>
      <c r="AX7" s="57"/>
      <c r="AY7" s="57"/>
      <c r="AZ7" s="57"/>
      <c r="BA7" s="57"/>
      <c r="BB7" s="57">
        <v>3787</v>
      </c>
      <c r="BC7" s="57"/>
      <c r="BD7" s="57"/>
      <c r="BE7" s="59"/>
      <c r="BF7" s="56"/>
      <c r="BG7" s="57">
        <v>2261</v>
      </c>
      <c r="BH7" s="57"/>
      <c r="BI7" s="57"/>
      <c r="BJ7" s="57"/>
      <c r="BK7" s="57"/>
      <c r="BL7" s="57"/>
      <c r="BM7" s="57"/>
      <c r="BN7" s="57"/>
      <c r="BO7" s="57"/>
      <c r="BP7" s="57"/>
      <c r="BQ7" s="57">
        <v>1979</v>
      </c>
      <c r="BR7" s="57"/>
      <c r="BS7" s="57"/>
      <c r="BT7" s="59"/>
      <c r="BU7" s="56">
        <v>0</v>
      </c>
      <c r="BV7" s="57">
        <v>1903</v>
      </c>
      <c r="BW7" s="57">
        <v>0</v>
      </c>
      <c r="BX7" s="57"/>
      <c r="BY7" s="57">
        <v>0</v>
      </c>
      <c r="BZ7" s="57">
        <v>0</v>
      </c>
      <c r="CA7" s="129">
        <v>0</v>
      </c>
      <c r="CB7" s="129">
        <v>0</v>
      </c>
      <c r="CC7" s="58">
        <v>0</v>
      </c>
      <c r="CD7" s="129">
        <v>0</v>
      </c>
      <c r="CE7" s="57">
        <v>0</v>
      </c>
      <c r="CF7" s="57">
        <v>2914</v>
      </c>
      <c r="CG7" s="57">
        <v>0</v>
      </c>
      <c r="CH7" s="57"/>
      <c r="CI7" s="59"/>
      <c r="CJ7" s="56">
        <v>702</v>
      </c>
      <c r="CK7" s="57">
        <v>2908</v>
      </c>
      <c r="CL7" s="57">
        <v>7</v>
      </c>
      <c r="CM7" s="57"/>
      <c r="CN7" s="57">
        <v>106</v>
      </c>
      <c r="CO7" s="57">
        <v>28</v>
      </c>
      <c r="CP7" s="129">
        <v>6.6</v>
      </c>
      <c r="CQ7" s="129">
        <v>109.2</v>
      </c>
      <c r="CR7" s="58">
        <v>3.75</v>
      </c>
      <c r="CS7" s="58">
        <v>39.700000000000003</v>
      </c>
      <c r="CT7" s="57">
        <v>296</v>
      </c>
      <c r="CU7" s="57">
        <v>2582</v>
      </c>
      <c r="CV7" s="57">
        <v>35</v>
      </c>
      <c r="CW7" s="57"/>
      <c r="CX7" s="59"/>
      <c r="CY7" s="56">
        <v>596</v>
      </c>
      <c r="CZ7" s="57">
        <v>2257.1999999999998</v>
      </c>
      <c r="DA7" s="57">
        <v>9</v>
      </c>
      <c r="DB7" s="57"/>
      <c r="DC7" s="57">
        <v>103</v>
      </c>
      <c r="DD7" s="57">
        <v>26</v>
      </c>
      <c r="DE7" s="58">
        <v>5.8</v>
      </c>
      <c r="DF7" s="58">
        <v>132.1</v>
      </c>
      <c r="DG7" s="58">
        <v>3.78</v>
      </c>
      <c r="DH7" s="58">
        <v>47.7</v>
      </c>
      <c r="DI7" s="57">
        <v>390</v>
      </c>
      <c r="DJ7" s="57">
        <v>2623.5</v>
      </c>
      <c r="DK7" s="57">
        <v>40</v>
      </c>
      <c r="DL7" s="57"/>
      <c r="DM7" s="59"/>
      <c r="DN7" s="126"/>
      <c r="DO7" s="5">
        <v>5</v>
      </c>
      <c r="DP7" s="42" t="s">
        <v>399</v>
      </c>
      <c r="DQ7" s="7">
        <v>0.85</v>
      </c>
      <c r="DR7" s="130">
        <v>42618</v>
      </c>
    </row>
    <row r="8" spans="1:123" x14ac:dyDescent="0.2">
      <c r="A8" s="33">
        <v>6</v>
      </c>
      <c r="B8" s="34" t="s">
        <v>64</v>
      </c>
      <c r="C8" s="116">
        <v>10.777777777777779</v>
      </c>
      <c r="D8" s="117" t="s">
        <v>496</v>
      </c>
      <c r="E8" s="37">
        <v>9</v>
      </c>
      <c r="F8" s="118">
        <v>34917</v>
      </c>
      <c r="G8" s="119">
        <v>30.164383561643834</v>
      </c>
      <c r="H8" s="39" t="s">
        <v>389</v>
      </c>
      <c r="I8" s="119">
        <v>21.739726027397261</v>
      </c>
      <c r="J8" s="120">
        <v>70</v>
      </c>
      <c r="K8" s="120">
        <v>216</v>
      </c>
      <c r="L8" s="120">
        <v>4.62</v>
      </c>
      <c r="M8" s="55">
        <v>3</v>
      </c>
      <c r="N8" s="121">
        <v>0</v>
      </c>
      <c r="O8" s="122">
        <v>0.21097808899932233</v>
      </c>
      <c r="P8" s="122">
        <v>0.28205041333514025</v>
      </c>
      <c r="Q8" s="122">
        <v>0.31353846153846154</v>
      </c>
      <c r="R8" s="122">
        <v>0.44297520661157025</v>
      </c>
      <c r="S8" s="42">
        <v>0.44297520661157025</v>
      </c>
      <c r="T8" s="42">
        <v>0.28793388429752065</v>
      </c>
      <c r="U8" s="42">
        <v>2.715751357875679E-2</v>
      </c>
      <c r="V8" s="42">
        <v>0.23705882352941177</v>
      </c>
      <c r="W8" s="42">
        <v>0.23705882352941177</v>
      </c>
      <c r="X8" s="43">
        <v>0.15408823529411766</v>
      </c>
      <c r="Y8" s="44">
        <v>18.082191780821919</v>
      </c>
      <c r="Z8" s="45">
        <v>94.823470132593457</v>
      </c>
      <c r="AA8" s="45">
        <v>30.98938775510204</v>
      </c>
      <c r="AB8" s="45">
        <v>0.29118773946360155</v>
      </c>
      <c r="AC8" s="45">
        <v>5.6</v>
      </c>
      <c r="AD8" s="45">
        <v>124</v>
      </c>
      <c r="AE8" s="45">
        <v>4.6500000000000004</v>
      </c>
      <c r="AF8" s="45">
        <v>49.3</v>
      </c>
      <c r="AG8" s="128">
        <v>8</v>
      </c>
      <c r="AH8" s="49">
        <v>10</v>
      </c>
      <c r="AI8" s="49">
        <v>10</v>
      </c>
      <c r="AJ8" s="49">
        <v>3</v>
      </c>
      <c r="AK8" s="49">
        <v>8</v>
      </c>
      <c r="AL8" s="49">
        <v>3</v>
      </c>
      <c r="AM8" s="49">
        <v>8</v>
      </c>
      <c r="AN8" s="49">
        <v>9</v>
      </c>
      <c r="AO8" s="49">
        <v>6</v>
      </c>
      <c r="AP8" s="50">
        <v>0</v>
      </c>
      <c r="AQ8" s="56"/>
      <c r="AR8" s="57">
        <v>3161</v>
      </c>
      <c r="AS8" s="57"/>
      <c r="AT8" s="57"/>
      <c r="AU8" s="57"/>
      <c r="AV8" s="57"/>
      <c r="AW8" s="57"/>
      <c r="AX8" s="57"/>
      <c r="AY8" s="57"/>
      <c r="AZ8" s="57"/>
      <c r="BA8" s="57"/>
      <c r="BB8" s="57">
        <v>2275</v>
      </c>
      <c r="BC8" s="57"/>
      <c r="BD8" s="57"/>
      <c r="BE8" s="59"/>
      <c r="BF8" s="56">
        <v>866</v>
      </c>
      <c r="BG8" s="57">
        <v>2189</v>
      </c>
      <c r="BH8" s="57"/>
      <c r="BI8" s="57"/>
      <c r="BJ8" s="57"/>
      <c r="BK8" s="57"/>
      <c r="BL8" s="57"/>
      <c r="BM8" s="57"/>
      <c r="BN8" s="57"/>
      <c r="BO8" s="57"/>
      <c r="BP8" s="57">
        <v>68</v>
      </c>
      <c r="BQ8" s="57">
        <v>2238</v>
      </c>
      <c r="BR8" s="57">
        <v>12</v>
      </c>
      <c r="BS8" s="57"/>
      <c r="BT8" s="59"/>
      <c r="BU8" s="56">
        <v>1631</v>
      </c>
      <c r="BV8" s="57">
        <v>3333.2</v>
      </c>
      <c r="BW8" s="57">
        <v>16</v>
      </c>
      <c r="BX8" s="57"/>
      <c r="BY8" s="57">
        <v>205</v>
      </c>
      <c r="BZ8" s="57">
        <v>57</v>
      </c>
      <c r="CA8" s="129">
        <v>7.9</v>
      </c>
      <c r="CB8" s="129">
        <v>124</v>
      </c>
      <c r="CC8" s="58">
        <v>4.6500000000000004</v>
      </c>
      <c r="CD8" s="129">
        <v>49.3</v>
      </c>
      <c r="CE8" s="57">
        <v>34</v>
      </c>
      <c r="CF8" s="57">
        <v>2570</v>
      </c>
      <c r="CG8" s="57">
        <v>9</v>
      </c>
      <c r="CH8" s="57"/>
      <c r="CI8" s="59"/>
      <c r="CJ8" s="56">
        <v>974</v>
      </c>
      <c r="CK8" s="57">
        <v>1593</v>
      </c>
      <c r="CL8" s="57">
        <v>12</v>
      </c>
      <c r="CM8" s="57"/>
      <c r="CN8" s="57">
        <v>179</v>
      </c>
      <c r="CO8" s="57">
        <v>43</v>
      </c>
      <c r="CP8" s="129">
        <v>5.4</v>
      </c>
      <c r="CQ8" s="129">
        <v>84.3</v>
      </c>
      <c r="CR8" s="58">
        <v>3.34</v>
      </c>
      <c r="CS8" s="58">
        <v>41.6</v>
      </c>
      <c r="CT8" s="57">
        <v>45</v>
      </c>
      <c r="CU8" s="57">
        <v>1657</v>
      </c>
      <c r="CV8" s="57">
        <v>11</v>
      </c>
      <c r="CW8" s="57"/>
      <c r="CX8" s="59"/>
      <c r="CY8" s="56">
        <v>1473</v>
      </c>
      <c r="CZ8" s="57">
        <v>2535</v>
      </c>
      <c r="DA8" s="57">
        <v>10</v>
      </c>
      <c r="DB8" s="57"/>
      <c r="DC8" s="57">
        <v>261</v>
      </c>
      <c r="DD8" s="57">
        <v>76</v>
      </c>
      <c r="DE8" s="58">
        <v>5.6</v>
      </c>
      <c r="DF8" s="58">
        <v>112.4</v>
      </c>
      <c r="DG8" s="58">
        <v>3.46</v>
      </c>
      <c r="DH8" s="58">
        <v>29.3</v>
      </c>
      <c r="DI8" s="57">
        <v>403</v>
      </c>
      <c r="DJ8" s="57">
        <v>1700</v>
      </c>
      <c r="DK8" s="57">
        <v>41</v>
      </c>
      <c r="DL8" s="57"/>
      <c r="DM8" s="59"/>
      <c r="DN8" s="126"/>
      <c r="DO8" s="5">
        <v>6</v>
      </c>
      <c r="DP8" s="42" t="s">
        <v>402</v>
      </c>
      <c r="DQ8" s="7">
        <v>0.7</v>
      </c>
      <c r="DR8" s="130"/>
    </row>
    <row r="9" spans="1:123" x14ac:dyDescent="0.2">
      <c r="A9" s="33">
        <v>7</v>
      </c>
      <c r="B9" s="34" t="s">
        <v>71</v>
      </c>
      <c r="C9" s="116">
        <v>10.5</v>
      </c>
      <c r="D9" s="117" t="s">
        <v>497</v>
      </c>
      <c r="E9" s="37">
        <v>4</v>
      </c>
      <c r="F9" s="118">
        <v>34824</v>
      </c>
      <c r="G9" s="119">
        <v>30.419178082191781</v>
      </c>
      <c r="H9" s="39" t="s">
        <v>498</v>
      </c>
      <c r="I9" s="119">
        <v>21.994520547945207</v>
      </c>
      <c r="J9" s="120">
        <v>71</v>
      </c>
      <c r="K9" s="120">
        <v>233</v>
      </c>
      <c r="L9" s="120">
        <v>4.6500000000000004</v>
      </c>
      <c r="M9" s="55">
        <v>3</v>
      </c>
      <c r="N9" s="121">
        <v>0</v>
      </c>
      <c r="O9" s="122">
        <v>0.17672047578589634</v>
      </c>
      <c r="P9" s="122">
        <v>0.32420494699646646</v>
      </c>
      <c r="Q9" s="122">
        <v>1.7114914425427872E-2</v>
      </c>
      <c r="R9" s="122">
        <v>0.23932506887052341</v>
      </c>
      <c r="S9" s="42">
        <v>0.2817650079334949</v>
      </c>
      <c r="T9" s="42">
        <v>0.25358850714014541</v>
      </c>
      <c r="U9" s="42">
        <v>2.8248587570621469E-3</v>
      </c>
      <c r="V9" s="42">
        <v>0.10478834142956281</v>
      </c>
      <c r="W9" s="42">
        <v>0.10478834142956281</v>
      </c>
      <c r="X9" s="43">
        <v>9.4309507286606531E-2</v>
      </c>
      <c r="Y9" s="44">
        <v>18.336986301369862</v>
      </c>
      <c r="Z9" s="45">
        <v>99.672213968116978</v>
      </c>
      <c r="AA9" s="45">
        <v>32.493354493156119</v>
      </c>
      <c r="AB9" s="45">
        <v>0.30405405405405406</v>
      </c>
      <c r="AC9" s="45">
        <v>9.6</v>
      </c>
      <c r="AD9" s="45">
        <v>89.4</v>
      </c>
      <c r="AE9" s="45">
        <v>2.95</v>
      </c>
      <c r="AF9" s="45">
        <v>51.9</v>
      </c>
      <c r="AG9" s="128">
        <v>6</v>
      </c>
      <c r="AH9" s="49">
        <v>9</v>
      </c>
      <c r="AI9" s="49">
        <v>10</v>
      </c>
      <c r="AJ9" s="49">
        <v>5</v>
      </c>
      <c r="AK9" s="49">
        <v>8</v>
      </c>
      <c r="AL9" s="49">
        <v>10</v>
      </c>
      <c r="AM9" s="49">
        <v>5</v>
      </c>
      <c r="AN9" s="49">
        <v>1</v>
      </c>
      <c r="AO9" s="49">
        <v>6</v>
      </c>
      <c r="AP9" s="50">
        <v>0</v>
      </c>
      <c r="AQ9" s="56"/>
      <c r="AR9" s="57">
        <v>1730</v>
      </c>
      <c r="AS9" s="57"/>
      <c r="AT9" s="57"/>
      <c r="AU9" s="57"/>
      <c r="AV9" s="57"/>
      <c r="AW9" s="57"/>
      <c r="AX9" s="57"/>
      <c r="AY9" s="57"/>
      <c r="AZ9" s="57"/>
      <c r="BA9" s="57"/>
      <c r="BB9" s="57">
        <v>3341</v>
      </c>
      <c r="BC9" s="57"/>
      <c r="BD9" s="57"/>
      <c r="BE9" s="59"/>
      <c r="BF9" s="56">
        <v>799</v>
      </c>
      <c r="BG9" s="57">
        <v>1634</v>
      </c>
      <c r="BH9" s="57"/>
      <c r="BI9" s="57"/>
      <c r="BJ9" s="57"/>
      <c r="BK9" s="57"/>
      <c r="BL9" s="57"/>
      <c r="BM9" s="57"/>
      <c r="BN9" s="57"/>
      <c r="BO9" s="57"/>
      <c r="BP9" s="57">
        <v>33</v>
      </c>
      <c r="BQ9" s="57">
        <v>3074</v>
      </c>
      <c r="BR9" s="57">
        <v>3</v>
      </c>
      <c r="BS9" s="57"/>
      <c r="BT9" s="59"/>
      <c r="BU9" s="56">
        <v>1765</v>
      </c>
      <c r="BV9" s="57">
        <v>3243</v>
      </c>
      <c r="BW9" s="57">
        <v>26</v>
      </c>
      <c r="BX9" s="57"/>
      <c r="BY9" s="57">
        <v>296</v>
      </c>
      <c r="BZ9" s="57">
        <v>90</v>
      </c>
      <c r="CA9" s="129">
        <v>6</v>
      </c>
      <c r="CB9" s="129">
        <v>89.4</v>
      </c>
      <c r="CC9" s="58">
        <v>2.89</v>
      </c>
      <c r="CD9" s="129">
        <v>32.5</v>
      </c>
      <c r="CE9" s="57">
        <v>70</v>
      </c>
      <c r="CF9" s="57">
        <v>2417</v>
      </c>
      <c r="CG9" s="57">
        <v>5</v>
      </c>
      <c r="CH9" s="57"/>
      <c r="CI9" s="59"/>
      <c r="CJ9" s="56">
        <v>77</v>
      </c>
      <c r="CK9" s="57">
        <v>2430</v>
      </c>
      <c r="CL9" s="57">
        <v>2</v>
      </c>
      <c r="CM9" s="57"/>
      <c r="CN9" s="57">
        <v>8</v>
      </c>
      <c r="CO9" s="57">
        <v>2</v>
      </c>
      <c r="CP9" s="129">
        <v>9.6</v>
      </c>
      <c r="CQ9" s="129">
        <v>52.8</v>
      </c>
      <c r="CR9" s="58">
        <v>2.38</v>
      </c>
      <c r="CS9" s="58">
        <v>51.9</v>
      </c>
      <c r="CT9" s="57">
        <v>7</v>
      </c>
      <c r="CU9" s="57">
        <v>2478</v>
      </c>
      <c r="CV9" s="57">
        <v>1</v>
      </c>
      <c r="CW9" s="57"/>
      <c r="CX9" s="59"/>
      <c r="CY9" s="56">
        <v>1088</v>
      </c>
      <c r="CZ9" s="57">
        <v>2926</v>
      </c>
      <c r="DA9" s="57">
        <v>16</v>
      </c>
      <c r="DB9" s="57"/>
      <c r="DC9" s="57">
        <v>216</v>
      </c>
      <c r="DD9" s="57">
        <v>39</v>
      </c>
      <c r="DE9" s="58">
        <v>5</v>
      </c>
      <c r="DF9" s="58">
        <v>52.3</v>
      </c>
      <c r="DG9" s="58">
        <v>2.95</v>
      </c>
      <c r="DH9" s="58">
        <v>51.7</v>
      </c>
      <c r="DI9" s="57">
        <v>302</v>
      </c>
      <c r="DJ9" s="57">
        <v>2882</v>
      </c>
      <c r="DK9" s="57">
        <v>21</v>
      </c>
      <c r="DL9" s="57"/>
      <c r="DM9" s="59"/>
      <c r="DN9" s="126"/>
      <c r="DO9" s="5">
        <v>7</v>
      </c>
      <c r="DP9" s="42" t="s">
        <v>405</v>
      </c>
      <c r="DQ9" s="7">
        <v>0.65</v>
      </c>
    </row>
    <row r="10" spans="1:123" x14ac:dyDescent="0.2">
      <c r="A10" s="33">
        <v>8</v>
      </c>
      <c r="B10" s="34" t="s">
        <v>76</v>
      </c>
      <c r="C10" s="116">
        <v>9.8666666666666671</v>
      </c>
      <c r="D10" s="117" t="s">
        <v>436</v>
      </c>
      <c r="E10" s="37">
        <v>3</v>
      </c>
      <c r="F10" s="118">
        <v>35179</v>
      </c>
      <c r="G10" s="119">
        <v>29.446575342465753</v>
      </c>
      <c r="H10" s="39" t="s">
        <v>385</v>
      </c>
      <c r="I10" s="119">
        <v>21.021917808219179</v>
      </c>
      <c r="J10" s="120">
        <v>72</v>
      </c>
      <c r="K10" s="120">
        <v>233</v>
      </c>
      <c r="L10" s="120">
        <v>4.45</v>
      </c>
      <c r="M10" s="55">
        <v>3</v>
      </c>
      <c r="N10" s="121">
        <v>0</v>
      </c>
      <c r="O10" s="122">
        <v>0</v>
      </c>
      <c r="P10" s="122">
        <v>1.8472063854047892E-2</v>
      </c>
      <c r="Q10" s="122">
        <v>0.1672285906945381</v>
      </c>
      <c r="R10" s="122">
        <v>0.35470737913486006</v>
      </c>
      <c r="S10" s="42">
        <v>0.35470737913486006</v>
      </c>
      <c r="T10" s="42">
        <v>0.31923664122137407</v>
      </c>
      <c r="U10" s="42">
        <v>3.6550542547115934E-2</v>
      </c>
      <c r="V10" s="42">
        <v>2.48015873015873E-2</v>
      </c>
      <c r="W10" s="42">
        <v>3.0676064924351619E-2</v>
      </c>
      <c r="X10" s="43">
        <v>2.7608458431916456E-2</v>
      </c>
      <c r="Y10" s="44">
        <v>19.364383561643837</v>
      </c>
      <c r="Z10" s="45">
        <v>118.83541105903436</v>
      </c>
      <c r="AA10" s="45">
        <v>31.597029320987652</v>
      </c>
      <c r="AB10" s="45">
        <v>0.25531914893617019</v>
      </c>
      <c r="AC10" s="45">
        <v>7.2</v>
      </c>
      <c r="AD10" s="45">
        <v>77.099999999999994</v>
      </c>
      <c r="AE10" s="45">
        <v>3.54</v>
      </c>
      <c r="AF10" s="45">
        <v>53.5</v>
      </c>
      <c r="AG10" s="128">
        <v>8</v>
      </c>
      <c r="AH10" s="49">
        <v>3</v>
      </c>
      <c r="AI10" s="49">
        <v>7</v>
      </c>
      <c r="AJ10" s="49">
        <v>10</v>
      </c>
      <c r="AK10" s="49">
        <v>6</v>
      </c>
      <c r="AL10" s="49">
        <v>8</v>
      </c>
      <c r="AM10" s="49">
        <v>4</v>
      </c>
      <c r="AN10" s="49">
        <v>4</v>
      </c>
      <c r="AO10" s="49">
        <v>6</v>
      </c>
      <c r="AP10" s="50">
        <v>0</v>
      </c>
      <c r="AQ10" s="56"/>
      <c r="AR10" s="57">
        <v>2229</v>
      </c>
      <c r="AS10" s="57"/>
      <c r="AT10" s="57"/>
      <c r="AU10" s="57"/>
      <c r="AV10" s="57"/>
      <c r="AW10" s="57"/>
      <c r="AX10" s="57"/>
      <c r="AY10" s="57"/>
      <c r="AZ10" s="57"/>
      <c r="BA10" s="57"/>
      <c r="BB10" s="57">
        <v>3421</v>
      </c>
      <c r="BC10" s="57"/>
      <c r="BD10" s="57"/>
      <c r="BE10" s="59"/>
      <c r="BF10" s="56"/>
      <c r="BG10" s="57">
        <v>2551</v>
      </c>
      <c r="BH10" s="57"/>
      <c r="BI10" s="57"/>
      <c r="BJ10" s="57"/>
      <c r="BK10" s="57"/>
      <c r="BL10" s="57"/>
      <c r="BM10" s="57"/>
      <c r="BN10" s="57"/>
      <c r="BO10" s="57"/>
      <c r="BP10" s="57"/>
      <c r="BQ10" s="57">
        <v>2762</v>
      </c>
      <c r="BR10" s="57"/>
      <c r="BS10" s="57"/>
      <c r="BT10" s="59"/>
      <c r="BU10" s="56">
        <v>74</v>
      </c>
      <c r="BV10" s="57">
        <v>1786</v>
      </c>
      <c r="BW10" s="57">
        <v>0</v>
      </c>
      <c r="BX10" s="57"/>
      <c r="BY10" s="57">
        <v>16</v>
      </c>
      <c r="BZ10" s="57">
        <v>5</v>
      </c>
      <c r="CA10" s="129">
        <v>4.5999999999999996</v>
      </c>
      <c r="CB10" s="129">
        <v>80.900000000000006</v>
      </c>
      <c r="CC10" s="58">
        <v>2.75</v>
      </c>
      <c r="CD10" s="129">
        <v>67.599999999999994</v>
      </c>
      <c r="CE10" s="57">
        <v>7</v>
      </c>
      <c r="CF10" s="57">
        <v>2599</v>
      </c>
      <c r="CG10" s="57">
        <v>1</v>
      </c>
      <c r="CH10" s="57"/>
      <c r="CI10" s="59"/>
      <c r="CJ10" s="56">
        <v>680</v>
      </c>
      <c r="CK10" s="57">
        <v>2698</v>
      </c>
      <c r="CL10" s="57">
        <v>5</v>
      </c>
      <c r="CM10" s="57"/>
      <c r="CN10" s="57">
        <v>94</v>
      </c>
      <c r="CO10" s="57">
        <v>24</v>
      </c>
      <c r="CP10" s="129">
        <v>7.2</v>
      </c>
      <c r="CQ10" s="129">
        <v>77.099999999999994</v>
      </c>
      <c r="CR10" s="58">
        <v>3.05</v>
      </c>
      <c r="CS10" s="58">
        <v>53.5</v>
      </c>
      <c r="CT10" s="57">
        <v>64</v>
      </c>
      <c r="CU10" s="57">
        <v>1751</v>
      </c>
      <c r="CV10" s="57">
        <v>5</v>
      </c>
      <c r="CW10" s="57"/>
      <c r="CX10" s="59"/>
      <c r="CY10" s="56">
        <v>2016</v>
      </c>
      <c r="CZ10" s="57">
        <v>2871</v>
      </c>
      <c r="DA10" s="57">
        <v>15</v>
      </c>
      <c r="DB10" s="57"/>
      <c r="DC10" s="57">
        <v>323</v>
      </c>
      <c r="DD10" s="57">
        <v>64</v>
      </c>
      <c r="DE10" s="58">
        <v>6.2</v>
      </c>
      <c r="DF10" s="58">
        <v>69.599999999999994</v>
      </c>
      <c r="DG10" s="58">
        <v>3.54</v>
      </c>
      <c r="DH10" s="58">
        <v>40.700000000000003</v>
      </c>
      <c r="DI10" s="57">
        <v>75</v>
      </c>
      <c r="DJ10" s="57">
        <v>3024</v>
      </c>
      <c r="DK10" s="57">
        <v>7</v>
      </c>
      <c r="DL10" s="57"/>
      <c r="DM10" s="59"/>
      <c r="DN10" s="126"/>
      <c r="DO10" s="5">
        <v>8</v>
      </c>
      <c r="DP10" s="42" t="s">
        <v>408</v>
      </c>
      <c r="DQ10" s="7">
        <v>0.65</v>
      </c>
      <c r="DR10" s="131"/>
    </row>
    <row r="11" spans="1:123" x14ac:dyDescent="0.2">
      <c r="A11" s="33">
        <v>9</v>
      </c>
      <c r="B11" s="34" t="s">
        <v>68</v>
      </c>
      <c r="C11" s="116">
        <v>9.6166666666666671</v>
      </c>
      <c r="D11" s="117" t="s">
        <v>499</v>
      </c>
      <c r="E11" s="37">
        <v>10</v>
      </c>
      <c r="F11" s="118">
        <v>34670</v>
      </c>
      <c r="G11" s="119">
        <v>30.841095890410958</v>
      </c>
      <c r="H11" s="39" t="s">
        <v>389</v>
      </c>
      <c r="I11" s="119">
        <v>22.416438356164385</v>
      </c>
      <c r="J11" s="120">
        <v>69</v>
      </c>
      <c r="K11" s="120">
        <v>208</v>
      </c>
      <c r="L11" s="120">
        <v>4.5</v>
      </c>
      <c r="M11" s="55">
        <v>5</v>
      </c>
      <c r="N11" s="121">
        <v>0</v>
      </c>
      <c r="O11" s="122">
        <v>0.19760479041916168</v>
      </c>
      <c r="P11" s="122">
        <v>0.35512173722307522</v>
      </c>
      <c r="Q11" s="122">
        <v>7.6923076923076927E-2</v>
      </c>
      <c r="R11" s="122">
        <v>0.45124153498871333</v>
      </c>
      <c r="S11" s="42">
        <v>0.45124153498871333</v>
      </c>
      <c r="T11" s="42">
        <v>0.270744920993228</v>
      </c>
      <c r="U11" s="42">
        <v>4.5183290707587385E-2</v>
      </c>
      <c r="V11" s="42">
        <v>0.10571687840290381</v>
      </c>
      <c r="W11" s="42">
        <v>0.10571687840290381</v>
      </c>
      <c r="X11" s="43">
        <v>6.3430127041742279E-2</v>
      </c>
      <c r="Y11" s="44">
        <v>18.758904109589039</v>
      </c>
      <c r="Z11" s="45">
        <v>101.44795000762079</v>
      </c>
      <c r="AA11" s="45">
        <v>30.712875446334802</v>
      </c>
      <c r="AB11" s="45">
        <v>0.21875</v>
      </c>
      <c r="AC11" s="45">
        <v>7.7</v>
      </c>
      <c r="AD11" s="45">
        <v>151.80000000000001</v>
      </c>
      <c r="AE11" s="45">
        <v>5.19</v>
      </c>
      <c r="AF11" s="45">
        <v>56.4</v>
      </c>
      <c r="AG11" s="128">
        <v>7</v>
      </c>
      <c r="AH11" s="49">
        <v>7</v>
      </c>
      <c r="AI11" s="49">
        <v>9</v>
      </c>
      <c r="AJ11" s="49">
        <v>6</v>
      </c>
      <c r="AK11" s="49">
        <v>4</v>
      </c>
      <c r="AL11" s="49">
        <v>9</v>
      </c>
      <c r="AM11" s="49">
        <v>10</v>
      </c>
      <c r="AN11" s="49">
        <v>10</v>
      </c>
      <c r="AO11" s="49">
        <v>3</v>
      </c>
      <c r="AP11" s="50">
        <v>0</v>
      </c>
      <c r="AQ11" s="56"/>
      <c r="AR11" s="57">
        <v>1782</v>
      </c>
      <c r="AS11" s="57"/>
      <c r="AT11" s="57"/>
      <c r="AU11" s="57"/>
      <c r="AV11" s="57"/>
      <c r="AW11" s="57"/>
      <c r="AX11" s="57"/>
      <c r="AY11" s="57"/>
      <c r="AZ11" s="57"/>
      <c r="BA11" s="57"/>
      <c r="BB11" s="57">
        <v>2688</v>
      </c>
      <c r="BC11" s="57"/>
      <c r="BD11" s="57"/>
      <c r="BE11" s="59"/>
      <c r="BF11" s="56">
        <v>811</v>
      </c>
      <c r="BG11" s="57">
        <v>2216</v>
      </c>
      <c r="BH11" s="57"/>
      <c r="BI11" s="57"/>
      <c r="BJ11" s="57"/>
      <c r="BK11" s="57"/>
      <c r="BL11" s="57"/>
      <c r="BM11" s="57"/>
      <c r="BN11" s="57"/>
      <c r="BO11" s="57"/>
      <c r="BP11" s="57">
        <v>14</v>
      </c>
      <c r="BQ11" s="57">
        <v>1959</v>
      </c>
      <c r="BR11" s="57">
        <v>4</v>
      </c>
      <c r="BS11" s="57"/>
      <c r="BT11" s="59"/>
      <c r="BU11" s="56">
        <v>1326</v>
      </c>
      <c r="BV11" s="57">
        <v>2701</v>
      </c>
      <c r="BW11" s="57">
        <v>11</v>
      </c>
      <c r="BX11" s="57"/>
      <c r="BY11" s="57">
        <v>242</v>
      </c>
      <c r="BZ11" s="57">
        <v>44</v>
      </c>
      <c r="CA11" s="129">
        <v>5.5</v>
      </c>
      <c r="CB11" s="129">
        <v>63.9</v>
      </c>
      <c r="CC11" s="58">
        <v>3.49</v>
      </c>
      <c r="CD11" s="129">
        <v>39.700000000000003</v>
      </c>
      <c r="CE11" s="57">
        <v>293</v>
      </c>
      <c r="CF11" s="57">
        <v>1858</v>
      </c>
      <c r="CG11" s="57">
        <v>31</v>
      </c>
      <c r="CH11" s="57"/>
      <c r="CI11" s="59"/>
      <c r="CJ11" s="56">
        <v>209</v>
      </c>
      <c r="CK11" s="57">
        <v>1749</v>
      </c>
      <c r="CL11" s="57">
        <v>1</v>
      </c>
      <c r="CM11" s="57"/>
      <c r="CN11" s="57">
        <v>32</v>
      </c>
      <c r="CO11" s="57">
        <v>7</v>
      </c>
      <c r="CP11" s="129">
        <v>6.5</v>
      </c>
      <c r="CQ11" s="129">
        <v>151.80000000000001</v>
      </c>
      <c r="CR11" s="58">
        <v>5.19</v>
      </c>
      <c r="CS11" s="58">
        <v>53.1</v>
      </c>
      <c r="CT11" s="57">
        <v>106</v>
      </c>
      <c r="CU11" s="57">
        <v>2346</v>
      </c>
      <c r="CV11" s="57">
        <v>9</v>
      </c>
      <c r="CW11" s="57"/>
      <c r="CX11" s="59"/>
      <c r="CY11" s="56">
        <v>1766</v>
      </c>
      <c r="CZ11" s="57">
        <v>2226</v>
      </c>
      <c r="DA11" s="57">
        <v>17</v>
      </c>
      <c r="DB11" s="57"/>
      <c r="DC11" s="57">
        <v>228</v>
      </c>
      <c r="DD11" s="57">
        <v>41</v>
      </c>
      <c r="DE11" s="58">
        <v>7.7</v>
      </c>
      <c r="DF11" s="58">
        <v>73</v>
      </c>
      <c r="DG11" s="58">
        <v>3.98</v>
      </c>
      <c r="DH11" s="58">
        <v>56.4</v>
      </c>
      <c r="DI11" s="57">
        <v>233</v>
      </c>
      <c r="DJ11" s="57">
        <v>2204</v>
      </c>
      <c r="DK11" s="57">
        <v>28</v>
      </c>
      <c r="DL11" s="57"/>
      <c r="DM11" s="59"/>
      <c r="DN11" s="126"/>
      <c r="DO11" s="5">
        <v>9</v>
      </c>
      <c r="DP11" s="42" t="s">
        <v>411</v>
      </c>
      <c r="DQ11" s="7">
        <v>0.65</v>
      </c>
      <c r="DR11" s="131"/>
    </row>
    <row r="12" spans="1:123" x14ac:dyDescent="0.2">
      <c r="A12" s="33">
        <v>10</v>
      </c>
      <c r="B12" s="34" t="s">
        <v>74</v>
      </c>
      <c r="C12" s="116">
        <v>8.2722222222222221</v>
      </c>
      <c r="D12" s="117" t="s">
        <v>493</v>
      </c>
      <c r="E12" s="37">
        <v>3</v>
      </c>
      <c r="F12" s="118">
        <v>34958</v>
      </c>
      <c r="G12" s="119">
        <v>30.052054794520547</v>
      </c>
      <c r="H12" s="39" t="s">
        <v>385</v>
      </c>
      <c r="I12" s="119">
        <v>21.627397260273973</v>
      </c>
      <c r="J12" s="120">
        <v>71</v>
      </c>
      <c r="K12" s="120">
        <v>233</v>
      </c>
      <c r="L12" s="120">
        <v>4.66</v>
      </c>
      <c r="M12" s="55">
        <v>4</v>
      </c>
      <c r="N12" s="121">
        <v>0</v>
      </c>
      <c r="O12" s="122">
        <v>0</v>
      </c>
      <c r="P12" s="122">
        <v>0.3014401589140871</v>
      </c>
      <c r="Q12" s="122">
        <v>0.21151893225010882</v>
      </c>
      <c r="R12" s="122">
        <v>0.16209095951192456</v>
      </c>
      <c r="S12" s="42">
        <v>0.23176555921300585</v>
      </c>
      <c r="T12" s="42">
        <v>0.20858900329170527</v>
      </c>
      <c r="U12" s="42">
        <v>2.5961058412381426E-2</v>
      </c>
      <c r="V12" s="42">
        <v>2.564102564102564E-2</v>
      </c>
      <c r="W12" s="42">
        <v>2.5801042026703531E-2</v>
      </c>
      <c r="X12" s="43">
        <v>2.3220937824033179E-2</v>
      </c>
      <c r="Y12" s="44">
        <v>18.972602739726028</v>
      </c>
      <c r="Z12" s="45">
        <v>98.819408479669704</v>
      </c>
      <c r="AA12" s="45">
        <v>32.493354493156119</v>
      </c>
      <c r="AB12" s="45">
        <v>0.28244274809160308</v>
      </c>
      <c r="AC12" s="45">
        <v>6</v>
      </c>
      <c r="AD12" s="45">
        <v>100.4</v>
      </c>
      <c r="AE12" s="45">
        <v>3.61</v>
      </c>
      <c r="AF12" s="45">
        <v>47.3</v>
      </c>
      <c r="AG12" s="128">
        <v>4</v>
      </c>
      <c r="AH12" s="49">
        <v>2</v>
      </c>
      <c r="AI12" s="49">
        <v>8</v>
      </c>
      <c r="AJ12" s="49">
        <v>5</v>
      </c>
      <c r="AK12" s="49">
        <v>8</v>
      </c>
      <c r="AL12" s="49">
        <v>4</v>
      </c>
      <c r="AM12" s="49">
        <v>6</v>
      </c>
      <c r="AN12" s="49">
        <v>4</v>
      </c>
      <c r="AO12" s="49">
        <v>4</v>
      </c>
      <c r="AP12" s="50">
        <v>0.75</v>
      </c>
      <c r="AQ12" s="56"/>
      <c r="AR12" s="57">
        <v>2098</v>
      </c>
      <c r="AS12" s="57"/>
      <c r="AT12" s="57"/>
      <c r="AU12" s="57"/>
      <c r="AV12" s="57"/>
      <c r="AW12" s="57"/>
      <c r="AX12" s="57"/>
      <c r="AY12" s="57"/>
      <c r="AZ12" s="57"/>
      <c r="BA12" s="57"/>
      <c r="BB12" s="57">
        <v>4374</v>
      </c>
      <c r="BC12" s="57"/>
      <c r="BD12" s="57"/>
      <c r="BE12" s="59"/>
      <c r="BF12" s="56"/>
      <c r="BG12" s="57">
        <v>2911</v>
      </c>
      <c r="BH12" s="57"/>
      <c r="BI12" s="57"/>
      <c r="BJ12" s="57"/>
      <c r="BK12" s="57"/>
      <c r="BL12" s="57"/>
      <c r="BM12" s="57"/>
      <c r="BN12" s="57"/>
      <c r="BO12" s="57"/>
      <c r="BP12" s="57"/>
      <c r="BQ12" s="57">
        <v>2588</v>
      </c>
      <c r="BR12" s="57"/>
      <c r="BS12" s="57"/>
      <c r="BT12" s="59"/>
      <c r="BU12" s="56">
        <v>1713</v>
      </c>
      <c r="BV12" s="57">
        <v>3395</v>
      </c>
      <c r="BW12" s="57">
        <v>21</v>
      </c>
      <c r="BX12" s="57"/>
      <c r="BY12" s="57">
        <v>262</v>
      </c>
      <c r="BZ12" s="57">
        <v>74</v>
      </c>
      <c r="CA12" s="129">
        <v>6.5</v>
      </c>
      <c r="CB12" s="129">
        <v>100.4</v>
      </c>
      <c r="CC12" s="58">
        <v>3.61</v>
      </c>
      <c r="CD12" s="129">
        <v>47.3</v>
      </c>
      <c r="CE12" s="57">
        <v>108</v>
      </c>
      <c r="CF12" s="57">
        <v>2646</v>
      </c>
      <c r="CG12" s="57">
        <v>15</v>
      </c>
      <c r="CH12" s="57"/>
      <c r="CI12" s="59"/>
      <c r="CJ12" s="56">
        <v>1354</v>
      </c>
      <c r="CK12" s="57">
        <v>2887</v>
      </c>
      <c r="CL12" s="57">
        <v>16</v>
      </c>
      <c r="CM12" s="57"/>
      <c r="CN12" s="57">
        <v>226</v>
      </c>
      <c r="CO12" s="57">
        <v>50</v>
      </c>
      <c r="CP12" s="129">
        <v>6</v>
      </c>
      <c r="CQ12" s="129">
        <v>79.8</v>
      </c>
      <c r="CR12" s="58">
        <v>3.55</v>
      </c>
      <c r="CS12" s="58">
        <v>43.1</v>
      </c>
      <c r="CT12" s="57">
        <v>104</v>
      </c>
      <c r="CU12" s="57">
        <v>4006</v>
      </c>
      <c r="CV12" s="57">
        <v>14</v>
      </c>
      <c r="CW12" s="57"/>
      <c r="CX12" s="59"/>
      <c r="CY12" s="56">
        <v>1063</v>
      </c>
      <c r="CZ12" s="57">
        <v>3078</v>
      </c>
      <c r="DA12" s="57">
        <v>12</v>
      </c>
      <c r="DB12" s="57"/>
      <c r="DC12" s="57">
        <v>196</v>
      </c>
      <c r="DD12" s="57">
        <v>31</v>
      </c>
      <c r="DE12" s="58">
        <v>5.4</v>
      </c>
      <c r="DF12" s="58">
        <v>55.4</v>
      </c>
      <c r="DG12" s="58">
        <v>3.26</v>
      </c>
      <c r="DH12" s="58">
        <v>36.4</v>
      </c>
      <c r="DI12" s="57">
        <v>106</v>
      </c>
      <c r="DJ12" s="57">
        <v>4134</v>
      </c>
      <c r="DK12" s="57">
        <v>10</v>
      </c>
      <c r="DL12" s="57"/>
      <c r="DM12" s="59"/>
      <c r="DN12" s="126"/>
      <c r="DO12" s="5">
        <v>10</v>
      </c>
      <c r="DP12" s="42" t="s">
        <v>414</v>
      </c>
      <c r="DQ12" s="7">
        <v>0.6</v>
      </c>
    </row>
    <row r="13" spans="1:123" x14ac:dyDescent="0.2">
      <c r="A13" s="33">
        <v>11</v>
      </c>
      <c r="B13" s="34" t="s">
        <v>80</v>
      </c>
      <c r="C13" s="116">
        <v>8.0500000000000007</v>
      </c>
      <c r="D13" s="117" t="s">
        <v>416</v>
      </c>
      <c r="E13" s="37">
        <v>7</v>
      </c>
      <c r="F13" s="118">
        <v>35059</v>
      </c>
      <c r="G13" s="119">
        <v>29.775342465753425</v>
      </c>
      <c r="H13" s="39" t="s">
        <v>385</v>
      </c>
      <c r="I13" s="119">
        <v>21.350684931506848</v>
      </c>
      <c r="J13" s="120">
        <v>69</v>
      </c>
      <c r="K13" s="120">
        <v>212</v>
      </c>
      <c r="L13" s="120">
        <v>4.49</v>
      </c>
      <c r="M13" s="55">
        <v>5</v>
      </c>
      <c r="N13" s="121">
        <v>0</v>
      </c>
      <c r="O13" s="122">
        <v>0</v>
      </c>
      <c r="P13" s="122">
        <v>4.4508670520231212E-2</v>
      </c>
      <c r="Q13" s="122">
        <v>0.27730061349693252</v>
      </c>
      <c r="R13" s="122">
        <v>0.35486495281483893</v>
      </c>
      <c r="S13" s="42">
        <v>0.35486495281483893</v>
      </c>
      <c r="T13" s="42">
        <v>0.23066221932964531</v>
      </c>
      <c r="U13" s="42">
        <v>0.11458333333333333</v>
      </c>
      <c r="V13" s="42">
        <v>0.12454873646209386</v>
      </c>
      <c r="W13" s="42">
        <v>0.12454873646209386</v>
      </c>
      <c r="X13" s="43">
        <v>8.0956678700361009E-2</v>
      </c>
      <c r="Y13" s="44">
        <v>19.693150684931506</v>
      </c>
      <c r="Z13" s="45">
        <v>104.32310210825561</v>
      </c>
      <c r="AA13" s="45">
        <v>31.303507666456625</v>
      </c>
      <c r="AB13" s="45">
        <v>0.20588235294117646</v>
      </c>
      <c r="AC13" s="45">
        <v>9.4</v>
      </c>
      <c r="AD13" s="45">
        <v>68.900000000000006</v>
      </c>
      <c r="AE13" s="45">
        <v>3.54</v>
      </c>
      <c r="AF13" s="45">
        <v>52.4</v>
      </c>
      <c r="AG13" s="128">
        <v>5</v>
      </c>
      <c r="AH13" s="49">
        <v>8</v>
      </c>
      <c r="AI13" s="49">
        <v>6</v>
      </c>
      <c r="AJ13" s="49">
        <v>7</v>
      </c>
      <c r="AK13" s="49">
        <v>4</v>
      </c>
      <c r="AL13" s="49">
        <v>10</v>
      </c>
      <c r="AM13" s="49">
        <v>3</v>
      </c>
      <c r="AN13" s="49">
        <v>4</v>
      </c>
      <c r="AO13" s="49">
        <v>3</v>
      </c>
      <c r="AP13" s="50">
        <v>0</v>
      </c>
      <c r="AQ13" s="56"/>
      <c r="AR13" s="57">
        <v>2186</v>
      </c>
      <c r="AS13" s="57"/>
      <c r="AT13" s="57"/>
      <c r="AU13" s="57"/>
      <c r="AV13" s="57"/>
      <c r="AW13" s="57"/>
      <c r="AX13" s="57"/>
      <c r="AY13" s="57"/>
      <c r="AZ13" s="57"/>
      <c r="BA13" s="57"/>
      <c r="BB13" s="57">
        <v>2901</v>
      </c>
      <c r="BC13" s="57"/>
      <c r="BD13" s="57"/>
      <c r="BE13" s="59"/>
      <c r="BF13" s="56"/>
      <c r="BG13" s="57">
        <v>2578</v>
      </c>
      <c r="BH13" s="57"/>
      <c r="BI13" s="57"/>
      <c r="BJ13" s="57"/>
      <c r="BK13" s="57"/>
      <c r="BL13" s="57"/>
      <c r="BM13" s="57"/>
      <c r="BN13" s="57"/>
      <c r="BO13" s="57"/>
      <c r="BP13" s="57"/>
      <c r="BQ13" s="57">
        <v>3610</v>
      </c>
      <c r="BR13" s="57"/>
      <c r="BS13" s="57"/>
      <c r="BT13" s="59"/>
      <c r="BU13" s="56">
        <v>159</v>
      </c>
      <c r="BV13" s="57">
        <v>2994</v>
      </c>
      <c r="BW13" s="57">
        <v>1</v>
      </c>
      <c r="BX13" s="57"/>
      <c r="BY13" s="57">
        <v>17</v>
      </c>
      <c r="BZ13" s="57">
        <v>1</v>
      </c>
      <c r="CA13" s="129">
        <v>9.4</v>
      </c>
      <c r="CB13" s="129">
        <v>9.6</v>
      </c>
      <c r="CC13" s="58">
        <v>3.06</v>
      </c>
      <c r="CD13" s="129">
        <v>45.3</v>
      </c>
      <c r="CE13" s="57">
        <v>149</v>
      </c>
      <c r="CF13" s="57">
        <v>3926</v>
      </c>
      <c r="CG13" s="57">
        <v>15</v>
      </c>
      <c r="CH13" s="57"/>
      <c r="CI13" s="59"/>
      <c r="CJ13" s="56">
        <v>1346</v>
      </c>
      <c r="CK13" s="57">
        <v>2488</v>
      </c>
      <c r="CL13" s="57">
        <v>20</v>
      </c>
      <c r="CM13" s="57"/>
      <c r="CN13" s="57">
        <v>238</v>
      </c>
      <c r="CO13" s="57">
        <v>49</v>
      </c>
      <c r="CP13" s="129">
        <v>5.7</v>
      </c>
      <c r="CQ13" s="129">
        <v>68.900000000000006</v>
      </c>
      <c r="CR13" s="58">
        <v>3.5</v>
      </c>
      <c r="CS13" s="58">
        <v>52.4</v>
      </c>
      <c r="CT13" s="57">
        <v>462</v>
      </c>
      <c r="CU13" s="57">
        <v>4032</v>
      </c>
      <c r="CV13" s="57">
        <v>51</v>
      </c>
      <c r="CW13" s="57"/>
      <c r="CX13" s="59"/>
      <c r="CY13" s="56">
        <v>1698</v>
      </c>
      <c r="CZ13" s="57">
        <v>2268</v>
      </c>
      <c r="DA13" s="57">
        <v>23</v>
      </c>
      <c r="DB13" s="57"/>
      <c r="DC13" s="57">
        <v>312</v>
      </c>
      <c r="DD13" s="57">
        <v>62</v>
      </c>
      <c r="DE13" s="58">
        <v>5.4</v>
      </c>
      <c r="DF13" s="58">
        <v>66.5</v>
      </c>
      <c r="DG13" s="58">
        <v>3.54</v>
      </c>
      <c r="DH13" s="58">
        <v>38.5</v>
      </c>
      <c r="DI13" s="57">
        <v>483</v>
      </c>
      <c r="DJ13" s="57">
        <v>3878</v>
      </c>
      <c r="DK13" s="57">
        <v>39</v>
      </c>
      <c r="DL13" s="57"/>
      <c r="DM13" s="59"/>
      <c r="DN13" s="126"/>
      <c r="DO13" s="11">
        <v>11</v>
      </c>
      <c r="DP13" s="42" t="s">
        <v>417</v>
      </c>
      <c r="DQ13" s="7">
        <v>0.55000000000000004</v>
      </c>
    </row>
    <row r="14" spans="1:123" x14ac:dyDescent="0.2">
      <c r="A14" s="33">
        <v>12</v>
      </c>
      <c r="B14" s="34" t="s">
        <v>81</v>
      </c>
      <c r="C14" s="116">
        <v>7.8500000000000014</v>
      </c>
      <c r="D14" s="117" t="s">
        <v>501</v>
      </c>
      <c r="E14" s="37">
        <v>7</v>
      </c>
      <c r="F14" s="118">
        <v>34674</v>
      </c>
      <c r="G14" s="119">
        <v>30.830136986301369</v>
      </c>
      <c r="H14" s="39" t="s">
        <v>389</v>
      </c>
      <c r="I14" s="119">
        <v>22.405479452054795</v>
      </c>
      <c r="J14" s="132">
        <v>68</v>
      </c>
      <c r="K14" s="132">
        <v>176</v>
      </c>
      <c r="L14" s="132">
        <v>4.4800000000000004</v>
      </c>
      <c r="M14" s="55">
        <v>4</v>
      </c>
      <c r="N14" s="121">
        <v>0</v>
      </c>
      <c r="O14" s="122">
        <v>0.17849384503982621</v>
      </c>
      <c r="P14" s="122">
        <v>0.39372074882995317</v>
      </c>
      <c r="Q14" s="122">
        <v>0.39760182717929199</v>
      </c>
      <c r="R14" s="122">
        <v>0.41522005961774505</v>
      </c>
      <c r="S14" s="42">
        <v>0.41522005961774505</v>
      </c>
      <c r="T14" s="42">
        <v>0.26989303875153431</v>
      </c>
      <c r="U14" s="42">
        <v>0.20925553319919518</v>
      </c>
      <c r="V14" s="42">
        <v>0.1166584280771132</v>
      </c>
      <c r="W14" s="42">
        <v>0.1629569806381542</v>
      </c>
      <c r="X14" s="43">
        <v>0.10592203741480023</v>
      </c>
      <c r="Y14" s="44">
        <v>18.747945205479454</v>
      </c>
      <c r="Z14" s="45">
        <v>87.383735780664281</v>
      </c>
      <c r="AA14" s="45">
        <v>26.757785467128027</v>
      </c>
      <c r="AB14" s="45">
        <v>0.26213592233009708</v>
      </c>
      <c r="AC14" s="45">
        <v>6.1</v>
      </c>
      <c r="AD14" s="45">
        <v>69.3</v>
      </c>
      <c r="AE14" s="45">
        <v>3.39</v>
      </c>
      <c r="AF14" s="45">
        <v>47</v>
      </c>
      <c r="AG14" s="128">
        <v>7</v>
      </c>
      <c r="AH14" s="49">
        <v>9</v>
      </c>
      <c r="AI14" s="49">
        <v>9</v>
      </c>
      <c r="AJ14" s="49">
        <v>1</v>
      </c>
      <c r="AK14" s="49">
        <v>7</v>
      </c>
      <c r="AL14" s="49">
        <v>5</v>
      </c>
      <c r="AM14" s="49">
        <v>3</v>
      </c>
      <c r="AN14" s="49">
        <v>3</v>
      </c>
      <c r="AO14" s="49">
        <v>4</v>
      </c>
      <c r="AP14" s="50">
        <v>0</v>
      </c>
      <c r="AQ14" s="56"/>
      <c r="AR14" s="57">
        <v>2869</v>
      </c>
      <c r="AS14" s="57"/>
      <c r="AT14" s="57"/>
      <c r="AU14" s="57"/>
      <c r="AV14" s="57"/>
      <c r="AW14" s="57"/>
      <c r="AX14" s="57"/>
      <c r="AY14" s="57"/>
      <c r="AZ14" s="57"/>
      <c r="BA14" s="57"/>
      <c r="BB14" s="57">
        <v>2287</v>
      </c>
      <c r="BC14" s="57"/>
      <c r="BD14" s="57"/>
      <c r="BE14" s="59"/>
      <c r="BF14" s="56">
        <v>752</v>
      </c>
      <c r="BG14" s="57">
        <v>2166</v>
      </c>
      <c r="BH14" s="57"/>
      <c r="BI14" s="57"/>
      <c r="BJ14" s="57"/>
      <c r="BK14" s="57"/>
      <c r="BL14" s="57"/>
      <c r="BM14" s="57"/>
      <c r="BN14" s="57"/>
      <c r="BO14" s="57"/>
      <c r="BP14" s="57">
        <v>234</v>
      </c>
      <c r="BQ14" s="57">
        <v>3358</v>
      </c>
      <c r="BR14" s="57">
        <v>22</v>
      </c>
      <c r="BS14" s="57"/>
      <c r="BT14" s="59"/>
      <c r="BU14" s="56">
        <v>1859</v>
      </c>
      <c r="BV14" s="57">
        <v>2809</v>
      </c>
      <c r="BW14" s="57">
        <v>20</v>
      </c>
      <c r="BX14" s="57"/>
      <c r="BY14" s="57">
        <v>275</v>
      </c>
      <c r="BZ14" s="57">
        <v>53</v>
      </c>
      <c r="CA14" s="129">
        <v>6.8</v>
      </c>
      <c r="CB14" s="129">
        <v>61.3</v>
      </c>
      <c r="CC14" s="58">
        <v>2.99</v>
      </c>
      <c r="CD14" s="129">
        <v>43.4</v>
      </c>
      <c r="CE14" s="57">
        <v>160</v>
      </c>
      <c r="CF14" s="57">
        <v>2319</v>
      </c>
      <c r="CG14" s="57">
        <v>23</v>
      </c>
      <c r="CH14" s="57"/>
      <c r="CI14" s="59"/>
      <c r="CJ14" s="56">
        <v>1673</v>
      </c>
      <c r="CK14" s="57">
        <v>3266</v>
      </c>
      <c r="CL14" s="57">
        <v>17</v>
      </c>
      <c r="CM14" s="57"/>
      <c r="CN14" s="57">
        <v>309</v>
      </c>
      <c r="CO14" s="57">
        <v>81</v>
      </c>
      <c r="CP14" s="129">
        <v>5.4</v>
      </c>
      <c r="CQ14" s="129">
        <v>69.3</v>
      </c>
      <c r="CR14" s="58">
        <v>2.69</v>
      </c>
      <c r="CS14" s="58">
        <v>44.8</v>
      </c>
      <c r="CT14" s="57">
        <v>416</v>
      </c>
      <c r="CU14" s="57">
        <v>1988</v>
      </c>
      <c r="CV14" s="57">
        <v>28</v>
      </c>
      <c r="CW14" s="57"/>
      <c r="CX14" s="59"/>
      <c r="CY14" s="56">
        <v>2132</v>
      </c>
      <c r="CZ14" s="57">
        <v>3680</v>
      </c>
      <c r="DA14" s="57">
        <v>17</v>
      </c>
      <c r="DB14" s="57"/>
      <c r="DC14" s="57">
        <v>350</v>
      </c>
      <c r="DD14" s="57">
        <v>74</v>
      </c>
      <c r="DE14" s="58">
        <v>6.1</v>
      </c>
      <c r="DF14" s="58">
        <v>68.400000000000006</v>
      </c>
      <c r="DG14" s="58">
        <v>3.39</v>
      </c>
      <c r="DH14" s="58">
        <v>47</v>
      </c>
      <c r="DI14" s="57">
        <v>236</v>
      </c>
      <c r="DJ14" s="57">
        <v>2023</v>
      </c>
      <c r="DK14" s="57">
        <v>27</v>
      </c>
      <c r="DL14" s="57"/>
      <c r="DM14" s="59"/>
      <c r="DN14" s="126"/>
      <c r="DO14" s="11">
        <v>12</v>
      </c>
      <c r="DP14" s="42" t="s">
        <v>420</v>
      </c>
      <c r="DQ14" s="7">
        <v>0.5</v>
      </c>
    </row>
    <row r="15" spans="1:123" x14ac:dyDescent="0.2">
      <c r="A15" s="33">
        <v>13</v>
      </c>
      <c r="B15" s="34" t="s">
        <v>72</v>
      </c>
      <c r="C15" s="116">
        <v>7.6499999999999986</v>
      </c>
      <c r="D15" s="117" t="s">
        <v>500</v>
      </c>
      <c r="E15" s="37">
        <v>6</v>
      </c>
      <c r="F15" s="118">
        <v>35131</v>
      </c>
      <c r="G15" s="119">
        <v>29.578082191780823</v>
      </c>
      <c r="H15" s="39" t="s">
        <v>385</v>
      </c>
      <c r="I15" s="119">
        <v>21.153424657534245</v>
      </c>
      <c r="J15" s="120">
        <v>71</v>
      </c>
      <c r="K15" s="120">
        <v>213</v>
      </c>
      <c r="L15" s="120">
        <v>4.5</v>
      </c>
      <c r="M15" s="55">
        <v>4</v>
      </c>
      <c r="N15" s="121">
        <v>0</v>
      </c>
      <c r="O15" s="122">
        <v>0</v>
      </c>
      <c r="P15" s="122">
        <v>0.33068927789934355</v>
      </c>
      <c r="Q15" s="122">
        <v>0.26093015154154331</v>
      </c>
      <c r="R15" s="122">
        <v>0.2124812030075188</v>
      </c>
      <c r="S15" s="42">
        <v>0.27158524045343119</v>
      </c>
      <c r="T15" s="42">
        <v>0.19010966831740181</v>
      </c>
      <c r="U15" s="42">
        <v>4.3769716088328074E-2</v>
      </c>
      <c r="V15" s="42">
        <v>7.7184631077864677E-2</v>
      </c>
      <c r="W15" s="42">
        <v>7.7184631077864677E-2</v>
      </c>
      <c r="X15" s="43">
        <v>5.4029241754505269E-2</v>
      </c>
      <c r="Y15" s="44">
        <v>18.4986301369863</v>
      </c>
      <c r="Z15" s="45">
        <v>103.88660265203475</v>
      </c>
      <c r="AA15" s="45">
        <v>29.704225352112676</v>
      </c>
      <c r="AB15" s="45">
        <v>0.2413793103448276</v>
      </c>
      <c r="AC15" s="45">
        <v>6.8</v>
      </c>
      <c r="AD15" s="45">
        <v>93.4</v>
      </c>
      <c r="AE15" s="45">
        <v>3.85</v>
      </c>
      <c r="AF15" s="45">
        <v>52.1</v>
      </c>
      <c r="AG15" s="128">
        <v>3</v>
      </c>
      <c r="AH15" s="49">
        <v>6</v>
      </c>
      <c r="AI15" s="49">
        <v>9</v>
      </c>
      <c r="AJ15" s="49">
        <v>7</v>
      </c>
      <c r="AK15" s="49">
        <v>6</v>
      </c>
      <c r="AL15" s="49">
        <v>7</v>
      </c>
      <c r="AM15" s="49">
        <v>5</v>
      </c>
      <c r="AN15" s="49">
        <v>6</v>
      </c>
      <c r="AO15" s="49">
        <v>4</v>
      </c>
      <c r="AP15" s="50">
        <v>0</v>
      </c>
      <c r="AQ15" s="56"/>
      <c r="AR15" s="57">
        <v>1776</v>
      </c>
      <c r="AS15" s="57"/>
      <c r="AT15" s="57"/>
      <c r="AU15" s="57"/>
      <c r="AV15" s="57"/>
      <c r="AW15" s="57"/>
      <c r="AX15" s="57"/>
      <c r="AY15" s="57"/>
      <c r="AZ15" s="57"/>
      <c r="BA15" s="57"/>
      <c r="BB15" s="57">
        <v>2589</v>
      </c>
      <c r="BC15" s="57"/>
      <c r="BD15" s="57"/>
      <c r="BE15" s="59"/>
      <c r="BF15" s="56"/>
      <c r="BG15" s="57">
        <v>1064</v>
      </c>
      <c r="BH15" s="57"/>
      <c r="BI15" s="57"/>
      <c r="BJ15" s="57"/>
      <c r="BK15" s="57"/>
      <c r="BL15" s="57"/>
      <c r="BM15" s="57"/>
      <c r="BN15" s="57"/>
      <c r="BO15" s="57"/>
      <c r="BP15" s="57"/>
      <c r="BQ15" s="57">
        <v>2002</v>
      </c>
      <c r="BR15" s="57"/>
      <c r="BS15" s="57"/>
      <c r="BT15" s="59"/>
      <c r="BU15" s="56">
        <v>1049</v>
      </c>
      <c r="BV15" s="57">
        <v>1295</v>
      </c>
      <c r="BW15" s="57">
        <v>9</v>
      </c>
      <c r="BX15" s="57"/>
      <c r="BY15" s="57">
        <v>201</v>
      </c>
      <c r="BZ15" s="57">
        <v>25</v>
      </c>
      <c r="CA15" s="129">
        <v>5.2</v>
      </c>
      <c r="CB15" s="129">
        <v>40.4</v>
      </c>
      <c r="CC15" s="58">
        <v>3.09</v>
      </c>
      <c r="CD15" s="129">
        <v>44.1</v>
      </c>
      <c r="CE15" s="57">
        <v>160</v>
      </c>
      <c r="CF15" s="57">
        <v>2361</v>
      </c>
      <c r="CG15" s="57">
        <v>21</v>
      </c>
      <c r="CH15" s="57"/>
      <c r="CI15" s="59"/>
      <c r="CJ15" s="56">
        <v>1387</v>
      </c>
      <c r="CK15" s="57">
        <v>3205</v>
      </c>
      <c r="CL15" s="57">
        <v>8</v>
      </c>
      <c r="CM15" s="57"/>
      <c r="CN15" s="57">
        <v>208</v>
      </c>
      <c r="CO15" s="57">
        <v>48</v>
      </c>
      <c r="CP15" s="129">
        <v>6.7</v>
      </c>
      <c r="CQ15" s="129">
        <v>74.900000000000006</v>
      </c>
      <c r="CR15" s="58">
        <v>3.29</v>
      </c>
      <c r="CS15" s="58">
        <v>42.3</v>
      </c>
      <c r="CT15" s="57">
        <v>111</v>
      </c>
      <c r="CU15" s="57">
        <v>2536</v>
      </c>
      <c r="CV15" s="57">
        <v>16</v>
      </c>
      <c r="CW15" s="57"/>
      <c r="CX15" s="59"/>
      <c r="CY15" s="56">
        <v>1186</v>
      </c>
      <c r="CZ15" s="57">
        <v>3709</v>
      </c>
      <c r="DA15" s="57">
        <v>15</v>
      </c>
      <c r="DB15" s="57"/>
      <c r="DC15" s="57">
        <v>174</v>
      </c>
      <c r="DD15" s="57">
        <v>42</v>
      </c>
      <c r="DE15" s="58">
        <v>6.8</v>
      </c>
      <c r="DF15" s="58">
        <v>93.4</v>
      </c>
      <c r="DG15" s="58">
        <v>3.85</v>
      </c>
      <c r="DH15" s="58">
        <v>52.1</v>
      </c>
      <c r="DI15" s="57">
        <v>227</v>
      </c>
      <c r="DJ15" s="57">
        <v>2941</v>
      </c>
      <c r="DK15" s="57">
        <v>28</v>
      </c>
      <c r="DL15" s="57"/>
      <c r="DM15" s="59"/>
      <c r="DN15" s="126"/>
      <c r="DO15" s="11"/>
      <c r="DP15" s="42"/>
    </row>
    <row r="16" spans="1:123" x14ac:dyDescent="0.2">
      <c r="A16" s="33">
        <v>14</v>
      </c>
      <c r="B16" s="34" t="s">
        <v>83</v>
      </c>
      <c r="C16" s="116">
        <v>7.3388888888888886</v>
      </c>
      <c r="D16" s="117" t="s">
        <v>502</v>
      </c>
      <c r="E16" s="37">
        <v>4</v>
      </c>
      <c r="F16" s="118">
        <v>35177</v>
      </c>
      <c r="G16" s="119">
        <v>29.452054794520549</v>
      </c>
      <c r="H16" s="39" t="s">
        <v>385</v>
      </c>
      <c r="I16" s="119">
        <v>21.027397260273972</v>
      </c>
      <c r="J16" s="120">
        <v>70</v>
      </c>
      <c r="K16" s="120">
        <v>232</v>
      </c>
      <c r="L16" s="120">
        <v>4.57</v>
      </c>
      <c r="M16" s="55">
        <v>7</v>
      </c>
      <c r="N16" s="121">
        <v>0</v>
      </c>
      <c r="O16" s="122">
        <v>0</v>
      </c>
      <c r="P16" s="122">
        <v>4.6894576695901198E-2</v>
      </c>
      <c r="Q16" s="122">
        <v>0.22575913158280769</v>
      </c>
      <c r="R16" s="122">
        <v>0.17522340984755563</v>
      </c>
      <c r="S16" s="42">
        <v>0.20049127071518166</v>
      </c>
      <c r="T16" s="42">
        <v>0.18044214364366351</v>
      </c>
      <c r="U16" s="42">
        <v>1.9591836734693877E-2</v>
      </c>
      <c r="V16" s="42">
        <v>3.7260561532406193E-2</v>
      </c>
      <c r="W16" s="42">
        <v>3.7260561532406193E-2</v>
      </c>
      <c r="X16" s="43">
        <v>3.3534505379165573E-2</v>
      </c>
      <c r="Y16" s="44">
        <v>19.36986301369863</v>
      </c>
      <c r="Z16" s="45">
        <v>106.37833296141315</v>
      </c>
      <c r="AA16" s="45">
        <v>33.284897959183674</v>
      </c>
      <c r="AB16" s="45">
        <v>0.32413793103448274</v>
      </c>
      <c r="AC16" s="45">
        <v>6.7</v>
      </c>
      <c r="AD16" s="45">
        <v>117</v>
      </c>
      <c r="AE16" s="45">
        <v>4.0999999999999996</v>
      </c>
      <c r="AF16" s="45">
        <v>51.5</v>
      </c>
      <c r="AG16" s="128">
        <v>3</v>
      </c>
      <c r="AH16" s="49">
        <v>3</v>
      </c>
      <c r="AI16" s="49">
        <v>7</v>
      </c>
      <c r="AJ16" s="49">
        <v>8</v>
      </c>
      <c r="AK16" s="49">
        <v>9</v>
      </c>
      <c r="AL16" s="49">
        <v>7</v>
      </c>
      <c r="AM16" s="49">
        <v>7</v>
      </c>
      <c r="AN16" s="49">
        <v>7</v>
      </c>
      <c r="AO16" s="49">
        <v>1</v>
      </c>
      <c r="AP16" s="50">
        <v>0</v>
      </c>
      <c r="AQ16" s="56"/>
      <c r="AR16" s="57">
        <v>2326</v>
      </c>
      <c r="AS16" s="57"/>
      <c r="AT16" s="57"/>
      <c r="AU16" s="57"/>
      <c r="AV16" s="57"/>
      <c r="AW16" s="57"/>
      <c r="AX16" s="57"/>
      <c r="AY16" s="57"/>
      <c r="AZ16" s="57"/>
      <c r="BA16" s="57"/>
      <c r="BB16" s="57">
        <v>3501</v>
      </c>
      <c r="BC16" s="57"/>
      <c r="BD16" s="57"/>
      <c r="BE16" s="59"/>
      <c r="BF16" s="56"/>
      <c r="BG16" s="57">
        <v>1928</v>
      </c>
      <c r="BH16" s="57"/>
      <c r="BI16" s="57"/>
      <c r="BJ16" s="57"/>
      <c r="BK16" s="57"/>
      <c r="BL16" s="57"/>
      <c r="BM16" s="57"/>
      <c r="BN16" s="57"/>
      <c r="BO16" s="57"/>
      <c r="BP16" s="57"/>
      <c r="BQ16" s="57">
        <v>3606</v>
      </c>
      <c r="BR16" s="57"/>
      <c r="BS16" s="57"/>
      <c r="BT16" s="59"/>
      <c r="BU16" s="56">
        <v>264</v>
      </c>
      <c r="BV16" s="57">
        <v>1973</v>
      </c>
      <c r="BW16" s="57">
        <v>4</v>
      </c>
      <c r="BX16" s="57"/>
      <c r="BY16" s="57">
        <v>67</v>
      </c>
      <c r="BZ16" s="57">
        <v>15</v>
      </c>
      <c r="CA16" s="129">
        <v>3.9</v>
      </c>
      <c r="CB16" s="129">
        <v>49.6</v>
      </c>
      <c r="CC16" s="58">
        <v>2.2799999999999998</v>
      </c>
      <c r="CD16" s="129">
        <v>22.7</v>
      </c>
      <c r="CE16" s="57">
        <v>-2</v>
      </c>
      <c r="CF16" s="57">
        <v>3614</v>
      </c>
      <c r="CG16" s="57">
        <v>2</v>
      </c>
      <c r="CH16" s="57"/>
      <c r="CI16" s="59"/>
      <c r="CJ16" s="56">
        <v>1467</v>
      </c>
      <c r="CK16" s="57">
        <v>3142</v>
      </c>
      <c r="CL16" s="57">
        <v>17</v>
      </c>
      <c r="CM16" s="57"/>
      <c r="CN16" s="57">
        <v>219</v>
      </c>
      <c r="CO16" s="57">
        <v>49</v>
      </c>
      <c r="CP16" s="129">
        <v>6.7</v>
      </c>
      <c r="CQ16" s="129">
        <v>95.3</v>
      </c>
      <c r="CR16" s="58">
        <v>4.0999999999999996</v>
      </c>
      <c r="CS16" s="58">
        <v>45.8</v>
      </c>
      <c r="CT16" s="57">
        <v>72</v>
      </c>
      <c r="CU16" s="57">
        <v>3675</v>
      </c>
      <c r="CV16" s="57">
        <v>13</v>
      </c>
      <c r="CW16" s="57"/>
      <c r="CX16" s="59"/>
      <c r="CY16" s="56">
        <v>858</v>
      </c>
      <c r="CZ16" s="57">
        <v>1896</v>
      </c>
      <c r="DA16" s="57">
        <v>8</v>
      </c>
      <c r="DB16" s="57"/>
      <c r="DC16" s="57">
        <v>145</v>
      </c>
      <c r="DD16" s="57">
        <v>47</v>
      </c>
      <c r="DE16" s="58">
        <v>5.9</v>
      </c>
      <c r="DF16" s="58">
        <v>117</v>
      </c>
      <c r="DG16" s="58">
        <v>3.75</v>
      </c>
      <c r="DH16" s="58">
        <v>51.5</v>
      </c>
      <c r="DI16" s="57">
        <v>142</v>
      </c>
      <c r="DJ16" s="57">
        <v>3811</v>
      </c>
      <c r="DK16" s="57">
        <v>25</v>
      </c>
      <c r="DL16" s="57"/>
      <c r="DM16" s="59"/>
      <c r="DN16" s="126"/>
      <c r="DO16" s="11"/>
      <c r="DP16" s="42"/>
    </row>
    <row r="17" spans="1:117" x14ac:dyDescent="0.2">
      <c r="A17" s="33">
        <v>15</v>
      </c>
      <c r="B17" s="34" t="s">
        <v>75</v>
      </c>
      <c r="C17" s="116">
        <v>7.1277777777777782</v>
      </c>
      <c r="D17" s="117" t="s">
        <v>503</v>
      </c>
      <c r="E17" s="37">
        <v>8</v>
      </c>
      <c r="F17" s="118">
        <v>34486</v>
      </c>
      <c r="G17" s="119">
        <v>31.345205479452055</v>
      </c>
      <c r="H17" s="39" t="s">
        <v>389</v>
      </c>
      <c r="I17" s="119">
        <v>22.920547945205481</v>
      </c>
      <c r="J17" s="120">
        <v>70</v>
      </c>
      <c r="K17" s="120">
        <v>214</v>
      </c>
      <c r="L17" s="120">
        <v>4.53</v>
      </c>
      <c r="M17" s="55">
        <v>6</v>
      </c>
      <c r="N17" s="121">
        <v>0</v>
      </c>
      <c r="O17" s="122">
        <v>0.23015873015873015</v>
      </c>
      <c r="P17" s="122">
        <v>0.31943162945192838</v>
      </c>
      <c r="Q17" s="122">
        <v>0.2968236582694414</v>
      </c>
      <c r="R17" s="122">
        <v>0.29456193353474319</v>
      </c>
      <c r="S17" s="42">
        <v>0.30699678149333576</v>
      </c>
      <c r="T17" s="42">
        <v>0.19954790797066824</v>
      </c>
      <c r="U17" s="42">
        <v>0.11561621838619028</v>
      </c>
      <c r="V17" s="42">
        <v>0.10311958405545928</v>
      </c>
      <c r="W17" s="42">
        <v>0.10936790122082478</v>
      </c>
      <c r="X17" s="43">
        <v>7.108913579353611E-2</v>
      </c>
      <c r="Y17" s="44">
        <v>19.263013698630136</v>
      </c>
      <c r="Z17" s="45">
        <v>101.63679484717927</v>
      </c>
      <c r="AA17" s="45">
        <v>30.702448979591839</v>
      </c>
      <c r="AB17" s="45">
        <v>0.29341317365269459</v>
      </c>
      <c r="AC17" s="45">
        <v>5.0999999999999996</v>
      </c>
      <c r="AD17" s="45">
        <v>127.5</v>
      </c>
      <c r="AE17" s="45">
        <v>4.2</v>
      </c>
      <c r="AF17" s="45">
        <v>50.4</v>
      </c>
      <c r="AG17" s="128">
        <v>3</v>
      </c>
      <c r="AH17" s="49">
        <v>7</v>
      </c>
      <c r="AI17" s="49">
        <v>7</v>
      </c>
      <c r="AJ17" s="49">
        <v>6</v>
      </c>
      <c r="AK17" s="49">
        <v>8</v>
      </c>
      <c r="AL17" s="49">
        <v>1</v>
      </c>
      <c r="AM17" s="49">
        <v>8</v>
      </c>
      <c r="AN17" s="49">
        <v>8</v>
      </c>
      <c r="AO17" s="49">
        <v>2</v>
      </c>
      <c r="AP17" s="50">
        <v>0</v>
      </c>
      <c r="AQ17" s="56"/>
      <c r="AR17" s="57">
        <v>2515</v>
      </c>
      <c r="AS17" s="57"/>
      <c r="AT17" s="57"/>
      <c r="AU17" s="57"/>
      <c r="AV17" s="57"/>
      <c r="AW17" s="57"/>
      <c r="AX17" s="57"/>
      <c r="AY17" s="57"/>
      <c r="AZ17" s="57"/>
      <c r="BA17" s="57"/>
      <c r="BB17" s="57">
        <v>3399</v>
      </c>
      <c r="BC17" s="57"/>
      <c r="BD17" s="57"/>
      <c r="BE17" s="59"/>
      <c r="BF17" s="56">
        <v>863</v>
      </c>
      <c r="BG17" s="57">
        <v>2659</v>
      </c>
      <c r="BH17" s="57"/>
      <c r="BI17" s="57"/>
      <c r="BJ17" s="57"/>
      <c r="BK17" s="57"/>
      <c r="BL17" s="57"/>
      <c r="BM17" s="57"/>
      <c r="BN17" s="57"/>
      <c r="BO17" s="57"/>
      <c r="BP17" s="57">
        <v>384</v>
      </c>
      <c r="BQ17" s="57">
        <v>2759</v>
      </c>
      <c r="BR17" s="57">
        <v>22</v>
      </c>
      <c r="BS17" s="57"/>
      <c r="BT17" s="59"/>
      <c r="BU17" s="56">
        <v>1248</v>
      </c>
      <c r="BV17" s="57">
        <v>2925</v>
      </c>
      <c r="BW17" s="57">
        <v>14</v>
      </c>
      <c r="BX17" s="57"/>
      <c r="BY17" s="57">
        <v>167</v>
      </c>
      <c r="BZ17" s="57">
        <v>49</v>
      </c>
      <c r="CA17" s="129">
        <v>7.5</v>
      </c>
      <c r="CB17" s="129">
        <v>127.5</v>
      </c>
      <c r="CC17" s="58">
        <v>4.2</v>
      </c>
      <c r="CD17" s="129">
        <v>50.4</v>
      </c>
      <c r="CE17" s="57">
        <v>483</v>
      </c>
      <c r="CF17" s="57">
        <v>2494</v>
      </c>
      <c r="CG17" s="57">
        <v>47</v>
      </c>
      <c r="CH17" s="57"/>
      <c r="CI17" s="59"/>
      <c r="CJ17" s="56">
        <v>1067</v>
      </c>
      <c r="CK17" s="57">
        <v>2074</v>
      </c>
      <c r="CL17" s="57">
        <v>13</v>
      </c>
      <c r="CM17" s="57"/>
      <c r="CN17" s="57">
        <v>211</v>
      </c>
      <c r="CO17" s="57">
        <v>33</v>
      </c>
      <c r="CP17" s="129">
        <v>5.0999999999999996</v>
      </c>
      <c r="CQ17" s="129">
        <v>34</v>
      </c>
      <c r="CR17" s="58">
        <v>2.12</v>
      </c>
      <c r="CS17" s="58">
        <v>33.299999999999997</v>
      </c>
      <c r="CT17" s="57">
        <v>288</v>
      </c>
      <c r="CU17" s="57">
        <v>2491</v>
      </c>
      <c r="CV17" s="57">
        <v>32</v>
      </c>
      <c r="CW17" s="57"/>
      <c r="CX17" s="59"/>
      <c r="CY17" s="56">
        <v>1127</v>
      </c>
      <c r="CZ17" s="57">
        <v>2326</v>
      </c>
      <c r="DA17" s="57">
        <v>7</v>
      </c>
      <c r="DB17" s="57"/>
      <c r="DC17" s="57">
        <v>232</v>
      </c>
      <c r="DD17" s="57">
        <v>38</v>
      </c>
      <c r="DE17" s="58">
        <v>4.9000000000000004</v>
      </c>
      <c r="DF17" s="58">
        <v>55.7</v>
      </c>
      <c r="DG17" s="58">
        <v>3.09</v>
      </c>
      <c r="DH17" s="58">
        <v>24.4</v>
      </c>
      <c r="DI17" s="57">
        <v>238</v>
      </c>
      <c r="DJ17" s="57">
        <v>2308</v>
      </c>
      <c r="DK17" s="57">
        <v>29</v>
      </c>
      <c r="DL17" s="57"/>
      <c r="DM17" s="59"/>
    </row>
    <row r="18" spans="1:117" x14ac:dyDescent="0.2">
      <c r="A18" s="33">
        <v>16</v>
      </c>
      <c r="B18" s="34" t="s">
        <v>78</v>
      </c>
      <c r="C18" s="116">
        <v>5.8833333333333329</v>
      </c>
      <c r="D18" s="117" t="s">
        <v>490</v>
      </c>
      <c r="E18" s="37">
        <v>4</v>
      </c>
      <c r="F18" s="118">
        <v>34608</v>
      </c>
      <c r="G18" s="119">
        <v>31.010958904109589</v>
      </c>
      <c r="H18" s="39" t="s">
        <v>385</v>
      </c>
      <c r="I18" s="119">
        <v>22.586301369863012</v>
      </c>
      <c r="J18" s="120">
        <v>72</v>
      </c>
      <c r="K18" s="120">
        <v>215</v>
      </c>
      <c r="L18" s="120">
        <v>4.5999999999999996</v>
      </c>
      <c r="M18" s="55">
        <v>4</v>
      </c>
      <c r="N18" s="121">
        <v>0</v>
      </c>
      <c r="O18" s="122">
        <v>0</v>
      </c>
      <c r="P18" s="122">
        <v>0.16522230595327808</v>
      </c>
      <c r="Q18" s="122">
        <v>0.22311479657942473</v>
      </c>
      <c r="R18" s="122">
        <v>0.16863004632693582</v>
      </c>
      <c r="S18" s="42">
        <v>0.19587242145318029</v>
      </c>
      <c r="T18" s="42">
        <v>0.17628517930786228</v>
      </c>
      <c r="U18" s="42">
        <v>4.5506517265035441E-2</v>
      </c>
      <c r="V18" s="42">
        <v>2.8548612497504493E-2</v>
      </c>
      <c r="W18" s="42">
        <v>3.7027564881269966E-2</v>
      </c>
      <c r="X18" s="43">
        <v>3.3324808393142967E-2</v>
      </c>
      <c r="Y18" s="44">
        <v>19.931506849315067</v>
      </c>
      <c r="Z18" s="45">
        <v>96.036677970704829</v>
      </c>
      <c r="AA18" s="45">
        <v>29.15605709876543</v>
      </c>
      <c r="AB18" s="45">
        <v>0.2413793103448276</v>
      </c>
      <c r="AC18" s="45">
        <v>5.4</v>
      </c>
      <c r="AD18" s="45">
        <v>82</v>
      </c>
      <c r="AE18" s="45">
        <v>3.32</v>
      </c>
      <c r="AF18" s="45">
        <v>35.200000000000003</v>
      </c>
      <c r="AG18" s="128">
        <v>3</v>
      </c>
      <c r="AH18" s="49">
        <v>3</v>
      </c>
      <c r="AI18" s="49">
        <v>5</v>
      </c>
      <c r="AJ18" s="49">
        <v>3</v>
      </c>
      <c r="AK18" s="49">
        <v>6</v>
      </c>
      <c r="AL18" s="49">
        <v>2</v>
      </c>
      <c r="AM18" s="49">
        <v>4</v>
      </c>
      <c r="AN18" s="49">
        <v>3</v>
      </c>
      <c r="AO18" s="49">
        <v>4</v>
      </c>
      <c r="AP18" s="50">
        <v>0</v>
      </c>
      <c r="AQ18" s="56"/>
      <c r="AR18" s="57">
        <v>2484</v>
      </c>
      <c r="AS18" s="57"/>
      <c r="AT18" s="57"/>
      <c r="AU18" s="57"/>
      <c r="AV18" s="57"/>
      <c r="AW18" s="57"/>
      <c r="AX18" s="57"/>
      <c r="AY18" s="57"/>
      <c r="AZ18" s="57"/>
      <c r="BA18" s="57"/>
      <c r="BB18" s="57">
        <v>4181</v>
      </c>
      <c r="BC18" s="57"/>
      <c r="BD18" s="57"/>
      <c r="BE18" s="59"/>
      <c r="BF18" s="56"/>
      <c r="BG18" s="57">
        <v>2270</v>
      </c>
      <c r="BH18" s="57"/>
      <c r="BI18" s="57"/>
      <c r="BJ18" s="57"/>
      <c r="BK18" s="57"/>
      <c r="BL18" s="57"/>
      <c r="BM18" s="57"/>
      <c r="BN18" s="57"/>
      <c r="BO18" s="57"/>
      <c r="BP18" s="57"/>
      <c r="BQ18" s="57">
        <v>4330</v>
      </c>
      <c r="BR18" s="57"/>
      <c r="BS18" s="57"/>
      <c r="BT18" s="59"/>
      <c r="BU18" s="56">
        <v>769</v>
      </c>
      <c r="BV18" s="57">
        <v>1904</v>
      </c>
      <c r="BW18" s="57">
        <v>4</v>
      </c>
      <c r="BX18" s="57"/>
      <c r="BY18" s="57">
        <v>161</v>
      </c>
      <c r="BZ18" s="57">
        <v>30</v>
      </c>
      <c r="CA18" s="129">
        <v>4.8</v>
      </c>
      <c r="CB18" s="129">
        <v>47.7</v>
      </c>
      <c r="CC18" s="58">
        <v>2.52</v>
      </c>
      <c r="CD18" s="129">
        <v>35.200000000000003</v>
      </c>
      <c r="CE18" s="57">
        <v>108</v>
      </c>
      <c r="CF18" s="57">
        <v>3404</v>
      </c>
      <c r="CG18" s="57">
        <v>24</v>
      </c>
      <c r="CH18" s="57"/>
      <c r="CI18" s="59"/>
      <c r="CJ18" s="56">
        <v>1523</v>
      </c>
      <c r="CK18" s="57">
        <v>3345</v>
      </c>
      <c r="CL18" s="57">
        <v>13</v>
      </c>
      <c r="CM18" s="57"/>
      <c r="CN18" s="57">
        <v>282</v>
      </c>
      <c r="CO18" s="57">
        <v>67</v>
      </c>
      <c r="CP18" s="129">
        <v>5.4</v>
      </c>
      <c r="CQ18" s="129">
        <v>82</v>
      </c>
      <c r="CR18" s="58">
        <v>3.32</v>
      </c>
      <c r="CS18" s="58">
        <v>32.9</v>
      </c>
      <c r="CT18" s="57">
        <v>199</v>
      </c>
      <c r="CU18" s="57">
        <v>4373</v>
      </c>
      <c r="CV18" s="57">
        <v>22</v>
      </c>
      <c r="CW18" s="57"/>
      <c r="CX18" s="59"/>
      <c r="CY18" s="56">
        <v>1131</v>
      </c>
      <c r="CZ18" s="57">
        <v>2546</v>
      </c>
      <c r="DA18" s="57">
        <v>17</v>
      </c>
      <c r="DB18" s="57"/>
      <c r="DC18" s="57">
        <v>232</v>
      </c>
      <c r="DD18" s="57">
        <v>56</v>
      </c>
      <c r="DE18" s="58">
        <v>4.9000000000000004</v>
      </c>
      <c r="DF18" s="58">
        <v>72.099999999999994</v>
      </c>
      <c r="DG18" s="58">
        <v>2.98</v>
      </c>
      <c r="DH18" s="58">
        <v>28</v>
      </c>
      <c r="DI18" s="57">
        <v>143</v>
      </c>
      <c r="DJ18" s="57">
        <v>5009</v>
      </c>
      <c r="DK18" s="57">
        <v>20</v>
      </c>
      <c r="DL18" s="57"/>
      <c r="DM18" s="59"/>
    </row>
    <row r="19" spans="1:117" x14ac:dyDescent="0.2">
      <c r="A19" s="33">
        <v>17</v>
      </c>
      <c r="B19" s="34" t="s">
        <v>69</v>
      </c>
      <c r="C19" s="116">
        <v>5.7277777777777779</v>
      </c>
      <c r="D19" s="117" t="s">
        <v>504</v>
      </c>
      <c r="E19" s="37">
        <v>3</v>
      </c>
      <c r="F19" s="118">
        <v>34593</v>
      </c>
      <c r="G19" s="119">
        <v>31.052054794520547</v>
      </c>
      <c r="H19" s="39" t="s">
        <v>389</v>
      </c>
      <c r="I19" s="119">
        <v>22.627397260273973</v>
      </c>
      <c r="J19" s="120">
        <v>70</v>
      </c>
      <c r="K19" s="120">
        <v>218</v>
      </c>
      <c r="L19" s="120">
        <v>4.58</v>
      </c>
      <c r="M19" s="55">
        <v>7</v>
      </c>
      <c r="N19" s="121">
        <v>0</v>
      </c>
      <c r="O19" s="122">
        <v>0</v>
      </c>
      <c r="P19" s="122">
        <v>0</v>
      </c>
      <c r="Q19" s="122">
        <v>0.1110576923076923</v>
      </c>
      <c r="R19" s="122">
        <v>0.15311735255158168</v>
      </c>
      <c r="S19" s="42">
        <v>0.15311735255158168</v>
      </c>
      <c r="T19" s="42">
        <v>0.13780561729642352</v>
      </c>
      <c r="U19" s="42">
        <v>3.7028969723371816E-2</v>
      </c>
      <c r="V19" s="42">
        <v>4.3909299852492194E-2</v>
      </c>
      <c r="W19" s="42">
        <v>4.3909299852492194E-2</v>
      </c>
      <c r="X19" s="43">
        <v>3.9518369867242976E-2</v>
      </c>
      <c r="Y19" s="44">
        <v>21.986301369863014</v>
      </c>
      <c r="Z19" s="45">
        <v>99.08880188646431</v>
      </c>
      <c r="AA19" s="45">
        <v>31.276326530612245</v>
      </c>
      <c r="AB19" s="45">
        <v>0.37349397590361444</v>
      </c>
      <c r="AC19" s="45">
        <v>6.7</v>
      </c>
      <c r="AD19" s="45">
        <v>145.80000000000001</v>
      </c>
      <c r="AE19" s="45">
        <v>4</v>
      </c>
      <c r="AF19" s="45">
        <v>46.2</v>
      </c>
      <c r="AG19" s="128">
        <v>1</v>
      </c>
      <c r="AH19" s="49">
        <v>4</v>
      </c>
      <c r="AI19" s="49">
        <v>2</v>
      </c>
      <c r="AJ19" s="49">
        <v>5</v>
      </c>
      <c r="AK19" s="49">
        <v>10</v>
      </c>
      <c r="AL19" s="49">
        <v>7</v>
      </c>
      <c r="AM19" s="49">
        <v>9</v>
      </c>
      <c r="AN19" s="49">
        <v>7</v>
      </c>
      <c r="AO19" s="49">
        <v>1</v>
      </c>
      <c r="AP19" s="50">
        <v>0</v>
      </c>
      <c r="AQ19" s="56"/>
      <c r="AR19" s="57">
        <v>2799</v>
      </c>
      <c r="AS19" s="57"/>
      <c r="AT19" s="57"/>
      <c r="AU19" s="57"/>
      <c r="AV19" s="57"/>
      <c r="AW19" s="57"/>
      <c r="AX19" s="57"/>
      <c r="AY19" s="57"/>
      <c r="AZ19" s="57"/>
      <c r="BA19" s="57"/>
      <c r="BB19" s="57">
        <v>4312</v>
      </c>
      <c r="BC19" s="57"/>
      <c r="BD19" s="57"/>
      <c r="BE19" s="59"/>
      <c r="BF19" s="56"/>
      <c r="BG19" s="57">
        <v>2235</v>
      </c>
      <c r="BH19" s="57"/>
      <c r="BI19" s="57"/>
      <c r="BJ19" s="57"/>
      <c r="BK19" s="57"/>
      <c r="BL19" s="57"/>
      <c r="BM19" s="57"/>
      <c r="BN19" s="57"/>
      <c r="BO19" s="57"/>
      <c r="BP19" s="57"/>
      <c r="BQ19" s="57">
        <v>3599</v>
      </c>
      <c r="BR19" s="57"/>
      <c r="BS19" s="57"/>
      <c r="BT19" s="59"/>
      <c r="BU19" s="56">
        <v>0</v>
      </c>
      <c r="BV19" s="57">
        <v>3395</v>
      </c>
      <c r="BW19" s="57">
        <v>0</v>
      </c>
      <c r="BX19" s="57"/>
      <c r="BY19" s="57">
        <v>0</v>
      </c>
      <c r="BZ19" s="57">
        <v>0</v>
      </c>
      <c r="CA19" s="129">
        <v>0</v>
      </c>
      <c r="CB19" s="129">
        <v>0</v>
      </c>
      <c r="CC19" s="58">
        <v>0</v>
      </c>
      <c r="CD19" s="129">
        <v>0</v>
      </c>
      <c r="CE19" s="57">
        <v>0</v>
      </c>
      <c r="CF19" s="57">
        <v>3149</v>
      </c>
      <c r="CG19" s="57">
        <v>0</v>
      </c>
      <c r="CH19" s="57"/>
      <c r="CI19" s="59"/>
      <c r="CJ19" s="56">
        <v>523</v>
      </c>
      <c r="CK19" s="57">
        <v>1649</v>
      </c>
      <c r="CL19" s="57">
        <v>4</v>
      </c>
      <c r="CM19" s="57"/>
      <c r="CN19" s="57">
        <v>130</v>
      </c>
      <c r="CO19" s="57">
        <v>25</v>
      </c>
      <c r="CP19" s="129">
        <v>4</v>
      </c>
      <c r="CQ19" s="129">
        <v>46.1</v>
      </c>
      <c r="CR19" s="58">
        <v>2.34</v>
      </c>
      <c r="CS19" s="58">
        <v>16.3</v>
      </c>
      <c r="CT19" s="57">
        <v>170</v>
      </c>
      <c r="CU19" s="57">
        <v>4591</v>
      </c>
      <c r="CV19" s="57">
        <v>17</v>
      </c>
      <c r="CW19" s="57"/>
      <c r="CX19" s="59"/>
      <c r="CY19" s="56">
        <v>554</v>
      </c>
      <c r="CZ19" s="57">
        <v>1539</v>
      </c>
      <c r="DA19" s="57">
        <v>9</v>
      </c>
      <c r="DB19" s="57"/>
      <c r="DC19" s="57">
        <v>83</v>
      </c>
      <c r="DD19" s="57">
        <v>31</v>
      </c>
      <c r="DE19" s="58">
        <v>6.7</v>
      </c>
      <c r="DF19" s="58">
        <v>145.80000000000001</v>
      </c>
      <c r="DG19" s="58">
        <v>4</v>
      </c>
      <c r="DH19" s="58">
        <v>46.2</v>
      </c>
      <c r="DI19" s="57">
        <v>128</v>
      </c>
      <c r="DJ19" s="57">
        <v>2915.1</v>
      </c>
      <c r="DK19" s="57">
        <v>13</v>
      </c>
      <c r="DL19" s="57"/>
      <c r="DM19" s="59"/>
    </row>
    <row r="20" spans="1:117" x14ac:dyDescent="0.2">
      <c r="A20" s="33">
        <v>18</v>
      </c>
      <c r="B20" s="34" t="s">
        <v>73</v>
      </c>
      <c r="C20" s="116">
        <v>5.4499999999999993</v>
      </c>
      <c r="D20" s="117" t="s">
        <v>505</v>
      </c>
      <c r="E20" s="37">
        <v>6</v>
      </c>
      <c r="F20" s="118">
        <v>34792</v>
      </c>
      <c r="G20" s="119">
        <v>30.506849315068493</v>
      </c>
      <c r="H20" s="39" t="s">
        <v>389</v>
      </c>
      <c r="I20" s="119">
        <v>22.082191780821919</v>
      </c>
      <c r="J20" s="120">
        <v>72</v>
      </c>
      <c r="K20" s="120">
        <v>211</v>
      </c>
      <c r="L20" s="120">
        <v>4.53</v>
      </c>
      <c r="M20" s="55">
        <v>4</v>
      </c>
      <c r="N20" s="121">
        <v>0.20949452239092831</v>
      </c>
      <c r="O20" s="122">
        <v>0.21162537011064361</v>
      </c>
      <c r="P20" s="122">
        <v>9.3885733377881725E-2</v>
      </c>
      <c r="Q20" s="122">
        <v>0</v>
      </c>
      <c r="R20" s="122">
        <v>0.27852737085582113</v>
      </c>
      <c r="S20" s="42">
        <v>0.27852737085582113</v>
      </c>
      <c r="T20" s="42">
        <v>0.19496915959907479</v>
      </c>
      <c r="U20" s="42">
        <v>0</v>
      </c>
      <c r="V20" s="42">
        <v>2.8760202098717449E-2</v>
      </c>
      <c r="W20" s="42">
        <v>2.8760202098717449E-2</v>
      </c>
      <c r="X20" s="43">
        <v>2.0132141469102215E-2</v>
      </c>
      <c r="Y20" s="44">
        <v>17.424657534246574</v>
      </c>
      <c r="Z20" s="45">
        <v>100.21197996614406</v>
      </c>
      <c r="AA20" s="45">
        <v>28.613618827160494</v>
      </c>
      <c r="AB20" s="45">
        <v>0.23504273504273504</v>
      </c>
      <c r="AC20" s="45">
        <v>5.8</v>
      </c>
      <c r="AD20" s="45">
        <v>77.7</v>
      </c>
      <c r="AE20" s="45">
        <v>3.31</v>
      </c>
      <c r="AF20" s="45">
        <v>43.3</v>
      </c>
      <c r="AG20" s="128">
        <v>3</v>
      </c>
      <c r="AH20" s="49">
        <v>2</v>
      </c>
      <c r="AI20" s="49">
        <v>10</v>
      </c>
      <c r="AJ20" s="49">
        <v>5</v>
      </c>
      <c r="AK20" s="49">
        <v>5</v>
      </c>
      <c r="AL20" s="49">
        <v>4</v>
      </c>
      <c r="AM20" s="49">
        <v>4</v>
      </c>
      <c r="AN20" s="49">
        <v>3</v>
      </c>
      <c r="AO20" s="49">
        <v>4</v>
      </c>
      <c r="AP20" s="50">
        <v>0</v>
      </c>
      <c r="AQ20" s="56">
        <v>775</v>
      </c>
      <c r="AR20" s="57">
        <v>1989</v>
      </c>
      <c r="AS20" s="57"/>
      <c r="AT20" s="57"/>
      <c r="AU20" s="57"/>
      <c r="AV20" s="57"/>
      <c r="AW20" s="57"/>
      <c r="AX20" s="57"/>
      <c r="AY20" s="57"/>
      <c r="AZ20" s="57"/>
      <c r="BA20" s="57">
        <v>315</v>
      </c>
      <c r="BB20" s="57">
        <v>3214</v>
      </c>
      <c r="BC20" s="57">
        <v>27</v>
      </c>
      <c r="BD20" s="57"/>
      <c r="BE20" s="59"/>
      <c r="BF20" s="56">
        <v>1233</v>
      </c>
      <c r="BG20" s="57">
        <v>3475</v>
      </c>
      <c r="BH20" s="57"/>
      <c r="BI20" s="57"/>
      <c r="BJ20" s="57"/>
      <c r="BK20" s="57"/>
      <c r="BL20" s="57"/>
      <c r="BM20" s="57"/>
      <c r="BN20" s="57"/>
      <c r="BO20" s="57"/>
      <c r="BP20" s="57">
        <v>125</v>
      </c>
      <c r="BQ20" s="57">
        <v>2942</v>
      </c>
      <c r="BR20" s="57">
        <v>18</v>
      </c>
      <c r="BS20" s="57"/>
      <c r="BT20" s="59"/>
      <c r="BU20" s="56">
        <v>515</v>
      </c>
      <c r="BV20" s="57">
        <v>2363</v>
      </c>
      <c r="BW20" s="57">
        <v>4</v>
      </c>
      <c r="BX20" s="57"/>
      <c r="BY20" s="57">
        <v>110</v>
      </c>
      <c r="BZ20" s="57">
        <v>12</v>
      </c>
      <c r="CA20" s="129">
        <v>4.7</v>
      </c>
      <c r="CB20" s="129">
        <v>25.3</v>
      </c>
      <c r="CC20" s="58">
        <v>2.4900000000000002</v>
      </c>
      <c r="CD20" s="129">
        <v>22.3</v>
      </c>
      <c r="CE20" s="57">
        <v>47</v>
      </c>
      <c r="CF20" s="57">
        <v>3623</v>
      </c>
      <c r="CG20" s="57">
        <v>8</v>
      </c>
      <c r="CH20" s="57">
        <v>8</v>
      </c>
      <c r="CI20" s="59"/>
      <c r="CJ20" s="56">
        <v>0</v>
      </c>
      <c r="CK20" s="57">
        <v>1668</v>
      </c>
      <c r="CL20" s="57">
        <v>0</v>
      </c>
      <c r="CM20" s="57"/>
      <c r="CN20" s="57">
        <v>0</v>
      </c>
      <c r="CO20" s="57">
        <v>0</v>
      </c>
      <c r="CP20" s="129">
        <v>0</v>
      </c>
      <c r="CQ20" s="129">
        <v>0</v>
      </c>
      <c r="CR20" s="58">
        <v>0</v>
      </c>
      <c r="CS20" s="58">
        <v>0</v>
      </c>
      <c r="CT20" s="57">
        <v>0</v>
      </c>
      <c r="CU20" s="57">
        <v>3854</v>
      </c>
      <c r="CV20" s="57">
        <v>0</v>
      </c>
      <c r="CW20" s="57"/>
      <c r="CX20" s="59"/>
      <c r="CY20" s="56">
        <v>1371</v>
      </c>
      <c r="CZ20" s="57">
        <v>2615</v>
      </c>
      <c r="DA20" s="57">
        <v>12</v>
      </c>
      <c r="DB20" s="57"/>
      <c r="DC20" s="57">
        <v>234</v>
      </c>
      <c r="DD20" s="57">
        <v>55</v>
      </c>
      <c r="DE20" s="58">
        <v>5.8</v>
      </c>
      <c r="DF20" s="58">
        <v>77.7</v>
      </c>
      <c r="DG20" s="58">
        <v>3.31</v>
      </c>
      <c r="DH20" s="58">
        <v>43.3</v>
      </c>
      <c r="DI20" s="57">
        <v>74</v>
      </c>
      <c r="DJ20" s="57">
        <v>2573</v>
      </c>
      <c r="DK20" s="57">
        <v>6</v>
      </c>
      <c r="DL20" s="57">
        <v>7</v>
      </c>
      <c r="DM20" s="59"/>
    </row>
    <row r="21" spans="1:117" ht="15.75" customHeight="1" x14ac:dyDescent="0.2">
      <c r="A21" s="33">
        <v>19</v>
      </c>
      <c r="B21" s="34" t="s">
        <v>77</v>
      </c>
      <c r="C21" s="116">
        <v>5.3277777777777775</v>
      </c>
      <c r="D21" s="117" t="s">
        <v>506</v>
      </c>
      <c r="E21" s="37">
        <v>7</v>
      </c>
      <c r="F21" s="118">
        <v>35008</v>
      </c>
      <c r="G21" s="119">
        <v>29.915068493150685</v>
      </c>
      <c r="H21" s="39" t="s">
        <v>385</v>
      </c>
      <c r="I21" s="119">
        <v>21.490410958904111</v>
      </c>
      <c r="J21" s="120">
        <v>71</v>
      </c>
      <c r="K21" s="120">
        <v>219</v>
      </c>
      <c r="L21" s="120">
        <v>4.54</v>
      </c>
      <c r="M21" s="55">
        <v>5</v>
      </c>
      <c r="N21" s="121">
        <v>0</v>
      </c>
      <c r="O21" s="122">
        <v>0</v>
      </c>
      <c r="P21" s="122">
        <v>0.2185517392255524</v>
      </c>
      <c r="Q21" s="122">
        <v>0.41427911275415896</v>
      </c>
      <c r="R21" s="122">
        <v>0.31801712779973651</v>
      </c>
      <c r="S21" s="42">
        <v>0.36614812027694776</v>
      </c>
      <c r="T21" s="42">
        <v>0.23799627818001606</v>
      </c>
      <c r="U21" s="42">
        <v>6.7645749888740545E-2</v>
      </c>
      <c r="V21" s="42">
        <v>2.0891799189273464E-2</v>
      </c>
      <c r="W21" s="42">
        <v>4.4268774539007003E-2</v>
      </c>
      <c r="X21" s="43">
        <v>2.8774703450354551E-2</v>
      </c>
      <c r="Y21" s="44">
        <v>18.835616438356166</v>
      </c>
      <c r="Z21" s="45">
        <v>103.09810886730278</v>
      </c>
      <c r="AA21" s="45">
        <v>30.540964094425711</v>
      </c>
      <c r="AB21" s="45">
        <v>0.16370106761565836</v>
      </c>
      <c r="AC21" s="45">
        <v>5.8</v>
      </c>
      <c r="AD21" s="45">
        <v>55.1</v>
      </c>
      <c r="AE21" s="45">
        <v>3.19</v>
      </c>
      <c r="AF21" s="45">
        <v>50.9</v>
      </c>
      <c r="AG21" s="128">
        <v>5</v>
      </c>
      <c r="AH21" s="49">
        <v>3</v>
      </c>
      <c r="AI21" s="49">
        <v>9</v>
      </c>
      <c r="AJ21" s="49">
        <v>6</v>
      </c>
      <c r="AK21" s="49">
        <v>2</v>
      </c>
      <c r="AL21" s="49">
        <v>4</v>
      </c>
      <c r="AM21" s="49">
        <v>2</v>
      </c>
      <c r="AN21" s="49">
        <v>2</v>
      </c>
      <c r="AO21" s="49">
        <v>3</v>
      </c>
      <c r="AP21" s="50">
        <v>0</v>
      </c>
      <c r="AQ21" s="56"/>
      <c r="AR21" s="57">
        <v>1492</v>
      </c>
      <c r="AS21" s="57"/>
      <c r="AT21" s="57"/>
      <c r="AU21" s="57"/>
      <c r="AV21" s="57"/>
      <c r="AW21" s="57"/>
      <c r="AX21" s="57"/>
      <c r="AY21" s="57"/>
      <c r="AZ21" s="57"/>
      <c r="BA21" s="57"/>
      <c r="BB21" s="57">
        <v>3180</v>
      </c>
      <c r="BC21" s="57"/>
      <c r="BD21" s="57"/>
      <c r="BE21" s="59"/>
      <c r="BF21" s="56"/>
      <c r="BG21" s="57">
        <v>2285</v>
      </c>
      <c r="BH21" s="57"/>
      <c r="BI21" s="57"/>
      <c r="BJ21" s="57"/>
      <c r="BK21" s="57"/>
      <c r="BL21" s="57"/>
      <c r="BM21" s="57"/>
      <c r="BN21" s="57"/>
      <c r="BO21" s="57"/>
      <c r="BP21" s="57"/>
      <c r="BQ21" s="57">
        <v>3389</v>
      </c>
      <c r="BR21" s="57"/>
      <c r="BS21" s="57"/>
      <c r="BT21" s="59"/>
      <c r="BU21" s="56">
        <v>794</v>
      </c>
      <c r="BV21" s="57">
        <v>1838</v>
      </c>
      <c r="BW21" s="57">
        <v>7</v>
      </c>
      <c r="BX21" s="57"/>
      <c r="BY21" s="57">
        <v>143</v>
      </c>
      <c r="BZ21" s="57">
        <v>19</v>
      </c>
      <c r="CA21" s="129">
        <v>5.6</v>
      </c>
      <c r="CB21" s="129">
        <v>34.5</v>
      </c>
      <c r="CC21" s="58">
        <v>2.4500000000000002</v>
      </c>
      <c r="CD21" s="129">
        <v>50.9</v>
      </c>
      <c r="CE21" s="57">
        <v>205</v>
      </c>
      <c r="CF21" s="57">
        <v>2733</v>
      </c>
      <c r="CG21" s="57">
        <v>13</v>
      </c>
      <c r="CH21" s="57"/>
      <c r="CI21" s="59"/>
      <c r="CJ21" s="56">
        <v>1641</v>
      </c>
      <c r="CK21" s="57">
        <v>2081</v>
      </c>
      <c r="CL21" s="57">
        <v>5</v>
      </c>
      <c r="CM21" s="57"/>
      <c r="CN21" s="57">
        <v>281</v>
      </c>
      <c r="CO21" s="57">
        <v>46</v>
      </c>
      <c r="CP21" s="129">
        <v>5.8</v>
      </c>
      <c r="CQ21" s="129">
        <v>55.1</v>
      </c>
      <c r="CR21" s="58">
        <v>3.19</v>
      </c>
      <c r="CS21" s="58">
        <v>45.3</v>
      </c>
      <c r="CT21" s="57">
        <v>152</v>
      </c>
      <c r="CU21" s="57">
        <v>2247</v>
      </c>
      <c r="CV21" s="57">
        <v>20</v>
      </c>
      <c r="CW21" s="57"/>
      <c r="CX21" s="59"/>
      <c r="CY21" s="56">
        <v>1864</v>
      </c>
      <c r="CZ21" s="57">
        <v>2865</v>
      </c>
      <c r="DA21" s="57">
        <v>22</v>
      </c>
      <c r="DB21" s="57"/>
      <c r="DC21" s="57">
        <v>349</v>
      </c>
      <c r="DD21" s="57">
        <v>49</v>
      </c>
      <c r="DE21" s="58">
        <v>5.3</v>
      </c>
      <c r="DF21" s="58">
        <v>40.700000000000003</v>
      </c>
      <c r="DG21" s="58">
        <v>2.91</v>
      </c>
      <c r="DH21" s="58">
        <v>42.8</v>
      </c>
      <c r="DI21" s="57">
        <v>67</v>
      </c>
      <c r="DJ21" s="57">
        <v>3207</v>
      </c>
      <c r="DK21" s="57">
        <v>8</v>
      </c>
      <c r="DL21" s="57"/>
      <c r="DM21" s="59"/>
    </row>
    <row r="22" spans="1:117" ht="15.75" customHeight="1" x14ac:dyDescent="0.2">
      <c r="A22" s="33">
        <v>20</v>
      </c>
      <c r="B22" s="34" t="s">
        <v>82</v>
      </c>
      <c r="C22" s="116">
        <v>5.2333333333333334</v>
      </c>
      <c r="D22" s="117" t="s">
        <v>459</v>
      </c>
      <c r="E22" s="37">
        <v>5</v>
      </c>
      <c r="F22" s="118">
        <v>34216</v>
      </c>
      <c r="G22" s="119">
        <v>32.084931506849315</v>
      </c>
      <c r="H22" s="39" t="s">
        <v>389</v>
      </c>
      <c r="I22" s="119">
        <v>23.660273972602738</v>
      </c>
      <c r="J22" s="120">
        <v>71</v>
      </c>
      <c r="K22" s="120">
        <v>210</v>
      </c>
      <c r="L22" s="120">
        <v>4.41</v>
      </c>
      <c r="M22" s="55">
        <v>4</v>
      </c>
      <c r="N22" s="121">
        <v>0</v>
      </c>
      <c r="O22" s="122">
        <v>0</v>
      </c>
      <c r="P22" s="122">
        <v>0</v>
      </c>
      <c r="Q22" s="122">
        <v>0.11951684678957407</v>
      </c>
      <c r="R22" s="122">
        <v>0.26719056974459726</v>
      </c>
      <c r="S22" s="42">
        <v>0.26719056974459726</v>
      </c>
      <c r="T22" s="42">
        <v>0.22711198428290766</v>
      </c>
      <c r="U22" s="42">
        <v>3.5897435897435895E-2</v>
      </c>
      <c r="V22" s="42">
        <v>3.7983670571529994E-2</v>
      </c>
      <c r="W22" s="42">
        <v>3.7983670571529994E-2</v>
      </c>
      <c r="X22" s="43">
        <v>3.2286119985800492E-2</v>
      </c>
      <c r="Y22" s="44">
        <v>23.019178082191782</v>
      </c>
      <c r="Z22" s="45">
        <v>111.0439578328315</v>
      </c>
      <c r="AA22" s="45">
        <v>29.28585598095616</v>
      </c>
      <c r="AB22" s="45">
        <v>0.14761904761904762</v>
      </c>
      <c r="AC22" s="45">
        <v>6.6</v>
      </c>
      <c r="AD22" s="45">
        <v>54.6</v>
      </c>
      <c r="AE22" s="45">
        <v>3.42</v>
      </c>
      <c r="AF22" s="45">
        <v>48.2</v>
      </c>
      <c r="AG22" s="128">
        <v>4</v>
      </c>
      <c r="AH22" s="49">
        <v>3</v>
      </c>
      <c r="AI22" s="49">
        <v>0</v>
      </c>
      <c r="AJ22" s="49">
        <v>9</v>
      </c>
      <c r="AK22" s="49">
        <v>1</v>
      </c>
      <c r="AL22" s="49">
        <v>6</v>
      </c>
      <c r="AM22" s="49">
        <v>2</v>
      </c>
      <c r="AN22" s="49">
        <v>3</v>
      </c>
      <c r="AO22" s="49">
        <v>4</v>
      </c>
      <c r="AP22" s="50">
        <v>0</v>
      </c>
      <c r="AQ22" s="56"/>
      <c r="AR22" s="57">
        <v>1605</v>
      </c>
      <c r="AS22" s="57"/>
      <c r="AT22" s="57"/>
      <c r="AU22" s="57"/>
      <c r="AV22" s="57"/>
      <c r="AW22" s="57"/>
      <c r="AX22" s="57"/>
      <c r="AY22" s="57"/>
      <c r="AZ22" s="57"/>
      <c r="BA22" s="57"/>
      <c r="BB22" s="57">
        <v>2288</v>
      </c>
      <c r="BC22" s="57"/>
      <c r="BD22" s="57"/>
      <c r="BE22" s="59"/>
      <c r="BF22" s="56"/>
      <c r="BG22" s="57">
        <v>1924</v>
      </c>
      <c r="BH22" s="57"/>
      <c r="BI22" s="57"/>
      <c r="BJ22" s="57"/>
      <c r="BK22" s="57"/>
      <c r="BL22" s="57"/>
      <c r="BM22" s="57"/>
      <c r="BN22" s="57"/>
      <c r="BO22" s="57"/>
      <c r="BP22" s="57"/>
      <c r="BQ22" s="57">
        <v>2835</v>
      </c>
      <c r="BR22" s="57"/>
      <c r="BS22" s="57"/>
      <c r="BT22" s="59"/>
      <c r="BU22" s="56">
        <v>0</v>
      </c>
      <c r="BV22" s="57">
        <v>2475</v>
      </c>
      <c r="BW22" s="57">
        <v>0</v>
      </c>
      <c r="BX22" s="57"/>
      <c r="BY22" s="57">
        <v>0</v>
      </c>
      <c r="BZ22" s="57">
        <v>0</v>
      </c>
      <c r="CA22" s="129">
        <v>0</v>
      </c>
      <c r="CB22" s="129">
        <v>0</v>
      </c>
      <c r="CC22" s="58">
        <v>0</v>
      </c>
      <c r="CD22" s="129">
        <v>0</v>
      </c>
      <c r="CE22" s="57">
        <v>0</v>
      </c>
      <c r="CF22" s="57">
        <v>2570</v>
      </c>
      <c r="CG22" s="57">
        <v>0</v>
      </c>
      <c r="CH22" s="57"/>
      <c r="CI22" s="59"/>
      <c r="CJ22" s="56">
        <v>480</v>
      </c>
      <c r="CK22" s="57">
        <v>2379</v>
      </c>
      <c r="CL22" s="57">
        <v>3</v>
      </c>
      <c r="CM22" s="57"/>
      <c r="CN22" s="57">
        <v>105</v>
      </c>
      <c r="CO22" s="57">
        <v>12</v>
      </c>
      <c r="CP22" s="129">
        <v>4.5999999999999996</v>
      </c>
      <c r="CQ22" s="129">
        <v>35.799999999999997</v>
      </c>
      <c r="CR22" s="58">
        <v>2.77</v>
      </c>
      <c r="CS22" s="58">
        <v>16.5</v>
      </c>
      <c r="CT22" s="57">
        <v>84</v>
      </c>
      <c r="CU22" s="57">
        <v>2340</v>
      </c>
      <c r="CV22" s="57">
        <v>11</v>
      </c>
      <c r="CW22" s="57"/>
      <c r="CX22" s="59"/>
      <c r="CY22" s="56">
        <v>1389</v>
      </c>
      <c r="CZ22" s="57">
        <v>2782</v>
      </c>
      <c r="DA22" s="57">
        <v>10</v>
      </c>
      <c r="DB22" s="57"/>
      <c r="DC22" s="57">
        <v>210</v>
      </c>
      <c r="DD22" s="57">
        <v>31</v>
      </c>
      <c r="DE22" s="58">
        <v>6.6</v>
      </c>
      <c r="DF22" s="58">
        <v>54.6</v>
      </c>
      <c r="DG22" s="58">
        <v>3.42</v>
      </c>
      <c r="DH22" s="58">
        <v>48.2</v>
      </c>
      <c r="DI22" s="57">
        <v>107</v>
      </c>
      <c r="DJ22" s="57">
        <v>2817</v>
      </c>
      <c r="DK22" s="57">
        <v>9</v>
      </c>
      <c r="DL22" s="57"/>
      <c r="DM22" s="59"/>
    </row>
    <row r="23" spans="1:117" ht="15.75" customHeight="1" x14ac:dyDescent="0.2">
      <c r="A23" s="33">
        <v>21</v>
      </c>
      <c r="B23" s="34" t="s">
        <v>79</v>
      </c>
      <c r="C23" s="116">
        <v>4.9722222222222223</v>
      </c>
      <c r="D23" s="117" t="s">
        <v>507</v>
      </c>
      <c r="E23" s="37">
        <v>4</v>
      </c>
      <c r="F23" s="118">
        <v>34580</v>
      </c>
      <c r="G23" s="119">
        <v>31.087671232876712</v>
      </c>
      <c r="H23" s="39" t="s">
        <v>389</v>
      </c>
      <c r="I23" s="119">
        <v>22.663013698630138</v>
      </c>
      <c r="J23" s="120">
        <v>69</v>
      </c>
      <c r="K23" s="120">
        <v>196</v>
      </c>
      <c r="L23" s="120">
        <v>4.37</v>
      </c>
      <c r="M23" s="55">
        <v>5</v>
      </c>
      <c r="N23" s="121">
        <v>0</v>
      </c>
      <c r="O23" s="122">
        <v>0.11872063606794363</v>
      </c>
      <c r="P23" s="122">
        <v>0</v>
      </c>
      <c r="Q23" s="122">
        <v>8.068065131289423E-2</v>
      </c>
      <c r="R23" s="122">
        <v>0.1559488347643245</v>
      </c>
      <c r="S23" s="42">
        <v>0.1559488347643245</v>
      </c>
      <c r="T23" s="42">
        <v>0.14035395128789205</v>
      </c>
      <c r="U23" s="42">
        <v>4.1088435374149662E-2</v>
      </c>
      <c r="V23" s="42">
        <v>6.822356336919444E-2</v>
      </c>
      <c r="W23" s="42">
        <v>6.822356336919444E-2</v>
      </c>
      <c r="X23" s="43">
        <v>6.1401207032274994E-2</v>
      </c>
      <c r="Y23" s="44">
        <v>22.021917808219179</v>
      </c>
      <c r="Z23" s="45">
        <v>107.48808340197904</v>
      </c>
      <c r="AA23" s="45">
        <v>28.940978785969335</v>
      </c>
      <c r="AB23" s="45">
        <v>0.21848739495798319</v>
      </c>
      <c r="AC23" s="45">
        <v>6</v>
      </c>
      <c r="AD23" s="45">
        <v>66.900000000000006</v>
      </c>
      <c r="AE23" s="45">
        <v>3.32</v>
      </c>
      <c r="AF23" s="45">
        <v>49.1</v>
      </c>
      <c r="AG23" s="128">
        <v>1</v>
      </c>
      <c r="AH23" s="49">
        <v>6</v>
      </c>
      <c r="AI23" s="49">
        <v>1</v>
      </c>
      <c r="AJ23" s="49">
        <v>8</v>
      </c>
      <c r="AK23" s="49">
        <v>4</v>
      </c>
      <c r="AL23" s="49">
        <v>4</v>
      </c>
      <c r="AM23" s="49">
        <v>3</v>
      </c>
      <c r="AN23" s="49">
        <v>3</v>
      </c>
      <c r="AO23" s="49">
        <v>3</v>
      </c>
      <c r="AP23" s="50">
        <v>0</v>
      </c>
      <c r="AQ23" s="56"/>
      <c r="AR23" s="57">
        <v>2326</v>
      </c>
      <c r="AS23" s="57"/>
      <c r="AT23" s="57"/>
      <c r="AU23" s="57"/>
      <c r="AV23" s="57"/>
      <c r="AW23" s="57"/>
      <c r="AX23" s="57"/>
      <c r="AY23" s="57"/>
      <c r="AZ23" s="57"/>
      <c r="BA23" s="57"/>
      <c r="BB23" s="57">
        <v>3501</v>
      </c>
      <c r="BC23" s="57"/>
      <c r="BD23" s="57"/>
      <c r="BE23" s="59"/>
      <c r="BF23" s="56">
        <v>533</v>
      </c>
      <c r="BG23" s="57">
        <v>1928</v>
      </c>
      <c r="BH23" s="57"/>
      <c r="BI23" s="57"/>
      <c r="BJ23" s="57"/>
      <c r="BK23" s="57"/>
      <c r="BL23" s="57"/>
      <c r="BM23" s="57"/>
      <c r="BN23" s="57"/>
      <c r="BO23" s="57"/>
      <c r="BP23" s="57">
        <v>124</v>
      </c>
      <c r="BQ23" s="57">
        <v>3606</v>
      </c>
      <c r="BR23" s="57">
        <v>10</v>
      </c>
      <c r="BS23" s="57"/>
      <c r="BT23" s="59"/>
      <c r="BU23" s="56">
        <v>0</v>
      </c>
      <c r="BV23" s="57">
        <v>1973</v>
      </c>
      <c r="BW23" s="57">
        <v>3</v>
      </c>
      <c r="BX23" s="57"/>
      <c r="BY23" s="57">
        <v>119</v>
      </c>
      <c r="BZ23" s="57">
        <v>11</v>
      </c>
      <c r="CA23" s="129">
        <v>4.9000000000000004</v>
      </c>
      <c r="CB23" s="129">
        <v>29.2</v>
      </c>
      <c r="CC23" s="58">
        <v>2.21</v>
      </c>
      <c r="CD23" s="129">
        <v>14.5</v>
      </c>
      <c r="CE23" s="57">
        <v>0</v>
      </c>
      <c r="CF23" s="57">
        <v>3614</v>
      </c>
      <c r="CG23" s="57">
        <v>25</v>
      </c>
      <c r="CH23" s="57"/>
      <c r="CI23" s="59"/>
      <c r="CJ23" s="56">
        <v>399</v>
      </c>
      <c r="CK23" s="57">
        <v>3142</v>
      </c>
      <c r="CL23" s="57">
        <v>5</v>
      </c>
      <c r="CM23" s="57"/>
      <c r="CN23" s="57">
        <v>66</v>
      </c>
      <c r="CO23" s="57">
        <v>14</v>
      </c>
      <c r="CP23" s="129">
        <v>6</v>
      </c>
      <c r="CQ23" s="129">
        <v>60.3</v>
      </c>
      <c r="CR23" s="58">
        <v>3.32</v>
      </c>
      <c r="CS23" s="58">
        <v>49.1</v>
      </c>
      <c r="CT23" s="57">
        <v>151</v>
      </c>
      <c r="CU23" s="57">
        <v>3675</v>
      </c>
      <c r="CV23" s="57">
        <v>11</v>
      </c>
      <c r="CW23" s="57"/>
      <c r="CX23" s="59"/>
      <c r="CY23" s="56">
        <v>630</v>
      </c>
      <c r="CZ23" s="57">
        <v>1896</v>
      </c>
      <c r="DA23" s="57">
        <v>7</v>
      </c>
      <c r="DB23" s="57"/>
      <c r="DC23" s="57">
        <v>119</v>
      </c>
      <c r="DD23" s="57">
        <v>26</v>
      </c>
      <c r="DE23" s="58">
        <v>5.3</v>
      </c>
      <c r="DF23" s="58">
        <v>66.900000000000006</v>
      </c>
      <c r="DG23" s="58">
        <v>2.93</v>
      </c>
      <c r="DH23" s="58">
        <v>41.1</v>
      </c>
      <c r="DI23" s="57">
        <v>260</v>
      </c>
      <c r="DJ23" s="57">
        <v>3811</v>
      </c>
      <c r="DK23" s="57">
        <v>30</v>
      </c>
      <c r="DL23" s="57"/>
      <c r="DM23" s="59"/>
    </row>
    <row r="24" spans="1:117" ht="15.75" customHeight="1" x14ac:dyDescent="0.2">
      <c r="A24" s="33">
        <v>22</v>
      </c>
      <c r="B24" s="34" t="s">
        <v>85</v>
      </c>
      <c r="C24" s="116">
        <v>4.4555555555555557</v>
      </c>
      <c r="D24" s="117" t="s">
        <v>508</v>
      </c>
      <c r="E24" s="37">
        <v>7</v>
      </c>
      <c r="F24" s="118">
        <v>34480</v>
      </c>
      <c r="G24" s="119">
        <v>31.361643835616437</v>
      </c>
      <c r="H24" s="39" t="s">
        <v>389</v>
      </c>
      <c r="I24" s="119">
        <v>22.936986301369863</v>
      </c>
      <c r="J24" s="120">
        <v>71</v>
      </c>
      <c r="K24" s="120">
        <v>230</v>
      </c>
      <c r="L24" s="120">
        <v>4.3899999999999997</v>
      </c>
      <c r="M24" s="55">
        <v>7</v>
      </c>
      <c r="N24" s="121">
        <v>0</v>
      </c>
      <c r="O24" s="122">
        <v>0</v>
      </c>
      <c r="P24" s="122">
        <v>0</v>
      </c>
      <c r="Q24" s="122">
        <v>0.20547945205479451</v>
      </c>
      <c r="R24" s="122">
        <v>5.9136212624584718E-2</v>
      </c>
      <c r="S24" s="42">
        <v>0.13230783233968962</v>
      </c>
      <c r="T24" s="42">
        <v>8.6000091020798253E-2</v>
      </c>
      <c r="U24" s="42">
        <v>3.3682634730538923E-3</v>
      </c>
      <c r="V24" s="42">
        <v>3.2401782098015392E-3</v>
      </c>
      <c r="W24" s="42">
        <v>3.3042208414277158E-3</v>
      </c>
      <c r="X24" s="43">
        <v>2.1477435469280152E-3</v>
      </c>
      <c r="Y24" s="44">
        <v>21.279452054794522</v>
      </c>
      <c r="Z24" s="45">
        <v>123.85106650016921</v>
      </c>
      <c r="AA24" s="45">
        <v>32.074985121999603</v>
      </c>
      <c r="AB24" s="45">
        <v>0.24324324324324326</v>
      </c>
      <c r="AC24" s="45">
        <v>7</v>
      </c>
      <c r="AD24" s="45">
        <v>122.3</v>
      </c>
      <c r="AE24" s="45">
        <v>5.16</v>
      </c>
      <c r="AF24" s="45">
        <v>53.3</v>
      </c>
      <c r="AG24" s="128">
        <v>0</v>
      </c>
      <c r="AH24" s="49">
        <v>0</v>
      </c>
      <c r="AI24" s="49">
        <v>2</v>
      </c>
      <c r="AJ24" s="49">
        <v>10</v>
      </c>
      <c r="AK24" s="49">
        <v>6</v>
      </c>
      <c r="AL24" s="49">
        <v>8</v>
      </c>
      <c r="AM24" s="49">
        <v>8</v>
      </c>
      <c r="AN24" s="49">
        <v>10</v>
      </c>
      <c r="AO24" s="49">
        <v>1</v>
      </c>
      <c r="AP24" s="50">
        <v>0</v>
      </c>
      <c r="AQ24" s="56"/>
      <c r="AR24" s="57">
        <v>2653</v>
      </c>
      <c r="AS24" s="57"/>
      <c r="AT24" s="57"/>
      <c r="AU24" s="57"/>
      <c r="AV24" s="57"/>
      <c r="AW24" s="57"/>
      <c r="AX24" s="57"/>
      <c r="AY24" s="57"/>
      <c r="AZ24" s="57"/>
      <c r="BA24" s="57"/>
      <c r="BB24" s="57">
        <v>3445</v>
      </c>
      <c r="BC24" s="57"/>
      <c r="BD24" s="57"/>
      <c r="BE24" s="59"/>
      <c r="BF24" s="56"/>
      <c r="BG24" s="57">
        <v>2493</v>
      </c>
      <c r="BH24" s="57"/>
      <c r="BI24" s="57"/>
      <c r="BJ24" s="57"/>
      <c r="BK24" s="57"/>
      <c r="BL24" s="57"/>
      <c r="BM24" s="57"/>
      <c r="BN24" s="57"/>
      <c r="BO24" s="57"/>
      <c r="BP24" s="57"/>
      <c r="BQ24" s="57">
        <v>3268</v>
      </c>
      <c r="BR24" s="57"/>
      <c r="BS24" s="57"/>
      <c r="BT24" s="59"/>
      <c r="BU24" s="56">
        <v>0</v>
      </c>
      <c r="BV24" s="57">
        <v>2521</v>
      </c>
      <c r="BW24" s="57">
        <v>0</v>
      </c>
      <c r="BX24" s="57"/>
      <c r="BY24" s="57">
        <v>0</v>
      </c>
      <c r="BZ24" s="57">
        <v>0</v>
      </c>
      <c r="CA24" s="129">
        <v>0</v>
      </c>
      <c r="CB24" s="129">
        <v>0</v>
      </c>
      <c r="CC24" s="58">
        <v>0</v>
      </c>
      <c r="CD24" s="129">
        <v>0</v>
      </c>
      <c r="CE24" s="57">
        <v>0</v>
      </c>
      <c r="CF24" s="57">
        <v>2782</v>
      </c>
      <c r="CG24" s="57">
        <v>0</v>
      </c>
      <c r="CH24" s="57"/>
      <c r="CI24" s="59"/>
      <c r="CJ24" s="56">
        <v>981</v>
      </c>
      <c r="CK24" s="57">
        <v>2146</v>
      </c>
      <c r="CL24" s="57">
        <v>9</v>
      </c>
      <c r="CM24" s="57"/>
      <c r="CN24" s="57">
        <v>165</v>
      </c>
      <c r="CO24" s="57">
        <v>24</v>
      </c>
      <c r="CP24" s="129">
        <v>5.9</v>
      </c>
      <c r="CQ24" s="129">
        <v>41.2</v>
      </c>
      <c r="CR24" s="58">
        <v>2.85</v>
      </c>
      <c r="CS24" s="58">
        <v>40.9</v>
      </c>
      <c r="CT24" s="57">
        <v>9</v>
      </c>
      <c r="CU24" s="57">
        <v>2672</v>
      </c>
      <c r="CV24" s="57">
        <v>1</v>
      </c>
      <c r="CW24" s="57"/>
      <c r="CX24" s="59"/>
      <c r="CY24" s="56">
        <v>259</v>
      </c>
      <c r="CZ24" s="57">
        <v>2046</v>
      </c>
      <c r="DA24" s="57">
        <v>3</v>
      </c>
      <c r="DB24" s="57"/>
      <c r="DC24" s="57">
        <v>37</v>
      </c>
      <c r="DD24" s="57">
        <v>9</v>
      </c>
      <c r="DE24" s="58">
        <v>7</v>
      </c>
      <c r="DF24" s="58">
        <v>122.3</v>
      </c>
      <c r="DG24" s="58">
        <v>5.16</v>
      </c>
      <c r="DH24" s="58">
        <v>53.3</v>
      </c>
      <c r="DI24" s="57">
        <v>8</v>
      </c>
      <c r="DJ24" s="57">
        <v>2469</v>
      </c>
      <c r="DK24" s="57">
        <v>1</v>
      </c>
      <c r="DL24" s="57"/>
      <c r="DM24" s="59"/>
    </row>
    <row r="25" spans="1:117" ht="15.75" customHeight="1" x14ac:dyDescent="0.2">
      <c r="A25" s="33">
        <v>23</v>
      </c>
      <c r="B25" s="34" t="s">
        <v>344</v>
      </c>
      <c r="C25" s="116">
        <v>4.0611111111111109</v>
      </c>
      <c r="D25" s="117" t="s">
        <v>509</v>
      </c>
      <c r="E25" s="37">
        <v>4</v>
      </c>
      <c r="F25" s="118">
        <v>34580</v>
      </c>
      <c r="G25" s="119">
        <v>31.087671232876712</v>
      </c>
      <c r="H25" s="39" t="s">
        <v>389</v>
      </c>
      <c r="I25" s="119">
        <v>22.663013698630138</v>
      </c>
      <c r="J25" s="120">
        <v>68</v>
      </c>
      <c r="K25" s="120">
        <v>207</v>
      </c>
      <c r="L25" s="120">
        <v>4.66</v>
      </c>
      <c r="M25" s="55">
        <v>7</v>
      </c>
      <c r="N25" s="121">
        <v>0</v>
      </c>
      <c r="O25" s="122">
        <v>8.7773647253201151E-2</v>
      </c>
      <c r="P25" s="122">
        <v>0.16814159292035399</v>
      </c>
      <c r="Q25" s="122">
        <v>0.19396310788149804</v>
      </c>
      <c r="R25" s="122">
        <v>0.26362460742656568</v>
      </c>
      <c r="S25" s="42">
        <v>0.26362460742656568</v>
      </c>
      <c r="T25" s="42">
        <v>0.23726214668390913</v>
      </c>
      <c r="U25" s="42">
        <v>6.3138686131386859E-2</v>
      </c>
      <c r="V25" s="42">
        <v>7.6263671297664801E-2</v>
      </c>
      <c r="W25" s="42">
        <v>7.6263671297664801E-2</v>
      </c>
      <c r="X25" s="43">
        <v>6.8637304167898316E-2</v>
      </c>
      <c r="Y25" s="44">
        <v>20.008219178082193</v>
      </c>
      <c r="Z25" s="45">
        <v>87.792350022710849</v>
      </c>
      <c r="AA25" s="45">
        <v>31.470804498269896</v>
      </c>
      <c r="AB25" s="45">
        <v>0.16935483870967741</v>
      </c>
      <c r="AC25" s="45">
        <v>6.5</v>
      </c>
      <c r="AD25" s="45">
        <v>48.9</v>
      </c>
      <c r="AE25" s="45">
        <v>2.97</v>
      </c>
      <c r="AF25" s="45">
        <v>46.7</v>
      </c>
      <c r="AG25" s="128">
        <v>5</v>
      </c>
      <c r="AH25" s="49">
        <v>7</v>
      </c>
      <c r="AI25" s="49">
        <v>5</v>
      </c>
      <c r="AJ25" s="49">
        <v>1</v>
      </c>
      <c r="AK25" s="49">
        <v>2</v>
      </c>
      <c r="AL25" s="49">
        <v>6</v>
      </c>
      <c r="AM25" s="49">
        <v>0</v>
      </c>
      <c r="AN25" s="49">
        <v>1</v>
      </c>
      <c r="AO25" s="49">
        <v>1</v>
      </c>
      <c r="AP25" s="50">
        <v>0</v>
      </c>
      <c r="AQ25" s="56"/>
      <c r="AR25" s="57">
        <v>1444</v>
      </c>
      <c r="AS25" s="57"/>
      <c r="AT25" s="57"/>
      <c r="AU25" s="57"/>
      <c r="AV25" s="57"/>
      <c r="AW25" s="57"/>
      <c r="AX25" s="57"/>
      <c r="AY25" s="57"/>
      <c r="AZ25" s="57"/>
      <c r="BA25" s="57"/>
      <c r="BB25" s="57">
        <v>4031</v>
      </c>
      <c r="BC25" s="57"/>
      <c r="BD25" s="57"/>
      <c r="BE25" s="59"/>
      <c r="BF25" s="56">
        <v>252</v>
      </c>
      <c r="BG25" s="57">
        <v>1952</v>
      </c>
      <c r="BH25" s="57"/>
      <c r="BI25" s="57"/>
      <c r="BJ25" s="57"/>
      <c r="BK25" s="57"/>
      <c r="BL25" s="57"/>
      <c r="BM25" s="57"/>
      <c r="BN25" s="57"/>
      <c r="BO25" s="57"/>
      <c r="BP25" s="57">
        <v>173</v>
      </c>
      <c r="BQ25" s="57">
        <v>2890</v>
      </c>
      <c r="BR25" s="57">
        <v>10</v>
      </c>
      <c r="BS25" s="57"/>
      <c r="BT25" s="59"/>
      <c r="BU25" s="56">
        <v>572</v>
      </c>
      <c r="BV25" s="57">
        <v>2659</v>
      </c>
      <c r="BW25" s="57">
        <v>8</v>
      </c>
      <c r="BX25" s="57"/>
      <c r="BY25" s="57">
        <v>105</v>
      </c>
      <c r="BZ25" s="57">
        <v>6</v>
      </c>
      <c r="CA25" s="129">
        <v>5.4</v>
      </c>
      <c r="CB25" s="129">
        <v>14.8</v>
      </c>
      <c r="CC25" s="58">
        <v>2.0099999999999998</v>
      </c>
      <c r="CD25" s="129">
        <v>41.4</v>
      </c>
      <c r="CE25" s="57">
        <v>321</v>
      </c>
      <c r="CF25" s="57">
        <v>2652</v>
      </c>
      <c r="CG25" s="57">
        <v>31</v>
      </c>
      <c r="CH25" s="57"/>
      <c r="CI25" s="59"/>
      <c r="CJ25" s="56">
        <v>868</v>
      </c>
      <c r="CK25" s="57">
        <v>2627</v>
      </c>
      <c r="CL25" s="57">
        <v>12</v>
      </c>
      <c r="CM25" s="57"/>
      <c r="CN25" s="57">
        <v>134</v>
      </c>
      <c r="CO25" s="57">
        <v>18</v>
      </c>
      <c r="CP25" s="129">
        <v>6.5</v>
      </c>
      <c r="CQ25" s="129">
        <v>48.9</v>
      </c>
      <c r="CR25" s="58">
        <v>2.97</v>
      </c>
      <c r="CS25" s="58">
        <v>46.7</v>
      </c>
      <c r="CT25" s="57">
        <v>173</v>
      </c>
      <c r="CU25" s="57">
        <v>2740</v>
      </c>
      <c r="CV25" s="57">
        <v>24</v>
      </c>
      <c r="CW25" s="57"/>
      <c r="CX25" s="59"/>
      <c r="CY25" s="56">
        <v>1169</v>
      </c>
      <c r="CZ25" s="57">
        <v>2030</v>
      </c>
      <c r="DA25" s="57">
        <v>10</v>
      </c>
      <c r="DB25" s="57"/>
      <c r="DC25" s="57">
        <v>248</v>
      </c>
      <c r="DD25" s="57">
        <v>42</v>
      </c>
      <c r="DE25" s="58">
        <v>4.7</v>
      </c>
      <c r="DF25" s="58">
        <v>46.1</v>
      </c>
      <c r="DG25" s="58">
        <v>2.63</v>
      </c>
      <c r="DH25" s="58">
        <v>29.9</v>
      </c>
      <c r="DI25" s="57">
        <v>258</v>
      </c>
      <c r="DJ25" s="57">
        <v>3383</v>
      </c>
      <c r="DK25" s="57">
        <v>32</v>
      </c>
      <c r="DL25" s="57"/>
      <c r="DM25" s="59"/>
    </row>
    <row r="26" spans="1:117" ht="15.75" customHeight="1" x14ac:dyDescent="0.2">
      <c r="A26" s="33">
        <v>24</v>
      </c>
      <c r="B26" s="34" t="s">
        <v>84</v>
      </c>
      <c r="C26" s="116">
        <v>3.9833333333333325</v>
      </c>
      <c r="D26" s="117" t="s">
        <v>483</v>
      </c>
      <c r="E26" s="37">
        <v>5</v>
      </c>
      <c r="F26" s="118">
        <v>34603</v>
      </c>
      <c r="G26" s="119">
        <v>31.024657534246575</v>
      </c>
      <c r="H26" s="39" t="s">
        <v>389</v>
      </c>
      <c r="I26" s="119">
        <v>22.6</v>
      </c>
      <c r="J26" s="120">
        <v>67</v>
      </c>
      <c r="K26" s="120">
        <v>170</v>
      </c>
      <c r="L26" s="120">
        <v>4.34</v>
      </c>
      <c r="M26" s="55">
        <v>7</v>
      </c>
      <c r="N26" s="121">
        <v>0</v>
      </c>
      <c r="O26" s="122">
        <v>0.11611243799375344</v>
      </c>
      <c r="P26" s="122">
        <v>4.6280713564456413E-2</v>
      </c>
      <c r="Q26" s="122">
        <v>0.11208024422154383</v>
      </c>
      <c r="R26" s="122">
        <v>0.15573238064306594</v>
      </c>
      <c r="S26" s="42">
        <v>0.15573238064306594</v>
      </c>
      <c r="T26" s="42">
        <v>0.13237252354660603</v>
      </c>
      <c r="U26" s="42">
        <v>3.8634505314799672E-2</v>
      </c>
      <c r="V26" s="42">
        <v>3.0654900139340455E-2</v>
      </c>
      <c r="W26" s="42">
        <v>3.4644702727070063E-2</v>
      </c>
      <c r="X26" s="43">
        <v>2.9447997318009553E-2</v>
      </c>
      <c r="Y26" s="44">
        <v>21.958904109589042</v>
      </c>
      <c r="Z26" s="45">
        <v>95.834084629337539</v>
      </c>
      <c r="AA26" s="45">
        <v>26.622855869904207</v>
      </c>
      <c r="AB26" s="45">
        <v>0.22988505747126436</v>
      </c>
      <c r="AC26" s="45">
        <v>6.7</v>
      </c>
      <c r="AD26" s="45">
        <v>100.3</v>
      </c>
      <c r="AE26" s="45">
        <v>3.6</v>
      </c>
      <c r="AF26" s="45">
        <v>51.2</v>
      </c>
      <c r="AG26" s="128">
        <v>1</v>
      </c>
      <c r="AH26" s="49">
        <v>3</v>
      </c>
      <c r="AI26" s="49">
        <v>2</v>
      </c>
      <c r="AJ26" s="49">
        <v>3</v>
      </c>
      <c r="AK26" s="49">
        <v>5</v>
      </c>
      <c r="AL26" s="49">
        <v>7</v>
      </c>
      <c r="AM26" s="49">
        <v>6</v>
      </c>
      <c r="AN26" s="49">
        <v>4</v>
      </c>
      <c r="AO26" s="49">
        <v>1</v>
      </c>
      <c r="AP26" s="50">
        <v>0</v>
      </c>
      <c r="AQ26" s="56"/>
      <c r="AR26" s="57">
        <v>2190</v>
      </c>
      <c r="AS26" s="57"/>
      <c r="AT26" s="57"/>
      <c r="AU26" s="57"/>
      <c r="AV26" s="57"/>
      <c r="AW26" s="57"/>
      <c r="AX26" s="57"/>
      <c r="AY26" s="57"/>
      <c r="AZ26" s="57"/>
      <c r="BA26" s="57"/>
      <c r="BB26" s="57">
        <v>2499</v>
      </c>
      <c r="BC26" s="57"/>
      <c r="BD26" s="57"/>
      <c r="BE26" s="59"/>
      <c r="BF26" s="56">
        <v>445</v>
      </c>
      <c r="BG26" s="57">
        <v>1466</v>
      </c>
      <c r="BH26" s="57"/>
      <c r="BI26" s="57"/>
      <c r="BJ26" s="57"/>
      <c r="BK26" s="57"/>
      <c r="BL26" s="57"/>
      <c r="BM26" s="57"/>
      <c r="BN26" s="57"/>
      <c r="BO26" s="57"/>
      <c r="BP26" s="57">
        <v>187</v>
      </c>
      <c r="BQ26" s="57">
        <v>3977</v>
      </c>
      <c r="BR26" s="57">
        <v>14</v>
      </c>
      <c r="BS26" s="57"/>
      <c r="BT26" s="59"/>
      <c r="BU26" s="56">
        <v>212</v>
      </c>
      <c r="BV26" s="57">
        <v>1790</v>
      </c>
      <c r="BW26" s="57">
        <v>4</v>
      </c>
      <c r="BX26" s="57"/>
      <c r="BY26" s="57">
        <v>45</v>
      </c>
      <c r="BZ26" s="57">
        <v>4</v>
      </c>
      <c r="CA26" s="129">
        <v>4.7</v>
      </c>
      <c r="CB26" s="129">
        <v>23.4</v>
      </c>
      <c r="CC26" s="58">
        <v>3.04</v>
      </c>
      <c r="CD26" s="129">
        <v>34.4</v>
      </c>
      <c r="CE26" s="57">
        <v>63</v>
      </c>
      <c r="CF26" s="57">
        <v>4152</v>
      </c>
      <c r="CG26" s="57">
        <v>7</v>
      </c>
      <c r="CH26" s="57"/>
      <c r="CI26" s="59"/>
      <c r="CJ26" s="56">
        <v>582</v>
      </c>
      <c r="CK26" s="57">
        <v>1987</v>
      </c>
      <c r="CL26" s="57">
        <v>1</v>
      </c>
      <c r="CM26" s="57"/>
      <c r="CN26" s="57">
        <v>87</v>
      </c>
      <c r="CO26" s="57">
        <v>20</v>
      </c>
      <c r="CP26" s="129">
        <v>6.7</v>
      </c>
      <c r="CQ26" s="129">
        <v>100.3</v>
      </c>
      <c r="CR26" s="58">
        <v>3.6</v>
      </c>
      <c r="CS26" s="58">
        <v>51.2</v>
      </c>
      <c r="CT26" s="57">
        <v>189</v>
      </c>
      <c r="CU26" s="57">
        <v>4892</v>
      </c>
      <c r="CV26" s="57">
        <v>17</v>
      </c>
      <c r="CW26" s="57"/>
      <c r="CX26" s="59"/>
      <c r="CY26" s="56">
        <v>827</v>
      </c>
      <c r="CZ26" s="57">
        <v>1852</v>
      </c>
      <c r="DA26" s="57">
        <v>2</v>
      </c>
      <c r="DB26" s="57"/>
      <c r="DC26" s="57">
        <v>152</v>
      </c>
      <c r="DD26" s="57">
        <v>22</v>
      </c>
      <c r="DE26" s="58">
        <v>5.4</v>
      </c>
      <c r="DF26" s="58">
        <v>46.9</v>
      </c>
      <c r="DG26" s="58">
        <v>2.93</v>
      </c>
      <c r="DH26" s="58">
        <v>31.4</v>
      </c>
      <c r="DI26" s="57">
        <v>132</v>
      </c>
      <c r="DJ26" s="57">
        <v>4306</v>
      </c>
      <c r="DK26" s="57">
        <v>17</v>
      </c>
      <c r="DL26" s="57"/>
      <c r="DM26" s="59"/>
    </row>
    <row r="27" spans="1:117" ht="15.75" customHeight="1" x14ac:dyDescent="0.2">
      <c r="A27" s="33">
        <v>25</v>
      </c>
      <c r="B27" s="34" t="s">
        <v>341</v>
      </c>
      <c r="C27" s="116">
        <v>3.9444444444444446</v>
      </c>
      <c r="D27" s="117" t="s">
        <v>388</v>
      </c>
      <c r="E27" s="37">
        <v>2</v>
      </c>
      <c r="F27" s="118">
        <v>34640</v>
      </c>
      <c r="G27" s="119">
        <v>30.923287671232877</v>
      </c>
      <c r="H27" s="39" t="s">
        <v>389</v>
      </c>
      <c r="I27" s="119">
        <v>22.4986301369863</v>
      </c>
      <c r="J27" s="120">
        <v>70</v>
      </c>
      <c r="K27" s="120">
        <v>221</v>
      </c>
      <c r="L27" s="120">
        <v>4.68</v>
      </c>
      <c r="M27" s="55">
        <v>0</v>
      </c>
      <c r="N27" s="121">
        <v>0</v>
      </c>
      <c r="O27" s="122">
        <v>8.8945768677011677E-2</v>
      </c>
      <c r="P27" s="122">
        <v>0.16301035953686777</v>
      </c>
      <c r="Q27" s="122">
        <v>4.9979683055668425E-2</v>
      </c>
      <c r="R27" s="122">
        <v>0.27719626168224298</v>
      </c>
      <c r="S27" s="42">
        <v>0.27719626168224298</v>
      </c>
      <c r="T27" s="42">
        <v>0.27719626168224298</v>
      </c>
      <c r="U27" s="42">
        <v>6.7385444743935314E-3</v>
      </c>
      <c r="V27" s="42">
        <v>5.3849222177901876E-2</v>
      </c>
      <c r="W27" s="42">
        <v>5.3849222177901876E-2</v>
      </c>
      <c r="X27" s="43">
        <v>5.3849222177901876E-2</v>
      </c>
      <c r="Y27" s="44">
        <v>19.843835616438355</v>
      </c>
      <c r="Z27" s="45">
        <v>92.138016140256411</v>
      </c>
      <c r="AA27" s="45">
        <v>31.70673469387755</v>
      </c>
      <c r="AB27" s="45">
        <v>0.20833333333333334</v>
      </c>
      <c r="AC27" s="45">
        <v>4.7</v>
      </c>
      <c r="AD27" s="45">
        <v>55.4</v>
      </c>
      <c r="AE27" s="45">
        <v>2.77</v>
      </c>
      <c r="AF27" s="45">
        <v>45.7</v>
      </c>
      <c r="AG27" s="128">
        <v>7</v>
      </c>
      <c r="AH27" s="49">
        <v>6</v>
      </c>
      <c r="AI27" s="49">
        <v>5</v>
      </c>
      <c r="AJ27" s="49">
        <v>2</v>
      </c>
      <c r="AK27" s="49">
        <v>4</v>
      </c>
      <c r="AL27" s="49">
        <v>0</v>
      </c>
      <c r="AM27" s="49">
        <v>2</v>
      </c>
      <c r="AN27" s="49">
        <v>0</v>
      </c>
      <c r="AO27" s="49">
        <v>0</v>
      </c>
      <c r="AP27" s="50">
        <v>0.25</v>
      </c>
      <c r="AQ27" s="56"/>
      <c r="AR27" s="57">
        <v>3309</v>
      </c>
      <c r="AS27" s="57"/>
      <c r="AT27" s="57"/>
      <c r="AU27" s="57"/>
      <c r="AV27" s="57"/>
      <c r="AW27" s="57"/>
      <c r="AX27" s="57"/>
      <c r="AY27" s="57"/>
      <c r="AZ27" s="57"/>
      <c r="BA27" s="57"/>
      <c r="BB27" s="57">
        <v>2197</v>
      </c>
      <c r="BC27" s="57"/>
      <c r="BD27" s="57"/>
      <c r="BE27" s="59"/>
      <c r="BF27" s="56">
        <v>547</v>
      </c>
      <c r="BG27" s="57">
        <v>3689</v>
      </c>
      <c r="BH27" s="57"/>
      <c r="BI27" s="57"/>
      <c r="BJ27" s="57"/>
      <c r="BK27" s="57"/>
      <c r="BL27" s="57"/>
      <c r="BM27" s="57"/>
      <c r="BN27" s="57"/>
      <c r="BO27" s="57"/>
      <c r="BP27" s="57">
        <v>9</v>
      </c>
      <c r="BQ27" s="57">
        <v>2562</v>
      </c>
      <c r="BR27" s="57">
        <v>9</v>
      </c>
      <c r="BS27" s="57"/>
      <c r="BT27" s="59"/>
      <c r="BU27" s="56">
        <v>951</v>
      </c>
      <c r="BV27" s="57">
        <v>4482</v>
      </c>
      <c r="BW27" s="57">
        <v>9</v>
      </c>
      <c r="BX27" s="57"/>
      <c r="BY27" s="57">
        <v>147</v>
      </c>
      <c r="BZ27" s="57">
        <v>20</v>
      </c>
      <c r="CA27" s="129">
        <v>6.5</v>
      </c>
      <c r="CB27" s="129">
        <v>42.1</v>
      </c>
      <c r="CC27" s="58">
        <v>2.71</v>
      </c>
      <c r="CD27" s="129">
        <v>45.7</v>
      </c>
      <c r="CE27" s="57">
        <v>119</v>
      </c>
      <c r="CF27" s="57">
        <v>2082</v>
      </c>
      <c r="CG27" s="57">
        <v>14</v>
      </c>
      <c r="CH27" s="57"/>
      <c r="CI27" s="59"/>
      <c r="CJ27" s="56">
        <v>226</v>
      </c>
      <c r="CK27" s="57">
        <v>1954</v>
      </c>
      <c r="CL27" s="57">
        <v>5</v>
      </c>
      <c r="CM27" s="57"/>
      <c r="CN27" s="57">
        <v>48</v>
      </c>
      <c r="CO27" s="57">
        <v>10</v>
      </c>
      <c r="CP27" s="129">
        <v>4.7</v>
      </c>
      <c r="CQ27" s="129">
        <v>55.4</v>
      </c>
      <c r="CR27" s="58">
        <v>2.77</v>
      </c>
      <c r="CS27" s="58">
        <v>35</v>
      </c>
      <c r="CT27" s="57">
        <v>20</v>
      </c>
      <c r="CU27" s="57">
        <v>2968</v>
      </c>
      <c r="CV27" s="57">
        <v>2</v>
      </c>
      <c r="CW27" s="57"/>
      <c r="CX27" s="59"/>
      <c r="CY27" s="56">
        <v>1348</v>
      </c>
      <c r="CZ27" s="57">
        <v>2843</v>
      </c>
      <c r="DA27" s="57">
        <v>15</v>
      </c>
      <c r="DB27" s="57"/>
      <c r="DC27" s="57">
        <v>315</v>
      </c>
      <c r="DD27" s="57">
        <v>47</v>
      </c>
      <c r="DE27" s="58">
        <v>4.3</v>
      </c>
      <c r="DF27" s="58">
        <v>41.5</v>
      </c>
      <c r="DG27" s="58">
        <v>2.76</v>
      </c>
      <c r="DH27" s="58">
        <v>29.4</v>
      </c>
      <c r="DI27" s="57">
        <v>135</v>
      </c>
      <c r="DJ27" s="57">
        <v>2507</v>
      </c>
      <c r="DK27" s="57">
        <v>11</v>
      </c>
      <c r="DL27" s="57"/>
      <c r="DM27" s="59"/>
    </row>
    <row r="28" spans="1:117" ht="15.75" customHeight="1" x14ac:dyDescent="0.2">
      <c r="A28" s="33">
        <v>26</v>
      </c>
      <c r="B28" s="34" t="s">
        <v>348</v>
      </c>
      <c r="C28" s="116">
        <v>3.6500000000000004</v>
      </c>
      <c r="D28" s="117" t="s">
        <v>510</v>
      </c>
      <c r="E28" s="37">
        <v>8</v>
      </c>
      <c r="F28" s="118">
        <v>33932</v>
      </c>
      <c r="G28" s="119">
        <v>32.863013698630134</v>
      </c>
      <c r="H28" s="39" t="s">
        <v>389</v>
      </c>
      <c r="I28" s="119">
        <v>24.438356164383563</v>
      </c>
      <c r="J28" s="120">
        <v>67</v>
      </c>
      <c r="K28" s="120">
        <v>208</v>
      </c>
      <c r="L28" s="120">
        <v>4.4800000000000004</v>
      </c>
      <c r="M28" s="55">
        <v>6</v>
      </c>
      <c r="N28" s="121">
        <v>0</v>
      </c>
      <c r="O28" s="122">
        <v>8.6030204962243798E-2</v>
      </c>
      <c r="P28" s="122">
        <v>0.27067557535263548</v>
      </c>
      <c r="Q28" s="122">
        <v>0.30994152046783624</v>
      </c>
      <c r="R28" s="122">
        <v>0.27352164194269457</v>
      </c>
      <c r="S28" s="42">
        <v>0.29173158120526543</v>
      </c>
      <c r="T28" s="42">
        <v>0.18962552778342254</v>
      </c>
      <c r="U28" s="42">
        <v>0.12661011624253848</v>
      </c>
      <c r="V28" s="42">
        <v>0.11874999999999999</v>
      </c>
      <c r="W28" s="42">
        <v>0.12268005812126924</v>
      </c>
      <c r="X28" s="43">
        <v>7.9742037778825006E-2</v>
      </c>
      <c r="Y28" s="44">
        <v>21.783561643835615</v>
      </c>
      <c r="Z28" s="45">
        <v>103.27168774078507</v>
      </c>
      <c r="AA28" s="45">
        <v>32.573847182000442</v>
      </c>
      <c r="AB28" s="45">
        <v>0</v>
      </c>
      <c r="AC28" s="45">
        <v>0</v>
      </c>
      <c r="AD28" s="45">
        <v>0</v>
      </c>
      <c r="AE28" s="45">
        <v>0</v>
      </c>
      <c r="AF28" s="45">
        <v>0</v>
      </c>
      <c r="AG28" s="128">
        <v>3</v>
      </c>
      <c r="AH28" s="49">
        <v>8</v>
      </c>
      <c r="AI28" s="49">
        <v>2</v>
      </c>
      <c r="AJ28" s="49">
        <v>7</v>
      </c>
      <c r="AK28" s="49">
        <v>0</v>
      </c>
      <c r="AL28" s="49">
        <v>0</v>
      </c>
      <c r="AM28" s="49">
        <v>0</v>
      </c>
      <c r="AN28" s="49">
        <v>0</v>
      </c>
      <c r="AO28" s="49">
        <v>2</v>
      </c>
      <c r="AP28" s="50">
        <v>0</v>
      </c>
      <c r="AQ28" s="56"/>
      <c r="AR28" s="57">
        <v>2828</v>
      </c>
      <c r="AS28" s="57"/>
      <c r="AT28" s="57"/>
      <c r="AU28" s="57"/>
      <c r="AV28" s="57"/>
      <c r="AW28" s="57"/>
      <c r="AX28" s="57"/>
      <c r="AY28" s="57"/>
      <c r="AZ28" s="57"/>
      <c r="BA28" s="57"/>
      <c r="BB28" s="57">
        <v>3101</v>
      </c>
      <c r="BC28" s="57"/>
      <c r="BD28" s="57"/>
      <c r="BE28" s="59"/>
      <c r="BF28" s="56">
        <v>599</v>
      </c>
      <c r="BG28" s="57">
        <v>4036</v>
      </c>
      <c r="BH28" s="57"/>
      <c r="BI28" s="57"/>
      <c r="BJ28" s="57">
        <v>82</v>
      </c>
      <c r="BK28" s="57"/>
      <c r="BL28" s="57"/>
      <c r="BM28" s="57"/>
      <c r="BN28" s="57"/>
      <c r="BO28" s="57"/>
      <c r="BP28" s="57">
        <v>39</v>
      </c>
      <c r="BQ28" s="57">
        <v>3380</v>
      </c>
      <c r="BR28" s="57">
        <v>4</v>
      </c>
      <c r="BS28" s="57"/>
      <c r="BT28" s="59"/>
      <c r="BU28" s="56">
        <v>1534</v>
      </c>
      <c r="BV28" s="57">
        <v>3265</v>
      </c>
      <c r="BW28" s="57">
        <v>0</v>
      </c>
      <c r="BX28" s="57"/>
      <c r="BY28" s="57">
        <v>234</v>
      </c>
      <c r="BZ28" s="57">
        <v>0</v>
      </c>
      <c r="CA28" s="129">
        <v>0</v>
      </c>
      <c r="CB28" s="129">
        <v>0</v>
      </c>
      <c r="CC28" s="58">
        <v>0</v>
      </c>
      <c r="CD28" s="129">
        <v>0</v>
      </c>
      <c r="CE28" s="57">
        <v>289</v>
      </c>
      <c r="CF28" s="57">
        <v>3470</v>
      </c>
      <c r="CG28" s="57">
        <v>33</v>
      </c>
      <c r="CH28" s="57"/>
      <c r="CI28" s="59"/>
      <c r="CJ28" s="56">
        <v>1346</v>
      </c>
      <c r="CK28" s="57">
        <v>2460</v>
      </c>
      <c r="CL28" s="57">
        <v>0</v>
      </c>
      <c r="CM28" s="57"/>
      <c r="CN28" s="57">
        <v>222</v>
      </c>
      <c r="CO28" s="57">
        <v>0</v>
      </c>
      <c r="CP28" s="129">
        <v>0</v>
      </c>
      <c r="CQ28" s="129">
        <v>0</v>
      </c>
      <c r="CR28" s="58">
        <v>0</v>
      </c>
      <c r="CS28" s="58">
        <v>0</v>
      </c>
      <c r="CT28" s="57">
        <v>403</v>
      </c>
      <c r="CU28" s="57">
        <v>3183</v>
      </c>
      <c r="CV28" s="57">
        <v>40</v>
      </c>
      <c r="CW28" s="57"/>
      <c r="CX28" s="59"/>
      <c r="CY28" s="56">
        <v>1156</v>
      </c>
      <c r="CZ28" s="57">
        <v>3321</v>
      </c>
      <c r="DA28" s="57">
        <v>0</v>
      </c>
      <c r="DB28" s="57"/>
      <c r="DC28" s="57">
        <v>183</v>
      </c>
      <c r="DD28" s="57">
        <v>0</v>
      </c>
      <c r="DE28" s="58">
        <v>0</v>
      </c>
      <c r="DF28" s="58">
        <v>0</v>
      </c>
      <c r="DG28" s="58">
        <v>0</v>
      </c>
      <c r="DH28" s="58">
        <v>0</v>
      </c>
      <c r="DI28" s="57">
        <v>190</v>
      </c>
      <c r="DJ28" s="57">
        <v>1600</v>
      </c>
      <c r="DK28" s="57">
        <v>20</v>
      </c>
      <c r="DL28" s="57"/>
      <c r="DM28" s="59"/>
    </row>
    <row r="29" spans="1:117" ht="15.75" customHeight="1" thickBot="1" x14ac:dyDescent="0.25">
      <c r="A29" s="60">
        <v>27</v>
      </c>
      <c r="B29" s="62" t="s">
        <v>366</v>
      </c>
      <c r="C29" s="134">
        <v>2.6722222222222225</v>
      </c>
      <c r="D29" s="135" t="s">
        <v>511</v>
      </c>
      <c r="E29" s="66">
        <v>2</v>
      </c>
      <c r="F29" s="136">
        <v>34646</v>
      </c>
      <c r="G29" s="137">
        <v>30.906849315068492</v>
      </c>
      <c r="H29" s="68" t="s">
        <v>389</v>
      </c>
      <c r="I29" s="137">
        <v>22.482191780821918</v>
      </c>
      <c r="J29" s="138">
        <v>71</v>
      </c>
      <c r="K29" s="138">
        <v>223</v>
      </c>
      <c r="L29" s="138">
        <v>4.8499999999999996</v>
      </c>
      <c r="M29" s="139">
        <v>0</v>
      </c>
      <c r="N29" s="140">
        <v>0</v>
      </c>
      <c r="O29" s="141">
        <v>2.4098867147270855E-2</v>
      </c>
      <c r="P29" s="141">
        <v>0.13638638638638639</v>
      </c>
      <c r="Q29" s="141">
        <v>0.17757917233339809</v>
      </c>
      <c r="R29" s="141">
        <v>0.16509775524981898</v>
      </c>
      <c r="S29" s="71">
        <v>0.17133846379160855</v>
      </c>
      <c r="T29" s="71">
        <v>0.17133846379160855</v>
      </c>
      <c r="U29" s="71">
        <v>5.145631067961165E-2</v>
      </c>
      <c r="V29" s="71">
        <v>2.3947750362844702E-2</v>
      </c>
      <c r="W29" s="71">
        <v>3.7702030521228176E-2</v>
      </c>
      <c r="X29" s="72">
        <v>3.7702030521228176E-2</v>
      </c>
      <c r="Y29" s="73">
        <v>20.824657534246576</v>
      </c>
      <c r="Z29" s="74">
        <v>80.606099127812882</v>
      </c>
      <c r="AA29" s="74">
        <v>31.098789922634399</v>
      </c>
      <c r="AB29" s="74">
        <v>0.24444444444444444</v>
      </c>
      <c r="AC29" s="74">
        <v>4.8</v>
      </c>
      <c r="AD29" s="74">
        <v>74.900000000000006</v>
      </c>
      <c r="AE29" s="74">
        <v>3.03</v>
      </c>
      <c r="AF29" s="75">
        <v>34.9</v>
      </c>
      <c r="AG29" s="142">
        <v>3</v>
      </c>
      <c r="AH29" s="78">
        <v>4</v>
      </c>
      <c r="AI29" s="78">
        <v>3</v>
      </c>
      <c r="AJ29" s="78">
        <v>0</v>
      </c>
      <c r="AK29" s="78">
        <v>6</v>
      </c>
      <c r="AL29" s="215">
        <v>0</v>
      </c>
      <c r="AM29" s="78">
        <v>4</v>
      </c>
      <c r="AN29" s="78">
        <v>2</v>
      </c>
      <c r="AO29" s="78">
        <v>0</v>
      </c>
      <c r="AP29" s="79">
        <v>0</v>
      </c>
      <c r="AQ29" s="80"/>
      <c r="AR29" s="81">
        <v>2389</v>
      </c>
      <c r="AS29" s="81"/>
      <c r="AT29" s="81"/>
      <c r="AU29" s="81"/>
      <c r="AV29" s="81"/>
      <c r="AW29" s="81"/>
      <c r="AX29" s="81"/>
      <c r="AY29" s="81"/>
      <c r="AZ29" s="81"/>
      <c r="BA29" s="81"/>
      <c r="BB29" s="81">
        <v>2591</v>
      </c>
      <c r="BC29" s="81"/>
      <c r="BD29" s="81"/>
      <c r="BE29" s="83"/>
      <c r="BF29" s="80">
        <v>117</v>
      </c>
      <c r="BG29" s="81">
        <v>1634</v>
      </c>
      <c r="BH29" s="81"/>
      <c r="BI29" s="81"/>
      <c r="BJ29" s="81"/>
      <c r="BK29" s="81"/>
      <c r="BL29" s="81"/>
      <c r="BM29" s="81"/>
      <c r="BN29" s="81"/>
      <c r="BO29" s="81"/>
      <c r="BP29" s="81">
        <v>0</v>
      </c>
      <c r="BQ29" s="81">
        <v>3221</v>
      </c>
      <c r="BR29" s="81"/>
      <c r="BS29" s="81"/>
      <c r="BT29" s="83"/>
      <c r="BU29" s="80">
        <v>519</v>
      </c>
      <c r="BV29" s="81">
        <v>1954</v>
      </c>
      <c r="BW29" s="81">
        <v>6</v>
      </c>
      <c r="BX29" s="81"/>
      <c r="BY29" s="81">
        <v>108</v>
      </c>
      <c r="BZ29" s="81">
        <v>21</v>
      </c>
      <c r="CA29" s="144">
        <v>4.8</v>
      </c>
      <c r="CB29" s="144">
        <v>56.1</v>
      </c>
      <c r="CC29" s="82">
        <v>2.96</v>
      </c>
      <c r="CD29" s="144">
        <v>32.6</v>
      </c>
      <c r="CE29" s="81">
        <v>26</v>
      </c>
      <c r="CF29" s="81">
        <v>2042</v>
      </c>
      <c r="CG29" s="81">
        <v>3</v>
      </c>
      <c r="CH29" s="81"/>
      <c r="CI29" s="83"/>
      <c r="CJ29" s="80">
        <v>755</v>
      </c>
      <c r="CK29" s="81">
        <v>2057</v>
      </c>
      <c r="CL29" s="81">
        <v>5</v>
      </c>
      <c r="CM29" s="81"/>
      <c r="CN29" s="81">
        <v>180</v>
      </c>
      <c r="CO29" s="81">
        <v>44</v>
      </c>
      <c r="CP29" s="144">
        <v>4.2</v>
      </c>
      <c r="CQ29" s="144">
        <v>74.900000000000006</v>
      </c>
      <c r="CR29" s="82">
        <v>2.87</v>
      </c>
      <c r="CS29" s="82">
        <v>30.7</v>
      </c>
      <c r="CT29" s="81">
        <v>159</v>
      </c>
      <c r="CU29" s="81">
        <v>3090</v>
      </c>
      <c r="CV29" s="81">
        <v>19</v>
      </c>
      <c r="CW29" s="81"/>
      <c r="CX29" s="83"/>
      <c r="CY29" s="80">
        <v>846</v>
      </c>
      <c r="CZ29" s="81">
        <v>2768</v>
      </c>
      <c r="DA29" s="81">
        <v>10</v>
      </c>
      <c r="DB29" s="81"/>
      <c r="DC29" s="81">
        <v>181</v>
      </c>
      <c r="DD29" s="81">
        <v>42</v>
      </c>
      <c r="DE29" s="82">
        <v>4.7</v>
      </c>
      <c r="DF29" s="82">
        <v>73.900000000000006</v>
      </c>
      <c r="DG29" s="82">
        <v>3.03</v>
      </c>
      <c r="DH29" s="82">
        <v>34.9</v>
      </c>
      <c r="DI29" s="81">
        <v>66</v>
      </c>
      <c r="DJ29" s="81">
        <v>2756</v>
      </c>
      <c r="DK29" s="81">
        <v>16</v>
      </c>
      <c r="DL29" s="81"/>
      <c r="DM29" s="83"/>
    </row>
    <row r="30" spans="1:117" ht="15.75" customHeight="1" x14ac:dyDescent="0.2"/>
    <row r="31" spans="1:117" ht="15.75" customHeight="1" x14ac:dyDescent="0.2"/>
    <row r="32" spans="1:117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2:DM2" xr:uid="{00000000-0009-0000-0000-000007000000}">
    <sortState xmlns:xlrd2="http://schemas.microsoft.com/office/spreadsheetml/2017/richdata2" ref="A3:DM29">
      <sortCondition ref="A2"/>
    </sortState>
  </autoFilter>
  <mergeCells count="10">
    <mergeCell ref="BU1:CI1"/>
    <mergeCell ref="CJ1:CX1"/>
    <mergeCell ref="CY1:DM1"/>
    <mergeCell ref="A1:C1"/>
    <mergeCell ref="D1:M1"/>
    <mergeCell ref="N1:X1"/>
    <mergeCell ref="Y1:AF1"/>
    <mergeCell ref="AG1:AP1"/>
    <mergeCell ref="AQ1:BE1"/>
    <mergeCell ref="BF1:BT1"/>
  </mergeCells>
  <conditionalFormatting sqref="B3:B29">
    <cfRule type="expression" dxfId="137" priority="1" stopIfTrue="1">
      <formula>C3&gt;=13</formula>
    </cfRule>
    <cfRule type="expression" dxfId="136" priority="2">
      <formula>AND(C3&gt;=12,C3&lt;13)</formula>
    </cfRule>
    <cfRule type="expression" dxfId="135" priority="3" stopIfTrue="1">
      <formula>AND(C3&gt;=11,C3&lt;12)</formula>
    </cfRule>
    <cfRule type="expression" dxfId="134" priority="4">
      <formula>AND(C3&gt;=9,C3&lt;11)</formula>
    </cfRule>
    <cfRule type="expression" dxfId="133" priority="5">
      <formula>AND(C3&gt;=7,C3&lt;9)</formula>
    </cfRule>
    <cfRule type="expression" dxfId="132" priority="6" stopIfTrue="1">
      <formula>AND(C3&gt;=6,C3&lt;7)</formula>
    </cfRule>
    <cfRule type="expression" dxfId="131" priority="7" stopIfTrue="1">
      <formula>AND(C3&gt;=5,C3&lt;6)</formula>
    </cfRule>
    <cfRule type="expression" dxfId="130" priority="8">
      <formula>C3&lt;5</formula>
    </cfRule>
  </conditionalFormatting>
  <conditionalFormatting sqref="C3:C2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H29">
    <cfRule type="containsText" dxfId="129" priority="10" operator="containsText" text="SR">
      <formula>NOT(ISERROR(SEARCH(("SR"),(H3))))</formula>
    </cfRule>
  </conditionalFormatting>
  <conditionalFormatting sqref="N3:R29">
    <cfRule type="cellIs" dxfId="128" priority="11" stopIfTrue="1" operator="between">
      <formula>0.15</formula>
      <formula>0.1999</formula>
    </cfRule>
    <cfRule type="cellIs" dxfId="127" priority="12" operator="equal">
      <formula>0</formula>
    </cfRule>
    <cfRule type="colorScale" priority="13">
      <colorScale>
        <cfvo type="formula" val="0.1899"/>
        <cfvo type="formula" val="0.2"/>
        <cfvo type="formula" val="0.4"/>
        <color rgb="FFFACACA"/>
        <color rgb="FFC0E399"/>
        <color rgb="FF63BE7B"/>
      </colorScale>
    </cfRule>
  </conditionalFormatting>
  <conditionalFormatting sqref="S3:T29">
    <cfRule type="colorScale" priority="14">
      <colorScale>
        <cfvo type="formula" val="0.1499"/>
        <cfvo type="formula" val="0.15"/>
        <cfvo type="formula" val="0.4"/>
        <color rgb="FFFACACA"/>
        <color rgb="FFCEF9B9"/>
        <color rgb="FF00B050"/>
      </colorScale>
    </cfRule>
  </conditionalFormatting>
  <conditionalFormatting sqref="U3:V2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:W2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:X2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S1000"/>
  <sheetViews>
    <sheetView zoomScale="80" zoomScaleNormal="80" workbookViewId="0">
      <selection sqref="A1:XFD1048576"/>
    </sheetView>
  </sheetViews>
  <sheetFormatPr baseColWidth="10" defaultColWidth="14.5" defaultRowHeight="15" customHeight="1" x14ac:dyDescent="0.2"/>
  <cols>
    <col min="1" max="1" width="8.5" customWidth="1"/>
    <col min="2" max="2" width="18" customWidth="1"/>
    <col min="3" max="3" width="12" customWidth="1"/>
    <col min="4" max="4" width="16.6640625" customWidth="1"/>
    <col min="5" max="5" width="10.83203125" customWidth="1"/>
    <col min="6" max="6" width="11.5" customWidth="1"/>
    <col min="7" max="7" width="7.5" customWidth="1"/>
    <col min="8" max="8" width="8" customWidth="1"/>
    <col min="9" max="9" width="12.6640625" customWidth="1"/>
    <col min="10" max="10" width="10" customWidth="1"/>
    <col min="11" max="11" width="10.5" customWidth="1"/>
    <col min="12" max="12" width="11.33203125" customWidth="1"/>
    <col min="13" max="13" width="12.5" customWidth="1"/>
    <col min="14" max="20" width="9.83203125" customWidth="1"/>
    <col min="21" max="22" width="11" customWidth="1"/>
    <col min="23" max="23" width="10" customWidth="1"/>
    <col min="24" max="24" width="11" customWidth="1"/>
    <col min="25" max="25" width="9.33203125" customWidth="1"/>
    <col min="26" max="26" width="9.5" customWidth="1"/>
    <col min="27" max="27" width="7.6640625" customWidth="1"/>
    <col min="28" max="28" width="10.1640625" customWidth="1"/>
    <col min="29" max="29" width="7.33203125" customWidth="1"/>
    <col min="30" max="30" width="7.5" customWidth="1"/>
    <col min="31" max="31" width="9.83203125" customWidth="1"/>
    <col min="32" max="32" width="11.5" customWidth="1"/>
    <col min="33" max="33" width="10.83203125" customWidth="1"/>
    <col min="34" max="34" width="11" customWidth="1"/>
    <col min="35" max="35" width="10.33203125" customWidth="1"/>
    <col min="36" max="36" width="10.5" customWidth="1"/>
    <col min="37" max="37" width="10.1640625" customWidth="1"/>
    <col min="38" max="39" width="8.5" customWidth="1"/>
    <col min="40" max="40" width="10.83203125" customWidth="1"/>
    <col min="41" max="41" width="7.6640625" customWidth="1"/>
    <col min="42" max="42" width="9.5" customWidth="1"/>
    <col min="43" max="43" width="12" customWidth="1"/>
    <col min="44" max="44" width="12.6640625" customWidth="1"/>
    <col min="45" max="45" width="12.33203125" customWidth="1"/>
    <col min="46" max="46" width="12.1640625" customWidth="1"/>
    <col min="47" max="47" width="6.6640625" customWidth="1"/>
    <col min="48" max="48" width="8" customWidth="1"/>
    <col min="49" max="49" width="7.33203125" customWidth="1"/>
    <col min="50" max="50" width="7.5" customWidth="1"/>
    <col min="51" max="51" width="9.83203125" customWidth="1"/>
    <col min="52" max="52" width="11.5" customWidth="1"/>
    <col min="53" max="53" width="10.83203125" customWidth="1"/>
    <col min="54" max="54" width="12.6640625" customWidth="1"/>
    <col min="55" max="55" width="8.1640625" customWidth="1"/>
    <col min="56" max="56" width="11.33203125" customWidth="1"/>
    <col min="57" max="57" width="13" customWidth="1"/>
    <col min="58" max="58" width="12" customWidth="1"/>
    <col min="59" max="59" width="12.6640625" customWidth="1"/>
    <col min="60" max="60" width="12.33203125" customWidth="1"/>
    <col min="61" max="61" width="12.1640625" customWidth="1"/>
    <col min="62" max="62" width="6.6640625" customWidth="1"/>
    <col min="63" max="63" width="8" customWidth="1"/>
    <col min="64" max="64" width="7.33203125" customWidth="1"/>
    <col min="65" max="65" width="7.5" customWidth="1"/>
    <col min="66" max="66" width="9.83203125" customWidth="1"/>
    <col min="67" max="67" width="11.5" customWidth="1"/>
    <col min="68" max="68" width="10.83203125" customWidth="1"/>
    <col min="69" max="69" width="12.6640625" customWidth="1"/>
    <col min="70" max="70" width="8.1640625" customWidth="1"/>
    <col min="71" max="71" width="11.33203125" customWidth="1"/>
    <col min="72" max="72" width="13" customWidth="1"/>
    <col min="73" max="73" width="12" customWidth="1"/>
    <col min="74" max="74" width="12.6640625" customWidth="1"/>
    <col min="75" max="75" width="12.33203125" customWidth="1"/>
    <col min="76" max="76" width="12.1640625" customWidth="1"/>
    <col min="77" max="77" width="6.6640625" customWidth="1"/>
    <col min="78" max="78" width="8" customWidth="1"/>
    <col min="79" max="79" width="7.33203125" customWidth="1"/>
    <col min="80" max="80" width="7.5" customWidth="1"/>
    <col min="81" max="81" width="9.83203125" customWidth="1"/>
    <col min="82" max="82" width="11.5" customWidth="1"/>
    <col min="83" max="83" width="10.83203125" customWidth="1"/>
    <col min="84" max="84" width="12.6640625" customWidth="1"/>
    <col min="85" max="85" width="8.1640625" customWidth="1"/>
    <col min="86" max="86" width="11.33203125" customWidth="1"/>
    <col min="87" max="87" width="13" customWidth="1"/>
    <col min="88" max="88" width="12" customWidth="1"/>
    <col min="89" max="89" width="12.6640625" customWidth="1"/>
    <col min="90" max="90" width="12.33203125" customWidth="1"/>
    <col min="91" max="91" width="12.1640625" customWidth="1"/>
    <col min="92" max="92" width="6.6640625" customWidth="1"/>
    <col min="93" max="93" width="8" customWidth="1"/>
    <col min="94" max="94" width="7.33203125" customWidth="1"/>
    <col min="95" max="95" width="7.5" customWidth="1"/>
    <col min="96" max="96" width="9.83203125" customWidth="1"/>
    <col min="97" max="97" width="11.5" customWidth="1"/>
    <col min="98" max="98" width="10.83203125" customWidth="1"/>
    <col min="99" max="99" width="12.6640625" customWidth="1"/>
    <col min="100" max="100" width="8.1640625" customWidth="1"/>
    <col min="101" max="101" width="11.33203125" customWidth="1"/>
    <col min="102" max="102" width="13" customWidth="1"/>
    <col min="103" max="103" width="12" customWidth="1"/>
    <col min="104" max="104" width="12.6640625" customWidth="1"/>
    <col min="105" max="105" width="12.33203125" customWidth="1"/>
    <col min="106" max="106" width="12.1640625" customWidth="1"/>
    <col min="107" max="107" width="6.6640625" customWidth="1"/>
    <col min="108" max="108" width="8" customWidth="1"/>
    <col min="109" max="109" width="7.33203125" customWidth="1"/>
    <col min="110" max="110" width="7.5" customWidth="1"/>
    <col min="111" max="111" width="9.83203125" customWidth="1"/>
    <col min="112" max="112" width="11.5" customWidth="1"/>
    <col min="113" max="113" width="10.83203125" customWidth="1"/>
    <col min="114" max="114" width="12.6640625" customWidth="1"/>
    <col min="115" max="115" width="8.1640625" customWidth="1"/>
    <col min="116" max="116" width="11.33203125" customWidth="1"/>
    <col min="117" max="117" width="13" customWidth="1"/>
    <col min="118" max="118" width="8" customWidth="1"/>
    <col min="119" max="119" width="3.5" customWidth="1"/>
    <col min="120" max="120" width="16.5" customWidth="1"/>
    <col min="121" max="121" width="11" customWidth="1"/>
    <col min="122" max="122" width="14.5" customWidth="1"/>
    <col min="123" max="123" width="10.5" customWidth="1"/>
  </cols>
  <sheetData>
    <row r="1" spans="1:123" x14ac:dyDescent="0.2">
      <c r="A1" s="259"/>
      <c r="B1" s="251"/>
      <c r="C1" s="253"/>
      <c r="D1" s="254" t="s">
        <v>156</v>
      </c>
      <c r="E1" s="251"/>
      <c r="F1" s="251"/>
      <c r="G1" s="251"/>
      <c r="H1" s="251"/>
      <c r="I1" s="251"/>
      <c r="J1" s="251"/>
      <c r="K1" s="251"/>
      <c r="L1" s="251"/>
      <c r="M1" s="253"/>
      <c r="N1" s="255" t="s">
        <v>157</v>
      </c>
      <c r="O1" s="251"/>
      <c r="P1" s="251"/>
      <c r="Q1" s="251"/>
      <c r="R1" s="251"/>
      <c r="S1" s="251"/>
      <c r="T1" s="251"/>
      <c r="U1" s="251"/>
      <c r="V1" s="251"/>
      <c r="W1" s="251"/>
      <c r="X1" s="253"/>
      <c r="Y1" s="256" t="s">
        <v>158</v>
      </c>
      <c r="Z1" s="251"/>
      <c r="AA1" s="251"/>
      <c r="AB1" s="251"/>
      <c r="AC1" s="251"/>
      <c r="AD1" s="251"/>
      <c r="AE1" s="251"/>
      <c r="AF1" s="253"/>
      <c r="AG1" s="257" t="s">
        <v>159</v>
      </c>
      <c r="AH1" s="251"/>
      <c r="AI1" s="251"/>
      <c r="AJ1" s="251"/>
      <c r="AK1" s="251"/>
      <c r="AL1" s="251"/>
      <c r="AM1" s="251"/>
      <c r="AN1" s="251"/>
      <c r="AO1" s="251"/>
      <c r="AP1" s="253"/>
      <c r="AQ1" s="247" t="s">
        <v>376</v>
      </c>
      <c r="AR1" s="248"/>
      <c r="AS1" s="248"/>
      <c r="AT1" s="248"/>
      <c r="AU1" s="248"/>
      <c r="AV1" s="248"/>
      <c r="AW1" s="248"/>
      <c r="AX1" s="248"/>
      <c r="AY1" s="248"/>
      <c r="AZ1" s="248"/>
      <c r="BA1" s="248"/>
      <c r="BB1" s="248"/>
      <c r="BC1" s="248"/>
      <c r="BD1" s="248"/>
      <c r="BE1" s="249"/>
      <c r="BF1" s="247" t="s">
        <v>377</v>
      </c>
      <c r="BG1" s="248"/>
      <c r="BH1" s="248"/>
      <c r="BI1" s="248"/>
      <c r="BJ1" s="248"/>
      <c r="BK1" s="248"/>
      <c r="BL1" s="248"/>
      <c r="BM1" s="248"/>
      <c r="BN1" s="248"/>
      <c r="BO1" s="248"/>
      <c r="BP1" s="248"/>
      <c r="BQ1" s="248"/>
      <c r="BR1" s="248"/>
      <c r="BS1" s="248"/>
      <c r="BT1" s="249"/>
      <c r="BU1" s="247" t="s">
        <v>443</v>
      </c>
      <c r="BV1" s="248"/>
      <c r="BW1" s="248"/>
      <c r="BX1" s="248"/>
      <c r="BY1" s="248"/>
      <c r="BZ1" s="248"/>
      <c r="CA1" s="248"/>
      <c r="CB1" s="248"/>
      <c r="CC1" s="248"/>
      <c r="CD1" s="248"/>
      <c r="CE1" s="248"/>
      <c r="CF1" s="248"/>
      <c r="CG1" s="248"/>
      <c r="CH1" s="248"/>
      <c r="CI1" s="249"/>
      <c r="CJ1" s="247" t="s">
        <v>491</v>
      </c>
      <c r="CK1" s="248"/>
      <c r="CL1" s="248"/>
      <c r="CM1" s="248"/>
      <c r="CN1" s="248"/>
      <c r="CO1" s="248"/>
      <c r="CP1" s="248"/>
      <c r="CQ1" s="248"/>
      <c r="CR1" s="248"/>
      <c r="CS1" s="248"/>
      <c r="CT1" s="248"/>
      <c r="CU1" s="248"/>
      <c r="CV1" s="248"/>
      <c r="CW1" s="248"/>
      <c r="CX1" s="249"/>
      <c r="CY1" s="247" t="s">
        <v>512</v>
      </c>
      <c r="CZ1" s="248"/>
      <c r="DA1" s="248"/>
      <c r="DB1" s="248"/>
      <c r="DC1" s="248"/>
      <c r="DD1" s="248"/>
      <c r="DE1" s="248"/>
      <c r="DF1" s="248"/>
      <c r="DG1" s="248"/>
      <c r="DH1" s="248"/>
      <c r="DI1" s="248"/>
      <c r="DJ1" s="248"/>
      <c r="DK1" s="248"/>
      <c r="DL1" s="248"/>
      <c r="DM1" s="249"/>
      <c r="DN1" s="114"/>
      <c r="DO1" s="11"/>
    </row>
    <row r="2" spans="1:123" ht="16" thickBot="1" x14ac:dyDescent="0.25">
      <c r="A2" s="15" t="s">
        <v>56</v>
      </c>
      <c r="B2" s="16" t="s">
        <v>58</v>
      </c>
      <c r="C2" s="17" t="s">
        <v>2</v>
      </c>
      <c r="D2" s="115" t="s">
        <v>168</v>
      </c>
      <c r="E2" s="19" t="s">
        <v>24</v>
      </c>
      <c r="F2" s="19" t="s">
        <v>28</v>
      </c>
      <c r="G2" s="19" t="s">
        <v>30</v>
      </c>
      <c r="H2" s="19" t="s">
        <v>57</v>
      </c>
      <c r="I2" s="19" t="s">
        <v>34</v>
      </c>
      <c r="J2" s="19" t="s">
        <v>170</v>
      </c>
      <c r="K2" s="19" t="s">
        <v>171</v>
      </c>
      <c r="L2" s="19" t="s">
        <v>172</v>
      </c>
      <c r="M2" s="20" t="s">
        <v>22</v>
      </c>
      <c r="N2" s="21" t="s">
        <v>36</v>
      </c>
      <c r="O2" s="22" t="s">
        <v>38</v>
      </c>
      <c r="P2" s="22" t="s">
        <v>40</v>
      </c>
      <c r="Q2" s="22" t="s">
        <v>42</v>
      </c>
      <c r="R2" s="22" t="s">
        <v>44</v>
      </c>
      <c r="S2" s="22" t="s">
        <v>18</v>
      </c>
      <c r="T2" s="22" t="s">
        <v>20</v>
      </c>
      <c r="U2" s="22" t="s">
        <v>173</v>
      </c>
      <c r="V2" s="22" t="s">
        <v>174</v>
      </c>
      <c r="W2" s="22" t="s">
        <v>175</v>
      </c>
      <c r="X2" s="23" t="s">
        <v>176</v>
      </c>
      <c r="Y2" s="24" t="s">
        <v>177</v>
      </c>
      <c r="Z2" s="25" t="s">
        <v>178</v>
      </c>
      <c r="AA2" s="25" t="s">
        <v>179</v>
      </c>
      <c r="AB2" s="25" t="s">
        <v>180</v>
      </c>
      <c r="AC2" s="25" t="s">
        <v>8</v>
      </c>
      <c r="AD2" s="25" t="s">
        <v>12</v>
      </c>
      <c r="AE2" s="25" t="s">
        <v>10</v>
      </c>
      <c r="AF2" s="26" t="s">
        <v>14</v>
      </c>
      <c r="AG2" s="27" t="s">
        <v>183</v>
      </c>
      <c r="AH2" s="28" t="s">
        <v>176</v>
      </c>
      <c r="AI2" s="28" t="s">
        <v>185</v>
      </c>
      <c r="AJ2" s="28" t="s">
        <v>186</v>
      </c>
      <c r="AK2" s="28" t="s">
        <v>180</v>
      </c>
      <c r="AL2" s="28" t="s">
        <v>187</v>
      </c>
      <c r="AM2" s="28" t="s">
        <v>188</v>
      </c>
      <c r="AN2" s="28" t="s">
        <v>189</v>
      </c>
      <c r="AO2" s="28" t="s">
        <v>26</v>
      </c>
      <c r="AP2" s="29" t="s">
        <v>16</v>
      </c>
      <c r="AQ2" s="30" t="s">
        <v>190</v>
      </c>
      <c r="AR2" s="31" t="s">
        <v>191</v>
      </c>
      <c r="AS2" s="31" t="s">
        <v>192</v>
      </c>
      <c r="AT2" s="31" t="s">
        <v>193</v>
      </c>
      <c r="AU2" s="31" t="s">
        <v>194</v>
      </c>
      <c r="AV2" s="31" t="s">
        <v>195</v>
      </c>
      <c r="AW2" s="31" t="s">
        <v>8</v>
      </c>
      <c r="AX2" s="31" t="s">
        <v>12</v>
      </c>
      <c r="AY2" s="31" t="s">
        <v>10</v>
      </c>
      <c r="AZ2" s="31" t="s">
        <v>14</v>
      </c>
      <c r="BA2" s="31" t="s">
        <v>196</v>
      </c>
      <c r="BB2" s="31" t="s">
        <v>191</v>
      </c>
      <c r="BC2" s="31" t="s">
        <v>197</v>
      </c>
      <c r="BD2" s="31" t="s">
        <v>198</v>
      </c>
      <c r="BE2" s="32" t="s">
        <v>199</v>
      </c>
      <c r="BF2" s="30" t="s">
        <v>190</v>
      </c>
      <c r="BG2" s="31" t="s">
        <v>191</v>
      </c>
      <c r="BH2" s="31" t="s">
        <v>192</v>
      </c>
      <c r="BI2" s="31" t="s">
        <v>193</v>
      </c>
      <c r="BJ2" s="31" t="s">
        <v>194</v>
      </c>
      <c r="BK2" s="31" t="s">
        <v>195</v>
      </c>
      <c r="BL2" s="31" t="s">
        <v>8</v>
      </c>
      <c r="BM2" s="31" t="s">
        <v>12</v>
      </c>
      <c r="BN2" s="31" t="s">
        <v>10</v>
      </c>
      <c r="BO2" s="31" t="s">
        <v>14</v>
      </c>
      <c r="BP2" s="31" t="s">
        <v>196</v>
      </c>
      <c r="BQ2" s="31" t="s">
        <v>191</v>
      </c>
      <c r="BR2" s="31" t="s">
        <v>197</v>
      </c>
      <c r="BS2" s="31" t="s">
        <v>198</v>
      </c>
      <c r="BT2" s="32" t="s">
        <v>199</v>
      </c>
      <c r="BU2" s="30" t="s">
        <v>190</v>
      </c>
      <c r="BV2" s="31" t="s">
        <v>191</v>
      </c>
      <c r="BW2" s="31" t="s">
        <v>192</v>
      </c>
      <c r="BX2" s="31" t="s">
        <v>193</v>
      </c>
      <c r="BY2" s="31" t="s">
        <v>194</v>
      </c>
      <c r="BZ2" s="31" t="s">
        <v>195</v>
      </c>
      <c r="CA2" s="31" t="s">
        <v>8</v>
      </c>
      <c r="CB2" s="31" t="s">
        <v>12</v>
      </c>
      <c r="CC2" s="31" t="s">
        <v>10</v>
      </c>
      <c r="CD2" s="31" t="s">
        <v>14</v>
      </c>
      <c r="CE2" s="31" t="s">
        <v>196</v>
      </c>
      <c r="CF2" s="31" t="s">
        <v>191</v>
      </c>
      <c r="CG2" s="31" t="s">
        <v>197</v>
      </c>
      <c r="CH2" s="31" t="s">
        <v>198</v>
      </c>
      <c r="CI2" s="32" t="s">
        <v>199</v>
      </c>
      <c r="CJ2" s="30" t="s">
        <v>190</v>
      </c>
      <c r="CK2" s="31" t="s">
        <v>191</v>
      </c>
      <c r="CL2" s="31" t="s">
        <v>192</v>
      </c>
      <c r="CM2" s="31" t="s">
        <v>193</v>
      </c>
      <c r="CN2" s="31" t="s">
        <v>194</v>
      </c>
      <c r="CO2" s="31" t="s">
        <v>195</v>
      </c>
      <c r="CP2" s="31" t="s">
        <v>8</v>
      </c>
      <c r="CQ2" s="31" t="s">
        <v>12</v>
      </c>
      <c r="CR2" s="31" t="s">
        <v>10</v>
      </c>
      <c r="CS2" s="31" t="s">
        <v>14</v>
      </c>
      <c r="CT2" s="31" t="s">
        <v>196</v>
      </c>
      <c r="CU2" s="31" t="s">
        <v>191</v>
      </c>
      <c r="CV2" s="31" t="s">
        <v>197</v>
      </c>
      <c r="CW2" s="31" t="s">
        <v>198</v>
      </c>
      <c r="CX2" s="32" t="s">
        <v>199</v>
      </c>
      <c r="CY2" s="30" t="s">
        <v>190</v>
      </c>
      <c r="CZ2" s="31" t="s">
        <v>191</v>
      </c>
      <c r="DA2" s="31" t="s">
        <v>192</v>
      </c>
      <c r="DB2" s="31" t="s">
        <v>193</v>
      </c>
      <c r="DC2" s="31" t="s">
        <v>194</v>
      </c>
      <c r="DD2" s="31" t="s">
        <v>195</v>
      </c>
      <c r="DE2" s="31" t="s">
        <v>8</v>
      </c>
      <c r="DF2" s="31" t="s">
        <v>12</v>
      </c>
      <c r="DG2" s="31" t="s">
        <v>10</v>
      </c>
      <c r="DH2" s="31" t="s">
        <v>14</v>
      </c>
      <c r="DI2" s="31" t="s">
        <v>196</v>
      </c>
      <c r="DJ2" s="31" t="s">
        <v>191</v>
      </c>
      <c r="DK2" s="31" t="s">
        <v>197</v>
      </c>
      <c r="DL2" s="31" t="s">
        <v>198</v>
      </c>
      <c r="DM2" s="32" t="s">
        <v>199</v>
      </c>
      <c r="DN2" s="11"/>
      <c r="DO2" s="11"/>
      <c r="DP2" s="11" t="s">
        <v>379</v>
      </c>
      <c r="DQ2" s="11" t="s">
        <v>380</v>
      </c>
      <c r="DR2" s="7" t="s">
        <v>381</v>
      </c>
      <c r="DS2" s="11" t="s">
        <v>382</v>
      </c>
    </row>
    <row r="3" spans="1:123" x14ac:dyDescent="0.2">
      <c r="A3" s="33">
        <v>1</v>
      </c>
      <c r="B3" s="34" t="s">
        <v>86</v>
      </c>
      <c r="C3" s="116">
        <v>14.383333333333333</v>
      </c>
      <c r="D3" s="117" t="s">
        <v>513</v>
      </c>
      <c r="E3" s="37">
        <v>2</v>
      </c>
      <c r="F3" s="118">
        <v>35470</v>
      </c>
      <c r="G3" s="119">
        <v>28.649315068493152</v>
      </c>
      <c r="H3" s="39" t="s">
        <v>385</v>
      </c>
      <c r="I3" s="119">
        <v>21.221917808219178</v>
      </c>
      <c r="J3" s="132">
        <v>72</v>
      </c>
      <c r="K3" s="132">
        <v>233</v>
      </c>
      <c r="L3" s="132">
        <v>4.41</v>
      </c>
      <c r="M3" s="40">
        <v>1</v>
      </c>
      <c r="N3" s="121">
        <v>0</v>
      </c>
      <c r="O3" s="122">
        <v>0</v>
      </c>
      <c r="P3" s="122">
        <v>0.27449249779346868</v>
      </c>
      <c r="Q3" s="122">
        <v>0.37440664556962028</v>
      </c>
      <c r="R3" s="122">
        <v>0.3170120320855615</v>
      </c>
      <c r="S3" s="42">
        <v>0.34570933882759092</v>
      </c>
      <c r="T3" s="42">
        <v>0.34570933882759092</v>
      </c>
      <c r="U3" s="42">
        <v>0.15169811320754717</v>
      </c>
      <c r="V3" s="42">
        <v>0.16569459172852599</v>
      </c>
      <c r="W3" s="42">
        <v>0.16569459172852599</v>
      </c>
      <c r="X3" s="43">
        <v>0.16569459172852599</v>
      </c>
      <c r="Y3" s="44">
        <v>18.567123287671233</v>
      </c>
      <c r="Z3" s="45">
        <v>123.20591511928447</v>
      </c>
      <c r="AA3" s="45">
        <v>31.597029320987652</v>
      </c>
      <c r="AB3" s="45">
        <v>0.32967032967032966</v>
      </c>
      <c r="AC3" s="45">
        <v>5.9</v>
      </c>
      <c r="AD3" s="45">
        <v>126.7</v>
      </c>
      <c r="AE3" s="45">
        <v>3.82</v>
      </c>
      <c r="AF3" s="45">
        <v>56.6</v>
      </c>
      <c r="AG3" s="128">
        <v>9</v>
      </c>
      <c r="AH3" s="49">
        <v>10</v>
      </c>
      <c r="AI3" s="49">
        <v>9</v>
      </c>
      <c r="AJ3" s="49">
        <v>10</v>
      </c>
      <c r="AK3" s="49">
        <v>9</v>
      </c>
      <c r="AL3" s="124">
        <v>4</v>
      </c>
      <c r="AM3" s="124">
        <v>6</v>
      </c>
      <c r="AN3" s="124">
        <v>3</v>
      </c>
      <c r="AO3" s="49">
        <v>10</v>
      </c>
      <c r="AP3" s="50">
        <v>1</v>
      </c>
      <c r="AQ3" s="51">
        <v>0</v>
      </c>
      <c r="AR3" s="52">
        <v>2088</v>
      </c>
      <c r="AS3" s="52"/>
      <c r="AT3" s="52"/>
      <c r="AU3" s="52"/>
      <c r="AV3" s="52"/>
      <c r="AW3" s="52"/>
      <c r="AX3" s="52"/>
      <c r="AY3" s="52"/>
      <c r="AZ3" s="52"/>
      <c r="BA3" s="52">
        <v>0</v>
      </c>
      <c r="BB3" s="52">
        <v>3110</v>
      </c>
      <c r="BC3" s="52"/>
      <c r="BD3" s="52"/>
      <c r="BE3" s="54"/>
      <c r="BF3" s="51">
        <v>0</v>
      </c>
      <c r="BG3" s="52">
        <v>1325</v>
      </c>
      <c r="BH3" s="52">
        <v>0</v>
      </c>
      <c r="BI3" s="52"/>
      <c r="BJ3" s="52">
        <v>0</v>
      </c>
      <c r="BK3" s="52">
        <v>0</v>
      </c>
      <c r="BL3" s="125">
        <v>0</v>
      </c>
      <c r="BM3" s="125">
        <v>0</v>
      </c>
      <c r="BN3" s="125">
        <v>0</v>
      </c>
      <c r="BO3" s="125">
        <v>0</v>
      </c>
      <c r="BP3" s="52">
        <v>0</v>
      </c>
      <c r="BQ3" s="52">
        <v>3034</v>
      </c>
      <c r="BR3" s="52">
        <v>0</v>
      </c>
      <c r="BS3" s="52"/>
      <c r="BT3" s="54"/>
      <c r="BU3" s="51">
        <v>1082</v>
      </c>
      <c r="BV3" s="52">
        <v>1744</v>
      </c>
      <c r="BW3" s="52">
        <v>7</v>
      </c>
      <c r="BX3" s="52"/>
      <c r="BY3" s="52">
        <v>182</v>
      </c>
      <c r="BZ3" s="52">
        <v>60</v>
      </c>
      <c r="CA3" s="125">
        <v>5.9</v>
      </c>
      <c r="CB3" s="125">
        <v>126.7</v>
      </c>
      <c r="CC3" s="53">
        <v>3.82</v>
      </c>
      <c r="CD3" s="53">
        <v>53.2</v>
      </c>
      <c r="CE3" s="52">
        <v>162</v>
      </c>
      <c r="CF3" s="52">
        <v>2788</v>
      </c>
      <c r="CG3" s="52">
        <v>20</v>
      </c>
      <c r="CH3" s="52"/>
      <c r="CI3" s="54"/>
      <c r="CJ3" s="51">
        <v>1491</v>
      </c>
      <c r="CK3" s="52">
        <v>2406</v>
      </c>
      <c r="CL3" s="52">
        <v>18</v>
      </c>
      <c r="CM3" s="52"/>
      <c r="CN3" s="52">
        <v>272</v>
      </c>
      <c r="CO3" s="52">
        <v>72</v>
      </c>
      <c r="CP3" s="53">
        <v>5.5</v>
      </c>
      <c r="CQ3" s="53">
        <v>87.5</v>
      </c>
      <c r="CR3" s="53">
        <v>3.28</v>
      </c>
      <c r="CS3" s="53">
        <v>54.5</v>
      </c>
      <c r="CT3" s="52">
        <v>402</v>
      </c>
      <c r="CU3" s="52">
        <v>2650</v>
      </c>
      <c r="CV3" s="52">
        <v>28</v>
      </c>
      <c r="CW3" s="52"/>
      <c r="CX3" s="54"/>
      <c r="CY3" s="51">
        <v>1272</v>
      </c>
      <c r="CZ3" s="52">
        <v>2212</v>
      </c>
      <c r="DA3" s="52">
        <v>18</v>
      </c>
      <c r="DB3" s="52"/>
      <c r="DC3" s="52">
        <v>218</v>
      </c>
      <c r="DD3" s="52">
        <v>39</v>
      </c>
      <c r="DE3" s="53">
        <v>5.8</v>
      </c>
      <c r="DF3" s="53">
        <v>69</v>
      </c>
      <c r="DG3" s="53">
        <v>3.54</v>
      </c>
      <c r="DH3" s="53">
        <v>56.6</v>
      </c>
      <c r="DI3" s="52">
        <v>625</v>
      </c>
      <c r="DJ3" s="52">
        <v>3772</v>
      </c>
      <c r="DK3" s="52">
        <v>54</v>
      </c>
      <c r="DL3" s="52"/>
      <c r="DM3" s="54"/>
      <c r="DN3" s="126"/>
      <c r="DO3" s="11">
        <v>1</v>
      </c>
      <c r="DP3" s="42" t="s">
        <v>386</v>
      </c>
      <c r="DQ3" s="7">
        <v>1</v>
      </c>
      <c r="DR3" s="127">
        <v>41517</v>
      </c>
      <c r="DS3" s="127">
        <v>43216</v>
      </c>
    </row>
    <row r="4" spans="1:123" x14ac:dyDescent="0.2">
      <c r="A4" s="33">
        <v>2</v>
      </c>
      <c r="B4" s="34" t="s">
        <v>90</v>
      </c>
      <c r="C4" s="116">
        <v>11.022222222222222</v>
      </c>
      <c r="D4" s="117" t="s">
        <v>432</v>
      </c>
      <c r="E4" s="37">
        <v>1</v>
      </c>
      <c r="F4" s="118">
        <v>35602</v>
      </c>
      <c r="G4" s="119">
        <v>28.287671232876711</v>
      </c>
      <c r="H4" s="39" t="s">
        <v>385</v>
      </c>
      <c r="I4" s="119">
        <v>20.860273972602741</v>
      </c>
      <c r="J4" s="132">
        <v>70</v>
      </c>
      <c r="K4" s="132">
        <v>224</v>
      </c>
      <c r="L4" s="132">
        <v>4.49</v>
      </c>
      <c r="M4" s="40">
        <v>2</v>
      </c>
      <c r="N4" s="121">
        <v>0</v>
      </c>
      <c r="O4" s="122">
        <v>0</v>
      </c>
      <c r="P4" s="122">
        <v>8.8240899561654276E-2</v>
      </c>
      <c r="Q4" s="122">
        <v>0.29407130194997044</v>
      </c>
      <c r="R4" s="122">
        <v>0.25804640718562877</v>
      </c>
      <c r="S4" s="42">
        <v>0.27605885456779961</v>
      </c>
      <c r="T4" s="42">
        <v>0.27605885456779961</v>
      </c>
      <c r="U4" s="42">
        <v>4.6470846120122755E-2</v>
      </c>
      <c r="V4" s="42">
        <v>4.6880907372400756E-2</v>
      </c>
      <c r="W4" s="42">
        <v>4.6880907372400756E-2</v>
      </c>
      <c r="X4" s="43">
        <v>4.6880907372400756E-2</v>
      </c>
      <c r="Y4" s="44">
        <v>19.208219178082192</v>
      </c>
      <c r="Z4" s="45">
        <v>110.2281833596663</v>
      </c>
      <c r="AA4" s="45">
        <v>32.137142857142855</v>
      </c>
      <c r="AB4" s="45">
        <v>0.26229508196721313</v>
      </c>
      <c r="AC4" s="45">
        <v>7.6</v>
      </c>
      <c r="AD4" s="45">
        <v>111.7</v>
      </c>
      <c r="AE4" s="45">
        <v>4.13</v>
      </c>
      <c r="AF4" s="45">
        <v>59.9</v>
      </c>
      <c r="AG4" s="128">
        <v>7</v>
      </c>
      <c r="AH4" s="49">
        <v>5</v>
      </c>
      <c r="AI4" s="49">
        <v>7</v>
      </c>
      <c r="AJ4" s="49">
        <v>9</v>
      </c>
      <c r="AK4" s="49">
        <v>7</v>
      </c>
      <c r="AL4" s="49">
        <v>9</v>
      </c>
      <c r="AM4" s="49">
        <v>5</v>
      </c>
      <c r="AN4" s="49">
        <v>5</v>
      </c>
      <c r="AO4" s="49">
        <v>7</v>
      </c>
      <c r="AP4" s="50">
        <v>0.25</v>
      </c>
      <c r="AQ4" s="56">
        <v>0</v>
      </c>
      <c r="AR4" s="57">
        <v>2630</v>
      </c>
      <c r="AS4" s="57"/>
      <c r="AT4" s="57"/>
      <c r="AU4" s="57"/>
      <c r="AV4" s="57"/>
      <c r="AW4" s="57"/>
      <c r="AX4" s="57"/>
      <c r="AY4" s="57"/>
      <c r="AZ4" s="57"/>
      <c r="BA4" s="57">
        <v>0</v>
      </c>
      <c r="BB4" s="57">
        <v>3263</v>
      </c>
      <c r="BC4" s="57"/>
      <c r="BD4" s="57"/>
      <c r="BE4" s="59"/>
      <c r="BF4" s="56">
        <v>0</v>
      </c>
      <c r="BG4" s="57">
        <v>2919</v>
      </c>
      <c r="BH4" s="57">
        <v>0</v>
      </c>
      <c r="BI4" s="57">
        <v>0</v>
      </c>
      <c r="BJ4" s="57">
        <v>0</v>
      </c>
      <c r="BK4" s="57">
        <v>0</v>
      </c>
      <c r="BL4" s="129">
        <v>0</v>
      </c>
      <c r="BM4" s="129">
        <v>0</v>
      </c>
      <c r="BN4" s="129">
        <v>0</v>
      </c>
      <c r="BO4" s="129">
        <v>0</v>
      </c>
      <c r="BP4" s="57">
        <v>0</v>
      </c>
      <c r="BQ4" s="57">
        <v>2118</v>
      </c>
      <c r="BR4" s="57">
        <v>0</v>
      </c>
      <c r="BS4" s="57"/>
      <c r="BT4" s="59"/>
      <c r="BU4" s="56">
        <v>439</v>
      </c>
      <c r="BV4" s="57">
        <v>3082</v>
      </c>
      <c r="BW4" s="57">
        <v>3</v>
      </c>
      <c r="BX4" s="57"/>
      <c r="BY4" s="57">
        <v>50</v>
      </c>
      <c r="BZ4" s="57">
        <v>15</v>
      </c>
      <c r="CA4" s="129">
        <v>8.8000000000000007</v>
      </c>
      <c r="CB4" s="129">
        <v>138</v>
      </c>
      <c r="CC4" s="58">
        <v>4.1399999999999997</v>
      </c>
      <c r="CD4" s="58">
        <v>67.7</v>
      </c>
      <c r="CE4" s="57">
        <v>24</v>
      </c>
      <c r="CF4" s="57">
        <v>2165</v>
      </c>
      <c r="CG4" s="57">
        <v>4</v>
      </c>
      <c r="CH4" s="57"/>
      <c r="CI4" s="59"/>
      <c r="CJ4" s="56">
        <v>1387</v>
      </c>
      <c r="CK4" s="57">
        <v>2796</v>
      </c>
      <c r="CL4" s="57">
        <v>15</v>
      </c>
      <c r="CM4" s="57"/>
      <c r="CN4" s="57">
        <v>183</v>
      </c>
      <c r="CO4" s="57">
        <v>48</v>
      </c>
      <c r="CP4" s="58">
        <v>7.6</v>
      </c>
      <c r="CQ4" s="58">
        <v>111.7</v>
      </c>
      <c r="CR4" s="58">
        <v>4.13</v>
      </c>
      <c r="CS4" s="58">
        <v>59.9</v>
      </c>
      <c r="CT4" s="57">
        <v>106</v>
      </c>
      <c r="CU4" s="57">
        <v>2281</v>
      </c>
      <c r="CV4" s="57">
        <v>9</v>
      </c>
      <c r="CW4" s="57"/>
      <c r="CX4" s="59"/>
      <c r="CY4" s="56">
        <v>1255</v>
      </c>
      <c r="CZ4" s="57">
        <v>2699</v>
      </c>
      <c r="DA4" s="57">
        <v>11</v>
      </c>
      <c r="DB4" s="57"/>
      <c r="DC4" s="57">
        <v>237</v>
      </c>
      <c r="DD4" s="57">
        <v>44</v>
      </c>
      <c r="DE4" s="58">
        <v>5.3</v>
      </c>
      <c r="DF4" s="58">
        <v>60.2</v>
      </c>
      <c r="DG4" s="58">
        <v>3.2</v>
      </c>
      <c r="DH4" s="58">
        <v>29.6</v>
      </c>
      <c r="DI4" s="57">
        <v>124</v>
      </c>
      <c r="DJ4" s="57">
        <v>2645</v>
      </c>
      <c r="DK4" s="57">
        <v>18</v>
      </c>
      <c r="DL4" s="57"/>
      <c r="DM4" s="59"/>
      <c r="DN4" s="126"/>
      <c r="DO4" s="11">
        <v>2</v>
      </c>
      <c r="DP4" s="42" t="s">
        <v>390</v>
      </c>
      <c r="DQ4" s="7">
        <v>1</v>
      </c>
      <c r="DR4" s="130">
        <v>41882</v>
      </c>
    </row>
    <row r="5" spans="1:123" x14ac:dyDescent="0.2">
      <c r="A5" s="33">
        <v>3</v>
      </c>
      <c r="B5" s="34" t="s">
        <v>92</v>
      </c>
      <c r="C5" s="116">
        <v>10.877777777777778</v>
      </c>
      <c r="D5" s="117" t="s">
        <v>501</v>
      </c>
      <c r="E5" s="37">
        <v>7</v>
      </c>
      <c r="F5" s="118">
        <v>35097</v>
      </c>
      <c r="G5" s="119">
        <v>29.671232876712327</v>
      </c>
      <c r="H5" s="39" t="s">
        <v>389</v>
      </c>
      <c r="I5" s="119">
        <v>22.243835616438357</v>
      </c>
      <c r="J5" s="132">
        <v>70</v>
      </c>
      <c r="K5" s="132">
        <v>224</v>
      </c>
      <c r="L5" s="132">
        <v>4.46</v>
      </c>
      <c r="M5" s="40">
        <v>1</v>
      </c>
      <c r="N5" s="121">
        <v>0</v>
      </c>
      <c r="O5" s="122">
        <v>4.2901716068642747E-3</v>
      </c>
      <c r="P5" s="122">
        <v>9.0787971069661216E-2</v>
      </c>
      <c r="Q5" s="122">
        <v>0.21322111169559882</v>
      </c>
      <c r="R5" s="122">
        <v>0.45809304113802385</v>
      </c>
      <c r="S5" s="42">
        <v>0.45809304113802385</v>
      </c>
      <c r="T5" s="42">
        <v>0.29776047673971551</v>
      </c>
      <c r="U5" s="42">
        <v>0.11072664359861592</v>
      </c>
      <c r="V5" s="42">
        <v>6.7187499999999997E-2</v>
      </c>
      <c r="W5" s="42">
        <v>8.8957071799307952E-2</v>
      </c>
      <c r="X5" s="43">
        <v>5.7822096669550169E-2</v>
      </c>
      <c r="Y5" s="44">
        <v>20.591780821917808</v>
      </c>
      <c r="Z5" s="45">
        <v>113.22402228742737</v>
      </c>
      <c r="AA5" s="45">
        <v>32.137142857142855</v>
      </c>
      <c r="AB5" s="45">
        <v>0.29757785467128028</v>
      </c>
      <c r="AC5" s="45">
        <v>7.8</v>
      </c>
      <c r="AD5" s="45">
        <v>129.69999999999999</v>
      </c>
      <c r="AE5" s="45">
        <v>4.78</v>
      </c>
      <c r="AF5" s="45">
        <v>62.6</v>
      </c>
      <c r="AG5" s="128">
        <v>8</v>
      </c>
      <c r="AH5" s="49">
        <v>6</v>
      </c>
      <c r="AI5" s="49">
        <v>3</v>
      </c>
      <c r="AJ5" s="49">
        <v>9</v>
      </c>
      <c r="AK5" s="49">
        <v>8</v>
      </c>
      <c r="AL5" s="49">
        <v>9</v>
      </c>
      <c r="AM5" s="49">
        <v>6</v>
      </c>
      <c r="AN5" s="49">
        <v>8</v>
      </c>
      <c r="AO5" s="49">
        <v>10</v>
      </c>
      <c r="AP5" s="50">
        <v>0</v>
      </c>
      <c r="AQ5" s="56">
        <v>0</v>
      </c>
      <c r="AR5" s="57">
        <v>2166</v>
      </c>
      <c r="AS5" s="57"/>
      <c r="AT5" s="57"/>
      <c r="AU5" s="57"/>
      <c r="AV5" s="57"/>
      <c r="AW5" s="57"/>
      <c r="AX5" s="57"/>
      <c r="AY5" s="57"/>
      <c r="AZ5" s="57"/>
      <c r="BA5" s="57">
        <v>0</v>
      </c>
      <c r="BB5" s="57">
        <v>3358</v>
      </c>
      <c r="BC5" s="57"/>
      <c r="BD5" s="57"/>
      <c r="BE5" s="59"/>
      <c r="BF5" s="56">
        <v>22</v>
      </c>
      <c r="BG5" s="57">
        <v>2809</v>
      </c>
      <c r="BH5" s="57">
        <v>0</v>
      </c>
      <c r="BI5" s="57"/>
      <c r="BJ5" s="57">
        <v>2</v>
      </c>
      <c r="BK5" s="57">
        <v>0</v>
      </c>
      <c r="BL5" s="129">
        <v>11</v>
      </c>
      <c r="BM5" s="129">
        <v>0</v>
      </c>
      <c r="BN5" s="129">
        <v>6</v>
      </c>
      <c r="BO5" s="129">
        <v>95.5</v>
      </c>
      <c r="BP5" s="57">
        <v>0</v>
      </c>
      <c r="BQ5" s="57">
        <v>2319</v>
      </c>
      <c r="BR5" s="57">
        <v>0</v>
      </c>
      <c r="BS5" s="57"/>
      <c r="BT5" s="59"/>
      <c r="BU5" s="56">
        <v>357</v>
      </c>
      <c r="BV5" s="57">
        <v>3266</v>
      </c>
      <c r="BW5" s="57">
        <v>4</v>
      </c>
      <c r="BX5" s="57"/>
      <c r="BY5" s="57">
        <v>60</v>
      </c>
      <c r="BZ5" s="57">
        <v>11</v>
      </c>
      <c r="CA5" s="129">
        <v>6</v>
      </c>
      <c r="CB5" s="129">
        <v>41</v>
      </c>
      <c r="CC5" s="58">
        <v>2.5299999999999998</v>
      </c>
      <c r="CD5" s="58">
        <v>33.299999999999997</v>
      </c>
      <c r="CE5" s="57">
        <v>120</v>
      </c>
      <c r="CF5" s="57">
        <v>1988</v>
      </c>
      <c r="CG5" s="57">
        <v>8</v>
      </c>
      <c r="CH5" s="57"/>
      <c r="CI5" s="59"/>
      <c r="CJ5" s="56">
        <v>992</v>
      </c>
      <c r="CK5" s="57">
        <v>3680</v>
      </c>
      <c r="CL5" s="57">
        <v>11</v>
      </c>
      <c r="CM5" s="57"/>
      <c r="CN5" s="57">
        <v>134</v>
      </c>
      <c r="CO5" s="57">
        <v>31</v>
      </c>
      <c r="CP5" s="58">
        <v>7.4</v>
      </c>
      <c r="CQ5" s="58">
        <v>109</v>
      </c>
      <c r="CR5" s="58">
        <v>4.78</v>
      </c>
      <c r="CS5" s="58">
        <v>62.6</v>
      </c>
      <c r="CT5" s="57">
        <v>224</v>
      </c>
      <c r="CU5" s="57">
        <v>2023</v>
      </c>
      <c r="CV5" s="57">
        <v>15</v>
      </c>
      <c r="CW5" s="57"/>
      <c r="CX5" s="59"/>
      <c r="CY5" s="56">
        <v>2254</v>
      </c>
      <c r="CZ5" s="57">
        <v>3282</v>
      </c>
      <c r="DA5" s="57">
        <v>23</v>
      </c>
      <c r="DB5" s="57"/>
      <c r="DC5" s="57">
        <v>289</v>
      </c>
      <c r="DD5" s="57">
        <v>86</v>
      </c>
      <c r="DE5" s="58">
        <v>7.8</v>
      </c>
      <c r="DF5" s="58">
        <v>129.69999999999999</v>
      </c>
      <c r="DG5" s="58">
        <v>4.47</v>
      </c>
      <c r="DH5" s="58">
        <v>56.6</v>
      </c>
      <c r="DI5" s="57">
        <v>129</v>
      </c>
      <c r="DJ5" s="57">
        <v>1920</v>
      </c>
      <c r="DK5" s="57">
        <v>19</v>
      </c>
      <c r="DL5" s="57"/>
      <c r="DM5" s="59"/>
      <c r="DN5" s="126"/>
      <c r="DO5" s="5">
        <v>3</v>
      </c>
      <c r="DP5" s="42" t="s">
        <v>393</v>
      </c>
      <c r="DQ5" s="7">
        <v>0.9</v>
      </c>
      <c r="DR5" s="130">
        <v>42247</v>
      </c>
    </row>
    <row r="6" spans="1:123" x14ac:dyDescent="0.2">
      <c r="A6" s="33">
        <v>4</v>
      </c>
      <c r="B6" s="34" t="s">
        <v>87</v>
      </c>
      <c r="C6" s="116">
        <v>10.666666666666666</v>
      </c>
      <c r="D6" s="117" t="s">
        <v>384</v>
      </c>
      <c r="E6" s="37">
        <v>1</v>
      </c>
      <c r="F6" s="118">
        <v>35060</v>
      </c>
      <c r="G6" s="119">
        <v>29.772602739726029</v>
      </c>
      <c r="H6" s="39" t="s">
        <v>514</v>
      </c>
      <c r="I6" s="119">
        <v>22.345205479452055</v>
      </c>
      <c r="J6" s="132">
        <v>70</v>
      </c>
      <c r="K6" s="132">
        <v>220</v>
      </c>
      <c r="L6" s="132">
        <v>4.5199999999999996</v>
      </c>
      <c r="M6" s="40">
        <v>2</v>
      </c>
      <c r="N6" s="121">
        <v>0</v>
      </c>
      <c r="O6" s="122">
        <v>0.29608469164846246</v>
      </c>
      <c r="P6" s="122">
        <v>0.15823817292006526</v>
      </c>
      <c r="Q6" s="122">
        <v>0.24315136972605478</v>
      </c>
      <c r="R6" s="122">
        <v>0.21044570378312147</v>
      </c>
      <c r="S6" s="42">
        <v>0.25326519771579198</v>
      </c>
      <c r="T6" s="42">
        <v>0.25326519771579198</v>
      </c>
      <c r="U6" s="42">
        <v>3.4194831013916502E-2</v>
      </c>
      <c r="V6" s="42">
        <v>1.1307953260459858E-2</v>
      </c>
      <c r="W6" s="42">
        <v>2.275139213718818E-2</v>
      </c>
      <c r="X6" s="43">
        <v>2.275139213718818E-2</v>
      </c>
      <c r="Y6" s="44">
        <v>18.69041095890411</v>
      </c>
      <c r="Z6" s="45">
        <v>105.4141563198929</v>
      </c>
      <c r="AA6" s="45">
        <v>31.563265306122446</v>
      </c>
      <c r="AB6" s="45">
        <v>0.25</v>
      </c>
      <c r="AC6" s="45">
        <v>8.1</v>
      </c>
      <c r="AD6" s="45">
        <v>91.2</v>
      </c>
      <c r="AE6" s="45">
        <v>3.76</v>
      </c>
      <c r="AF6" s="45">
        <v>57.5</v>
      </c>
      <c r="AG6" s="128">
        <v>6</v>
      </c>
      <c r="AH6" s="49">
        <v>2</v>
      </c>
      <c r="AI6" s="49">
        <v>9</v>
      </c>
      <c r="AJ6" s="49">
        <v>8</v>
      </c>
      <c r="AK6" s="49">
        <v>6</v>
      </c>
      <c r="AL6" s="49">
        <v>9</v>
      </c>
      <c r="AM6" s="49">
        <v>3</v>
      </c>
      <c r="AN6" s="49">
        <v>3</v>
      </c>
      <c r="AO6" s="49">
        <v>7</v>
      </c>
      <c r="AP6" s="50">
        <v>1</v>
      </c>
      <c r="AQ6" s="56">
        <v>0</v>
      </c>
      <c r="AR6" s="57">
        <v>2209</v>
      </c>
      <c r="AS6" s="57"/>
      <c r="AT6" s="57"/>
      <c r="AU6" s="57"/>
      <c r="AV6" s="57"/>
      <c r="AW6" s="57"/>
      <c r="AX6" s="57"/>
      <c r="AY6" s="57"/>
      <c r="AZ6" s="57"/>
      <c r="BA6" s="57">
        <v>0</v>
      </c>
      <c r="BB6" s="57">
        <v>4085</v>
      </c>
      <c r="BC6" s="57"/>
      <c r="BD6" s="57"/>
      <c r="BE6" s="59"/>
      <c r="BF6" s="56">
        <v>1549</v>
      </c>
      <c r="BG6" s="57">
        <v>3352</v>
      </c>
      <c r="BH6" s="57">
        <v>14</v>
      </c>
      <c r="BI6" s="57"/>
      <c r="BJ6" s="57">
        <v>219</v>
      </c>
      <c r="BK6" s="57">
        <v>63</v>
      </c>
      <c r="BL6" s="129">
        <v>7.1</v>
      </c>
      <c r="BM6" s="129">
        <v>108.5</v>
      </c>
      <c r="BN6" s="129">
        <v>3.73</v>
      </c>
      <c r="BO6" s="129">
        <v>52.1</v>
      </c>
      <c r="BP6" s="57">
        <v>213</v>
      </c>
      <c r="BQ6" s="57">
        <v>2599</v>
      </c>
      <c r="BR6" s="57">
        <v>18</v>
      </c>
      <c r="BS6" s="57"/>
      <c r="BT6" s="59"/>
      <c r="BU6" s="56">
        <v>744</v>
      </c>
      <c r="BV6" s="57">
        <v>2498</v>
      </c>
      <c r="BW6" s="57">
        <v>7</v>
      </c>
      <c r="BX6" s="57"/>
      <c r="BY6" s="57">
        <v>92</v>
      </c>
      <c r="BZ6" s="57">
        <v>23</v>
      </c>
      <c r="CA6" s="129">
        <v>8.1</v>
      </c>
      <c r="CB6" s="129">
        <v>88.5</v>
      </c>
      <c r="CC6" s="58">
        <v>3.7</v>
      </c>
      <c r="CD6" s="58">
        <v>57.5</v>
      </c>
      <c r="CE6" s="57">
        <v>32</v>
      </c>
      <c r="CF6" s="57">
        <v>2406</v>
      </c>
      <c r="CG6" s="57">
        <v>4</v>
      </c>
      <c r="CH6" s="57"/>
      <c r="CI6" s="59"/>
      <c r="CJ6" s="56">
        <v>1130</v>
      </c>
      <c r="CK6" s="57">
        <v>2486</v>
      </c>
      <c r="CL6" s="57">
        <v>8</v>
      </c>
      <c r="CM6" s="57"/>
      <c r="CN6" s="57">
        <v>224</v>
      </c>
      <c r="CO6" s="57">
        <v>39</v>
      </c>
      <c r="CP6" s="58">
        <v>5</v>
      </c>
      <c r="CQ6" s="58">
        <v>63.7</v>
      </c>
      <c r="CR6" s="58">
        <v>3.65</v>
      </c>
      <c r="CS6" s="58">
        <v>36.5</v>
      </c>
      <c r="CT6" s="57">
        <v>86</v>
      </c>
      <c r="CU6" s="57">
        <v>2515</v>
      </c>
      <c r="CV6" s="57">
        <v>5</v>
      </c>
      <c r="CW6" s="57"/>
      <c r="CX6" s="59"/>
      <c r="CY6" s="56">
        <v>1344</v>
      </c>
      <c r="CZ6" s="57">
        <v>3876</v>
      </c>
      <c r="DA6" s="57">
        <v>15</v>
      </c>
      <c r="DB6" s="57"/>
      <c r="DC6" s="57">
        <v>223</v>
      </c>
      <c r="DD6" s="57">
        <v>53</v>
      </c>
      <c r="DE6" s="58">
        <v>6</v>
      </c>
      <c r="DF6" s="58">
        <v>91.2</v>
      </c>
      <c r="DG6" s="58">
        <v>3.76</v>
      </c>
      <c r="DH6" s="58">
        <v>45.8</v>
      </c>
      <c r="DI6" s="57">
        <v>30</v>
      </c>
      <c r="DJ6" s="57">
        <v>2653</v>
      </c>
      <c r="DK6" s="57">
        <v>4</v>
      </c>
      <c r="DL6" s="57"/>
      <c r="DM6" s="59"/>
      <c r="DN6" s="126"/>
      <c r="DO6" s="5">
        <v>4</v>
      </c>
      <c r="DP6" s="42" t="s">
        <v>396</v>
      </c>
      <c r="DQ6" s="7">
        <v>0.9</v>
      </c>
      <c r="DR6" s="130">
        <v>42613</v>
      </c>
    </row>
    <row r="7" spans="1:123" x14ac:dyDescent="0.2">
      <c r="A7" s="33">
        <v>5</v>
      </c>
      <c r="B7" s="34" t="s">
        <v>88</v>
      </c>
      <c r="C7" s="116">
        <v>10.155555555555557</v>
      </c>
      <c r="D7" s="117" t="s">
        <v>384</v>
      </c>
      <c r="E7" s="37">
        <v>1</v>
      </c>
      <c r="F7" s="118">
        <v>34747</v>
      </c>
      <c r="G7" s="119">
        <v>30.63013698630137</v>
      </c>
      <c r="H7" s="39" t="s">
        <v>389</v>
      </c>
      <c r="I7" s="119">
        <v>23.202739726027396</v>
      </c>
      <c r="J7" s="132">
        <v>71</v>
      </c>
      <c r="K7" s="132">
        <v>214</v>
      </c>
      <c r="L7" s="132">
        <v>4.54</v>
      </c>
      <c r="M7" s="40">
        <v>1</v>
      </c>
      <c r="N7" s="121">
        <v>0</v>
      </c>
      <c r="O7" s="122">
        <v>8.6540077297933116E-2</v>
      </c>
      <c r="P7" s="122">
        <v>0.28935562805872755</v>
      </c>
      <c r="Q7" s="122">
        <v>0.19776044791041791</v>
      </c>
      <c r="R7" s="122">
        <v>0.20263440036759076</v>
      </c>
      <c r="S7" s="42">
        <v>0.24599501421315917</v>
      </c>
      <c r="T7" s="42">
        <v>0.24599501421315917</v>
      </c>
      <c r="U7" s="42">
        <v>5.9244532803180913E-2</v>
      </c>
      <c r="V7" s="42">
        <v>2.4123633622314362E-2</v>
      </c>
      <c r="W7" s="42">
        <v>4.1684083212747636E-2</v>
      </c>
      <c r="X7" s="43">
        <v>4.1684083212747636E-2</v>
      </c>
      <c r="Y7" s="44">
        <v>20.547945205479451</v>
      </c>
      <c r="Z7" s="45">
        <v>100.74427076530958</v>
      </c>
      <c r="AA7" s="45">
        <v>29.843681809164849</v>
      </c>
      <c r="AB7" s="45">
        <v>0.22929936305732485</v>
      </c>
      <c r="AC7" s="45">
        <v>8</v>
      </c>
      <c r="AD7" s="45">
        <v>95.1</v>
      </c>
      <c r="AE7" s="45">
        <v>4.03</v>
      </c>
      <c r="AF7" s="45">
        <v>56.2</v>
      </c>
      <c r="AG7" s="128">
        <v>6</v>
      </c>
      <c r="AH7" s="49">
        <v>4</v>
      </c>
      <c r="AI7" s="49">
        <v>3</v>
      </c>
      <c r="AJ7" s="49">
        <v>6</v>
      </c>
      <c r="AK7" s="49">
        <v>5</v>
      </c>
      <c r="AL7" s="49">
        <v>9</v>
      </c>
      <c r="AM7" s="49">
        <v>3</v>
      </c>
      <c r="AN7" s="49">
        <v>5</v>
      </c>
      <c r="AO7" s="49">
        <v>10</v>
      </c>
      <c r="AP7" s="50">
        <v>0.5</v>
      </c>
      <c r="AQ7" s="56">
        <v>0</v>
      </c>
      <c r="AR7" s="57">
        <v>2209</v>
      </c>
      <c r="AS7" s="57"/>
      <c r="AT7" s="57"/>
      <c r="AU7" s="57"/>
      <c r="AV7" s="57"/>
      <c r="AW7" s="57"/>
      <c r="AX7" s="57"/>
      <c r="AY7" s="57"/>
      <c r="AZ7" s="57"/>
      <c r="BA7" s="57">
        <v>0</v>
      </c>
      <c r="BB7" s="57">
        <v>4085</v>
      </c>
      <c r="BC7" s="57"/>
      <c r="BD7" s="57"/>
      <c r="BE7" s="59"/>
      <c r="BF7" s="56">
        <v>409</v>
      </c>
      <c r="BG7" s="57">
        <v>3352</v>
      </c>
      <c r="BH7" s="57">
        <v>5</v>
      </c>
      <c r="BI7" s="57"/>
      <c r="BJ7" s="57">
        <v>64</v>
      </c>
      <c r="BK7" s="57">
        <v>17</v>
      </c>
      <c r="BL7" s="129">
        <v>6.4</v>
      </c>
      <c r="BM7" s="129">
        <v>66.5</v>
      </c>
      <c r="BN7" s="129">
        <v>2.25</v>
      </c>
      <c r="BO7" s="129">
        <v>32.5</v>
      </c>
      <c r="BP7" s="57">
        <v>106</v>
      </c>
      <c r="BQ7" s="57">
        <v>2599</v>
      </c>
      <c r="BR7" s="57">
        <v>7</v>
      </c>
      <c r="BS7" s="57"/>
      <c r="BT7" s="59"/>
      <c r="BU7" s="56">
        <v>1160</v>
      </c>
      <c r="BV7" s="57">
        <v>2498</v>
      </c>
      <c r="BW7" s="57">
        <v>8</v>
      </c>
      <c r="BX7" s="57"/>
      <c r="BY7" s="57">
        <v>219</v>
      </c>
      <c r="BZ7" s="57">
        <v>48</v>
      </c>
      <c r="CA7" s="129">
        <v>5.3</v>
      </c>
      <c r="CB7" s="129">
        <v>85.1</v>
      </c>
      <c r="CC7" s="58">
        <v>3.31</v>
      </c>
      <c r="CD7" s="58">
        <v>46.2</v>
      </c>
      <c r="CE7" s="57">
        <v>259</v>
      </c>
      <c r="CF7" s="57">
        <v>2406</v>
      </c>
      <c r="CG7" s="57">
        <v>26</v>
      </c>
      <c r="CH7" s="57"/>
      <c r="CI7" s="59"/>
      <c r="CJ7" s="56">
        <v>840</v>
      </c>
      <c r="CK7" s="57">
        <v>2486</v>
      </c>
      <c r="CL7" s="57">
        <v>4</v>
      </c>
      <c r="CM7" s="57"/>
      <c r="CN7" s="57">
        <v>152</v>
      </c>
      <c r="CO7" s="57">
        <v>26</v>
      </c>
      <c r="CP7" s="58">
        <v>5.5</v>
      </c>
      <c r="CQ7" s="58">
        <v>63.1</v>
      </c>
      <c r="CR7" s="58">
        <v>3.14</v>
      </c>
      <c r="CS7" s="58">
        <v>26.8</v>
      </c>
      <c r="CT7" s="57">
        <v>149</v>
      </c>
      <c r="CU7" s="57">
        <v>2515</v>
      </c>
      <c r="CV7" s="57">
        <v>22</v>
      </c>
      <c r="CW7" s="57"/>
      <c r="CX7" s="59"/>
      <c r="CY7" s="56">
        <v>1259</v>
      </c>
      <c r="CZ7" s="57">
        <v>3876</v>
      </c>
      <c r="DA7" s="57">
        <v>16</v>
      </c>
      <c r="DB7" s="57"/>
      <c r="DC7" s="57">
        <v>157</v>
      </c>
      <c r="DD7" s="57">
        <v>36</v>
      </c>
      <c r="DE7" s="58">
        <v>8</v>
      </c>
      <c r="DF7" s="58">
        <v>95.1</v>
      </c>
      <c r="DG7" s="58">
        <v>4.03</v>
      </c>
      <c r="DH7" s="58">
        <v>56.2</v>
      </c>
      <c r="DI7" s="57">
        <v>64</v>
      </c>
      <c r="DJ7" s="57">
        <v>2653</v>
      </c>
      <c r="DK7" s="57">
        <v>8</v>
      </c>
      <c r="DL7" s="57"/>
      <c r="DM7" s="59"/>
      <c r="DN7" s="126"/>
      <c r="DO7" s="5">
        <v>5</v>
      </c>
      <c r="DP7" s="42" t="s">
        <v>399</v>
      </c>
      <c r="DQ7" s="7">
        <v>0.85</v>
      </c>
      <c r="DR7" s="130">
        <v>42983</v>
      </c>
    </row>
    <row r="8" spans="1:123" x14ac:dyDescent="0.2">
      <c r="A8" s="33">
        <v>6</v>
      </c>
      <c r="B8" s="34" t="s">
        <v>94</v>
      </c>
      <c r="C8" s="116">
        <v>9.7666666666666675</v>
      </c>
      <c r="D8" s="117" t="s">
        <v>515</v>
      </c>
      <c r="E8" s="37">
        <v>5</v>
      </c>
      <c r="F8" s="118">
        <v>35099</v>
      </c>
      <c r="G8" s="119">
        <v>29.665753424657535</v>
      </c>
      <c r="H8" s="39" t="s">
        <v>389</v>
      </c>
      <c r="I8" s="119">
        <v>22.238356164383561</v>
      </c>
      <c r="J8" s="132">
        <v>71</v>
      </c>
      <c r="K8" s="132">
        <v>229</v>
      </c>
      <c r="L8" s="132">
        <v>4.54</v>
      </c>
      <c r="M8" s="40">
        <v>3</v>
      </c>
      <c r="N8" s="121">
        <v>0</v>
      </c>
      <c r="O8" s="122">
        <v>0.18647166361974407</v>
      </c>
      <c r="P8" s="122">
        <v>0.31213377161640704</v>
      </c>
      <c r="Q8" s="122">
        <v>0.18508474576271186</v>
      </c>
      <c r="R8" s="122">
        <v>0.28558967201674806</v>
      </c>
      <c r="S8" s="42">
        <v>0.29886172181657755</v>
      </c>
      <c r="T8" s="42">
        <v>0.25403246354409093</v>
      </c>
      <c r="U8" s="42">
        <v>4.5240339302544771E-2</v>
      </c>
      <c r="V8" s="42">
        <v>6.6828675577156743E-2</v>
      </c>
      <c r="W8" s="42">
        <v>6.6828675577156743E-2</v>
      </c>
      <c r="X8" s="43">
        <v>5.6804374240583232E-2</v>
      </c>
      <c r="Y8" s="44">
        <v>18.583561643835615</v>
      </c>
      <c r="Z8" s="45">
        <v>107.80578507128922</v>
      </c>
      <c r="AA8" s="45">
        <v>31.93552866494743</v>
      </c>
      <c r="AB8" s="45">
        <v>0.28268551236749118</v>
      </c>
      <c r="AC8" s="45">
        <v>6.5</v>
      </c>
      <c r="AD8" s="45">
        <v>111.6</v>
      </c>
      <c r="AE8" s="45">
        <v>4.08</v>
      </c>
      <c r="AF8" s="45">
        <v>50.7</v>
      </c>
      <c r="AG8" s="128">
        <v>6</v>
      </c>
      <c r="AH8" s="49">
        <v>6</v>
      </c>
      <c r="AI8" s="49">
        <v>9</v>
      </c>
      <c r="AJ8" s="49">
        <v>8</v>
      </c>
      <c r="AK8" s="49">
        <v>8</v>
      </c>
      <c r="AL8" s="49">
        <v>6</v>
      </c>
      <c r="AM8" s="49">
        <v>5</v>
      </c>
      <c r="AN8" s="49">
        <v>5</v>
      </c>
      <c r="AO8" s="49">
        <v>6</v>
      </c>
      <c r="AP8" s="50">
        <v>0</v>
      </c>
      <c r="AQ8" s="56">
        <v>0</v>
      </c>
      <c r="AR8" s="57">
        <v>3556</v>
      </c>
      <c r="AS8" s="57"/>
      <c r="AT8" s="57"/>
      <c r="AU8" s="57"/>
      <c r="AV8" s="57"/>
      <c r="AW8" s="57"/>
      <c r="AX8" s="57"/>
      <c r="AY8" s="57"/>
      <c r="AZ8" s="57"/>
      <c r="BA8" s="57">
        <v>0</v>
      </c>
      <c r="BB8" s="57">
        <v>3789</v>
      </c>
      <c r="BC8" s="57"/>
      <c r="BD8" s="57"/>
      <c r="BE8" s="59"/>
      <c r="BF8" s="56">
        <v>1372</v>
      </c>
      <c r="BG8" s="57">
        <v>3518</v>
      </c>
      <c r="BH8" s="57">
        <v>18</v>
      </c>
      <c r="BI8" s="57"/>
      <c r="BJ8" s="57">
        <v>253</v>
      </c>
      <c r="BK8" s="57">
        <v>44</v>
      </c>
      <c r="BL8" s="129">
        <v>5.4</v>
      </c>
      <c r="BM8" s="129">
        <v>42.6</v>
      </c>
      <c r="BN8" s="129">
        <v>2.4900000000000002</v>
      </c>
      <c r="BO8" s="129">
        <v>30</v>
      </c>
      <c r="BP8" s="57">
        <v>158</v>
      </c>
      <c r="BQ8" s="57">
        <v>4687</v>
      </c>
      <c r="BR8" s="57">
        <v>16</v>
      </c>
      <c r="BS8" s="57"/>
      <c r="BT8" s="59"/>
      <c r="BU8" s="56">
        <v>1844</v>
      </c>
      <c r="BV8" s="57">
        <v>3639</v>
      </c>
      <c r="BW8" s="57">
        <v>17</v>
      </c>
      <c r="BX8" s="57"/>
      <c r="BY8" s="57">
        <v>283</v>
      </c>
      <c r="BZ8" s="57">
        <v>80</v>
      </c>
      <c r="CA8" s="129">
        <v>6.5</v>
      </c>
      <c r="CB8" s="129">
        <v>108.6</v>
      </c>
      <c r="CC8" s="58">
        <v>3.77</v>
      </c>
      <c r="CD8" s="58">
        <v>46.6</v>
      </c>
      <c r="CE8" s="57">
        <v>340</v>
      </c>
      <c r="CF8" s="57">
        <v>3358</v>
      </c>
      <c r="CG8" s="57">
        <v>26</v>
      </c>
      <c r="CH8" s="57"/>
      <c r="CI8" s="59"/>
      <c r="CJ8" s="56">
        <v>948</v>
      </c>
      <c r="CK8" s="57">
        <v>2717</v>
      </c>
      <c r="CL8" s="57">
        <v>9</v>
      </c>
      <c r="CM8" s="57"/>
      <c r="CN8" s="57">
        <v>167</v>
      </c>
      <c r="CO8" s="57">
        <v>47</v>
      </c>
      <c r="CP8" s="58">
        <v>5.7</v>
      </c>
      <c r="CQ8" s="58">
        <v>111.6</v>
      </c>
      <c r="CR8" s="58">
        <v>4.08</v>
      </c>
      <c r="CS8" s="58">
        <v>50.7</v>
      </c>
      <c r="CT8" s="57">
        <v>144</v>
      </c>
      <c r="CU8" s="57">
        <v>3183</v>
      </c>
      <c r="CV8" s="57">
        <v>23</v>
      </c>
      <c r="CW8" s="57"/>
      <c r="CX8" s="59"/>
      <c r="CY8" s="56">
        <v>1472</v>
      </c>
      <c r="CZ8" s="57">
        <v>3263</v>
      </c>
      <c r="DA8" s="57">
        <v>16</v>
      </c>
      <c r="DB8" s="57"/>
      <c r="DC8" s="57">
        <v>243</v>
      </c>
      <c r="DD8" s="57">
        <v>53</v>
      </c>
      <c r="DE8" s="58">
        <v>6.1</v>
      </c>
      <c r="DF8" s="58">
        <v>78.8</v>
      </c>
      <c r="DG8" s="58">
        <v>3.39</v>
      </c>
      <c r="DH8" s="58">
        <v>37.200000000000003</v>
      </c>
      <c r="DI8" s="57">
        <v>165</v>
      </c>
      <c r="DJ8" s="57">
        <v>2469</v>
      </c>
      <c r="DK8" s="57">
        <v>15</v>
      </c>
      <c r="DL8" s="57"/>
      <c r="DM8" s="59"/>
      <c r="DN8" s="126"/>
      <c r="DO8" s="5">
        <v>6</v>
      </c>
      <c r="DP8" s="42" t="s">
        <v>402</v>
      </c>
      <c r="DQ8" s="7">
        <v>0.7</v>
      </c>
      <c r="DR8" s="130"/>
    </row>
    <row r="9" spans="1:123" x14ac:dyDescent="0.2">
      <c r="A9" s="33">
        <v>7</v>
      </c>
      <c r="B9" s="34" t="s">
        <v>259</v>
      </c>
      <c r="C9" s="116">
        <v>8.2999999999999989</v>
      </c>
      <c r="D9" s="117" t="s">
        <v>410</v>
      </c>
      <c r="E9" s="37">
        <v>5</v>
      </c>
      <c r="F9" s="118">
        <v>35645</v>
      </c>
      <c r="G9" s="119">
        <v>28.169863013698631</v>
      </c>
      <c r="H9" s="39" t="s">
        <v>385</v>
      </c>
      <c r="I9" s="119">
        <v>20.742465753424657</v>
      </c>
      <c r="J9" s="132">
        <v>72</v>
      </c>
      <c r="K9" s="132">
        <v>200</v>
      </c>
      <c r="L9" s="132">
        <v>4.6500000000000004</v>
      </c>
      <c r="M9" s="40">
        <v>2</v>
      </c>
      <c r="N9" s="121">
        <v>0</v>
      </c>
      <c r="O9" s="122">
        <v>1.4626765299260255E-2</v>
      </c>
      <c r="P9" s="122">
        <v>0.16669385092154623</v>
      </c>
      <c r="Q9" s="122">
        <v>0.18655272492744276</v>
      </c>
      <c r="R9" s="122">
        <v>0.25684272821423287</v>
      </c>
      <c r="S9" s="42">
        <v>0.25684272821423287</v>
      </c>
      <c r="T9" s="42">
        <v>0.21831631898209794</v>
      </c>
      <c r="U9" s="42">
        <v>2.1152240467575842E-2</v>
      </c>
      <c r="V9" s="42">
        <v>4.4625719769673701E-2</v>
      </c>
      <c r="W9" s="42">
        <v>4.4625719769673701E-2</v>
      </c>
      <c r="X9" s="43">
        <v>3.7931861804222644E-2</v>
      </c>
      <c r="Y9" s="44">
        <v>18.087671232876712</v>
      </c>
      <c r="Z9" s="45">
        <v>85.555548470486684</v>
      </c>
      <c r="AA9" s="45">
        <v>27.121913580246911</v>
      </c>
      <c r="AB9" s="45">
        <v>0.22222222222222221</v>
      </c>
      <c r="AC9" s="45">
        <v>6.4</v>
      </c>
      <c r="AD9" s="45">
        <v>84.3</v>
      </c>
      <c r="AE9" s="45">
        <v>3.9</v>
      </c>
      <c r="AF9" s="45">
        <v>48.2</v>
      </c>
      <c r="AG9" s="128">
        <v>4</v>
      </c>
      <c r="AH9" s="49">
        <v>4</v>
      </c>
      <c r="AI9" s="49">
        <v>10</v>
      </c>
      <c r="AJ9" s="49">
        <v>1</v>
      </c>
      <c r="AK9" s="49">
        <v>5</v>
      </c>
      <c r="AL9" s="49">
        <v>6</v>
      </c>
      <c r="AM9" s="49">
        <v>2</v>
      </c>
      <c r="AN9" s="49">
        <v>4</v>
      </c>
      <c r="AO9" s="49">
        <v>7</v>
      </c>
      <c r="AP9" s="50">
        <v>0</v>
      </c>
      <c r="AQ9" s="56">
        <v>0</v>
      </c>
      <c r="AR9" s="57">
        <v>2419</v>
      </c>
      <c r="AS9" s="57"/>
      <c r="AT9" s="57"/>
      <c r="AU9" s="57"/>
      <c r="AV9" s="57"/>
      <c r="AW9" s="57"/>
      <c r="AX9" s="57"/>
      <c r="AY9" s="57"/>
      <c r="AZ9" s="57"/>
      <c r="BA9" s="57">
        <v>0</v>
      </c>
      <c r="BB9" s="57">
        <v>3180</v>
      </c>
      <c r="BC9" s="57"/>
      <c r="BD9" s="57"/>
      <c r="BE9" s="59"/>
      <c r="BF9" s="56">
        <v>14</v>
      </c>
      <c r="BG9" s="57">
        <v>2092</v>
      </c>
      <c r="BH9" s="57">
        <v>0</v>
      </c>
      <c r="BI9" s="57"/>
      <c r="BJ9" s="57">
        <v>2</v>
      </c>
      <c r="BK9" s="57">
        <v>0</v>
      </c>
      <c r="BL9" s="129">
        <v>7</v>
      </c>
      <c r="BM9" s="129">
        <v>0</v>
      </c>
      <c r="BN9" s="129">
        <v>0</v>
      </c>
      <c r="BO9" s="129">
        <v>0</v>
      </c>
      <c r="BP9" s="57">
        <v>73</v>
      </c>
      <c r="BQ9" s="57">
        <v>3856</v>
      </c>
      <c r="BR9" s="57">
        <v>9</v>
      </c>
      <c r="BS9" s="57"/>
      <c r="BT9" s="59"/>
      <c r="BU9" s="56">
        <v>983</v>
      </c>
      <c r="BV9" s="57">
        <v>2355</v>
      </c>
      <c r="BW9" s="57">
        <v>8</v>
      </c>
      <c r="BX9" s="57"/>
      <c r="BY9" s="57">
        <v>153</v>
      </c>
      <c r="BZ9" s="57">
        <v>34</v>
      </c>
      <c r="CA9" s="129">
        <v>6.4</v>
      </c>
      <c r="CB9" s="129">
        <v>84.3</v>
      </c>
      <c r="CC9" s="58">
        <v>3.75</v>
      </c>
      <c r="CD9" s="58">
        <v>48.2</v>
      </c>
      <c r="CE9" s="57">
        <v>39</v>
      </c>
      <c r="CF9" s="57">
        <v>3776</v>
      </c>
      <c r="CG9" s="57">
        <v>7</v>
      </c>
      <c r="CH9" s="57"/>
      <c r="CI9" s="59"/>
      <c r="CJ9" s="56">
        <v>1081</v>
      </c>
      <c r="CK9" s="57">
        <v>2609</v>
      </c>
      <c r="CL9" s="57">
        <v>12</v>
      </c>
      <c r="CM9" s="57"/>
      <c r="CN9" s="57">
        <v>177</v>
      </c>
      <c r="CO9" s="57">
        <v>33</v>
      </c>
      <c r="CP9" s="58">
        <v>6.1</v>
      </c>
      <c r="CQ9" s="58">
        <v>68.400000000000006</v>
      </c>
      <c r="CR9" s="58">
        <v>3.9</v>
      </c>
      <c r="CS9" s="58">
        <v>45.9</v>
      </c>
      <c r="CT9" s="57">
        <v>76</v>
      </c>
      <c r="CU9" s="57">
        <v>3593</v>
      </c>
      <c r="CV9" s="57">
        <v>11</v>
      </c>
      <c r="CW9" s="57"/>
      <c r="CX9" s="59"/>
      <c r="CY9" s="56">
        <v>1550</v>
      </c>
      <c r="CZ9" s="57">
        <v>2591</v>
      </c>
      <c r="DA9" s="57">
        <v>19</v>
      </c>
      <c r="DB9" s="57"/>
      <c r="DC9" s="57">
        <v>261</v>
      </c>
      <c r="DD9" s="57">
        <v>58</v>
      </c>
      <c r="DE9" s="58">
        <v>5.9</v>
      </c>
      <c r="DF9" s="58">
        <v>75.099999999999994</v>
      </c>
      <c r="DG9" s="58">
        <v>3.5</v>
      </c>
      <c r="DH9" s="58">
        <v>46.4</v>
      </c>
      <c r="DI9" s="57">
        <v>186</v>
      </c>
      <c r="DJ9" s="57">
        <v>4168</v>
      </c>
      <c r="DK9" s="57">
        <v>14</v>
      </c>
      <c r="DL9" s="57"/>
      <c r="DM9" s="59"/>
      <c r="DN9" s="126"/>
      <c r="DO9" s="5">
        <v>7</v>
      </c>
      <c r="DP9" s="42" t="s">
        <v>405</v>
      </c>
      <c r="DQ9" s="7">
        <v>0.65</v>
      </c>
    </row>
    <row r="10" spans="1:123" x14ac:dyDescent="0.2">
      <c r="A10" s="33">
        <v>8</v>
      </c>
      <c r="B10" s="34" t="s">
        <v>101</v>
      </c>
      <c r="C10" s="116">
        <v>8.1944444444444446</v>
      </c>
      <c r="D10" s="117" t="s">
        <v>495</v>
      </c>
      <c r="E10" s="37">
        <v>1</v>
      </c>
      <c r="F10" s="118">
        <v>35342</v>
      </c>
      <c r="G10" s="119">
        <v>29</v>
      </c>
      <c r="H10" s="39" t="s">
        <v>385</v>
      </c>
      <c r="I10" s="119">
        <v>21.572602739726026</v>
      </c>
      <c r="J10" s="132">
        <v>70</v>
      </c>
      <c r="K10" s="132">
        <v>216</v>
      </c>
      <c r="L10" s="132">
        <v>4.6399999999999997</v>
      </c>
      <c r="M10" s="40">
        <v>6</v>
      </c>
      <c r="N10" s="121">
        <v>0</v>
      </c>
      <c r="O10" s="122">
        <v>0</v>
      </c>
      <c r="P10" s="122">
        <v>3.0054644808743168E-2</v>
      </c>
      <c r="Q10" s="122">
        <v>0.1144244105409154</v>
      </c>
      <c r="R10" s="122">
        <v>0.30833094760950475</v>
      </c>
      <c r="S10" s="42">
        <v>0.30833094760950475</v>
      </c>
      <c r="T10" s="42">
        <v>0.30833094760950475</v>
      </c>
      <c r="U10" s="42">
        <v>1.6451612903225808E-2</v>
      </c>
      <c r="V10" s="42">
        <v>0.14347408829174665</v>
      </c>
      <c r="W10" s="42">
        <v>0.14347408829174665</v>
      </c>
      <c r="X10" s="43">
        <v>0.14347408829174665</v>
      </c>
      <c r="Y10" s="44">
        <v>20.934246575342467</v>
      </c>
      <c r="Z10" s="45">
        <v>93.19912276733011</v>
      </c>
      <c r="AA10" s="45">
        <v>30.98938775510204</v>
      </c>
      <c r="AB10" s="45">
        <v>0.31632653061224492</v>
      </c>
      <c r="AC10" s="45">
        <v>6.2</v>
      </c>
      <c r="AD10" s="45">
        <v>131.6</v>
      </c>
      <c r="AE10" s="45">
        <v>4.28</v>
      </c>
      <c r="AF10" s="45">
        <v>39.4</v>
      </c>
      <c r="AG10" s="128">
        <v>8</v>
      </c>
      <c r="AH10" s="49">
        <v>10</v>
      </c>
      <c r="AI10" s="49">
        <v>3</v>
      </c>
      <c r="AJ10" s="49">
        <v>2</v>
      </c>
      <c r="AK10" s="49">
        <v>8</v>
      </c>
      <c r="AL10" s="49">
        <v>5</v>
      </c>
      <c r="AM10" s="49">
        <v>7</v>
      </c>
      <c r="AN10" s="49">
        <v>6</v>
      </c>
      <c r="AO10" s="49">
        <v>2</v>
      </c>
      <c r="AP10" s="50">
        <v>0.25</v>
      </c>
      <c r="AQ10" s="56">
        <v>0</v>
      </c>
      <c r="AR10" s="57">
        <v>2261</v>
      </c>
      <c r="AS10" s="57"/>
      <c r="AT10" s="57"/>
      <c r="AU10" s="57"/>
      <c r="AV10" s="57"/>
      <c r="AW10" s="57"/>
      <c r="AX10" s="57"/>
      <c r="AY10" s="57"/>
      <c r="AZ10" s="57"/>
      <c r="BA10" s="57">
        <v>0</v>
      </c>
      <c r="BB10" s="57">
        <v>1979</v>
      </c>
      <c r="BC10" s="57"/>
      <c r="BD10" s="57"/>
      <c r="BE10" s="59"/>
      <c r="BF10" s="56">
        <v>0</v>
      </c>
      <c r="BG10" s="57">
        <v>1903</v>
      </c>
      <c r="BH10" s="57">
        <v>0</v>
      </c>
      <c r="BI10" s="57"/>
      <c r="BJ10" s="57">
        <v>0</v>
      </c>
      <c r="BK10" s="57">
        <v>0</v>
      </c>
      <c r="BL10" s="129">
        <v>0</v>
      </c>
      <c r="BM10" s="129">
        <v>0</v>
      </c>
      <c r="BN10" s="129">
        <v>0</v>
      </c>
      <c r="BO10" s="129">
        <v>0</v>
      </c>
      <c r="BP10" s="57">
        <v>0</v>
      </c>
      <c r="BQ10" s="57">
        <v>2914</v>
      </c>
      <c r="BR10" s="57">
        <v>0</v>
      </c>
      <c r="BS10" s="57"/>
      <c r="BT10" s="59"/>
      <c r="BU10" s="56">
        <v>165</v>
      </c>
      <c r="BV10" s="57">
        <v>2908</v>
      </c>
      <c r="BW10" s="57">
        <v>1</v>
      </c>
      <c r="BX10" s="57"/>
      <c r="BY10" s="57">
        <v>40</v>
      </c>
      <c r="BZ10" s="57">
        <v>11</v>
      </c>
      <c r="CA10" s="129">
        <v>4.0999999999999996</v>
      </c>
      <c r="CB10" s="129">
        <v>68.8</v>
      </c>
      <c r="CC10" s="58">
        <v>2.5</v>
      </c>
      <c r="CD10" s="58">
        <v>33.9</v>
      </c>
      <c r="CE10" s="57">
        <v>0</v>
      </c>
      <c r="CF10" s="57">
        <v>2582</v>
      </c>
      <c r="CG10" s="57">
        <v>0</v>
      </c>
      <c r="CH10" s="57"/>
      <c r="CI10" s="59"/>
      <c r="CJ10" s="56">
        <v>609</v>
      </c>
      <c r="CK10" s="57">
        <v>2668</v>
      </c>
      <c r="CL10" s="57">
        <v>5</v>
      </c>
      <c r="CM10" s="57"/>
      <c r="CN10" s="57">
        <v>98</v>
      </c>
      <c r="CO10" s="57">
        <v>31</v>
      </c>
      <c r="CP10" s="58">
        <v>6.2</v>
      </c>
      <c r="CQ10" s="58">
        <v>131.6</v>
      </c>
      <c r="CR10" s="58">
        <v>4.28</v>
      </c>
      <c r="CS10" s="58">
        <v>39.4</v>
      </c>
      <c r="CT10" s="57">
        <v>51</v>
      </c>
      <c r="CU10" s="57">
        <v>3100</v>
      </c>
      <c r="CV10" s="57">
        <v>6</v>
      </c>
      <c r="CW10" s="57"/>
      <c r="CX10" s="59"/>
      <c r="CY10" s="56">
        <v>778</v>
      </c>
      <c r="CZ10" s="57">
        <v>1409</v>
      </c>
      <c r="DA10" s="57">
        <v>9</v>
      </c>
      <c r="DB10" s="57"/>
      <c r="DC10" s="57">
        <v>189</v>
      </c>
      <c r="DD10" s="57">
        <v>38</v>
      </c>
      <c r="DE10" s="58">
        <v>4.0999999999999996</v>
      </c>
      <c r="DF10" s="58">
        <v>74.099999999999994</v>
      </c>
      <c r="DG10" s="58">
        <v>3.22</v>
      </c>
      <c r="DH10" s="58">
        <v>38</v>
      </c>
      <c r="DI10" s="57">
        <v>299</v>
      </c>
      <c r="DJ10" s="57">
        <v>2084</v>
      </c>
      <c r="DK10" s="57">
        <v>37</v>
      </c>
      <c r="DL10" s="57"/>
      <c r="DM10" s="59"/>
      <c r="DN10" s="126"/>
      <c r="DO10" s="5">
        <v>8</v>
      </c>
      <c r="DP10" s="42" t="s">
        <v>408</v>
      </c>
      <c r="DQ10" s="7">
        <v>0.65</v>
      </c>
      <c r="DR10" s="131"/>
    </row>
    <row r="11" spans="1:123" x14ac:dyDescent="0.2">
      <c r="A11" s="33">
        <v>9</v>
      </c>
      <c r="B11" s="34" t="s">
        <v>89</v>
      </c>
      <c r="C11" s="116">
        <v>7.8555555555555561</v>
      </c>
      <c r="D11" s="117" t="s">
        <v>426</v>
      </c>
      <c r="E11" s="37">
        <v>1</v>
      </c>
      <c r="F11" s="118">
        <v>35611</v>
      </c>
      <c r="G11" s="119">
        <v>28.263013698630136</v>
      </c>
      <c r="H11" s="39" t="s">
        <v>385</v>
      </c>
      <c r="I11" s="119">
        <v>20.835616438356166</v>
      </c>
      <c r="J11" s="132">
        <v>71</v>
      </c>
      <c r="K11" s="132">
        <v>213</v>
      </c>
      <c r="L11" s="132">
        <v>4.54</v>
      </c>
      <c r="M11" s="40">
        <v>2</v>
      </c>
      <c r="N11" s="121">
        <v>0</v>
      </c>
      <c r="O11" s="122">
        <v>0</v>
      </c>
      <c r="P11" s="122">
        <v>6.8607068607068611E-2</v>
      </c>
      <c r="Q11" s="122">
        <v>0.17801047120418848</v>
      </c>
      <c r="R11" s="122">
        <v>0.25098845484738258</v>
      </c>
      <c r="S11" s="42">
        <v>0.25098845484738258</v>
      </c>
      <c r="T11" s="42">
        <v>0.25098845484738258</v>
      </c>
      <c r="U11" s="42">
        <v>5.6740807989105767E-2</v>
      </c>
      <c r="V11" s="42">
        <v>5.9075604530149983E-2</v>
      </c>
      <c r="W11" s="42">
        <v>5.9075604530149983E-2</v>
      </c>
      <c r="X11" s="43">
        <v>5.9075604530149983E-2</v>
      </c>
      <c r="Y11" s="44">
        <v>19.183561643835617</v>
      </c>
      <c r="Z11" s="45">
        <v>100.27350314491093</v>
      </c>
      <c r="AA11" s="45">
        <v>29.704225352112676</v>
      </c>
      <c r="AB11" s="45">
        <v>0.21428571428571427</v>
      </c>
      <c r="AC11" s="45">
        <v>4.9000000000000004</v>
      </c>
      <c r="AD11" s="45">
        <v>67.5</v>
      </c>
      <c r="AE11" s="45">
        <v>2.98</v>
      </c>
      <c r="AF11" s="45">
        <v>32</v>
      </c>
      <c r="AG11" s="128">
        <v>6</v>
      </c>
      <c r="AH11" s="49">
        <v>6</v>
      </c>
      <c r="AI11" s="49">
        <v>7</v>
      </c>
      <c r="AJ11" s="49">
        <v>5</v>
      </c>
      <c r="AK11" s="49">
        <v>4</v>
      </c>
      <c r="AL11" s="49">
        <v>1</v>
      </c>
      <c r="AM11" s="49">
        <v>1</v>
      </c>
      <c r="AN11" s="49">
        <v>0</v>
      </c>
      <c r="AO11" s="49">
        <v>7</v>
      </c>
      <c r="AP11" s="50">
        <v>0</v>
      </c>
      <c r="AQ11" s="56">
        <v>0</v>
      </c>
      <c r="AR11" s="57">
        <v>4596</v>
      </c>
      <c r="AS11" s="57"/>
      <c r="AT11" s="57"/>
      <c r="AU11" s="57"/>
      <c r="AV11" s="57"/>
      <c r="AW11" s="57"/>
      <c r="AX11" s="57"/>
      <c r="AY11" s="57"/>
      <c r="AZ11" s="57"/>
      <c r="BA11" s="57">
        <v>0</v>
      </c>
      <c r="BB11" s="57">
        <v>2422</v>
      </c>
      <c r="BC11" s="57"/>
      <c r="BD11" s="57"/>
      <c r="BE11" s="59"/>
      <c r="BF11" s="56">
        <v>0</v>
      </c>
      <c r="BG11" s="57">
        <v>3321</v>
      </c>
      <c r="BH11" s="57">
        <v>0</v>
      </c>
      <c r="BI11" s="57">
        <v>0</v>
      </c>
      <c r="BJ11" s="57">
        <v>0</v>
      </c>
      <c r="BK11" s="57">
        <v>0</v>
      </c>
      <c r="BL11" s="129">
        <v>0</v>
      </c>
      <c r="BM11" s="129">
        <v>0</v>
      </c>
      <c r="BN11" s="129">
        <v>0</v>
      </c>
      <c r="BO11" s="129">
        <v>0</v>
      </c>
      <c r="BP11" s="57">
        <v>0</v>
      </c>
      <c r="BQ11" s="57">
        <v>2984</v>
      </c>
      <c r="BR11" s="57">
        <v>0</v>
      </c>
      <c r="BS11" s="57"/>
      <c r="BT11" s="59"/>
      <c r="BU11" s="56">
        <v>208</v>
      </c>
      <c r="BV11" s="57">
        <v>2553</v>
      </c>
      <c r="BW11" s="57">
        <v>3</v>
      </c>
      <c r="BX11" s="57"/>
      <c r="BY11" s="57">
        <v>53</v>
      </c>
      <c r="BZ11" s="57">
        <v>11</v>
      </c>
      <c r="CA11" s="129">
        <v>3.9</v>
      </c>
      <c r="CB11" s="129">
        <v>43.1</v>
      </c>
      <c r="CC11" s="58">
        <v>2.19</v>
      </c>
      <c r="CD11" s="58">
        <v>9.1</v>
      </c>
      <c r="CE11" s="57">
        <v>122</v>
      </c>
      <c r="CF11" s="57">
        <v>2257</v>
      </c>
      <c r="CG11" s="57">
        <v>13</v>
      </c>
      <c r="CH11" s="57"/>
      <c r="CI11" s="59"/>
      <c r="CJ11" s="56">
        <v>895</v>
      </c>
      <c r="CK11" s="57">
        <v>3527</v>
      </c>
      <c r="CL11" s="57">
        <v>11</v>
      </c>
      <c r="CM11" s="57"/>
      <c r="CN11" s="57">
        <v>182</v>
      </c>
      <c r="CO11" s="57">
        <v>39</v>
      </c>
      <c r="CP11" s="58">
        <v>4.9000000000000004</v>
      </c>
      <c r="CQ11" s="58">
        <v>67.5</v>
      </c>
      <c r="CR11" s="58">
        <v>2.98</v>
      </c>
      <c r="CS11" s="58">
        <v>25.1</v>
      </c>
      <c r="CT11" s="57">
        <v>125</v>
      </c>
      <c r="CU11" s="57">
        <v>2203</v>
      </c>
      <c r="CV11" s="57">
        <v>17</v>
      </c>
      <c r="CW11" s="57"/>
      <c r="CX11" s="59"/>
      <c r="CY11" s="56">
        <v>1394</v>
      </c>
      <c r="CZ11" s="57">
        <v>3056</v>
      </c>
      <c r="DA11" s="57">
        <v>18</v>
      </c>
      <c r="DB11" s="57"/>
      <c r="DC11" s="57">
        <v>285</v>
      </c>
      <c r="DD11" s="57">
        <v>50</v>
      </c>
      <c r="DE11" s="58">
        <v>4.9000000000000004</v>
      </c>
      <c r="DF11" s="58">
        <v>53.5</v>
      </c>
      <c r="DG11" s="58">
        <v>2.9</v>
      </c>
      <c r="DH11" s="58">
        <v>32</v>
      </c>
      <c r="DI11" s="57">
        <v>193</v>
      </c>
      <c r="DJ11" s="57">
        <v>3267</v>
      </c>
      <c r="DK11" s="57">
        <v>24</v>
      </c>
      <c r="DL11" s="57"/>
      <c r="DM11" s="59"/>
      <c r="DN11" s="126"/>
      <c r="DO11" s="5">
        <v>9</v>
      </c>
      <c r="DP11" s="42" t="s">
        <v>411</v>
      </c>
      <c r="DQ11" s="7">
        <v>0.65</v>
      </c>
      <c r="DR11" s="131"/>
    </row>
    <row r="12" spans="1:123" x14ac:dyDescent="0.2">
      <c r="A12" s="33">
        <v>10</v>
      </c>
      <c r="B12" s="34" t="s">
        <v>97</v>
      </c>
      <c r="C12" s="116">
        <v>7.5333333333333332</v>
      </c>
      <c r="D12" s="117" t="s">
        <v>516</v>
      </c>
      <c r="E12" s="37">
        <v>8</v>
      </c>
      <c r="F12" s="118">
        <v>34953</v>
      </c>
      <c r="G12" s="119">
        <v>30.065753424657533</v>
      </c>
      <c r="H12" s="39" t="s">
        <v>389</v>
      </c>
      <c r="I12" s="119">
        <v>22.638356164383563</v>
      </c>
      <c r="J12" s="132">
        <v>70</v>
      </c>
      <c r="K12" s="132">
        <v>202</v>
      </c>
      <c r="L12" s="132">
        <v>4.45</v>
      </c>
      <c r="M12" s="40">
        <v>4</v>
      </c>
      <c r="N12" s="121">
        <v>0</v>
      </c>
      <c r="O12" s="122">
        <v>0.13835616438356163</v>
      </c>
      <c r="P12" s="122">
        <v>0.23005747932146361</v>
      </c>
      <c r="Q12" s="122">
        <v>0.31134994300602509</v>
      </c>
      <c r="R12" s="122">
        <v>0.32717391304347826</v>
      </c>
      <c r="S12" s="42">
        <v>0.32717391304347826</v>
      </c>
      <c r="T12" s="42">
        <v>0.21266304347826087</v>
      </c>
      <c r="U12" s="42">
        <v>0.11761671395408821</v>
      </c>
      <c r="V12" s="42">
        <v>0.12560076898429989</v>
      </c>
      <c r="W12" s="42">
        <v>0.12560076898429989</v>
      </c>
      <c r="X12" s="43">
        <v>8.1640499839794933E-2</v>
      </c>
      <c r="Y12" s="44">
        <v>19.983561643835618</v>
      </c>
      <c r="Z12" s="45">
        <v>103.02469113272505</v>
      </c>
      <c r="AA12" s="45">
        <v>28.980816326530615</v>
      </c>
      <c r="AB12" s="45">
        <v>0.26900584795321636</v>
      </c>
      <c r="AC12" s="45">
        <v>6.6</v>
      </c>
      <c r="AD12" s="45">
        <v>107.2</v>
      </c>
      <c r="AE12" s="45">
        <v>3.68</v>
      </c>
      <c r="AF12" s="45">
        <v>59.1</v>
      </c>
      <c r="AG12" s="128">
        <v>4</v>
      </c>
      <c r="AH12" s="49">
        <v>8</v>
      </c>
      <c r="AI12" s="49">
        <v>5</v>
      </c>
      <c r="AJ12" s="49">
        <v>6</v>
      </c>
      <c r="AK12" s="49">
        <v>7</v>
      </c>
      <c r="AL12" s="49">
        <v>6</v>
      </c>
      <c r="AM12" s="49">
        <v>5</v>
      </c>
      <c r="AN12" s="49">
        <v>3</v>
      </c>
      <c r="AO12" s="49">
        <v>4</v>
      </c>
      <c r="AP12" s="50">
        <v>0</v>
      </c>
      <c r="AQ12" s="56">
        <v>0</v>
      </c>
      <c r="AR12" s="57">
        <v>875</v>
      </c>
      <c r="AS12" s="57"/>
      <c r="AT12" s="57"/>
      <c r="AU12" s="57"/>
      <c r="AV12" s="57"/>
      <c r="AW12" s="57"/>
      <c r="AX12" s="57"/>
      <c r="AY12" s="57"/>
      <c r="AZ12" s="57"/>
      <c r="BA12" s="57">
        <v>0</v>
      </c>
      <c r="BB12" s="57">
        <v>2911</v>
      </c>
      <c r="BC12" s="57"/>
      <c r="BD12" s="57"/>
      <c r="BE12" s="59"/>
      <c r="BF12" s="56">
        <v>535</v>
      </c>
      <c r="BG12" s="57">
        <v>1149</v>
      </c>
      <c r="BH12" s="57">
        <v>2</v>
      </c>
      <c r="BI12" s="57"/>
      <c r="BJ12" s="57">
        <v>136</v>
      </c>
      <c r="BK12" s="57">
        <v>30</v>
      </c>
      <c r="BL12" s="129">
        <v>3.9</v>
      </c>
      <c r="BM12" s="129">
        <v>59.5</v>
      </c>
      <c r="BN12" s="129">
        <v>2.6</v>
      </c>
      <c r="BO12" s="129">
        <v>38.700000000000003</v>
      </c>
      <c r="BP12" s="57">
        <v>71</v>
      </c>
      <c r="BQ12" s="57">
        <v>3231</v>
      </c>
      <c r="BR12" s="57">
        <v>8</v>
      </c>
      <c r="BS12" s="57"/>
      <c r="BT12" s="59"/>
      <c r="BU12" s="56">
        <v>1128</v>
      </c>
      <c r="BV12" s="57">
        <v>2517</v>
      </c>
      <c r="BW12" s="57">
        <v>10</v>
      </c>
      <c r="BX12" s="57"/>
      <c r="BY12" s="57">
        <v>171</v>
      </c>
      <c r="BZ12" s="57">
        <v>46</v>
      </c>
      <c r="CA12" s="129">
        <v>6.6</v>
      </c>
      <c r="CB12" s="129">
        <v>107.2</v>
      </c>
      <c r="CC12" s="58">
        <v>3.68</v>
      </c>
      <c r="CD12" s="58">
        <v>59.1</v>
      </c>
      <c r="CE12" s="57">
        <v>513</v>
      </c>
      <c r="CF12" s="57">
        <v>4616</v>
      </c>
      <c r="CG12" s="57">
        <v>49</v>
      </c>
      <c r="CH12" s="57"/>
      <c r="CI12" s="59"/>
      <c r="CJ12" s="56">
        <v>1456</v>
      </c>
      <c r="CK12" s="57">
        <v>2264</v>
      </c>
      <c r="CL12" s="57">
        <v>17</v>
      </c>
      <c r="CM12" s="57"/>
      <c r="CN12" s="57">
        <v>265</v>
      </c>
      <c r="CO12" s="57">
        <v>61</v>
      </c>
      <c r="CP12" s="58">
        <v>5.5</v>
      </c>
      <c r="CQ12" s="58">
        <v>68.599999999999994</v>
      </c>
      <c r="CR12" s="58">
        <v>3.15</v>
      </c>
      <c r="CS12" s="58">
        <v>38.9</v>
      </c>
      <c r="CT12" s="57">
        <v>456</v>
      </c>
      <c r="CU12" s="57">
        <v>3877</v>
      </c>
      <c r="CV12" s="57">
        <v>43</v>
      </c>
      <c r="CW12" s="57"/>
      <c r="CX12" s="59"/>
      <c r="CY12" s="56">
        <v>1414</v>
      </c>
      <c r="CZ12" s="57">
        <v>2399</v>
      </c>
      <c r="DA12" s="57">
        <v>13</v>
      </c>
      <c r="DB12" s="57"/>
      <c r="DC12" s="57">
        <v>248</v>
      </c>
      <c r="DD12" s="57">
        <v>51</v>
      </c>
      <c r="DE12" s="58">
        <v>5.7</v>
      </c>
      <c r="DF12" s="58">
        <v>61.3</v>
      </c>
      <c r="DG12" s="58">
        <v>2.99</v>
      </c>
      <c r="DH12" s="58">
        <v>42.6</v>
      </c>
      <c r="DI12" s="57">
        <v>392</v>
      </c>
      <c r="DJ12" s="57">
        <v>3121</v>
      </c>
      <c r="DK12" s="57">
        <v>40</v>
      </c>
      <c r="DL12" s="57"/>
      <c r="DM12" s="59"/>
      <c r="DN12" s="126"/>
      <c r="DO12" s="5">
        <v>10</v>
      </c>
      <c r="DP12" s="42" t="s">
        <v>414</v>
      </c>
      <c r="DQ12" s="7">
        <v>0.6</v>
      </c>
    </row>
    <row r="13" spans="1:123" x14ac:dyDescent="0.2">
      <c r="A13" s="33">
        <v>11</v>
      </c>
      <c r="B13" s="34" t="s">
        <v>276</v>
      </c>
      <c r="C13" s="116">
        <v>6.9611111111111112</v>
      </c>
      <c r="D13" s="117" t="s">
        <v>449</v>
      </c>
      <c r="E13" s="37">
        <v>2</v>
      </c>
      <c r="F13" s="118">
        <v>35367</v>
      </c>
      <c r="G13" s="119">
        <v>28.931506849315067</v>
      </c>
      <c r="H13" s="39" t="s">
        <v>385</v>
      </c>
      <c r="I13" s="119">
        <v>21.504109589041096</v>
      </c>
      <c r="J13" s="132">
        <v>74</v>
      </c>
      <c r="K13" s="132">
        <v>213</v>
      </c>
      <c r="L13" s="132">
        <v>4.4800000000000004</v>
      </c>
      <c r="M13" s="40">
        <v>0</v>
      </c>
      <c r="N13" s="121">
        <v>0</v>
      </c>
      <c r="O13" s="122">
        <v>0</v>
      </c>
      <c r="P13" s="122">
        <v>0.14745175655616033</v>
      </c>
      <c r="Q13" s="122">
        <v>0.22470564757533426</v>
      </c>
      <c r="R13" s="122">
        <v>0.26291402093701732</v>
      </c>
      <c r="S13" s="42">
        <v>0.26291402093701732</v>
      </c>
      <c r="T13" s="42">
        <v>0.26291402093701732</v>
      </c>
      <c r="U13" s="42">
        <v>6.3257948213700427E-2</v>
      </c>
      <c r="V13" s="42">
        <v>4.3422184006878764E-2</v>
      </c>
      <c r="W13" s="42">
        <v>5.3340066110289595E-2</v>
      </c>
      <c r="X13" s="43">
        <v>5.3340066110289595E-2</v>
      </c>
      <c r="Y13" s="44">
        <v>19.852054794520548</v>
      </c>
      <c r="Z13" s="45">
        <v>105.75418023455394</v>
      </c>
      <c r="AA13" s="45">
        <v>27.344594594594593</v>
      </c>
      <c r="AB13" s="45">
        <v>0.21359223300970873</v>
      </c>
      <c r="AC13" s="45">
        <v>6.9</v>
      </c>
      <c r="AD13" s="45">
        <v>106.2</v>
      </c>
      <c r="AE13" s="45">
        <v>4.95</v>
      </c>
      <c r="AF13" s="45">
        <v>56</v>
      </c>
      <c r="AG13" s="128">
        <v>7</v>
      </c>
      <c r="AH13" s="49">
        <v>5</v>
      </c>
      <c r="AI13" s="49">
        <v>5</v>
      </c>
      <c r="AJ13" s="49">
        <v>8</v>
      </c>
      <c r="AK13" s="49">
        <v>4</v>
      </c>
      <c r="AL13" s="49">
        <v>7</v>
      </c>
      <c r="AM13" s="49">
        <v>5</v>
      </c>
      <c r="AN13" s="49">
        <v>8</v>
      </c>
      <c r="AO13" s="49">
        <v>0</v>
      </c>
      <c r="AP13" s="50">
        <v>0</v>
      </c>
      <c r="AQ13" s="56">
        <v>0</v>
      </c>
      <c r="AR13" s="57">
        <v>1963</v>
      </c>
      <c r="AS13" s="57"/>
      <c r="AT13" s="57"/>
      <c r="AU13" s="57"/>
      <c r="AV13" s="57"/>
      <c r="AW13" s="57"/>
      <c r="AX13" s="57"/>
      <c r="AY13" s="57"/>
      <c r="AZ13" s="57"/>
      <c r="BA13" s="57">
        <v>0</v>
      </c>
      <c r="BB13" s="57">
        <v>3313</v>
      </c>
      <c r="BC13" s="57"/>
      <c r="BD13" s="57"/>
      <c r="BE13" s="59"/>
      <c r="BF13" s="56">
        <v>0</v>
      </c>
      <c r="BG13" s="57">
        <v>2073</v>
      </c>
      <c r="BH13" s="57">
        <v>0</v>
      </c>
      <c r="BI13" s="57"/>
      <c r="BJ13" s="57">
        <v>0</v>
      </c>
      <c r="BK13" s="57">
        <v>0</v>
      </c>
      <c r="BL13" s="129">
        <v>0</v>
      </c>
      <c r="BM13" s="129">
        <v>0</v>
      </c>
      <c r="BN13" s="129">
        <v>0</v>
      </c>
      <c r="BO13" s="129">
        <v>0</v>
      </c>
      <c r="BP13" s="57">
        <v>0</v>
      </c>
      <c r="BQ13" s="57">
        <v>3711</v>
      </c>
      <c r="BR13" s="57">
        <v>0</v>
      </c>
      <c r="BS13" s="57"/>
      <c r="BT13" s="59"/>
      <c r="BU13" s="56">
        <v>852</v>
      </c>
      <c r="BV13" s="57">
        <v>2699</v>
      </c>
      <c r="BW13" s="57">
        <v>6</v>
      </c>
      <c r="BX13" s="57"/>
      <c r="BY13" s="57">
        <v>115</v>
      </c>
      <c r="BZ13" s="57">
        <v>18</v>
      </c>
      <c r="CA13" s="129">
        <v>7.4</v>
      </c>
      <c r="CB13" s="129">
        <v>60.3</v>
      </c>
      <c r="CC13" s="58">
        <v>4.09</v>
      </c>
      <c r="CD13" s="58">
        <v>45.7</v>
      </c>
      <c r="CE13" s="57">
        <v>42</v>
      </c>
      <c r="CF13" s="57">
        <v>3364</v>
      </c>
      <c r="CG13" s="57">
        <v>7</v>
      </c>
      <c r="CH13" s="57"/>
      <c r="CI13" s="59"/>
      <c r="CJ13" s="56">
        <v>933</v>
      </c>
      <c r="CK13" s="57">
        <v>1960</v>
      </c>
      <c r="CL13" s="57">
        <v>5</v>
      </c>
      <c r="CM13" s="57"/>
      <c r="CN13" s="57">
        <v>158</v>
      </c>
      <c r="CO13" s="57">
        <v>32</v>
      </c>
      <c r="CP13" s="58">
        <v>5.9</v>
      </c>
      <c r="CQ13" s="58">
        <v>62.8</v>
      </c>
      <c r="CR13" s="58">
        <v>3.41</v>
      </c>
      <c r="CS13" s="58">
        <v>37.799999999999997</v>
      </c>
      <c r="CT13" s="57">
        <v>193</v>
      </c>
      <c r="CU13" s="57">
        <v>3051</v>
      </c>
      <c r="CV13" s="57">
        <v>21</v>
      </c>
      <c r="CW13" s="57"/>
      <c r="CX13" s="59"/>
      <c r="CY13" s="56">
        <v>1431</v>
      </c>
      <c r="CZ13" s="57">
        <v>3501</v>
      </c>
      <c r="DA13" s="57">
        <v>9</v>
      </c>
      <c r="DB13" s="57"/>
      <c r="DC13" s="57">
        <v>206</v>
      </c>
      <c r="DD13" s="57">
        <v>44</v>
      </c>
      <c r="DE13" s="58">
        <v>6.9</v>
      </c>
      <c r="DF13" s="58">
        <v>106.2</v>
      </c>
      <c r="DG13" s="58">
        <v>4.95</v>
      </c>
      <c r="DH13" s="58">
        <v>56</v>
      </c>
      <c r="DI13" s="57">
        <v>101</v>
      </c>
      <c r="DJ13" s="57">
        <v>2326</v>
      </c>
      <c r="DK13" s="57">
        <v>13</v>
      </c>
      <c r="DL13" s="57"/>
      <c r="DM13" s="59"/>
      <c r="DN13" s="126"/>
      <c r="DO13" s="11">
        <v>11</v>
      </c>
      <c r="DP13" s="42" t="s">
        <v>417</v>
      </c>
      <c r="DQ13" s="7">
        <v>0.55000000000000004</v>
      </c>
    </row>
    <row r="14" spans="1:123" x14ac:dyDescent="0.2">
      <c r="A14" s="33">
        <v>12</v>
      </c>
      <c r="B14" s="34" t="s">
        <v>93</v>
      </c>
      <c r="C14" s="116">
        <v>6.9</v>
      </c>
      <c r="D14" s="117" t="s">
        <v>398</v>
      </c>
      <c r="E14" s="37">
        <v>1</v>
      </c>
      <c r="F14" s="118">
        <v>35337</v>
      </c>
      <c r="G14" s="119">
        <v>29.013698630136986</v>
      </c>
      <c r="H14" s="39" t="s">
        <v>385</v>
      </c>
      <c r="I14" s="119">
        <v>21.586301369863012</v>
      </c>
      <c r="J14" s="132">
        <v>74</v>
      </c>
      <c r="K14" s="132">
        <v>228</v>
      </c>
      <c r="L14" s="132">
        <v>4.5199999999999996</v>
      </c>
      <c r="M14" s="40">
        <v>7</v>
      </c>
      <c r="N14" s="121">
        <v>0</v>
      </c>
      <c r="O14" s="122">
        <v>0</v>
      </c>
      <c r="P14" s="122">
        <v>1.6234779893849517E-2</v>
      </c>
      <c r="Q14" s="122">
        <v>0.12227266071167081</v>
      </c>
      <c r="R14" s="122">
        <v>0.11339874537558307</v>
      </c>
      <c r="S14" s="42">
        <v>0.11783570304362695</v>
      </c>
      <c r="T14" s="42">
        <v>0.11783570304362695</v>
      </c>
      <c r="U14" s="42">
        <v>6.9752694990488267E-3</v>
      </c>
      <c r="V14" s="42">
        <v>4.0251107828655833E-2</v>
      </c>
      <c r="W14" s="42">
        <v>4.0251107828655833E-2</v>
      </c>
      <c r="X14" s="43">
        <v>4.0251107828655833E-2</v>
      </c>
      <c r="Y14" s="44" t="s">
        <v>645</v>
      </c>
      <c r="Z14" s="45">
        <v>109.24739836788901</v>
      </c>
      <c r="AA14" s="45">
        <v>29.27027027027027</v>
      </c>
      <c r="AB14" s="45">
        <v>0.32</v>
      </c>
      <c r="AC14" s="45">
        <v>6.5</v>
      </c>
      <c r="AD14" s="45">
        <v>147.30000000000001</v>
      </c>
      <c r="AE14" s="45">
        <v>4.75</v>
      </c>
      <c r="AF14" s="45">
        <v>48.5</v>
      </c>
      <c r="AG14" s="128">
        <v>0</v>
      </c>
      <c r="AH14" s="49">
        <v>4</v>
      </c>
      <c r="AI14" s="49">
        <v>0</v>
      </c>
      <c r="AJ14" s="49">
        <v>9</v>
      </c>
      <c r="AK14" s="49">
        <v>9</v>
      </c>
      <c r="AL14" s="49">
        <v>6</v>
      </c>
      <c r="AM14" s="49">
        <v>7</v>
      </c>
      <c r="AN14" s="49">
        <v>8</v>
      </c>
      <c r="AO14" s="49">
        <v>1</v>
      </c>
      <c r="AP14" s="50">
        <v>1</v>
      </c>
      <c r="AQ14" s="56">
        <v>0</v>
      </c>
      <c r="AR14" s="57">
        <v>2673</v>
      </c>
      <c r="AS14" s="57"/>
      <c r="AT14" s="57"/>
      <c r="AU14" s="57"/>
      <c r="AV14" s="57"/>
      <c r="AW14" s="57"/>
      <c r="AX14" s="57"/>
      <c r="AY14" s="57"/>
      <c r="AZ14" s="57"/>
      <c r="BA14" s="57">
        <v>0</v>
      </c>
      <c r="BB14" s="57">
        <v>3230</v>
      </c>
      <c r="BC14" s="57"/>
      <c r="BD14" s="57"/>
      <c r="BE14" s="59"/>
      <c r="BF14" s="56">
        <v>0</v>
      </c>
      <c r="BG14" s="57">
        <v>2893</v>
      </c>
      <c r="BH14" s="57">
        <v>0</v>
      </c>
      <c r="BI14" s="57"/>
      <c r="BJ14" s="57">
        <v>0</v>
      </c>
      <c r="BK14" s="57">
        <v>0</v>
      </c>
      <c r="BL14" s="129">
        <v>0</v>
      </c>
      <c r="BM14" s="129">
        <v>0</v>
      </c>
      <c r="BN14" s="129">
        <v>0</v>
      </c>
      <c r="BO14" s="129">
        <v>0</v>
      </c>
      <c r="BP14" s="57">
        <v>0</v>
      </c>
      <c r="BQ14" s="57">
        <v>3890</v>
      </c>
      <c r="BR14" s="57">
        <v>0</v>
      </c>
      <c r="BS14" s="57"/>
      <c r="BT14" s="59"/>
      <c r="BU14" s="56">
        <v>104</v>
      </c>
      <c r="BV14" s="57">
        <v>2999</v>
      </c>
      <c r="BW14" s="57">
        <v>1</v>
      </c>
      <c r="BX14" s="57"/>
      <c r="BY14" s="57">
        <v>18</v>
      </c>
      <c r="BZ14" s="57">
        <v>7</v>
      </c>
      <c r="CA14" s="129">
        <v>5.8</v>
      </c>
      <c r="CB14" s="129">
        <v>164.2</v>
      </c>
      <c r="CC14" s="58">
        <v>4.22</v>
      </c>
      <c r="CD14" s="58">
        <v>23.1</v>
      </c>
      <c r="CE14" s="57">
        <v>0</v>
      </c>
      <c r="CF14" s="57">
        <v>3407</v>
      </c>
      <c r="CG14" s="57">
        <v>0</v>
      </c>
      <c r="CH14" s="57"/>
      <c r="CI14" s="59"/>
      <c r="CJ14" s="56">
        <v>813</v>
      </c>
      <c r="CK14" s="57">
        <v>3675</v>
      </c>
      <c r="CL14" s="57">
        <v>11</v>
      </c>
      <c r="CM14" s="57"/>
      <c r="CN14" s="57">
        <v>125</v>
      </c>
      <c r="CO14" s="57">
        <v>40</v>
      </c>
      <c r="CP14" s="58">
        <v>6.5</v>
      </c>
      <c r="CQ14" s="58">
        <v>147.30000000000001</v>
      </c>
      <c r="CR14" s="58">
        <v>4.75</v>
      </c>
      <c r="CS14" s="58">
        <v>48.5</v>
      </c>
      <c r="CT14" s="57">
        <v>22</v>
      </c>
      <c r="CU14" s="57">
        <v>3154</v>
      </c>
      <c r="CV14" s="57">
        <v>4</v>
      </c>
      <c r="CW14" s="57"/>
      <c r="CX14" s="59"/>
      <c r="CY14" s="56">
        <v>596</v>
      </c>
      <c r="CZ14" s="57">
        <v>3509</v>
      </c>
      <c r="DA14" s="57">
        <v>8</v>
      </c>
      <c r="DB14" s="57"/>
      <c r="DC14" s="57">
        <v>124</v>
      </c>
      <c r="DD14" s="57">
        <v>16</v>
      </c>
      <c r="DE14" s="58">
        <v>4.8</v>
      </c>
      <c r="DF14" s="58">
        <v>44</v>
      </c>
      <c r="DG14" s="58">
        <v>2.95</v>
      </c>
      <c r="DH14" s="58">
        <v>28.9</v>
      </c>
      <c r="DI14" s="57">
        <v>109</v>
      </c>
      <c r="DJ14" s="57">
        <v>2708</v>
      </c>
      <c r="DK14" s="57">
        <v>17</v>
      </c>
      <c r="DL14" s="57"/>
      <c r="DM14" s="59"/>
      <c r="DN14" s="126"/>
      <c r="DO14" s="11">
        <v>12</v>
      </c>
      <c r="DP14" s="42" t="s">
        <v>420</v>
      </c>
      <c r="DQ14" s="7">
        <v>0.5</v>
      </c>
    </row>
    <row r="15" spans="1:123" x14ac:dyDescent="0.2">
      <c r="A15" s="33">
        <v>13</v>
      </c>
      <c r="B15" s="34" t="s">
        <v>91</v>
      </c>
      <c r="C15" s="116">
        <v>6.8388888888888886</v>
      </c>
      <c r="D15" s="117" t="s">
        <v>509</v>
      </c>
      <c r="E15" s="37">
        <v>4</v>
      </c>
      <c r="F15" s="118">
        <v>35381</v>
      </c>
      <c r="G15" s="119">
        <v>28.893150684931506</v>
      </c>
      <c r="H15" s="39" t="s">
        <v>385</v>
      </c>
      <c r="I15" s="119">
        <v>21.465753424657535</v>
      </c>
      <c r="J15" s="132">
        <v>69</v>
      </c>
      <c r="K15" s="132">
        <v>197</v>
      </c>
      <c r="L15" s="132">
        <v>4.38</v>
      </c>
      <c r="M15" s="40">
        <v>4</v>
      </c>
      <c r="N15" s="121">
        <v>0</v>
      </c>
      <c r="O15" s="122">
        <v>0</v>
      </c>
      <c r="P15" s="122">
        <v>9.3161915408980805E-2</v>
      </c>
      <c r="Q15" s="122">
        <v>0.10456308886015149</v>
      </c>
      <c r="R15" s="122">
        <v>0.21505193257279073</v>
      </c>
      <c r="S15" s="42">
        <v>0.21505193257279073</v>
      </c>
      <c r="T15" s="42">
        <v>0.19354673931551167</v>
      </c>
      <c r="U15" s="42">
        <v>0.15518770322199232</v>
      </c>
      <c r="V15" s="42">
        <v>4.2458100558659215E-2</v>
      </c>
      <c r="W15" s="42">
        <v>9.8822901890325776E-2</v>
      </c>
      <c r="X15" s="43">
        <v>8.8940611701293207E-2</v>
      </c>
      <c r="Y15" s="44">
        <v>20.827397260273973</v>
      </c>
      <c r="Z15" s="45">
        <v>107.05323110646619</v>
      </c>
      <c r="AA15" s="45">
        <v>29.08863684099979</v>
      </c>
      <c r="AB15" s="45">
        <v>0.23076923076923078</v>
      </c>
      <c r="AC15" s="45">
        <v>5.7</v>
      </c>
      <c r="AD15" s="45">
        <v>77.900000000000006</v>
      </c>
      <c r="AE15" s="45">
        <v>3.76</v>
      </c>
      <c r="AF15" s="45">
        <v>44.2</v>
      </c>
      <c r="AG15" s="128">
        <v>3</v>
      </c>
      <c r="AH15" s="49">
        <v>8</v>
      </c>
      <c r="AI15" s="49">
        <v>3</v>
      </c>
      <c r="AJ15" s="49">
        <v>8</v>
      </c>
      <c r="AK15" s="49">
        <v>5</v>
      </c>
      <c r="AL15" s="49">
        <v>3</v>
      </c>
      <c r="AM15" s="49">
        <v>2</v>
      </c>
      <c r="AN15" s="49">
        <v>3</v>
      </c>
      <c r="AO15" s="49">
        <v>4</v>
      </c>
      <c r="AP15" s="50">
        <v>0</v>
      </c>
      <c r="AQ15" s="56">
        <v>0</v>
      </c>
      <c r="AR15" s="57">
        <v>1952</v>
      </c>
      <c r="AS15" s="57"/>
      <c r="AT15" s="57"/>
      <c r="AU15" s="57"/>
      <c r="AV15" s="57"/>
      <c r="AW15" s="57"/>
      <c r="AX15" s="57"/>
      <c r="AY15" s="57"/>
      <c r="AZ15" s="57"/>
      <c r="BA15" s="57">
        <v>0</v>
      </c>
      <c r="BB15" s="57">
        <v>2890</v>
      </c>
      <c r="BC15" s="57"/>
      <c r="BD15" s="57"/>
      <c r="BE15" s="59"/>
      <c r="BF15" s="56">
        <v>0</v>
      </c>
      <c r="BG15" s="57">
        <v>2659</v>
      </c>
      <c r="BH15" s="57">
        <v>0</v>
      </c>
      <c r="BI15" s="57">
        <v>0</v>
      </c>
      <c r="BJ15" s="57">
        <v>0</v>
      </c>
      <c r="BK15" s="57">
        <v>0</v>
      </c>
      <c r="BL15" s="129">
        <v>0</v>
      </c>
      <c r="BM15" s="129">
        <v>0</v>
      </c>
      <c r="BN15" s="129">
        <v>0</v>
      </c>
      <c r="BO15" s="129">
        <v>0</v>
      </c>
      <c r="BP15" s="57">
        <v>0</v>
      </c>
      <c r="BQ15" s="57">
        <v>2652</v>
      </c>
      <c r="BR15" s="57">
        <v>0</v>
      </c>
      <c r="BS15" s="57"/>
      <c r="BT15" s="59"/>
      <c r="BU15" s="56">
        <v>244</v>
      </c>
      <c r="BV15" s="57">
        <v>2627</v>
      </c>
      <c r="BW15" s="57">
        <v>1</v>
      </c>
      <c r="BX15" s="57"/>
      <c r="BY15" s="57">
        <v>47</v>
      </c>
      <c r="BZ15" s="57">
        <v>9</v>
      </c>
      <c r="CA15" s="129">
        <v>5.2</v>
      </c>
      <c r="CB15" s="129">
        <v>77.7</v>
      </c>
      <c r="CC15" s="58">
        <v>3.06</v>
      </c>
      <c r="CD15" s="58">
        <v>36.5</v>
      </c>
      <c r="CE15" s="57">
        <v>256</v>
      </c>
      <c r="CF15" s="57">
        <v>2740</v>
      </c>
      <c r="CG15" s="57">
        <v>20</v>
      </c>
      <c r="CH15" s="57"/>
      <c r="CI15" s="59"/>
      <c r="CJ15" s="56">
        <v>41</v>
      </c>
      <c r="CK15" s="57">
        <v>2030</v>
      </c>
      <c r="CL15" s="57">
        <v>0</v>
      </c>
      <c r="CM15" s="57"/>
      <c r="CN15" s="57">
        <v>13</v>
      </c>
      <c r="CO15" s="57">
        <v>3</v>
      </c>
      <c r="CP15" s="58">
        <v>3.2</v>
      </c>
      <c r="CQ15" s="58">
        <v>65</v>
      </c>
      <c r="CR15" s="58">
        <v>3.31</v>
      </c>
      <c r="CS15" s="58">
        <v>0</v>
      </c>
      <c r="CT15" s="57">
        <v>525</v>
      </c>
      <c r="CU15" s="57">
        <v>3383</v>
      </c>
      <c r="CV15" s="57">
        <v>43</v>
      </c>
      <c r="CW15" s="57"/>
      <c r="CX15" s="59"/>
      <c r="CY15" s="56">
        <v>1111</v>
      </c>
      <c r="CZ15" s="57">
        <v>2293</v>
      </c>
      <c r="DA15" s="57">
        <v>12</v>
      </c>
      <c r="DB15" s="57"/>
      <c r="DC15" s="57">
        <v>196</v>
      </c>
      <c r="DD15" s="57">
        <v>37</v>
      </c>
      <c r="DE15" s="58">
        <v>5.7</v>
      </c>
      <c r="DF15" s="58">
        <v>77.900000000000006</v>
      </c>
      <c r="DG15" s="58">
        <v>3.76</v>
      </c>
      <c r="DH15" s="58">
        <v>44.2</v>
      </c>
      <c r="DI15" s="57">
        <v>152</v>
      </c>
      <c r="DJ15" s="57">
        <v>3580</v>
      </c>
      <c r="DK15" s="57">
        <v>26</v>
      </c>
      <c r="DL15" s="57"/>
      <c r="DM15" s="59"/>
      <c r="DN15" s="126"/>
      <c r="DO15" s="11"/>
      <c r="DP15" s="42"/>
    </row>
    <row r="16" spans="1:123" x14ac:dyDescent="0.2">
      <c r="A16" s="33">
        <v>14</v>
      </c>
      <c r="B16" s="34" t="s">
        <v>95</v>
      </c>
      <c r="C16" s="116">
        <v>6.2055555555555557</v>
      </c>
      <c r="D16" s="117" t="s">
        <v>517</v>
      </c>
      <c r="E16" s="37">
        <v>2</v>
      </c>
      <c r="F16" s="118">
        <v>35177</v>
      </c>
      <c r="G16" s="119">
        <v>29.452054794520549</v>
      </c>
      <c r="H16" s="39" t="s">
        <v>389</v>
      </c>
      <c r="I16" s="119">
        <v>22.024657534246575</v>
      </c>
      <c r="J16" s="132">
        <v>70</v>
      </c>
      <c r="K16" s="132">
        <v>199</v>
      </c>
      <c r="L16" s="132">
        <v>4.5199999999999996</v>
      </c>
      <c r="M16" s="40">
        <v>7</v>
      </c>
      <c r="N16" s="121">
        <v>0</v>
      </c>
      <c r="O16" s="122">
        <v>0.3273542600896861</v>
      </c>
      <c r="P16" s="122">
        <v>0.37182502351834429</v>
      </c>
      <c r="Q16" s="122">
        <v>0.3366814757581611</v>
      </c>
      <c r="R16" s="122">
        <v>0.29807692307692307</v>
      </c>
      <c r="S16" s="42">
        <v>0.33495097329763368</v>
      </c>
      <c r="T16" s="42">
        <v>0.33495097329763368</v>
      </c>
      <c r="U16" s="42">
        <v>6.8738229755178903E-2</v>
      </c>
      <c r="V16" s="42">
        <v>9.0789473684210531E-2</v>
      </c>
      <c r="W16" s="42">
        <v>9.0789473684210531E-2</v>
      </c>
      <c r="X16" s="43">
        <v>9.0789473684210531E-2</v>
      </c>
      <c r="Y16" s="44">
        <v>18.36986301369863</v>
      </c>
      <c r="Z16" s="45">
        <v>95.351895943903116</v>
      </c>
      <c r="AA16" s="45">
        <v>28.550408163265306</v>
      </c>
      <c r="AB16" s="45">
        <v>0.20805369127516779</v>
      </c>
      <c r="AC16" s="45">
        <v>5.0999999999999996</v>
      </c>
      <c r="AD16" s="45">
        <v>73.5</v>
      </c>
      <c r="AE16" s="45">
        <v>3.6</v>
      </c>
      <c r="AF16" s="45">
        <v>45.5</v>
      </c>
      <c r="AG16" s="128">
        <v>9</v>
      </c>
      <c r="AH16" s="49">
        <v>9</v>
      </c>
      <c r="AI16" s="49">
        <v>10</v>
      </c>
      <c r="AJ16" s="49">
        <v>3</v>
      </c>
      <c r="AK16" s="49">
        <v>4</v>
      </c>
      <c r="AL16" s="49">
        <v>1</v>
      </c>
      <c r="AM16" s="49">
        <v>1</v>
      </c>
      <c r="AN16" s="49">
        <v>2</v>
      </c>
      <c r="AO16" s="49">
        <v>1</v>
      </c>
      <c r="AP16" s="50">
        <v>0</v>
      </c>
      <c r="AQ16" s="56">
        <v>0</v>
      </c>
      <c r="AR16" s="57">
        <v>2069</v>
      </c>
      <c r="AS16" s="57"/>
      <c r="AT16" s="57"/>
      <c r="AU16" s="57"/>
      <c r="AV16" s="57"/>
      <c r="AW16" s="57"/>
      <c r="AX16" s="57"/>
      <c r="AY16" s="57"/>
      <c r="AZ16" s="57"/>
      <c r="BA16" s="57">
        <v>0</v>
      </c>
      <c r="BB16" s="57">
        <v>2726</v>
      </c>
      <c r="BC16" s="57"/>
      <c r="BD16" s="57"/>
      <c r="BE16" s="59"/>
      <c r="BF16" s="56">
        <v>1186</v>
      </c>
      <c r="BG16" s="57">
        <v>1639</v>
      </c>
      <c r="BH16" s="57">
        <v>10</v>
      </c>
      <c r="BI16" s="57"/>
      <c r="BJ16" s="57">
        <v>245</v>
      </c>
      <c r="BK16" s="57">
        <v>64</v>
      </c>
      <c r="BL16" s="129">
        <v>4.8</v>
      </c>
      <c r="BM16" s="129">
        <v>78.7</v>
      </c>
      <c r="BN16" s="129">
        <v>3.13</v>
      </c>
      <c r="BO16" s="129">
        <v>22.1</v>
      </c>
      <c r="BP16" s="57">
        <v>201</v>
      </c>
      <c r="BQ16" s="57">
        <v>2598</v>
      </c>
      <c r="BR16" s="57">
        <v>22</v>
      </c>
      <c r="BS16" s="57"/>
      <c r="BT16" s="59"/>
      <c r="BU16" s="56">
        <v>1419</v>
      </c>
      <c r="BV16" s="57">
        <v>2451</v>
      </c>
      <c r="BW16" s="57">
        <v>5</v>
      </c>
      <c r="BX16" s="57"/>
      <c r="BY16" s="57">
        <v>311</v>
      </c>
      <c r="BZ16" s="57">
        <v>34</v>
      </c>
      <c r="CA16" s="129">
        <v>4.5999999999999996</v>
      </c>
      <c r="CB16" s="129">
        <v>29.2</v>
      </c>
      <c r="CC16" s="58">
        <v>2.42</v>
      </c>
      <c r="CD16" s="58">
        <v>29.6</v>
      </c>
      <c r="CE16" s="57">
        <v>162</v>
      </c>
      <c r="CF16" s="57">
        <v>1801</v>
      </c>
      <c r="CG16" s="57">
        <v>21</v>
      </c>
      <c r="CH16" s="57"/>
      <c r="CI16" s="59"/>
      <c r="CJ16" s="56">
        <v>1524</v>
      </c>
      <c r="CK16" s="57">
        <v>1991</v>
      </c>
      <c r="CL16" s="57">
        <v>15</v>
      </c>
      <c r="CM16" s="57"/>
      <c r="CN16" s="57">
        <v>298</v>
      </c>
      <c r="CO16" s="57">
        <v>62</v>
      </c>
      <c r="CP16" s="58">
        <v>5.0999999999999996</v>
      </c>
      <c r="CQ16" s="58">
        <v>73.5</v>
      </c>
      <c r="CR16" s="58">
        <v>3.6</v>
      </c>
      <c r="CS16" s="58">
        <v>45.5</v>
      </c>
      <c r="CT16" s="57">
        <v>219</v>
      </c>
      <c r="CU16" s="57">
        <v>3186</v>
      </c>
      <c r="CV16" s="57">
        <v>35</v>
      </c>
      <c r="CW16" s="57"/>
      <c r="CX16" s="59"/>
      <c r="CY16" s="56">
        <v>1305</v>
      </c>
      <c r="CZ16" s="57">
        <v>2264</v>
      </c>
      <c r="DA16" s="57">
        <v>11</v>
      </c>
      <c r="DB16" s="57"/>
      <c r="DC16" s="57">
        <v>286</v>
      </c>
      <c r="DD16" s="57">
        <v>39</v>
      </c>
      <c r="DE16" s="58">
        <v>4.5999999999999996</v>
      </c>
      <c r="DF16" s="58">
        <v>37.200000000000003</v>
      </c>
      <c r="DG16" s="58">
        <v>2.5</v>
      </c>
      <c r="DH16" s="58">
        <v>28</v>
      </c>
      <c r="DI16" s="57">
        <v>276</v>
      </c>
      <c r="DJ16" s="57">
        <v>3040</v>
      </c>
      <c r="DK16" s="57">
        <v>44</v>
      </c>
      <c r="DL16" s="57"/>
      <c r="DM16" s="59"/>
      <c r="DN16" s="126"/>
      <c r="DO16" s="11"/>
      <c r="DP16" s="122"/>
      <c r="DQ16" s="42"/>
      <c r="DR16" s="122"/>
    </row>
    <row r="17" spans="1:117" x14ac:dyDescent="0.2">
      <c r="A17" s="33">
        <v>15</v>
      </c>
      <c r="B17" s="34" t="s">
        <v>100</v>
      </c>
      <c r="C17" s="116">
        <v>5.6222222222222227</v>
      </c>
      <c r="D17" s="117" t="s">
        <v>395</v>
      </c>
      <c r="E17" s="37">
        <v>4</v>
      </c>
      <c r="F17" s="118">
        <v>35518</v>
      </c>
      <c r="G17" s="119">
        <v>28.517808219178082</v>
      </c>
      <c r="H17" s="39" t="s">
        <v>385</v>
      </c>
      <c r="I17" s="119">
        <v>21.090410958904108</v>
      </c>
      <c r="J17" s="132">
        <v>70</v>
      </c>
      <c r="K17" s="132">
        <v>202</v>
      </c>
      <c r="L17" s="132">
        <v>4.5999999999999996</v>
      </c>
      <c r="M17" s="40">
        <v>4</v>
      </c>
      <c r="N17" s="121">
        <v>0</v>
      </c>
      <c r="O17" s="122">
        <v>0</v>
      </c>
      <c r="P17" s="122">
        <v>0.14737864077669902</v>
      </c>
      <c r="Q17" s="122">
        <v>0.24507856239841069</v>
      </c>
      <c r="R17" s="122">
        <v>9.879839786381843E-2</v>
      </c>
      <c r="S17" s="42">
        <v>0.17193848013111457</v>
      </c>
      <c r="T17" s="42">
        <v>0.15474463211800313</v>
      </c>
      <c r="U17" s="42">
        <v>6.7340067340067339E-2</v>
      </c>
      <c r="V17" s="42">
        <v>2.8861401839517919E-2</v>
      </c>
      <c r="W17" s="42">
        <v>4.8100734589792631E-2</v>
      </c>
      <c r="X17" s="43">
        <v>4.3290661130813368E-2</v>
      </c>
      <c r="Y17" s="44">
        <v>19.438356164383563</v>
      </c>
      <c r="Z17" s="45">
        <v>90.22980907015058</v>
      </c>
      <c r="AA17" s="45">
        <v>28.980816326530615</v>
      </c>
      <c r="AB17" s="45">
        <v>0.17224880382775121</v>
      </c>
      <c r="AC17" s="45">
        <v>7.6</v>
      </c>
      <c r="AD17" s="45">
        <v>61.1</v>
      </c>
      <c r="AE17" s="45">
        <v>3.43</v>
      </c>
      <c r="AF17" s="45">
        <v>56.9</v>
      </c>
      <c r="AG17" s="128">
        <v>2</v>
      </c>
      <c r="AH17" s="49">
        <v>5</v>
      </c>
      <c r="AI17" s="49">
        <v>6</v>
      </c>
      <c r="AJ17" s="49">
        <v>2</v>
      </c>
      <c r="AK17" s="49">
        <v>2</v>
      </c>
      <c r="AL17" s="49">
        <v>9</v>
      </c>
      <c r="AM17" s="49">
        <v>0</v>
      </c>
      <c r="AN17" s="49">
        <v>1</v>
      </c>
      <c r="AO17" s="49">
        <v>4</v>
      </c>
      <c r="AP17" s="50">
        <v>0</v>
      </c>
      <c r="AQ17" s="56">
        <v>0</v>
      </c>
      <c r="AR17" s="57">
        <v>2084</v>
      </c>
      <c r="AS17" s="57"/>
      <c r="AT17" s="57"/>
      <c r="AU17" s="57"/>
      <c r="AV17" s="57"/>
      <c r="AW17" s="57"/>
      <c r="AX17" s="57"/>
      <c r="AY17" s="57"/>
      <c r="AZ17" s="57"/>
      <c r="BA17" s="57">
        <v>0</v>
      </c>
      <c r="BB17" s="57">
        <v>3452</v>
      </c>
      <c r="BC17" s="57"/>
      <c r="BD17" s="57"/>
      <c r="BE17" s="59"/>
      <c r="BF17" s="56">
        <v>0</v>
      </c>
      <c r="BG17" s="57">
        <v>2345</v>
      </c>
      <c r="BH17" s="57">
        <v>0</v>
      </c>
      <c r="BI17" s="57">
        <v>0</v>
      </c>
      <c r="BJ17" s="57">
        <v>0</v>
      </c>
      <c r="BK17" s="57">
        <v>0</v>
      </c>
      <c r="BL17" s="129">
        <v>0</v>
      </c>
      <c r="BM17" s="129">
        <v>0</v>
      </c>
      <c r="BN17" s="129">
        <v>0</v>
      </c>
      <c r="BO17" s="129">
        <v>0</v>
      </c>
      <c r="BP17" s="57">
        <v>0</v>
      </c>
      <c r="BQ17" s="57">
        <v>3249</v>
      </c>
      <c r="BR17" s="57">
        <v>0</v>
      </c>
      <c r="BS17" s="57"/>
      <c r="BT17" s="59"/>
      <c r="BU17" s="56">
        <v>464</v>
      </c>
      <c r="BV17" s="57">
        <v>1548</v>
      </c>
      <c r="BW17" s="57">
        <v>9</v>
      </c>
      <c r="BX17" s="57"/>
      <c r="BY17" s="57">
        <v>129</v>
      </c>
      <c r="BZ17" s="57">
        <v>28</v>
      </c>
      <c r="CA17" s="129">
        <v>3.6</v>
      </c>
      <c r="CB17" s="129">
        <v>52.7</v>
      </c>
      <c r="CC17" s="58">
        <v>2.09</v>
      </c>
      <c r="CD17" s="58">
        <v>25.6</v>
      </c>
      <c r="CE17" s="57">
        <v>295</v>
      </c>
      <c r="CF17" s="57">
        <v>3602</v>
      </c>
      <c r="CG17" s="57">
        <v>22</v>
      </c>
      <c r="CH17" s="57"/>
      <c r="CI17" s="59"/>
      <c r="CJ17" s="56">
        <v>1117</v>
      </c>
      <c r="CK17" s="57">
        <v>1973</v>
      </c>
      <c r="CL17" s="57">
        <v>14</v>
      </c>
      <c r="CM17" s="57"/>
      <c r="CN17" s="57">
        <v>209</v>
      </c>
      <c r="CO17" s="57">
        <v>36</v>
      </c>
      <c r="CP17" s="58">
        <v>5.3</v>
      </c>
      <c r="CQ17" s="58">
        <v>61.1</v>
      </c>
      <c r="CR17" s="58">
        <v>3.43</v>
      </c>
      <c r="CS17" s="58">
        <v>49.2</v>
      </c>
      <c r="CT17" s="57">
        <v>240</v>
      </c>
      <c r="CU17" s="57">
        <v>3564</v>
      </c>
      <c r="CV17" s="57">
        <v>27</v>
      </c>
      <c r="CW17" s="57"/>
      <c r="CX17" s="59"/>
      <c r="CY17" s="56">
        <v>427</v>
      </c>
      <c r="CZ17" s="57">
        <v>2090</v>
      </c>
      <c r="DA17" s="57">
        <v>3</v>
      </c>
      <c r="DB17" s="57"/>
      <c r="DC17" s="57">
        <v>56</v>
      </c>
      <c r="DD17" s="57">
        <v>7</v>
      </c>
      <c r="DE17" s="58">
        <v>7.6</v>
      </c>
      <c r="DF17" s="58">
        <v>51.4</v>
      </c>
      <c r="DG17" s="58">
        <v>2.95</v>
      </c>
      <c r="DH17" s="58">
        <v>56.9</v>
      </c>
      <c r="DI17" s="57">
        <v>91</v>
      </c>
      <c r="DJ17" s="57">
        <v>3153</v>
      </c>
      <c r="DK17" s="57">
        <v>7</v>
      </c>
      <c r="DL17" s="57"/>
      <c r="DM17" s="59"/>
    </row>
    <row r="18" spans="1:117" x14ac:dyDescent="0.2">
      <c r="A18" s="33">
        <v>16</v>
      </c>
      <c r="B18" s="34" t="s">
        <v>327</v>
      </c>
      <c r="C18" s="116">
        <v>5.177777777777778</v>
      </c>
      <c r="D18" s="117" t="s">
        <v>509</v>
      </c>
      <c r="E18" s="37">
        <v>4</v>
      </c>
      <c r="F18" s="118">
        <v>35266</v>
      </c>
      <c r="G18" s="119">
        <v>29.208219178082192</v>
      </c>
      <c r="H18" s="39" t="s">
        <v>389</v>
      </c>
      <c r="I18" s="119">
        <v>21.780821917808218</v>
      </c>
      <c r="J18" s="132">
        <v>71</v>
      </c>
      <c r="K18" s="132">
        <v>223</v>
      </c>
      <c r="L18" s="132">
        <v>4.54</v>
      </c>
      <c r="M18" s="40">
        <v>0</v>
      </c>
      <c r="N18" s="121">
        <v>0</v>
      </c>
      <c r="O18" s="122">
        <v>4.0482018452268877E-2</v>
      </c>
      <c r="P18" s="122">
        <v>0.18017514440096888</v>
      </c>
      <c r="Q18" s="122">
        <v>0.13929429152041381</v>
      </c>
      <c r="R18" s="122">
        <v>0.16805721096543505</v>
      </c>
      <c r="S18" s="42">
        <v>0.17411617768320198</v>
      </c>
      <c r="T18" s="42">
        <v>0.15670455991488177</v>
      </c>
      <c r="U18" s="42">
        <v>0.16523795447827372</v>
      </c>
      <c r="V18" s="42">
        <v>0.16564245810055866</v>
      </c>
      <c r="W18" s="42">
        <v>0.16564245810055866</v>
      </c>
      <c r="X18" s="43">
        <v>0.1490782122905028</v>
      </c>
      <c r="Y18" s="44">
        <v>19.126027397260273</v>
      </c>
      <c r="Z18" s="45">
        <v>104.98117934889736</v>
      </c>
      <c r="AA18" s="45">
        <v>31.098789922634399</v>
      </c>
      <c r="AB18" s="45">
        <v>0.23636363636363636</v>
      </c>
      <c r="AC18" s="45">
        <v>6.6</v>
      </c>
      <c r="AD18" s="45">
        <v>59.6</v>
      </c>
      <c r="AE18" s="45">
        <v>3.49</v>
      </c>
      <c r="AF18" s="45">
        <v>51.4</v>
      </c>
      <c r="AG18" s="128">
        <v>2</v>
      </c>
      <c r="AH18" s="49">
        <v>10</v>
      </c>
      <c r="AI18" s="49">
        <v>7</v>
      </c>
      <c r="AJ18" s="49">
        <v>7</v>
      </c>
      <c r="AK18" s="49">
        <v>5</v>
      </c>
      <c r="AL18" s="49">
        <v>6</v>
      </c>
      <c r="AM18" s="49">
        <v>0</v>
      </c>
      <c r="AN18" s="49">
        <v>2</v>
      </c>
      <c r="AO18" s="49">
        <v>0</v>
      </c>
      <c r="AP18" s="50">
        <v>0</v>
      </c>
      <c r="AQ18" s="56">
        <v>0</v>
      </c>
      <c r="AR18" s="57">
        <v>1952</v>
      </c>
      <c r="AS18" s="57"/>
      <c r="AT18" s="57"/>
      <c r="AU18" s="57"/>
      <c r="AV18" s="57"/>
      <c r="AW18" s="57"/>
      <c r="AX18" s="57"/>
      <c r="AY18" s="57"/>
      <c r="AZ18" s="57"/>
      <c r="BA18" s="57">
        <v>0</v>
      </c>
      <c r="BB18" s="57">
        <v>2890</v>
      </c>
      <c r="BC18" s="57"/>
      <c r="BD18" s="57"/>
      <c r="BE18" s="59"/>
      <c r="BF18" s="56">
        <v>119</v>
      </c>
      <c r="BG18" s="57">
        <v>2659</v>
      </c>
      <c r="BH18" s="57">
        <v>1</v>
      </c>
      <c r="BI18" s="57"/>
      <c r="BJ18" s="57">
        <v>14</v>
      </c>
      <c r="BK18" s="57">
        <v>9</v>
      </c>
      <c r="BL18" s="129">
        <v>8.5</v>
      </c>
      <c r="BM18" s="129">
        <v>392.9</v>
      </c>
      <c r="BN18" s="129">
        <v>7.86</v>
      </c>
      <c r="BO18" s="129">
        <v>52.1</v>
      </c>
      <c r="BP18" s="57">
        <v>96</v>
      </c>
      <c r="BQ18" s="57">
        <v>2652</v>
      </c>
      <c r="BR18" s="57">
        <v>6</v>
      </c>
      <c r="BS18" s="57"/>
      <c r="BT18" s="59"/>
      <c r="BU18" s="56">
        <v>364</v>
      </c>
      <c r="BV18" s="57">
        <v>2627</v>
      </c>
      <c r="BW18" s="57">
        <v>9</v>
      </c>
      <c r="BX18" s="57"/>
      <c r="BY18" s="57">
        <v>55</v>
      </c>
      <c r="BZ18" s="57">
        <v>13</v>
      </c>
      <c r="CA18" s="129">
        <v>6.6</v>
      </c>
      <c r="CB18" s="129">
        <v>42.2</v>
      </c>
      <c r="CC18" s="58">
        <v>1.95</v>
      </c>
      <c r="CD18" s="58">
        <v>51.4</v>
      </c>
      <c r="CE18" s="57">
        <v>603</v>
      </c>
      <c r="CF18" s="57">
        <v>2740</v>
      </c>
      <c r="CG18" s="57">
        <v>65</v>
      </c>
      <c r="CH18" s="57"/>
      <c r="CI18" s="59"/>
      <c r="CJ18" s="56">
        <v>195</v>
      </c>
      <c r="CK18" s="57">
        <v>2030</v>
      </c>
      <c r="CL18" s="57">
        <v>6</v>
      </c>
      <c r="CM18" s="57"/>
      <c r="CN18" s="57">
        <v>32</v>
      </c>
      <c r="CO18" s="57">
        <v>2</v>
      </c>
      <c r="CP18" s="58">
        <v>6.1</v>
      </c>
      <c r="CQ18" s="58">
        <v>16.3</v>
      </c>
      <c r="CR18" s="58">
        <v>1.59</v>
      </c>
      <c r="CS18" s="58">
        <v>32.799999999999997</v>
      </c>
      <c r="CT18" s="57">
        <v>559</v>
      </c>
      <c r="CU18" s="57">
        <v>3383</v>
      </c>
      <c r="CV18" s="57">
        <v>56</v>
      </c>
      <c r="CW18" s="57"/>
      <c r="CX18" s="59"/>
      <c r="CY18" s="56">
        <v>394</v>
      </c>
      <c r="CZ18" s="57">
        <v>2293</v>
      </c>
      <c r="DA18" s="57">
        <v>12</v>
      </c>
      <c r="DB18" s="57"/>
      <c r="DC18" s="57">
        <v>78</v>
      </c>
      <c r="DD18" s="57">
        <v>15</v>
      </c>
      <c r="DE18" s="58">
        <v>5.0999999999999996</v>
      </c>
      <c r="DF18" s="58">
        <v>59.6</v>
      </c>
      <c r="DG18" s="58">
        <v>3.49</v>
      </c>
      <c r="DH18" s="58">
        <v>39.1</v>
      </c>
      <c r="DI18" s="57">
        <v>593</v>
      </c>
      <c r="DJ18" s="57">
        <v>3580</v>
      </c>
      <c r="DK18" s="57">
        <v>74</v>
      </c>
      <c r="DL18" s="57"/>
      <c r="DM18" s="59"/>
    </row>
    <row r="19" spans="1:117" x14ac:dyDescent="0.2">
      <c r="A19" s="33">
        <v>17</v>
      </c>
      <c r="B19" s="34" t="s">
        <v>99</v>
      </c>
      <c r="C19" s="116">
        <v>4.9666666666666659</v>
      </c>
      <c r="D19" s="117" t="s">
        <v>518</v>
      </c>
      <c r="E19" s="37">
        <v>1</v>
      </c>
      <c r="F19" s="118">
        <v>34533</v>
      </c>
      <c r="G19" s="119">
        <v>31.216438356164385</v>
      </c>
      <c r="H19" s="39" t="s">
        <v>389</v>
      </c>
      <c r="I19" s="119">
        <v>23.789041095890411</v>
      </c>
      <c r="J19" s="132">
        <v>71</v>
      </c>
      <c r="K19" s="132">
        <v>217</v>
      </c>
      <c r="L19" s="132">
        <v>4.53</v>
      </c>
      <c r="M19" s="40">
        <v>5</v>
      </c>
      <c r="N19" s="121">
        <v>0</v>
      </c>
      <c r="O19" s="122">
        <v>6.8098384728340677E-2</v>
      </c>
      <c r="P19" s="122">
        <v>6.8043381369781608E-2</v>
      </c>
      <c r="Q19" s="122">
        <v>0</v>
      </c>
      <c r="R19" s="122">
        <v>0.22602739726027396</v>
      </c>
      <c r="S19" s="42">
        <v>0.22602739726027396</v>
      </c>
      <c r="T19" s="42">
        <v>0.22602739726027396</v>
      </c>
      <c r="U19" s="42">
        <v>0</v>
      </c>
      <c r="V19" s="42">
        <v>6.1913219994925148E-2</v>
      </c>
      <c r="W19" s="42">
        <v>6.1913219994925148E-2</v>
      </c>
      <c r="X19" s="43">
        <v>6.1913219994925148E-2</v>
      </c>
      <c r="Y19" s="44">
        <v>23.150684931506849</v>
      </c>
      <c r="Z19" s="45">
        <v>103.06160972821449</v>
      </c>
      <c r="AA19" s="45">
        <v>30.262051180321365</v>
      </c>
      <c r="AB19" s="45">
        <v>0.20645161290322581</v>
      </c>
      <c r="AC19" s="45">
        <v>6.5</v>
      </c>
      <c r="AD19" s="45">
        <v>79</v>
      </c>
      <c r="AE19" s="45">
        <v>3.34</v>
      </c>
      <c r="AF19" s="45">
        <v>47.7</v>
      </c>
      <c r="AG19" s="128">
        <v>4</v>
      </c>
      <c r="AH19" s="49">
        <v>6</v>
      </c>
      <c r="AI19" s="49">
        <v>0</v>
      </c>
      <c r="AJ19" s="49">
        <v>6</v>
      </c>
      <c r="AK19" s="49">
        <v>4</v>
      </c>
      <c r="AL19" s="49">
        <v>6</v>
      </c>
      <c r="AM19" s="49">
        <v>2</v>
      </c>
      <c r="AN19" s="49">
        <v>1</v>
      </c>
      <c r="AO19" s="49">
        <v>3</v>
      </c>
      <c r="AP19" s="50">
        <v>0</v>
      </c>
      <c r="AQ19" s="56">
        <v>0</v>
      </c>
      <c r="AR19" s="57">
        <v>2470</v>
      </c>
      <c r="AS19" s="57"/>
      <c r="AT19" s="57"/>
      <c r="AU19" s="57"/>
      <c r="AV19" s="57"/>
      <c r="AW19" s="57"/>
      <c r="AX19" s="57"/>
      <c r="AY19" s="57"/>
      <c r="AZ19" s="57"/>
      <c r="BA19" s="57">
        <v>0</v>
      </c>
      <c r="BB19" s="57">
        <v>3683</v>
      </c>
      <c r="BC19" s="57"/>
      <c r="BD19" s="57"/>
      <c r="BE19" s="59"/>
      <c r="BF19" s="56">
        <v>365</v>
      </c>
      <c r="BG19" s="57">
        <v>2021</v>
      </c>
      <c r="BH19" s="57">
        <v>1</v>
      </c>
      <c r="BI19" s="57"/>
      <c r="BJ19" s="57">
        <v>52</v>
      </c>
      <c r="BK19" s="57">
        <v>15</v>
      </c>
      <c r="BL19" s="129">
        <v>7</v>
      </c>
      <c r="BM19" s="129">
        <v>99.1</v>
      </c>
      <c r="BN19" s="129">
        <v>3.5</v>
      </c>
      <c r="BO19" s="129">
        <v>56.2</v>
      </c>
      <c r="BP19" s="57">
        <v>6</v>
      </c>
      <c r="BQ19" s="57">
        <v>3427</v>
      </c>
      <c r="BR19" s="57">
        <v>1</v>
      </c>
      <c r="BS19" s="57"/>
      <c r="BT19" s="59"/>
      <c r="BU19" s="56">
        <v>383</v>
      </c>
      <c r="BV19" s="57">
        <v>2380</v>
      </c>
      <c r="BW19" s="57">
        <v>4</v>
      </c>
      <c r="BX19" s="57"/>
      <c r="BY19" s="57">
        <v>72</v>
      </c>
      <c r="BZ19" s="57">
        <v>16</v>
      </c>
      <c r="CA19" s="129">
        <v>5.3</v>
      </c>
      <c r="CB19" s="129">
        <v>67.8</v>
      </c>
      <c r="CC19" s="58">
        <v>3.26</v>
      </c>
      <c r="CD19" s="58">
        <v>35</v>
      </c>
      <c r="CE19" s="57">
        <v>75</v>
      </c>
      <c r="CF19" s="57">
        <v>4351</v>
      </c>
      <c r="CG19" s="57">
        <v>5</v>
      </c>
      <c r="CH19" s="57"/>
      <c r="CI19" s="59"/>
      <c r="CJ19" s="56">
        <v>0</v>
      </c>
      <c r="CK19" s="57">
        <v>1793</v>
      </c>
      <c r="CL19" s="57">
        <v>0</v>
      </c>
      <c r="CM19" s="57">
        <v>0</v>
      </c>
      <c r="CN19" s="57">
        <v>0</v>
      </c>
      <c r="CO19" s="57">
        <v>0</v>
      </c>
      <c r="CP19" s="58">
        <v>0</v>
      </c>
      <c r="CQ19" s="58">
        <v>0</v>
      </c>
      <c r="CR19" s="58">
        <v>0</v>
      </c>
      <c r="CS19" s="58">
        <v>0</v>
      </c>
      <c r="CT19" s="57">
        <v>0</v>
      </c>
      <c r="CU19" s="57">
        <v>3779</v>
      </c>
      <c r="CV19" s="57">
        <v>0</v>
      </c>
      <c r="CW19" s="57"/>
      <c r="CX19" s="59"/>
      <c r="CY19" s="56">
        <v>1010</v>
      </c>
      <c r="CZ19" s="57">
        <v>1607</v>
      </c>
      <c r="DA19" s="57">
        <v>9</v>
      </c>
      <c r="DB19" s="57"/>
      <c r="DC19" s="57">
        <v>155</v>
      </c>
      <c r="DD19" s="57">
        <v>32</v>
      </c>
      <c r="DE19" s="58">
        <v>6.5</v>
      </c>
      <c r="DF19" s="58">
        <v>79</v>
      </c>
      <c r="DG19" s="58">
        <v>3.34</v>
      </c>
      <c r="DH19" s="58">
        <v>47.7</v>
      </c>
      <c r="DI19" s="57">
        <v>244</v>
      </c>
      <c r="DJ19" s="57">
        <v>3941</v>
      </c>
      <c r="DK19" s="57">
        <v>27</v>
      </c>
      <c r="DL19" s="57"/>
      <c r="DM19" s="59"/>
    </row>
    <row r="20" spans="1:117" x14ac:dyDescent="0.2">
      <c r="A20" s="33">
        <v>18</v>
      </c>
      <c r="B20" s="34" t="s">
        <v>330</v>
      </c>
      <c r="C20" s="116">
        <v>4.8555555555555552</v>
      </c>
      <c r="D20" s="117" t="s">
        <v>519</v>
      </c>
      <c r="E20" s="37">
        <v>5</v>
      </c>
      <c r="F20" s="118">
        <v>34539</v>
      </c>
      <c r="G20" s="119">
        <v>31.2</v>
      </c>
      <c r="H20" s="39" t="s">
        <v>389</v>
      </c>
      <c r="I20" s="119">
        <v>23.772602739726029</v>
      </c>
      <c r="J20" s="132">
        <v>68</v>
      </c>
      <c r="K20" s="132">
        <v>190</v>
      </c>
      <c r="L20" s="132">
        <v>4.3899999999999997</v>
      </c>
      <c r="M20" s="40">
        <v>0</v>
      </c>
      <c r="N20" s="121">
        <v>0</v>
      </c>
      <c r="O20" s="122">
        <v>9.5256166982922205E-2</v>
      </c>
      <c r="P20" s="122">
        <v>0.16902500484590036</v>
      </c>
      <c r="Q20" s="122">
        <v>0.28186274509803921</v>
      </c>
      <c r="R20" s="122">
        <v>0.34524047096387944</v>
      </c>
      <c r="S20" s="42">
        <v>0.34524047096387944</v>
      </c>
      <c r="T20" s="42">
        <v>0.29345440031929754</v>
      </c>
      <c r="U20" s="42">
        <v>0.1378052203199551</v>
      </c>
      <c r="V20" s="42">
        <v>8.2239999999999994E-2</v>
      </c>
      <c r="W20" s="42">
        <v>0.11002261015997755</v>
      </c>
      <c r="X20" s="43">
        <v>9.3519218635980922E-2</v>
      </c>
      <c r="Y20" s="44">
        <v>21.117808219178084</v>
      </c>
      <c r="Z20" s="45">
        <v>102.3117505870963</v>
      </c>
      <c r="AA20" s="45">
        <v>28.886245674740483</v>
      </c>
      <c r="AB20" s="45">
        <v>0.21311475409836064</v>
      </c>
      <c r="AC20" s="45">
        <v>5.0999999999999996</v>
      </c>
      <c r="AD20" s="45">
        <v>75</v>
      </c>
      <c r="AE20" s="45">
        <v>3.24</v>
      </c>
      <c r="AF20" s="45">
        <v>36.299999999999997</v>
      </c>
      <c r="AG20" s="128">
        <v>8</v>
      </c>
      <c r="AH20" s="49">
        <v>9</v>
      </c>
      <c r="AI20" s="49">
        <v>3</v>
      </c>
      <c r="AJ20" s="49">
        <v>6</v>
      </c>
      <c r="AK20" s="49">
        <v>4</v>
      </c>
      <c r="AL20" s="49">
        <v>1</v>
      </c>
      <c r="AM20" s="49">
        <v>2</v>
      </c>
      <c r="AN20" s="49">
        <v>1</v>
      </c>
      <c r="AO20" s="49">
        <v>0</v>
      </c>
      <c r="AP20" s="50">
        <v>0</v>
      </c>
      <c r="AQ20" s="56">
        <v>0</v>
      </c>
      <c r="AR20" s="57">
        <v>1450</v>
      </c>
      <c r="AS20" s="57"/>
      <c r="AT20" s="57"/>
      <c r="AU20" s="57"/>
      <c r="AV20" s="57"/>
      <c r="AW20" s="57"/>
      <c r="AX20" s="57"/>
      <c r="AY20" s="57"/>
      <c r="AZ20" s="57"/>
      <c r="BA20" s="57">
        <v>0</v>
      </c>
      <c r="BB20" s="57">
        <v>2989</v>
      </c>
      <c r="BC20" s="57"/>
      <c r="BD20" s="57"/>
      <c r="BE20" s="59"/>
      <c r="BF20" s="56">
        <v>391</v>
      </c>
      <c r="BG20" s="57">
        <v>1855</v>
      </c>
      <c r="BH20" s="57">
        <v>0</v>
      </c>
      <c r="BI20" s="57"/>
      <c r="BJ20" s="57">
        <v>79</v>
      </c>
      <c r="BK20" s="57">
        <v>15</v>
      </c>
      <c r="BL20" s="129">
        <v>4.9000000000000004</v>
      </c>
      <c r="BM20" s="129">
        <v>58.1</v>
      </c>
      <c r="BN20" s="129">
        <v>3</v>
      </c>
      <c r="BO20" s="129">
        <v>29.2</v>
      </c>
      <c r="BP20" s="57">
        <v>111</v>
      </c>
      <c r="BQ20" s="57">
        <v>3415</v>
      </c>
      <c r="BR20" s="57">
        <v>14</v>
      </c>
      <c r="BS20" s="57"/>
      <c r="BT20" s="59"/>
      <c r="BU20" s="56">
        <v>650</v>
      </c>
      <c r="BV20" s="57">
        <v>2031</v>
      </c>
      <c r="BW20" s="57">
        <v>6</v>
      </c>
      <c r="BX20" s="57"/>
      <c r="BY20" s="57">
        <v>141</v>
      </c>
      <c r="BZ20" s="57">
        <v>18</v>
      </c>
      <c r="CA20" s="129">
        <v>4.5999999999999996</v>
      </c>
      <c r="CB20" s="129">
        <v>39.4</v>
      </c>
      <c r="CC20" s="58">
        <v>2.19</v>
      </c>
      <c r="CD20" s="58">
        <v>36.299999999999997</v>
      </c>
      <c r="CE20" s="57">
        <v>222</v>
      </c>
      <c r="CF20" s="57">
        <v>3128</v>
      </c>
      <c r="CG20" s="57">
        <v>26</v>
      </c>
      <c r="CH20" s="57"/>
      <c r="CI20" s="59"/>
      <c r="CJ20" s="56">
        <v>1234</v>
      </c>
      <c r="CK20" s="57">
        <v>2557</v>
      </c>
      <c r="CL20" s="57">
        <v>16</v>
      </c>
      <c r="CM20" s="57"/>
      <c r="CN20" s="57">
        <v>244</v>
      </c>
      <c r="CO20" s="57">
        <v>52</v>
      </c>
      <c r="CP20" s="58">
        <v>5.0999999999999996</v>
      </c>
      <c r="CQ20" s="58">
        <v>75</v>
      </c>
      <c r="CR20" s="58">
        <v>3.24</v>
      </c>
      <c r="CS20" s="58">
        <v>33.5</v>
      </c>
      <c r="CT20" s="57">
        <v>491</v>
      </c>
      <c r="CU20" s="57">
        <v>3563</v>
      </c>
      <c r="CV20" s="57">
        <v>54</v>
      </c>
      <c r="CW20" s="57"/>
      <c r="CX20" s="59"/>
      <c r="CY20" s="56">
        <v>1473</v>
      </c>
      <c r="CZ20" s="57">
        <v>1886</v>
      </c>
      <c r="DA20" s="57">
        <v>14</v>
      </c>
      <c r="DB20" s="57"/>
      <c r="DC20" s="57">
        <v>302</v>
      </c>
      <c r="DD20" s="57">
        <v>47</v>
      </c>
      <c r="DE20" s="58">
        <v>4.9000000000000004</v>
      </c>
      <c r="DF20" s="58">
        <v>42.2</v>
      </c>
      <c r="DG20" s="58">
        <v>2.69</v>
      </c>
      <c r="DH20" s="58">
        <v>29.4</v>
      </c>
      <c r="DI20" s="57">
        <v>257</v>
      </c>
      <c r="DJ20" s="57">
        <v>3125</v>
      </c>
      <c r="DK20" s="57">
        <v>23</v>
      </c>
      <c r="DL20" s="57"/>
      <c r="DM20" s="59"/>
    </row>
    <row r="21" spans="1:117" ht="15.75" customHeight="1" x14ac:dyDescent="0.2">
      <c r="A21" s="33">
        <v>19</v>
      </c>
      <c r="B21" s="34" t="s">
        <v>98</v>
      </c>
      <c r="C21" s="116">
        <v>4.75</v>
      </c>
      <c r="D21" s="117" t="s">
        <v>473</v>
      </c>
      <c r="E21" s="37">
        <v>5</v>
      </c>
      <c r="F21" s="118">
        <v>35055</v>
      </c>
      <c r="G21" s="119">
        <v>29.786301369863015</v>
      </c>
      <c r="H21" s="39" t="s">
        <v>389</v>
      </c>
      <c r="I21" s="119">
        <v>22.358904109589041</v>
      </c>
      <c r="J21" s="132">
        <v>74</v>
      </c>
      <c r="K21" s="132">
        <v>228</v>
      </c>
      <c r="L21" s="132">
        <v>4.46</v>
      </c>
      <c r="M21" s="40">
        <v>4</v>
      </c>
      <c r="N21" s="121">
        <v>0</v>
      </c>
      <c r="O21" s="122">
        <v>3.3043478260869563E-2</v>
      </c>
      <c r="P21" s="122">
        <v>0.11488881727360618</v>
      </c>
      <c r="Q21" s="122">
        <v>0.21198549797398167</v>
      </c>
      <c r="R21" s="122">
        <v>0.1357142857142857</v>
      </c>
      <c r="S21" s="42">
        <v>0.17384989184413369</v>
      </c>
      <c r="T21" s="42">
        <v>0.14777240806751363</v>
      </c>
      <c r="U21" s="42">
        <v>0.15075538412086145</v>
      </c>
      <c r="V21" s="42">
        <v>2.7376654632972324E-2</v>
      </c>
      <c r="W21" s="42">
        <v>8.9066019376916883E-2</v>
      </c>
      <c r="X21" s="43">
        <v>7.570611647037935E-2</v>
      </c>
      <c r="Y21" s="44">
        <v>20.706849315068492</v>
      </c>
      <c r="Z21" s="45">
        <v>115.2458798282743</v>
      </c>
      <c r="AA21" s="45">
        <v>29.27027027027027</v>
      </c>
      <c r="AB21" s="45">
        <v>0.11811023622047244</v>
      </c>
      <c r="AC21" s="45">
        <v>4.3</v>
      </c>
      <c r="AD21" s="45">
        <v>52.9</v>
      </c>
      <c r="AE21" s="45">
        <v>2.74</v>
      </c>
      <c r="AF21" s="45">
        <v>39.799999999999997</v>
      </c>
      <c r="AG21" s="128">
        <v>1</v>
      </c>
      <c r="AH21" s="49">
        <v>8</v>
      </c>
      <c r="AI21" s="49">
        <v>3</v>
      </c>
      <c r="AJ21" s="49">
        <v>10</v>
      </c>
      <c r="AK21" s="49">
        <v>0</v>
      </c>
      <c r="AL21" s="49">
        <v>0</v>
      </c>
      <c r="AM21" s="49">
        <v>0</v>
      </c>
      <c r="AN21" s="49">
        <v>0</v>
      </c>
      <c r="AO21" s="49">
        <v>4</v>
      </c>
      <c r="AP21" s="50">
        <v>0</v>
      </c>
      <c r="AQ21" s="56">
        <v>0</v>
      </c>
      <c r="AR21" s="57">
        <v>2679</v>
      </c>
      <c r="AS21" s="57"/>
      <c r="AT21" s="57"/>
      <c r="AU21" s="57"/>
      <c r="AV21" s="57"/>
      <c r="AW21" s="57"/>
      <c r="AX21" s="57"/>
      <c r="AY21" s="57"/>
      <c r="AZ21" s="57"/>
      <c r="BA21" s="57">
        <v>0</v>
      </c>
      <c r="BB21" s="57">
        <v>3723</v>
      </c>
      <c r="BC21" s="57"/>
      <c r="BD21" s="57"/>
      <c r="BE21" s="59"/>
      <c r="BF21" s="56">
        <v>126</v>
      </c>
      <c r="BG21" s="57">
        <v>2194</v>
      </c>
      <c r="BH21" s="57">
        <v>3</v>
      </c>
      <c r="BI21" s="57"/>
      <c r="BJ21" s="57">
        <v>41</v>
      </c>
      <c r="BK21" s="57">
        <v>4</v>
      </c>
      <c r="BL21" s="129">
        <v>3.1</v>
      </c>
      <c r="BM21" s="129">
        <v>23.1</v>
      </c>
      <c r="BN21" s="129">
        <v>2.17</v>
      </c>
      <c r="BO21" s="129">
        <v>0</v>
      </c>
      <c r="BP21" s="57">
        <v>64</v>
      </c>
      <c r="BQ21" s="57">
        <v>3556</v>
      </c>
      <c r="BR21" s="57">
        <v>6</v>
      </c>
      <c r="BS21" s="57"/>
      <c r="BT21" s="59"/>
      <c r="BU21" s="56">
        <v>649</v>
      </c>
      <c r="BV21" s="57">
        <v>2319</v>
      </c>
      <c r="BW21" s="57">
        <v>4</v>
      </c>
      <c r="BX21" s="57"/>
      <c r="BY21" s="57">
        <v>124</v>
      </c>
      <c r="BZ21" s="57">
        <v>16</v>
      </c>
      <c r="CA21" s="129">
        <v>5.2</v>
      </c>
      <c r="CB21" s="129">
        <v>40.200000000000003</v>
      </c>
      <c r="CC21" s="58">
        <v>3.22</v>
      </c>
      <c r="CD21" s="58">
        <v>41.6</v>
      </c>
      <c r="CE21" s="57">
        <v>64</v>
      </c>
      <c r="CF21" s="57">
        <v>3887</v>
      </c>
      <c r="CG21" s="57">
        <v>12</v>
      </c>
      <c r="CH21" s="57"/>
      <c r="CI21" s="59"/>
      <c r="CJ21" s="56">
        <v>525</v>
      </c>
      <c r="CK21" s="57">
        <v>1578</v>
      </c>
      <c r="CL21" s="57">
        <v>14</v>
      </c>
      <c r="CM21" s="57"/>
      <c r="CN21" s="57">
        <v>127</v>
      </c>
      <c r="CO21" s="57">
        <v>15</v>
      </c>
      <c r="CP21" s="58">
        <v>4.0999999999999996</v>
      </c>
      <c r="CQ21" s="58">
        <v>52.9</v>
      </c>
      <c r="CR21" s="58">
        <v>2.74</v>
      </c>
      <c r="CS21" s="58">
        <v>39.799999999999997</v>
      </c>
      <c r="CT21" s="57">
        <v>469</v>
      </c>
      <c r="CU21" s="57">
        <v>3111</v>
      </c>
      <c r="CV21" s="57">
        <v>44</v>
      </c>
      <c r="CW21" s="57"/>
      <c r="CX21" s="59"/>
      <c r="CY21" s="56">
        <v>669</v>
      </c>
      <c r="CZ21" s="57">
        <v>2276</v>
      </c>
      <c r="DA21" s="57">
        <v>6</v>
      </c>
      <c r="DB21" s="57"/>
      <c r="DC21" s="57">
        <v>157</v>
      </c>
      <c r="DD21" s="57">
        <v>13</v>
      </c>
      <c r="DE21" s="58">
        <v>4.3</v>
      </c>
      <c r="DF21" s="58">
        <v>25.1</v>
      </c>
      <c r="DG21" s="58">
        <v>2.46</v>
      </c>
      <c r="DH21" s="58">
        <v>26</v>
      </c>
      <c r="DI21" s="57">
        <v>91</v>
      </c>
      <c r="DJ21" s="57">
        <v>3324</v>
      </c>
      <c r="DK21" s="57">
        <v>20</v>
      </c>
      <c r="DL21" s="57"/>
      <c r="DM21" s="59"/>
    </row>
    <row r="22" spans="1:117" ht="15.75" customHeight="1" x14ac:dyDescent="0.2">
      <c r="A22" s="33">
        <v>20</v>
      </c>
      <c r="B22" s="34" t="s">
        <v>96</v>
      </c>
      <c r="C22" s="116">
        <v>4.5166666666666666</v>
      </c>
      <c r="D22" s="117" t="s">
        <v>520</v>
      </c>
      <c r="E22" s="37">
        <v>6</v>
      </c>
      <c r="F22" s="118">
        <v>34816</v>
      </c>
      <c r="G22" s="119">
        <v>30.44109589041096</v>
      </c>
      <c r="H22" s="39" t="s">
        <v>469</v>
      </c>
      <c r="I22" s="119">
        <v>23.013698630136986</v>
      </c>
      <c r="J22" s="132">
        <v>66</v>
      </c>
      <c r="K22" s="132">
        <v>199</v>
      </c>
      <c r="L22" s="132">
        <v>4.4000000000000004</v>
      </c>
      <c r="M22" s="40">
        <v>6</v>
      </c>
      <c r="N22" s="121">
        <v>0</v>
      </c>
      <c r="O22" s="122">
        <v>5.3466405275351988E-4</v>
      </c>
      <c r="P22" s="122">
        <v>4.3817718291905672E-2</v>
      </c>
      <c r="Q22" s="122">
        <v>8.812101026922009E-2</v>
      </c>
      <c r="R22" s="122">
        <v>0.23305974422599732</v>
      </c>
      <c r="S22" s="42">
        <v>0.23305974422599732</v>
      </c>
      <c r="T22" s="42">
        <v>0.16314182095819812</v>
      </c>
      <c r="U22" s="42">
        <v>2.4572439551798702E-2</v>
      </c>
      <c r="V22" s="42">
        <v>6.1061061061061059E-2</v>
      </c>
      <c r="W22" s="42">
        <v>6.1061061061061059E-2</v>
      </c>
      <c r="X22" s="43">
        <v>4.2742742742742736E-2</v>
      </c>
      <c r="Y22" s="44">
        <v>22.375342465753423</v>
      </c>
      <c r="Z22" s="45">
        <v>106.18724813878831</v>
      </c>
      <c r="AA22" s="45">
        <v>32.115932047750228</v>
      </c>
      <c r="AB22" s="45">
        <v>0.22905027932960895</v>
      </c>
      <c r="AC22" s="45">
        <v>7.3</v>
      </c>
      <c r="AD22" s="45">
        <v>115.6</v>
      </c>
      <c r="AE22" s="45">
        <v>4.93</v>
      </c>
      <c r="AF22" s="45">
        <v>50</v>
      </c>
      <c r="AG22" s="128">
        <v>2</v>
      </c>
      <c r="AH22" s="49">
        <v>4</v>
      </c>
      <c r="AI22" s="49">
        <v>1</v>
      </c>
      <c r="AJ22" s="49">
        <v>8</v>
      </c>
      <c r="AK22" s="49">
        <v>5</v>
      </c>
      <c r="AL22" s="49">
        <v>8</v>
      </c>
      <c r="AM22" s="49">
        <v>5</v>
      </c>
      <c r="AN22" s="49">
        <v>8</v>
      </c>
      <c r="AO22" s="49">
        <v>2</v>
      </c>
      <c r="AP22" s="50">
        <v>0</v>
      </c>
      <c r="AQ22" s="56">
        <v>0</v>
      </c>
      <c r="AR22" s="57">
        <v>1922</v>
      </c>
      <c r="AS22" s="57"/>
      <c r="AT22" s="57"/>
      <c r="AU22" s="57"/>
      <c r="AV22" s="57"/>
      <c r="AW22" s="57"/>
      <c r="AX22" s="57"/>
      <c r="AY22" s="57"/>
      <c r="AZ22" s="57"/>
      <c r="BA22" s="57">
        <v>0</v>
      </c>
      <c r="BB22" s="57">
        <v>2472</v>
      </c>
      <c r="BC22" s="57"/>
      <c r="BD22" s="57"/>
      <c r="BE22" s="59"/>
      <c r="BF22" s="56">
        <v>3</v>
      </c>
      <c r="BG22" s="57">
        <v>2080</v>
      </c>
      <c r="BH22" s="57">
        <v>0</v>
      </c>
      <c r="BI22" s="57"/>
      <c r="BJ22" s="57">
        <v>1</v>
      </c>
      <c r="BK22" s="57">
        <v>0</v>
      </c>
      <c r="BL22" s="129">
        <v>3</v>
      </c>
      <c r="BM22" s="129">
        <v>0</v>
      </c>
      <c r="BN22" s="129">
        <v>4</v>
      </c>
      <c r="BO22" s="129">
        <v>0</v>
      </c>
      <c r="BP22" s="57">
        <v>0</v>
      </c>
      <c r="BQ22" s="57">
        <v>3531</v>
      </c>
      <c r="BR22" s="57">
        <v>0</v>
      </c>
      <c r="BS22" s="57"/>
      <c r="BT22" s="59"/>
      <c r="BU22" s="56">
        <v>275</v>
      </c>
      <c r="BV22" s="57">
        <v>2075</v>
      </c>
      <c r="BW22" s="57">
        <v>0</v>
      </c>
      <c r="BX22" s="57"/>
      <c r="BY22" s="57">
        <v>34</v>
      </c>
      <c r="BZ22" s="57">
        <v>13</v>
      </c>
      <c r="CA22" s="129">
        <v>8.1</v>
      </c>
      <c r="CB22" s="129">
        <v>164.2</v>
      </c>
      <c r="CC22" s="58">
        <v>4.29</v>
      </c>
      <c r="CD22" s="58">
        <v>62.2</v>
      </c>
      <c r="CE22" s="57">
        <v>0</v>
      </c>
      <c r="CF22" s="57">
        <v>4201</v>
      </c>
      <c r="CG22" s="57">
        <v>0</v>
      </c>
      <c r="CH22" s="57"/>
      <c r="CI22" s="59"/>
      <c r="CJ22" s="56">
        <v>510</v>
      </c>
      <c r="CK22" s="57">
        <v>2119</v>
      </c>
      <c r="CL22" s="57">
        <v>6</v>
      </c>
      <c r="CM22" s="57"/>
      <c r="CN22" s="57">
        <v>70</v>
      </c>
      <c r="CO22" s="57">
        <v>14</v>
      </c>
      <c r="CP22" s="58">
        <v>7.3</v>
      </c>
      <c r="CQ22" s="58">
        <v>115.6</v>
      </c>
      <c r="CR22" s="58">
        <v>4.93</v>
      </c>
      <c r="CS22" s="58">
        <v>50</v>
      </c>
      <c r="CT22" s="57">
        <v>125</v>
      </c>
      <c r="CU22" s="57">
        <v>5087</v>
      </c>
      <c r="CV22" s="57">
        <v>11</v>
      </c>
      <c r="CW22" s="57"/>
      <c r="CX22" s="59"/>
      <c r="CY22" s="56">
        <v>1038</v>
      </c>
      <c r="CZ22" s="57">
        <v>2242</v>
      </c>
      <c r="DA22" s="57">
        <v>8</v>
      </c>
      <c r="DB22" s="57"/>
      <c r="DC22" s="57">
        <v>179</v>
      </c>
      <c r="DD22" s="57">
        <v>41</v>
      </c>
      <c r="DE22" s="58">
        <v>5.8</v>
      </c>
      <c r="DF22" s="58">
        <v>101.4</v>
      </c>
      <c r="DG22" s="58">
        <v>3.9</v>
      </c>
      <c r="DH22" s="58">
        <v>36.299999999999997</v>
      </c>
      <c r="DI22" s="57">
        <v>183</v>
      </c>
      <c r="DJ22" s="57">
        <v>2997</v>
      </c>
      <c r="DK22" s="57">
        <v>21</v>
      </c>
      <c r="DL22" s="57"/>
      <c r="DM22" s="59"/>
    </row>
    <row r="23" spans="1:117" ht="15.75" customHeight="1" x14ac:dyDescent="0.2">
      <c r="A23" s="33">
        <v>21</v>
      </c>
      <c r="B23" s="34" t="s">
        <v>334</v>
      </c>
      <c r="C23" s="116">
        <v>4.3555555555555561</v>
      </c>
      <c r="D23" s="117" t="s">
        <v>521</v>
      </c>
      <c r="E23" s="37">
        <v>1</v>
      </c>
      <c r="F23" s="118">
        <v>34802</v>
      </c>
      <c r="G23" s="119">
        <v>30.479452054794521</v>
      </c>
      <c r="H23" s="39" t="s">
        <v>389</v>
      </c>
      <c r="I23" s="119">
        <v>23.052054794520547</v>
      </c>
      <c r="J23" s="132">
        <v>73</v>
      </c>
      <c r="K23" s="132">
        <v>238</v>
      </c>
      <c r="L23" s="132">
        <v>4.5199999999999996</v>
      </c>
      <c r="M23" s="40">
        <v>0</v>
      </c>
      <c r="N23" s="121">
        <v>8.8199989562131417E-2</v>
      </c>
      <c r="O23" s="122">
        <v>9.1331629095979555E-2</v>
      </c>
      <c r="P23" s="122">
        <v>0</v>
      </c>
      <c r="Q23" s="122">
        <v>7.0187793427230041E-2</v>
      </c>
      <c r="R23" s="122">
        <v>0.25738077214231647</v>
      </c>
      <c r="S23" s="42">
        <v>0.25738077214231647</v>
      </c>
      <c r="T23" s="42">
        <v>0.25738077214231647</v>
      </c>
      <c r="U23" s="42">
        <v>3.2822757111597373E-3</v>
      </c>
      <c r="V23" s="42">
        <v>7.425028835063438E-2</v>
      </c>
      <c r="W23" s="42">
        <v>7.425028835063438E-2</v>
      </c>
      <c r="X23" s="43">
        <v>7.425028835063438E-2</v>
      </c>
      <c r="Y23" s="44">
        <v>22.413698630136988</v>
      </c>
      <c r="Z23" s="45">
        <v>114.03895092788413</v>
      </c>
      <c r="AA23" s="45">
        <v>31.396884969037345</v>
      </c>
      <c r="AB23" s="45">
        <v>0.20121951219512196</v>
      </c>
      <c r="AC23" s="45">
        <v>4.9000000000000004</v>
      </c>
      <c r="AD23" s="45">
        <v>69.2</v>
      </c>
      <c r="AE23" s="45">
        <v>3.5</v>
      </c>
      <c r="AF23" s="45">
        <v>30.7</v>
      </c>
      <c r="AG23" s="128">
        <v>6</v>
      </c>
      <c r="AH23" s="49">
        <v>7</v>
      </c>
      <c r="AI23" s="49">
        <v>1</v>
      </c>
      <c r="AJ23" s="49">
        <v>10</v>
      </c>
      <c r="AK23" s="49">
        <v>4</v>
      </c>
      <c r="AL23" s="49">
        <v>1</v>
      </c>
      <c r="AM23" s="49">
        <v>1</v>
      </c>
      <c r="AN23" s="49">
        <v>2</v>
      </c>
      <c r="AO23" s="49">
        <v>0</v>
      </c>
      <c r="AP23" s="50">
        <v>0</v>
      </c>
      <c r="AQ23" s="56">
        <v>338</v>
      </c>
      <c r="AR23" s="57">
        <v>1442.7</v>
      </c>
      <c r="AS23" s="57"/>
      <c r="AT23" s="57"/>
      <c r="AU23" s="57"/>
      <c r="AV23" s="57"/>
      <c r="AW23" s="57"/>
      <c r="AX23" s="57"/>
      <c r="AY23" s="57"/>
      <c r="AZ23" s="57"/>
      <c r="BA23" s="57">
        <v>0</v>
      </c>
      <c r="BB23" s="57">
        <v>2389.5</v>
      </c>
      <c r="BC23" s="57"/>
      <c r="BD23" s="57"/>
      <c r="BE23" s="59"/>
      <c r="BF23" s="56">
        <v>349</v>
      </c>
      <c r="BG23" s="57">
        <v>1804</v>
      </c>
      <c r="BH23" s="57">
        <v>6</v>
      </c>
      <c r="BI23" s="57"/>
      <c r="BJ23" s="57">
        <v>61</v>
      </c>
      <c r="BK23" s="57">
        <v>15</v>
      </c>
      <c r="BL23" s="129">
        <v>5.7</v>
      </c>
      <c r="BM23" s="129">
        <v>92.4</v>
      </c>
      <c r="BN23" s="129">
        <v>3.64</v>
      </c>
      <c r="BO23" s="129">
        <v>39.200000000000003</v>
      </c>
      <c r="BP23" s="57">
        <v>44</v>
      </c>
      <c r="BQ23" s="57">
        <v>2499</v>
      </c>
      <c r="BR23" s="57">
        <v>2</v>
      </c>
      <c r="BS23" s="57"/>
      <c r="BT23" s="59"/>
      <c r="BU23" s="56">
        <v>0</v>
      </c>
      <c r="BV23" s="57">
        <v>1</v>
      </c>
      <c r="BW23" s="57"/>
      <c r="BX23" s="57"/>
      <c r="BY23" s="57"/>
      <c r="BZ23" s="57"/>
      <c r="CA23" s="129"/>
      <c r="CB23" s="129"/>
      <c r="CC23" s="58"/>
      <c r="CD23" s="58"/>
      <c r="CE23" s="57">
        <v>0</v>
      </c>
      <c r="CF23" s="57">
        <v>1</v>
      </c>
      <c r="CG23" s="57"/>
      <c r="CH23" s="57"/>
      <c r="CI23" s="59"/>
      <c r="CJ23" s="56">
        <v>290</v>
      </c>
      <c r="CK23" s="57">
        <v>1518</v>
      </c>
      <c r="CL23" s="57">
        <v>1</v>
      </c>
      <c r="CM23" s="57"/>
      <c r="CN23" s="57">
        <v>59</v>
      </c>
      <c r="CO23" s="57">
        <v>10</v>
      </c>
      <c r="CP23" s="58">
        <v>4.9000000000000004</v>
      </c>
      <c r="CQ23" s="58">
        <v>48.6</v>
      </c>
      <c r="CR23" s="58">
        <v>2.92</v>
      </c>
      <c r="CS23" s="58">
        <v>30.7</v>
      </c>
      <c r="CT23" s="57">
        <v>9</v>
      </c>
      <c r="CU23" s="57">
        <v>2742</v>
      </c>
      <c r="CV23" s="57">
        <v>1</v>
      </c>
      <c r="CW23" s="57"/>
      <c r="CX23" s="59"/>
      <c r="CY23" s="56">
        <v>713</v>
      </c>
      <c r="CZ23" s="57">
        <v>1783.1999999999998</v>
      </c>
      <c r="DA23" s="57">
        <v>6</v>
      </c>
      <c r="DB23" s="57"/>
      <c r="DC23" s="57">
        <v>164</v>
      </c>
      <c r="DD23" s="57">
        <v>33</v>
      </c>
      <c r="DE23" s="58">
        <v>4.3475609756097562</v>
      </c>
      <c r="DF23" s="58">
        <v>69.2</v>
      </c>
      <c r="DG23" s="58">
        <v>3.5</v>
      </c>
      <c r="DH23" s="58">
        <v>26.9</v>
      </c>
      <c r="DI23" s="57">
        <v>103</v>
      </c>
      <c r="DJ23" s="57">
        <v>1387.1999999999998</v>
      </c>
      <c r="DK23" s="57">
        <v>13</v>
      </c>
      <c r="DL23" s="57"/>
      <c r="DM23" s="59"/>
    </row>
    <row r="24" spans="1:117" ht="15.75" customHeight="1" x14ac:dyDescent="0.2">
      <c r="A24" s="33">
        <v>22</v>
      </c>
      <c r="B24" s="34" t="s">
        <v>335</v>
      </c>
      <c r="C24" s="116">
        <v>3.2944444444444443</v>
      </c>
      <c r="D24" s="117" t="s">
        <v>522</v>
      </c>
      <c r="E24" s="37">
        <v>11</v>
      </c>
      <c r="F24" s="118">
        <v>35168</v>
      </c>
      <c r="G24" s="119">
        <v>29.476712328767125</v>
      </c>
      <c r="H24" s="39" t="s">
        <v>389</v>
      </c>
      <c r="I24" s="119">
        <v>22.049315068493151</v>
      </c>
      <c r="J24" s="132">
        <v>69</v>
      </c>
      <c r="K24" s="132">
        <v>205</v>
      </c>
      <c r="L24" s="132">
        <v>4.55</v>
      </c>
      <c r="M24" s="40">
        <v>4</v>
      </c>
      <c r="N24" s="121">
        <v>0</v>
      </c>
      <c r="O24" s="122">
        <v>0.2831743278404163</v>
      </c>
      <c r="P24" s="122">
        <v>0.37341423055708772</v>
      </c>
      <c r="Q24" s="122">
        <v>0.3557807936780622</v>
      </c>
      <c r="R24" s="122">
        <v>0.15619469026548671</v>
      </c>
      <c r="S24" s="42">
        <v>0.26480446041128725</v>
      </c>
      <c r="T24" s="42">
        <v>0.145642453226208</v>
      </c>
      <c r="U24" s="42">
        <v>9.2109718929901802E-2</v>
      </c>
      <c r="V24" s="42">
        <v>4.9086757990867577E-2</v>
      </c>
      <c r="W24" s="42">
        <v>7.0598238460384682E-2</v>
      </c>
      <c r="X24" s="43">
        <v>3.8829031153211575E-2</v>
      </c>
      <c r="Y24" s="44">
        <v>18.394520547945206</v>
      </c>
      <c r="Z24" s="45">
        <v>95.661738692057028</v>
      </c>
      <c r="AA24" s="45">
        <v>30.269901281243438</v>
      </c>
      <c r="AB24" s="45">
        <v>0.16</v>
      </c>
      <c r="AC24" s="45">
        <v>0</v>
      </c>
      <c r="AD24" s="45">
        <v>0</v>
      </c>
      <c r="AE24" s="45">
        <v>0</v>
      </c>
      <c r="AF24" s="45">
        <v>0</v>
      </c>
      <c r="AG24" s="128">
        <v>1</v>
      </c>
      <c r="AH24" s="49">
        <v>4</v>
      </c>
      <c r="AI24" s="49">
        <v>9</v>
      </c>
      <c r="AJ24" s="49">
        <v>3</v>
      </c>
      <c r="AK24" s="49">
        <v>2</v>
      </c>
      <c r="AL24" s="49">
        <v>0</v>
      </c>
      <c r="AM24" s="49">
        <v>0</v>
      </c>
      <c r="AN24" s="49">
        <v>0</v>
      </c>
      <c r="AO24" s="49">
        <v>4</v>
      </c>
      <c r="AP24" s="50">
        <v>0</v>
      </c>
      <c r="AQ24" s="56">
        <v>0</v>
      </c>
      <c r="AR24" s="57">
        <v>1</v>
      </c>
      <c r="AS24" s="57"/>
      <c r="AT24" s="57"/>
      <c r="AU24" s="57"/>
      <c r="AV24" s="57"/>
      <c r="AW24" s="57"/>
      <c r="AX24" s="57"/>
      <c r="AY24" s="57"/>
      <c r="AZ24" s="57"/>
      <c r="BA24" s="57">
        <v>0</v>
      </c>
      <c r="BB24" s="57">
        <v>1</v>
      </c>
      <c r="BC24" s="57"/>
      <c r="BD24" s="57"/>
      <c r="BE24" s="59"/>
      <c r="BF24" s="56">
        <v>1838</v>
      </c>
      <c r="BG24" s="57">
        <v>2353</v>
      </c>
      <c r="BH24" s="57">
        <v>0</v>
      </c>
      <c r="BI24" s="57"/>
      <c r="BJ24" s="57">
        <v>0</v>
      </c>
      <c r="BK24" s="57">
        <v>0</v>
      </c>
      <c r="BL24" s="129">
        <v>0</v>
      </c>
      <c r="BM24" s="129">
        <v>0</v>
      </c>
      <c r="BN24" s="129">
        <v>0</v>
      </c>
      <c r="BO24" s="129">
        <v>0</v>
      </c>
      <c r="BP24" s="57">
        <v>121</v>
      </c>
      <c r="BQ24" s="57">
        <v>4565</v>
      </c>
      <c r="BR24" s="57">
        <v>19</v>
      </c>
      <c r="BS24" s="57"/>
      <c r="BT24" s="59"/>
      <c r="BU24" s="56">
        <v>1648</v>
      </c>
      <c r="BV24" s="57">
        <v>2171</v>
      </c>
      <c r="BW24" s="57">
        <v>0</v>
      </c>
      <c r="BX24" s="57">
        <v>0</v>
      </c>
      <c r="BY24" s="57">
        <v>0</v>
      </c>
      <c r="BZ24" s="57">
        <v>0</v>
      </c>
      <c r="CA24" s="129">
        <v>0</v>
      </c>
      <c r="CB24" s="129">
        <v>0</v>
      </c>
      <c r="CC24" s="58">
        <v>0</v>
      </c>
      <c r="CD24" s="58">
        <v>0</v>
      </c>
      <c r="CE24" s="57">
        <v>383</v>
      </c>
      <c r="CF24" s="57">
        <v>3268</v>
      </c>
      <c r="CG24" s="57">
        <v>31</v>
      </c>
      <c r="CH24" s="57"/>
      <c r="CI24" s="59"/>
      <c r="CJ24" s="56">
        <v>1799</v>
      </c>
      <c r="CK24" s="57">
        <v>2868</v>
      </c>
      <c r="CL24" s="57">
        <v>0</v>
      </c>
      <c r="CM24" s="57">
        <v>0</v>
      </c>
      <c r="CN24" s="57">
        <v>0</v>
      </c>
      <c r="CO24" s="57">
        <v>0</v>
      </c>
      <c r="CP24" s="58">
        <v>0</v>
      </c>
      <c r="CQ24" s="58">
        <v>0</v>
      </c>
      <c r="CR24" s="58">
        <v>0</v>
      </c>
      <c r="CS24" s="58">
        <v>0</v>
      </c>
      <c r="CT24" s="57">
        <v>272</v>
      </c>
      <c r="CU24" s="57">
        <v>2953</v>
      </c>
      <c r="CV24" s="57">
        <v>25</v>
      </c>
      <c r="CW24" s="57"/>
      <c r="CX24" s="59"/>
      <c r="CY24" s="56">
        <v>577</v>
      </c>
      <c r="CZ24" s="57">
        <v>1892</v>
      </c>
      <c r="DA24" s="57">
        <v>0</v>
      </c>
      <c r="DB24" s="57">
        <v>0</v>
      </c>
      <c r="DC24" s="57">
        <v>0</v>
      </c>
      <c r="DD24" s="57">
        <v>0</v>
      </c>
      <c r="DE24" s="58">
        <v>0</v>
      </c>
      <c r="DF24" s="58">
        <v>0</v>
      </c>
      <c r="DG24" s="58">
        <v>0</v>
      </c>
      <c r="DH24" s="58">
        <v>0</v>
      </c>
      <c r="DI24" s="57">
        <v>129</v>
      </c>
      <c r="DJ24" s="57">
        <v>2628</v>
      </c>
      <c r="DK24" s="57">
        <v>11</v>
      </c>
      <c r="DL24" s="57"/>
      <c r="DM24" s="59"/>
    </row>
    <row r="25" spans="1:117" ht="15.75" customHeight="1" x14ac:dyDescent="0.2">
      <c r="A25" s="33">
        <v>23</v>
      </c>
      <c r="B25" s="34" t="s">
        <v>102</v>
      </c>
      <c r="C25" s="116">
        <v>3.2166666666666668</v>
      </c>
      <c r="D25" s="117" t="s">
        <v>454</v>
      </c>
      <c r="E25" s="37">
        <v>1</v>
      </c>
      <c r="F25" s="118">
        <v>34502</v>
      </c>
      <c r="G25" s="119">
        <v>31.301369863013697</v>
      </c>
      <c r="H25" s="39" t="s">
        <v>389</v>
      </c>
      <c r="I25" s="119">
        <v>23.873972602739727</v>
      </c>
      <c r="J25" s="132">
        <v>71</v>
      </c>
      <c r="K25" s="132">
        <v>229</v>
      </c>
      <c r="L25" s="132">
        <v>4.5</v>
      </c>
      <c r="M25" s="40">
        <v>7</v>
      </c>
      <c r="N25" s="121">
        <v>0</v>
      </c>
      <c r="O25" s="122">
        <v>6.1911405650505756E-2</v>
      </c>
      <c r="P25" s="122">
        <v>9.3879429360331335E-2</v>
      </c>
      <c r="Q25" s="122">
        <v>6.8835768038955289E-2</v>
      </c>
      <c r="R25" s="122">
        <v>0.17741575541173846</v>
      </c>
      <c r="S25" s="42">
        <v>0.17741575541173846</v>
      </c>
      <c r="T25" s="42">
        <v>0.17741575541173846</v>
      </c>
      <c r="U25" s="42">
        <v>2.5983399494767231E-2</v>
      </c>
      <c r="V25" s="42">
        <v>6.9371196754563894E-2</v>
      </c>
      <c r="W25" s="42">
        <v>6.9371196754563894E-2</v>
      </c>
      <c r="X25" s="43">
        <v>6.9371196754563894E-2</v>
      </c>
      <c r="Y25" s="44">
        <v>23.235616438356164</v>
      </c>
      <c r="Z25" s="45">
        <v>111.69029111415942</v>
      </c>
      <c r="AA25" s="45">
        <v>31.93552866494743</v>
      </c>
      <c r="AB25" s="45">
        <v>9.4017094017094016E-2</v>
      </c>
      <c r="AC25" s="45">
        <v>5.3</v>
      </c>
      <c r="AD25" s="45">
        <v>39.799999999999997</v>
      </c>
      <c r="AE25" s="45">
        <v>3.16</v>
      </c>
      <c r="AF25" s="45">
        <v>38.9</v>
      </c>
      <c r="AG25" s="128">
        <v>3</v>
      </c>
      <c r="AH25" s="49">
        <v>7</v>
      </c>
      <c r="AI25" s="49">
        <v>0</v>
      </c>
      <c r="AJ25" s="49">
        <v>9</v>
      </c>
      <c r="AK25" s="49">
        <v>0</v>
      </c>
      <c r="AL25" s="49">
        <v>2</v>
      </c>
      <c r="AM25" s="49">
        <v>0</v>
      </c>
      <c r="AN25" s="49">
        <v>0</v>
      </c>
      <c r="AO25" s="49">
        <v>1</v>
      </c>
      <c r="AP25" s="50">
        <v>0</v>
      </c>
      <c r="AQ25" s="56">
        <v>0</v>
      </c>
      <c r="AR25" s="57">
        <v>2504</v>
      </c>
      <c r="AS25" s="57"/>
      <c r="AT25" s="57"/>
      <c r="AU25" s="57"/>
      <c r="AV25" s="57"/>
      <c r="AW25" s="57"/>
      <c r="AX25" s="57"/>
      <c r="AY25" s="57"/>
      <c r="AZ25" s="57"/>
      <c r="BA25" s="57">
        <v>0</v>
      </c>
      <c r="BB25" s="57">
        <v>1782</v>
      </c>
      <c r="BC25" s="57"/>
      <c r="BD25" s="57"/>
      <c r="BE25" s="59"/>
      <c r="BF25" s="56">
        <v>256</v>
      </c>
      <c r="BG25" s="57">
        <v>2073</v>
      </c>
      <c r="BH25" s="57">
        <v>2</v>
      </c>
      <c r="BI25" s="57"/>
      <c r="BJ25" s="57">
        <v>45</v>
      </c>
      <c r="BK25" s="57">
        <v>5</v>
      </c>
      <c r="BL25" s="129">
        <v>5.7</v>
      </c>
      <c r="BM25" s="129">
        <v>53.3</v>
      </c>
      <c r="BN25" s="129">
        <v>3.47</v>
      </c>
      <c r="BO25" s="129">
        <v>35.5</v>
      </c>
      <c r="BP25" s="57">
        <v>99</v>
      </c>
      <c r="BQ25" s="57">
        <v>3661</v>
      </c>
      <c r="BR25" s="57">
        <v>7</v>
      </c>
      <c r="BS25" s="57"/>
      <c r="BT25" s="59"/>
      <c r="BU25" s="56">
        <v>316</v>
      </c>
      <c r="BV25" s="57">
        <v>1856</v>
      </c>
      <c r="BW25" s="57">
        <v>0</v>
      </c>
      <c r="BX25" s="57"/>
      <c r="BY25" s="57">
        <v>86</v>
      </c>
      <c r="BZ25" s="57">
        <v>10</v>
      </c>
      <c r="CA25" s="129">
        <v>3.7</v>
      </c>
      <c r="CB25" s="129">
        <v>22.5</v>
      </c>
      <c r="CC25" s="58">
        <v>1.99</v>
      </c>
      <c r="CD25" s="58">
        <v>20.3</v>
      </c>
      <c r="CE25" s="57">
        <v>92</v>
      </c>
      <c r="CF25" s="57">
        <v>2490</v>
      </c>
      <c r="CG25" s="57">
        <v>11</v>
      </c>
      <c r="CH25" s="57"/>
      <c r="CI25" s="59"/>
      <c r="CJ25" s="56">
        <v>239</v>
      </c>
      <c r="CK25" s="57">
        <v>1747</v>
      </c>
      <c r="CL25" s="57">
        <v>3</v>
      </c>
      <c r="CM25" s="57"/>
      <c r="CN25" s="57">
        <v>56</v>
      </c>
      <c r="CO25" s="57">
        <v>5</v>
      </c>
      <c r="CP25" s="58">
        <v>4.3</v>
      </c>
      <c r="CQ25" s="58">
        <v>24.2</v>
      </c>
      <c r="CR25" s="58">
        <v>2.63</v>
      </c>
      <c r="CS25" s="58">
        <v>38.9</v>
      </c>
      <c r="CT25" s="57">
        <v>72</v>
      </c>
      <c r="CU25" s="57">
        <v>2771</v>
      </c>
      <c r="CV25" s="57">
        <v>9</v>
      </c>
      <c r="CW25" s="57"/>
      <c r="CX25" s="59"/>
      <c r="CY25" s="56">
        <v>624</v>
      </c>
      <c r="CZ25" s="57">
        <v>2016</v>
      </c>
      <c r="DA25" s="57">
        <v>8</v>
      </c>
      <c r="DB25" s="57"/>
      <c r="DC25" s="57">
        <v>117</v>
      </c>
      <c r="DD25" s="57">
        <v>11</v>
      </c>
      <c r="DE25" s="58">
        <v>5.3</v>
      </c>
      <c r="DF25" s="58">
        <v>39.799999999999997</v>
      </c>
      <c r="DG25" s="58">
        <v>3.16</v>
      </c>
      <c r="DH25" s="58">
        <v>28.7</v>
      </c>
      <c r="DI25" s="57">
        <v>171</v>
      </c>
      <c r="DJ25" s="57">
        <v>2465</v>
      </c>
      <c r="DK25" s="57">
        <v>10</v>
      </c>
      <c r="DL25" s="57"/>
      <c r="DM25" s="59"/>
    </row>
    <row r="26" spans="1:117" ht="15.75" customHeight="1" x14ac:dyDescent="0.2">
      <c r="A26" s="33">
        <v>24</v>
      </c>
      <c r="B26" s="34" t="s">
        <v>359</v>
      </c>
      <c r="C26" s="116">
        <v>2.7888888888888892</v>
      </c>
      <c r="D26" s="117" t="s">
        <v>432</v>
      </c>
      <c r="E26" s="37">
        <v>1</v>
      </c>
      <c r="F26" s="118">
        <v>34804</v>
      </c>
      <c r="G26" s="119">
        <v>30.473972602739725</v>
      </c>
      <c r="H26" s="39" t="s">
        <v>389</v>
      </c>
      <c r="I26" s="119">
        <v>23.046575342465754</v>
      </c>
      <c r="J26" s="132">
        <v>70</v>
      </c>
      <c r="K26" s="132">
        <v>229</v>
      </c>
      <c r="L26" s="132">
        <v>4.72</v>
      </c>
      <c r="M26" s="40">
        <v>0</v>
      </c>
      <c r="N26" s="121">
        <v>0</v>
      </c>
      <c r="O26" s="122">
        <v>7.3257891602144132E-2</v>
      </c>
      <c r="P26" s="122">
        <v>6.2511911568515335E-2</v>
      </c>
      <c r="Q26" s="122">
        <v>5.3181012408902897E-2</v>
      </c>
      <c r="R26" s="122">
        <v>0.21538173652694612</v>
      </c>
      <c r="S26" s="42">
        <v>0.21538173652694612</v>
      </c>
      <c r="T26" s="42">
        <v>0.21538173652694612</v>
      </c>
      <c r="U26" s="42">
        <v>1.6220955721174924E-2</v>
      </c>
      <c r="V26" s="42">
        <v>0.12514177693761816</v>
      </c>
      <c r="W26" s="42">
        <v>0.12514177693761816</v>
      </c>
      <c r="X26" s="43">
        <v>0.12514177693761816</v>
      </c>
      <c r="Y26" s="44">
        <v>22.408219178082192</v>
      </c>
      <c r="Z26" s="45">
        <v>92.277853445151976</v>
      </c>
      <c r="AA26" s="45">
        <v>32.854489795918369</v>
      </c>
      <c r="AB26" s="45">
        <v>0.17307692307692307</v>
      </c>
      <c r="AC26" s="45">
        <v>5.7</v>
      </c>
      <c r="AD26" s="45">
        <v>54.2</v>
      </c>
      <c r="AE26" s="45">
        <v>2.97</v>
      </c>
      <c r="AF26" s="45">
        <v>35.6</v>
      </c>
      <c r="AG26" s="128">
        <v>4</v>
      </c>
      <c r="AH26" s="49">
        <v>9</v>
      </c>
      <c r="AI26" s="49">
        <v>1</v>
      </c>
      <c r="AJ26" s="49">
        <v>2</v>
      </c>
      <c r="AK26" s="49">
        <v>2</v>
      </c>
      <c r="AL26" s="49">
        <v>3</v>
      </c>
      <c r="AM26" s="49">
        <v>0</v>
      </c>
      <c r="AN26" s="49">
        <v>0</v>
      </c>
      <c r="AO26" s="49">
        <v>0</v>
      </c>
      <c r="AP26" s="50">
        <v>0</v>
      </c>
      <c r="AQ26" s="56">
        <v>0</v>
      </c>
      <c r="AR26" s="57">
        <v>2630</v>
      </c>
      <c r="AS26" s="57"/>
      <c r="AT26" s="57"/>
      <c r="AU26" s="57"/>
      <c r="AV26" s="57"/>
      <c r="AW26" s="57"/>
      <c r="AX26" s="57"/>
      <c r="AY26" s="57"/>
      <c r="AZ26" s="57"/>
      <c r="BA26" s="57">
        <v>0</v>
      </c>
      <c r="BB26" s="57">
        <v>3263</v>
      </c>
      <c r="BC26" s="57"/>
      <c r="BD26" s="57"/>
      <c r="BE26" s="59"/>
      <c r="BF26" s="56">
        <v>306</v>
      </c>
      <c r="BG26" s="57">
        <v>2919</v>
      </c>
      <c r="BH26" s="57">
        <v>3</v>
      </c>
      <c r="BI26" s="57"/>
      <c r="BJ26" s="57">
        <v>64</v>
      </c>
      <c r="BK26" s="57">
        <v>12</v>
      </c>
      <c r="BL26" s="129">
        <v>4.8</v>
      </c>
      <c r="BM26" s="129">
        <v>56.9</v>
      </c>
      <c r="BN26" s="129">
        <v>2.66</v>
      </c>
      <c r="BO26" s="129">
        <v>18.3</v>
      </c>
      <c r="BP26" s="57">
        <v>63</v>
      </c>
      <c r="BQ26" s="57">
        <v>2118</v>
      </c>
      <c r="BR26" s="57">
        <v>6</v>
      </c>
      <c r="BS26" s="57"/>
      <c r="BT26" s="59"/>
      <c r="BU26" s="56">
        <v>297</v>
      </c>
      <c r="BV26" s="57">
        <v>3082</v>
      </c>
      <c r="BW26" s="57">
        <v>4</v>
      </c>
      <c r="BX26" s="57"/>
      <c r="BY26" s="57">
        <v>60</v>
      </c>
      <c r="BZ26" s="57">
        <v>8</v>
      </c>
      <c r="CA26" s="129">
        <v>5</v>
      </c>
      <c r="CB26" s="129">
        <v>46.9</v>
      </c>
      <c r="CC26" s="58">
        <v>3</v>
      </c>
      <c r="CD26" s="58">
        <v>22.6</v>
      </c>
      <c r="CE26" s="57">
        <v>31</v>
      </c>
      <c r="CF26" s="57">
        <v>2165</v>
      </c>
      <c r="CG26" s="57">
        <v>4</v>
      </c>
      <c r="CH26" s="57"/>
      <c r="CI26" s="59"/>
      <c r="CJ26" s="56">
        <v>233</v>
      </c>
      <c r="CK26" s="57">
        <v>2796</v>
      </c>
      <c r="CL26" s="57">
        <v>3</v>
      </c>
      <c r="CM26" s="57"/>
      <c r="CN26" s="57">
        <v>52</v>
      </c>
      <c r="CO26" s="57">
        <v>9</v>
      </c>
      <c r="CP26" s="58">
        <v>4.5</v>
      </c>
      <c r="CQ26" s="58">
        <v>54.2</v>
      </c>
      <c r="CR26" s="58">
        <v>2.81</v>
      </c>
      <c r="CS26" s="58">
        <v>18</v>
      </c>
      <c r="CT26" s="57">
        <v>37</v>
      </c>
      <c r="CU26" s="57">
        <v>2281</v>
      </c>
      <c r="CV26" s="57">
        <v>5</v>
      </c>
      <c r="CW26" s="57"/>
      <c r="CX26" s="59"/>
      <c r="CY26" s="56">
        <v>820</v>
      </c>
      <c r="CZ26" s="57">
        <v>2699</v>
      </c>
      <c r="DA26" s="57">
        <v>9</v>
      </c>
      <c r="DB26" s="57"/>
      <c r="DC26" s="57">
        <v>144</v>
      </c>
      <c r="DD26" s="57">
        <v>21</v>
      </c>
      <c r="DE26" s="58">
        <v>5.7</v>
      </c>
      <c r="DF26" s="58">
        <v>44.5</v>
      </c>
      <c r="DG26" s="58">
        <v>2.97</v>
      </c>
      <c r="DH26" s="58">
        <v>35.6</v>
      </c>
      <c r="DI26" s="57">
        <v>331</v>
      </c>
      <c r="DJ26" s="57">
        <v>2645</v>
      </c>
      <c r="DK26" s="57">
        <v>23</v>
      </c>
      <c r="DL26" s="57"/>
      <c r="DM26" s="59"/>
    </row>
    <row r="27" spans="1:117" ht="15.75" customHeight="1" x14ac:dyDescent="0.2">
      <c r="A27" s="33">
        <v>25</v>
      </c>
      <c r="B27" s="34" t="s">
        <v>367</v>
      </c>
      <c r="C27" s="116">
        <v>2.1277777777777778</v>
      </c>
      <c r="D27" s="117" t="s">
        <v>523</v>
      </c>
      <c r="E27" s="37">
        <v>10</v>
      </c>
      <c r="F27" s="118">
        <v>35019</v>
      </c>
      <c r="G27" s="119">
        <v>29.884931506849316</v>
      </c>
      <c r="H27" s="39" t="s">
        <v>389</v>
      </c>
      <c r="I27" s="119">
        <v>22.457534246575342</v>
      </c>
      <c r="J27" s="132">
        <v>71</v>
      </c>
      <c r="K27" s="132">
        <v>210</v>
      </c>
      <c r="L27" s="132">
        <v>4.57</v>
      </c>
      <c r="M27" s="40">
        <v>0</v>
      </c>
      <c r="N27" s="121">
        <v>0</v>
      </c>
      <c r="O27" s="122">
        <v>6.8164411539443456E-2</v>
      </c>
      <c r="P27" s="122">
        <v>0.23639677167404322</v>
      </c>
      <c r="Q27" s="122">
        <v>0.2644014401440144</v>
      </c>
      <c r="R27" s="122">
        <v>0.21551994973295632</v>
      </c>
      <c r="S27" s="42">
        <v>0.23996069493848537</v>
      </c>
      <c r="T27" s="42">
        <v>0.14397641696309121</v>
      </c>
      <c r="U27" s="42">
        <v>9.1211225997045786E-2</v>
      </c>
      <c r="V27" s="42">
        <v>4.0381791483113071E-2</v>
      </c>
      <c r="W27" s="42">
        <v>6.5796508740079432E-2</v>
      </c>
      <c r="X27" s="43">
        <v>3.9477905244047658E-2</v>
      </c>
      <c r="Y27" s="44">
        <v>19.802739726027397</v>
      </c>
      <c r="Z27" s="45">
        <v>96.290732421968798</v>
      </c>
      <c r="AA27" s="45">
        <v>29.28585598095616</v>
      </c>
      <c r="AB27" s="45">
        <v>0.19680851063829788</v>
      </c>
      <c r="AC27" s="45">
        <v>6.4</v>
      </c>
      <c r="AD27" s="45">
        <v>73</v>
      </c>
      <c r="AE27" s="45">
        <v>3.52</v>
      </c>
      <c r="AF27" s="45">
        <v>51</v>
      </c>
      <c r="AG27" s="128">
        <v>1</v>
      </c>
      <c r="AH27" s="49">
        <v>4</v>
      </c>
      <c r="AI27" s="49">
        <v>5</v>
      </c>
      <c r="AJ27" s="49">
        <v>4</v>
      </c>
      <c r="AK27" s="49">
        <v>3</v>
      </c>
      <c r="AL27" s="49">
        <v>6</v>
      </c>
      <c r="AM27" s="49">
        <v>1</v>
      </c>
      <c r="AN27" s="49">
        <v>2</v>
      </c>
      <c r="AO27" s="49">
        <v>0</v>
      </c>
      <c r="AP27" s="50">
        <v>0</v>
      </c>
      <c r="AQ27" s="56">
        <v>0</v>
      </c>
      <c r="AR27" s="57">
        <v>2349</v>
      </c>
      <c r="AS27" s="57"/>
      <c r="AT27" s="57"/>
      <c r="AU27" s="57"/>
      <c r="AV27" s="57"/>
      <c r="AW27" s="57"/>
      <c r="AX27" s="57"/>
      <c r="AY27" s="57"/>
      <c r="AZ27" s="57"/>
      <c r="BA27" s="57">
        <v>0</v>
      </c>
      <c r="BB27" s="57">
        <v>2987</v>
      </c>
      <c r="BC27" s="57"/>
      <c r="BD27" s="57"/>
      <c r="BE27" s="59"/>
      <c r="BF27" s="56">
        <v>226</v>
      </c>
      <c r="BG27" s="57">
        <v>1838</v>
      </c>
      <c r="BH27" s="57">
        <v>1</v>
      </c>
      <c r="BI27" s="57"/>
      <c r="BJ27" s="57">
        <v>49</v>
      </c>
      <c r="BK27" s="57">
        <v>14</v>
      </c>
      <c r="BL27" s="129">
        <v>4.5999999999999996</v>
      </c>
      <c r="BM27" s="129">
        <v>85.7</v>
      </c>
      <c r="BN27" s="129">
        <v>2.57</v>
      </c>
      <c r="BO27" s="129">
        <v>16.8</v>
      </c>
      <c r="BP27" s="57">
        <v>41</v>
      </c>
      <c r="BQ27" s="57">
        <v>2079</v>
      </c>
      <c r="BR27" s="57">
        <v>5</v>
      </c>
      <c r="BS27" s="57"/>
      <c r="BT27" s="59"/>
      <c r="BU27" s="56">
        <v>831</v>
      </c>
      <c r="BV27" s="57">
        <v>1904</v>
      </c>
      <c r="BW27" s="57">
        <v>1</v>
      </c>
      <c r="BX27" s="57"/>
      <c r="BY27" s="57">
        <v>155</v>
      </c>
      <c r="BZ27" s="57">
        <v>28</v>
      </c>
      <c r="CA27" s="129">
        <v>5.4</v>
      </c>
      <c r="CB27" s="129">
        <v>57.6</v>
      </c>
      <c r="CC27" s="58">
        <v>2.92</v>
      </c>
      <c r="CD27" s="58">
        <v>34.799999999999997</v>
      </c>
      <c r="CE27" s="57">
        <v>77</v>
      </c>
      <c r="CF27" s="57">
        <v>1937</v>
      </c>
      <c r="CG27" s="57">
        <v>12</v>
      </c>
      <c r="CH27" s="57"/>
      <c r="CI27" s="59"/>
      <c r="CJ27" s="56">
        <v>928</v>
      </c>
      <c r="CK27" s="57">
        <v>1736</v>
      </c>
      <c r="CL27" s="57">
        <v>14</v>
      </c>
      <c r="CM27" s="57"/>
      <c r="CN27" s="57">
        <v>170</v>
      </c>
      <c r="CO27" s="57">
        <v>27</v>
      </c>
      <c r="CP27" s="58">
        <v>5.5</v>
      </c>
      <c r="CQ27" s="58">
        <v>40.9</v>
      </c>
      <c r="CR27" s="58">
        <v>2.54</v>
      </c>
      <c r="CS27" s="58">
        <v>42.8</v>
      </c>
      <c r="CT27" s="57">
        <v>247</v>
      </c>
      <c r="CU27" s="57">
        <v>2708</v>
      </c>
      <c r="CV27" s="57">
        <v>29</v>
      </c>
      <c r="CW27" s="57"/>
      <c r="CX27" s="59"/>
      <c r="CY27" s="56">
        <v>1207</v>
      </c>
      <c r="CZ27" s="57">
        <v>2280</v>
      </c>
      <c r="DA27" s="57">
        <v>16</v>
      </c>
      <c r="DB27" s="57"/>
      <c r="DC27" s="57">
        <v>188</v>
      </c>
      <c r="DD27" s="57">
        <v>37</v>
      </c>
      <c r="DE27" s="58">
        <v>6.4</v>
      </c>
      <c r="DF27" s="58">
        <v>73</v>
      </c>
      <c r="DG27" s="58">
        <v>3.52</v>
      </c>
      <c r="DH27" s="58">
        <v>51</v>
      </c>
      <c r="DI27" s="57">
        <v>165</v>
      </c>
      <c r="DJ27" s="57">
        <v>4086</v>
      </c>
      <c r="DK27" s="57">
        <v>24</v>
      </c>
      <c r="DL27" s="57"/>
      <c r="DM27" s="59"/>
    </row>
    <row r="28" spans="1:117" ht="15.75" customHeight="1" thickBot="1" x14ac:dyDescent="0.25">
      <c r="A28" s="60">
        <v>26</v>
      </c>
      <c r="B28" s="62" t="s">
        <v>372</v>
      </c>
      <c r="C28" s="134">
        <v>0.22222222222222232</v>
      </c>
      <c r="D28" s="135" t="s">
        <v>500</v>
      </c>
      <c r="E28" s="66">
        <v>6</v>
      </c>
      <c r="F28" s="136">
        <v>35122</v>
      </c>
      <c r="G28" s="137">
        <v>29.602739726027398</v>
      </c>
      <c r="H28" s="68" t="s">
        <v>389</v>
      </c>
      <c r="I28" s="137">
        <v>22.175342465753424</v>
      </c>
      <c r="J28" s="150">
        <v>70</v>
      </c>
      <c r="K28" s="150">
        <v>210</v>
      </c>
      <c r="L28" s="150">
        <v>4.8</v>
      </c>
      <c r="M28" s="69">
        <v>0</v>
      </c>
      <c r="N28" s="140">
        <v>0</v>
      </c>
      <c r="O28" s="141">
        <v>7.029540481400437E-2</v>
      </c>
      <c r="P28" s="141">
        <v>0.11374325030482495</v>
      </c>
      <c r="Q28" s="141">
        <v>0.12691729323308271</v>
      </c>
      <c r="R28" s="141">
        <v>0.15513320337881742</v>
      </c>
      <c r="S28" s="71">
        <v>0.15513320337881742</v>
      </c>
      <c r="T28" s="71">
        <v>0.10859324236517219</v>
      </c>
      <c r="U28" s="71">
        <v>9.9625977558653517E-2</v>
      </c>
      <c r="V28" s="71">
        <v>4.6869768998995649E-2</v>
      </c>
      <c r="W28" s="71">
        <v>7.324787327882458E-2</v>
      </c>
      <c r="X28" s="72">
        <v>5.1273511295177203E-2</v>
      </c>
      <c r="Y28" s="73">
        <v>21.536986301369861</v>
      </c>
      <c r="Z28" s="74">
        <v>79.119646990740748</v>
      </c>
      <c r="AA28" s="74">
        <v>30.12857142857143</v>
      </c>
      <c r="AB28" s="74">
        <v>0.21818181818181817</v>
      </c>
      <c r="AC28" s="74">
        <v>5</v>
      </c>
      <c r="AD28" s="74">
        <v>55.7</v>
      </c>
      <c r="AE28" s="74">
        <v>2.81</v>
      </c>
      <c r="AF28" s="75">
        <v>27.5</v>
      </c>
      <c r="AG28" s="142">
        <v>0</v>
      </c>
      <c r="AH28" s="78">
        <v>5</v>
      </c>
      <c r="AI28" s="78">
        <v>2</v>
      </c>
      <c r="AJ28" s="78">
        <v>0</v>
      </c>
      <c r="AK28" s="78">
        <v>4</v>
      </c>
      <c r="AL28" s="215">
        <v>1</v>
      </c>
      <c r="AM28" s="78">
        <v>0</v>
      </c>
      <c r="AN28" s="78">
        <v>0</v>
      </c>
      <c r="AO28" s="78">
        <v>0</v>
      </c>
      <c r="AP28" s="79">
        <v>0</v>
      </c>
      <c r="AQ28" s="80">
        <v>0</v>
      </c>
      <c r="AR28" s="81">
        <v>1064</v>
      </c>
      <c r="AS28" s="81"/>
      <c r="AT28" s="81"/>
      <c r="AU28" s="81"/>
      <c r="AV28" s="81"/>
      <c r="AW28" s="81"/>
      <c r="AX28" s="81"/>
      <c r="AY28" s="81"/>
      <c r="AZ28" s="81"/>
      <c r="BA28" s="81">
        <v>0</v>
      </c>
      <c r="BB28" s="81">
        <v>2002</v>
      </c>
      <c r="BC28" s="81"/>
      <c r="BD28" s="81"/>
      <c r="BE28" s="83"/>
      <c r="BF28" s="80">
        <v>150</v>
      </c>
      <c r="BG28" s="81">
        <v>1295</v>
      </c>
      <c r="BH28" s="81">
        <v>0</v>
      </c>
      <c r="BI28" s="81"/>
      <c r="BJ28" s="81">
        <v>46</v>
      </c>
      <c r="BK28" s="81">
        <v>6</v>
      </c>
      <c r="BL28" s="144">
        <v>3.3</v>
      </c>
      <c r="BM28" s="144">
        <v>35.4</v>
      </c>
      <c r="BN28" s="144">
        <v>1.74</v>
      </c>
      <c r="BO28" s="144">
        <v>10.7</v>
      </c>
      <c r="BP28" s="81">
        <v>107</v>
      </c>
      <c r="BQ28" s="81">
        <v>2361</v>
      </c>
      <c r="BR28" s="81">
        <v>8</v>
      </c>
      <c r="BS28" s="81"/>
      <c r="BT28" s="83"/>
      <c r="BU28" s="80">
        <v>307</v>
      </c>
      <c r="BV28" s="81">
        <v>3205</v>
      </c>
      <c r="BW28" s="81">
        <v>1</v>
      </c>
      <c r="BX28" s="81"/>
      <c r="BY28" s="81">
        <v>71</v>
      </c>
      <c r="BZ28" s="81">
        <v>8</v>
      </c>
      <c r="CA28" s="144">
        <v>4.3</v>
      </c>
      <c r="CB28" s="144">
        <v>27.6</v>
      </c>
      <c r="CC28" s="82">
        <v>2.41</v>
      </c>
      <c r="CD28" s="82">
        <v>13.4</v>
      </c>
      <c r="CE28" s="81">
        <v>346</v>
      </c>
      <c r="CF28" s="81">
        <v>2536</v>
      </c>
      <c r="CG28" s="81">
        <v>25</v>
      </c>
      <c r="CH28" s="81"/>
      <c r="CI28" s="83"/>
      <c r="CJ28" s="80">
        <v>551</v>
      </c>
      <c r="CK28" s="81">
        <v>3709</v>
      </c>
      <c r="CL28" s="81">
        <v>8</v>
      </c>
      <c r="CM28" s="81"/>
      <c r="CN28" s="81">
        <v>110</v>
      </c>
      <c r="CO28" s="81">
        <v>24</v>
      </c>
      <c r="CP28" s="82">
        <v>5</v>
      </c>
      <c r="CQ28" s="82">
        <v>55</v>
      </c>
      <c r="CR28" s="82">
        <v>2.81</v>
      </c>
      <c r="CS28" s="82">
        <v>17.8</v>
      </c>
      <c r="CT28" s="81">
        <v>293</v>
      </c>
      <c r="CU28" s="81">
        <v>2941</v>
      </c>
      <c r="CV28" s="81">
        <v>28</v>
      </c>
      <c r="CW28" s="81"/>
      <c r="CX28" s="83"/>
      <c r="CY28" s="80">
        <v>815</v>
      </c>
      <c r="CZ28" s="81">
        <v>3169</v>
      </c>
      <c r="DA28" s="81">
        <v>7</v>
      </c>
      <c r="DB28" s="81"/>
      <c r="DC28" s="81">
        <v>195</v>
      </c>
      <c r="DD28" s="81">
        <v>38</v>
      </c>
      <c r="DE28" s="82">
        <v>4.2</v>
      </c>
      <c r="DF28" s="82">
        <v>55.7</v>
      </c>
      <c r="DG28" s="82">
        <v>2.64</v>
      </c>
      <c r="DH28" s="82">
        <v>27.5</v>
      </c>
      <c r="DI28" s="81">
        <v>140</v>
      </c>
      <c r="DJ28" s="81">
        <v>2987</v>
      </c>
      <c r="DK28" s="81">
        <v>9</v>
      </c>
      <c r="DL28" s="81"/>
      <c r="DM28" s="83"/>
    </row>
    <row r="29" spans="1:117" ht="15.75" customHeight="1" x14ac:dyDescent="0.2"/>
    <row r="30" spans="1:117" ht="15.75" customHeight="1" x14ac:dyDescent="0.2"/>
    <row r="31" spans="1:117" ht="15.75" customHeight="1" x14ac:dyDescent="0.2"/>
    <row r="32" spans="1:117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2:DM2" xr:uid="{00000000-0009-0000-0000-000008000000}">
    <sortState xmlns:xlrd2="http://schemas.microsoft.com/office/spreadsheetml/2017/richdata2" ref="A3:DM28">
      <sortCondition ref="A2"/>
    </sortState>
  </autoFilter>
  <mergeCells count="10">
    <mergeCell ref="BU1:CI1"/>
    <mergeCell ref="CJ1:CX1"/>
    <mergeCell ref="CY1:DM1"/>
    <mergeCell ref="A1:C1"/>
    <mergeCell ref="D1:M1"/>
    <mergeCell ref="N1:X1"/>
    <mergeCell ref="Y1:AF1"/>
    <mergeCell ref="AG1:AP1"/>
    <mergeCell ref="AQ1:BE1"/>
    <mergeCell ref="BF1:BT1"/>
  </mergeCells>
  <conditionalFormatting sqref="B3:B28">
    <cfRule type="expression" dxfId="126" priority="1" stopIfTrue="1">
      <formula>C3&gt;=13</formula>
    </cfRule>
    <cfRule type="expression" dxfId="125" priority="2">
      <formula>AND(C3&gt;=12,C3&lt;13)</formula>
    </cfRule>
    <cfRule type="expression" dxfId="124" priority="3" stopIfTrue="1">
      <formula>AND(C3&gt;=11,C3&lt;12)</formula>
    </cfRule>
    <cfRule type="expression" dxfId="123" priority="4">
      <formula>AND(C3&gt;=9,C3&lt;11)</formula>
    </cfRule>
    <cfRule type="expression" dxfId="122" priority="5">
      <formula>AND(C3&gt;=7,C3&lt;9)</formula>
    </cfRule>
    <cfRule type="expression" dxfId="121" priority="6" stopIfTrue="1">
      <formula>AND(C3&gt;=6,C3&lt;7)</formula>
    </cfRule>
    <cfRule type="expression" dxfId="120" priority="7" stopIfTrue="1">
      <formula>AND(C3&gt;=5,C3&lt;6)</formula>
    </cfRule>
    <cfRule type="expression" dxfId="119" priority="8">
      <formula>C3&lt;5</formula>
    </cfRule>
  </conditionalFormatting>
  <conditionalFormatting sqref="C3:C2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H28">
    <cfRule type="containsText" dxfId="118" priority="10" operator="containsText" text="SR">
      <formula>NOT(ISERROR(SEARCH(("SR"),(H3))))</formula>
    </cfRule>
  </conditionalFormatting>
  <conditionalFormatting sqref="N3:R28">
    <cfRule type="cellIs" dxfId="117" priority="11" stopIfTrue="1" operator="between">
      <formula>0.15</formula>
      <formula>0.1999</formula>
    </cfRule>
    <cfRule type="cellIs" dxfId="116" priority="12" operator="equal">
      <formula>0</formula>
    </cfRule>
    <cfRule type="colorScale" priority="13">
      <colorScale>
        <cfvo type="formula" val="0.1899"/>
        <cfvo type="formula" val="0.2"/>
        <cfvo type="formula" val="0.4"/>
        <color rgb="FFFACACA"/>
        <color rgb="FFC0E399"/>
        <color rgb="FF63BE7B"/>
      </colorScale>
    </cfRule>
  </conditionalFormatting>
  <conditionalFormatting sqref="S3:T28">
    <cfRule type="colorScale" priority="14">
      <colorScale>
        <cfvo type="formula" val="0.1499"/>
        <cfvo type="formula" val="0.15"/>
        <cfvo type="formula" val="0.4"/>
        <color rgb="FFFACACA"/>
        <color rgb="FFCEF9B9"/>
        <color rgb="FF00B050"/>
      </colorScale>
    </cfRule>
  </conditionalFormatting>
  <conditionalFormatting sqref="U3:V28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:W28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:X2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S1000"/>
  <sheetViews>
    <sheetView zoomScale="80" zoomScaleNormal="80" workbookViewId="0">
      <selection sqref="A1:XFD1048576"/>
    </sheetView>
  </sheetViews>
  <sheetFormatPr baseColWidth="10" defaultColWidth="14.5" defaultRowHeight="15" customHeight="1" x14ac:dyDescent="0.2"/>
  <cols>
    <col min="1" max="1" width="8.5" customWidth="1"/>
    <col min="2" max="2" width="20.5" customWidth="1"/>
    <col min="3" max="3" width="12" customWidth="1"/>
    <col min="4" max="4" width="17" customWidth="1"/>
    <col min="5" max="5" width="10.83203125" customWidth="1"/>
    <col min="6" max="6" width="11.5" customWidth="1"/>
    <col min="7" max="7" width="7.5" customWidth="1"/>
    <col min="8" max="8" width="8" customWidth="1"/>
    <col min="9" max="9" width="12.6640625" customWidth="1"/>
    <col min="10" max="10" width="10" customWidth="1"/>
    <col min="11" max="11" width="10.5" customWidth="1"/>
    <col min="12" max="12" width="11.33203125" customWidth="1"/>
    <col min="13" max="13" width="12.5" customWidth="1"/>
    <col min="14" max="20" width="9.83203125" customWidth="1"/>
    <col min="21" max="22" width="11" customWidth="1"/>
    <col min="23" max="23" width="10" customWidth="1"/>
    <col min="24" max="24" width="11" customWidth="1"/>
    <col min="25" max="25" width="9.33203125" customWidth="1"/>
    <col min="26" max="26" width="9.5" customWidth="1"/>
    <col min="27" max="27" width="7.6640625" customWidth="1"/>
    <col min="28" max="28" width="10.1640625" customWidth="1"/>
    <col min="29" max="29" width="7.33203125" customWidth="1"/>
    <col min="30" max="30" width="7.5" customWidth="1"/>
    <col min="31" max="31" width="9.83203125" customWidth="1"/>
    <col min="32" max="32" width="11.5" customWidth="1"/>
    <col min="33" max="33" width="10.83203125" customWidth="1"/>
    <col min="34" max="34" width="11" customWidth="1"/>
    <col min="35" max="35" width="10.33203125" customWidth="1"/>
    <col min="36" max="36" width="10.5" customWidth="1"/>
    <col min="37" max="37" width="10.1640625" customWidth="1"/>
    <col min="38" max="39" width="8.5" customWidth="1"/>
    <col min="40" max="40" width="10.83203125" customWidth="1"/>
    <col min="41" max="41" width="7.6640625" customWidth="1"/>
    <col min="42" max="42" width="9.5" customWidth="1"/>
    <col min="43" max="43" width="12" customWidth="1"/>
    <col min="44" max="44" width="12.6640625" customWidth="1"/>
    <col min="45" max="45" width="12.33203125" customWidth="1"/>
    <col min="46" max="46" width="12.1640625" customWidth="1"/>
    <col min="47" max="47" width="6.6640625" customWidth="1"/>
    <col min="48" max="48" width="8" customWidth="1"/>
    <col min="49" max="49" width="7.33203125" customWidth="1"/>
    <col min="50" max="50" width="7.5" customWidth="1"/>
    <col min="51" max="51" width="9.83203125" customWidth="1"/>
    <col min="52" max="52" width="11.5" customWidth="1"/>
    <col min="53" max="53" width="10.83203125" customWidth="1"/>
    <col min="54" max="54" width="12.6640625" customWidth="1"/>
    <col min="55" max="55" width="8.1640625" customWidth="1"/>
    <col min="56" max="56" width="11.33203125" customWidth="1"/>
    <col min="57" max="57" width="13" customWidth="1"/>
    <col min="58" max="58" width="12" customWidth="1"/>
    <col min="59" max="59" width="12.6640625" customWidth="1"/>
    <col min="60" max="60" width="12.33203125" customWidth="1"/>
    <col min="61" max="61" width="12.1640625" customWidth="1"/>
    <col min="62" max="62" width="6.6640625" customWidth="1"/>
    <col min="63" max="63" width="8" customWidth="1"/>
    <col min="64" max="64" width="7.33203125" customWidth="1"/>
    <col min="65" max="65" width="7.5" customWidth="1"/>
    <col min="66" max="66" width="9.83203125" customWidth="1"/>
    <col min="67" max="67" width="11.5" customWidth="1"/>
    <col min="68" max="68" width="10.83203125" customWidth="1"/>
    <col min="69" max="69" width="12.6640625" customWidth="1"/>
    <col min="70" max="70" width="8.1640625" customWidth="1"/>
    <col min="71" max="71" width="11.33203125" customWidth="1"/>
    <col min="72" max="72" width="13" customWidth="1"/>
    <col min="73" max="73" width="12" customWidth="1"/>
    <col min="74" max="74" width="12.6640625" customWidth="1"/>
    <col min="75" max="75" width="12.33203125" customWidth="1"/>
    <col min="76" max="76" width="12.1640625" customWidth="1"/>
    <col min="77" max="77" width="6.6640625" customWidth="1"/>
    <col min="78" max="78" width="8" customWidth="1"/>
    <col min="79" max="79" width="7.33203125" customWidth="1"/>
    <col min="80" max="80" width="7.5" customWidth="1"/>
    <col min="81" max="81" width="9.83203125" customWidth="1"/>
    <col min="82" max="82" width="11.5" customWidth="1"/>
    <col min="83" max="83" width="10.83203125" customWidth="1"/>
    <col min="84" max="84" width="12.6640625" customWidth="1"/>
    <col min="85" max="85" width="8.1640625" customWidth="1"/>
    <col min="86" max="86" width="11.33203125" customWidth="1"/>
    <col min="87" max="87" width="13" customWidth="1"/>
    <col min="88" max="88" width="12" customWidth="1"/>
    <col min="89" max="89" width="12.6640625" customWidth="1"/>
    <col min="90" max="90" width="12.33203125" customWidth="1"/>
    <col min="91" max="91" width="12.1640625" customWidth="1"/>
    <col min="92" max="92" width="6.6640625" customWidth="1"/>
    <col min="93" max="93" width="8" customWidth="1"/>
    <col min="94" max="94" width="7.33203125" customWidth="1"/>
    <col min="95" max="95" width="7.5" customWidth="1"/>
    <col min="96" max="96" width="9.83203125" customWidth="1"/>
    <col min="97" max="97" width="11.5" customWidth="1"/>
    <col min="98" max="98" width="10.83203125" customWidth="1"/>
    <col min="99" max="99" width="12.6640625" customWidth="1"/>
    <col min="100" max="100" width="8.1640625" customWidth="1"/>
    <col min="101" max="101" width="11.33203125" customWidth="1"/>
    <col min="102" max="102" width="13" customWidth="1"/>
    <col min="103" max="103" width="12" customWidth="1"/>
    <col min="104" max="104" width="12.6640625" customWidth="1"/>
    <col min="105" max="105" width="12.33203125" customWidth="1"/>
    <col min="106" max="106" width="12.1640625" customWidth="1"/>
    <col min="107" max="107" width="6.6640625" customWidth="1"/>
    <col min="108" max="108" width="8" customWidth="1"/>
    <col min="109" max="109" width="7.33203125" customWidth="1"/>
    <col min="110" max="110" width="7.5" customWidth="1"/>
    <col min="111" max="111" width="9.83203125" customWidth="1"/>
    <col min="112" max="112" width="11.5" customWidth="1"/>
    <col min="113" max="113" width="10.83203125" customWidth="1"/>
    <col min="114" max="114" width="12.6640625" customWidth="1"/>
    <col min="115" max="115" width="8.1640625" customWidth="1"/>
    <col min="116" max="116" width="11.33203125" customWidth="1"/>
    <col min="117" max="117" width="13" customWidth="1"/>
    <col min="118" max="118" width="8" customWidth="1"/>
    <col min="119" max="119" width="3.5" customWidth="1"/>
    <col min="120" max="120" width="16.5" customWidth="1"/>
    <col min="121" max="121" width="11" customWidth="1"/>
    <col min="122" max="122" width="14.5" customWidth="1"/>
    <col min="123" max="123" width="10.5" customWidth="1"/>
  </cols>
  <sheetData>
    <row r="1" spans="1:123" x14ac:dyDescent="0.2">
      <c r="A1" s="259"/>
      <c r="B1" s="251"/>
      <c r="C1" s="253"/>
      <c r="D1" s="254" t="s">
        <v>156</v>
      </c>
      <c r="E1" s="251"/>
      <c r="F1" s="251"/>
      <c r="G1" s="251"/>
      <c r="H1" s="251"/>
      <c r="I1" s="251"/>
      <c r="J1" s="251"/>
      <c r="K1" s="251"/>
      <c r="L1" s="251"/>
      <c r="M1" s="253"/>
      <c r="N1" s="255" t="s">
        <v>157</v>
      </c>
      <c r="O1" s="251"/>
      <c r="P1" s="251"/>
      <c r="Q1" s="251"/>
      <c r="R1" s="251"/>
      <c r="S1" s="251"/>
      <c r="T1" s="251"/>
      <c r="U1" s="251"/>
      <c r="V1" s="251"/>
      <c r="W1" s="251"/>
      <c r="X1" s="253"/>
      <c r="Y1" s="256" t="s">
        <v>158</v>
      </c>
      <c r="Z1" s="251"/>
      <c r="AA1" s="251"/>
      <c r="AB1" s="251"/>
      <c r="AC1" s="251"/>
      <c r="AD1" s="251"/>
      <c r="AE1" s="251"/>
      <c r="AF1" s="253"/>
      <c r="AG1" s="257" t="s">
        <v>159</v>
      </c>
      <c r="AH1" s="251"/>
      <c r="AI1" s="251"/>
      <c r="AJ1" s="251"/>
      <c r="AK1" s="251"/>
      <c r="AL1" s="251"/>
      <c r="AM1" s="251"/>
      <c r="AN1" s="251"/>
      <c r="AO1" s="251"/>
      <c r="AP1" s="253"/>
      <c r="AQ1" s="247" t="s">
        <v>377</v>
      </c>
      <c r="AR1" s="248"/>
      <c r="AS1" s="248"/>
      <c r="AT1" s="248"/>
      <c r="AU1" s="248"/>
      <c r="AV1" s="248"/>
      <c r="AW1" s="248"/>
      <c r="AX1" s="248"/>
      <c r="AY1" s="248"/>
      <c r="AZ1" s="248"/>
      <c r="BA1" s="248"/>
      <c r="BB1" s="248"/>
      <c r="BC1" s="248"/>
      <c r="BD1" s="248"/>
      <c r="BE1" s="249"/>
      <c r="BF1" s="247" t="s">
        <v>443</v>
      </c>
      <c r="BG1" s="248"/>
      <c r="BH1" s="248"/>
      <c r="BI1" s="248"/>
      <c r="BJ1" s="248"/>
      <c r="BK1" s="248"/>
      <c r="BL1" s="248"/>
      <c r="BM1" s="248"/>
      <c r="BN1" s="248"/>
      <c r="BO1" s="248"/>
      <c r="BP1" s="248"/>
      <c r="BQ1" s="248"/>
      <c r="BR1" s="248"/>
      <c r="BS1" s="248"/>
      <c r="BT1" s="249"/>
      <c r="BU1" s="247" t="s">
        <v>491</v>
      </c>
      <c r="BV1" s="248"/>
      <c r="BW1" s="248"/>
      <c r="BX1" s="248"/>
      <c r="BY1" s="248"/>
      <c r="BZ1" s="248"/>
      <c r="CA1" s="248"/>
      <c r="CB1" s="248"/>
      <c r="CC1" s="248"/>
      <c r="CD1" s="248"/>
      <c r="CE1" s="248"/>
      <c r="CF1" s="248"/>
      <c r="CG1" s="248"/>
      <c r="CH1" s="248"/>
      <c r="CI1" s="249"/>
      <c r="CJ1" s="247" t="s">
        <v>512</v>
      </c>
      <c r="CK1" s="248"/>
      <c r="CL1" s="248"/>
      <c r="CM1" s="248"/>
      <c r="CN1" s="248"/>
      <c r="CO1" s="248"/>
      <c r="CP1" s="248"/>
      <c r="CQ1" s="248"/>
      <c r="CR1" s="248"/>
      <c r="CS1" s="248"/>
      <c r="CT1" s="248"/>
      <c r="CU1" s="248"/>
      <c r="CV1" s="248"/>
      <c r="CW1" s="248"/>
      <c r="CX1" s="249"/>
      <c r="CY1" s="247" t="s">
        <v>524</v>
      </c>
      <c r="CZ1" s="248"/>
      <c r="DA1" s="248"/>
      <c r="DB1" s="248"/>
      <c r="DC1" s="248"/>
      <c r="DD1" s="248"/>
      <c r="DE1" s="248"/>
      <c r="DF1" s="248"/>
      <c r="DG1" s="248"/>
      <c r="DH1" s="248"/>
      <c r="DI1" s="248"/>
      <c r="DJ1" s="248"/>
      <c r="DK1" s="248"/>
      <c r="DL1" s="248"/>
      <c r="DM1" s="249"/>
      <c r="DN1" s="114"/>
      <c r="DO1" s="11"/>
      <c r="DP1" s="7"/>
    </row>
    <row r="2" spans="1:123" ht="16" thickBot="1" x14ac:dyDescent="0.25">
      <c r="A2" s="15" t="s">
        <v>56</v>
      </c>
      <c r="B2" s="16" t="s">
        <v>58</v>
      </c>
      <c r="C2" s="17" t="s">
        <v>2</v>
      </c>
      <c r="D2" s="115" t="s">
        <v>168</v>
      </c>
      <c r="E2" s="19" t="s">
        <v>24</v>
      </c>
      <c r="F2" s="19" t="s">
        <v>28</v>
      </c>
      <c r="G2" s="19" t="s">
        <v>30</v>
      </c>
      <c r="H2" s="19" t="s">
        <v>57</v>
      </c>
      <c r="I2" s="19" t="s">
        <v>34</v>
      </c>
      <c r="J2" s="19" t="s">
        <v>170</v>
      </c>
      <c r="K2" s="19" t="s">
        <v>171</v>
      </c>
      <c r="L2" s="19" t="s">
        <v>172</v>
      </c>
      <c r="M2" s="20" t="s">
        <v>22</v>
      </c>
      <c r="N2" s="21" t="s">
        <v>36</v>
      </c>
      <c r="O2" s="22" t="s">
        <v>38</v>
      </c>
      <c r="P2" s="22" t="s">
        <v>40</v>
      </c>
      <c r="Q2" s="22" t="s">
        <v>42</v>
      </c>
      <c r="R2" s="22" t="s">
        <v>44</v>
      </c>
      <c r="S2" s="22" t="s">
        <v>18</v>
      </c>
      <c r="T2" s="22" t="s">
        <v>20</v>
      </c>
      <c r="U2" s="22" t="s">
        <v>173</v>
      </c>
      <c r="V2" s="22" t="s">
        <v>174</v>
      </c>
      <c r="W2" s="22" t="s">
        <v>175</v>
      </c>
      <c r="X2" s="23" t="s">
        <v>176</v>
      </c>
      <c r="Y2" s="24" t="s">
        <v>177</v>
      </c>
      <c r="Z2" s="25" t="s">
        <v>178</v>
      </c>
      <c r="AA2" s="25" t="s">
        <v>179</v>
      </c>
      <c r="AB2" s="25" t="s">
        <v>180</v>
      </c>
      <c r="AC2" s="25" t="s">
        <v>8</v>
      </c>
      <c r="AD2" s="25" t="s">
        <v>12</v>
      </c>
      <c r="AE2" s="25" t="s">
        <v>10</v>
      </c>
      <c r="AF2" s="26" t="s">
        <v>14</v>
      </c>
      <c r="AG2" s="27" t="s">
        <v>183</v>
      </c>
      <c r="AH2" s="28" t="s">
        <v>176</v>
      </c>
      <c r="AI2" s="28" t="s">
        <v>185</v>
      </c>
      <c r="AJ2" s="28" t="s">
        <v>186</v>
      </c>
      <c r="AK2" s="28" t="s">
        <v>180</v>
      </c>
      <c r="AL2" s="28" t="s">
        <v>187</v>
      </c>
      <c r="AM2" s="28" t="s">
        <v>188</v>
      </c>
      <c r="AN2" s="28" t="s">
        <v>189</v>
      </c>
      <c r="AO2" s="28" t="s">
        <v>26</v>
      </c>
      <c r="AP2" s="240" t="s">
        <v>16</v>
      </c>
      <c r="AQ2" s="30" t="s">
        <v>190</v>
      </c>
      <c r="AR2" s="31" t="s">
        <v>191</v>
      </c>
      <c r="AS2" s="31" t="s">
        <v>192</v>
      </c>
      <c r="AT2" s="31" t="s">
        <v>193</v>
      </c>
      <c r="AU2" s="31" t="s">
        <v>194</v>
      </c>
      <c r="AV2" s="31" t="s">
        <v>195</v>
      </c>
      <c r="AW2" s="31" t="s">
        <v>8</v>
      </c>
      <c r="AX2" s="31" t="s">
        <v>12</v>
      </c>
      <c r="AY2" s="31" t="s">
        <v>10</v>
      </c>
      <c r="AZ2" s="31" t="s">
        <v>14</v>
      </c>
      <c r="BA2" s="31" t="s">
        <v>196</v>
      </c>
      <c r="BB2" s="31" t="s">
        <v>191</v>
      </c>
      <c r="BC2" s="31" t="s">
        <v>197</v>
      </c>
      <c r="BD2" s="31" t="s">
        <v>198</v>
      </c>
      <c r="BE2" s="32" t="s">
        <v>199</v>
      </c>
      <c r="BF2" s="30" t="s">
        <v>190</v>
      </c>
      <c r="BG2" s="31" t="s">
        <v>191</v>
      </c>
      <c r="BH2" s="31" t="s">
        <v>192</v>
      </c>
      <c r="BI2" s="31" t="s">
        <v>193</v>
      </c>
      <c r="BJ2" s="31" t="s">
        <v>194</v>
      </c>
      <c r="BK2" s="31" t="s">
        <v>195</v>
      </c>
      <c r="BL2" s="31" t="s">
        <v>8</v>
      </c>
      <c r="BM2" s="31" t="s">
        <v>12</v>
      </c>
      <c r="BN2" s="31" t="s">
        <v>10</v>
      </c>
      <c r="BO2" s="31" t="s">
        <v>14</v>
      </c>
      <c r="BP2" s="31" t="s">
        <v>196</v>
      </c>
      <c r="BQ2" s="31" t="s">
        <v>191</v>
      </c>
      <c r="BR2" s="31" t="s">
        <v>197</v>
      </c>
      <c r="BS2" s="31" t="s">
        <v>198</v>
      </c>
      <c r="BT2" s="32" t="s">
        <v>199</v>
      </c>
      <c r="BU2" s="30" t="s">
        <v>190</v>
      </c>
      <c r="BV2" s="31" t="s">
        <v>191</v>
      </c>
      <c r="BW2" s="31" t="s">
        <v>192</v>
      </c>
      <c r="BX2" s="31" t="s">
        <v>193</v>
      </c>
      <c r="BY2" s="31" t="s">
        <v>194</v>
      </c>
      <c r="BZ2" s="31" t="s">
        <v>195</v>
      </c>
      <c r="CA2" s="31" t="s">
        <v>8</v>
      </c>
      <c r="CB2" s="31" t="s">
        <v>12</v>
      </c>
      <c r="CC2" s="31" t="s">
        <v>10</v>
      </c>
      <c r="CD2" s="31" t="s">
        <v>14</v>
      </c>
      <c r="CE2" s="31" t="s">
        <v>196</v>
      </c>
      <c r="CF2" s="31" t="s">
        <v>191</v>
      </c>
      <c r="CG2" s="31" t="s">
        <v>197</v>
      </c>
      <c r="CH2" s="31" t="s">
        <v>198</v>
      </c>
      <c r="CI2" s="32" t="s">
        <v>199</v>
      </c>
      <c r="CJ2" s="30" t="s">
        <v>190</v>
      </c>
      <c r="CK2" s="31" t="s">
        <v>191</v>
      </c>
      <c r="CL2" s="31" t="s">
        <v>192</v>
      </c>
      <c r="CM2" s="31" t="s">
        <v>193</v>
      </c>
      <c r="CN2" s="31" t="s">
        <v>194</v>
      </c>
      <c r="CO2" s="31" t="s">
        <v>195</v>
      </c>
      <c r="CP2" s="31" t="s">
        <v>8</v>
      </c>
      <c r="CQ2" s="31" t="s">
        <v>12</v>
      </c>
      <c r="CR2" s="31" t="s">
        <v>10</v>
      </c>
      <c r="CS2" s="31" t="s">
        <v>14</v>
      </c>
      <c r="CT2" s="31" t="s">
        <v>196</v>
      </c>
      <c r="CU2" s="31" t="s">
        <v>191</v>
      </c>
      <c r="CV2" s="31" t="s">
        <v>197</v>
      </c>
      <c r="CW2" s="31" t="s">
        <v>198</v>
      </c>
      <c r="CX2" s="32" t="s">
        <v>199</v>
      </c>
      <c r="CY2" s="30" t="s">
        <v>190</v>
      </c>
      <c r="CZ2" s="31" t="s">
        <v>191</v>
      </c>
      <c r="DA2" s="31" t="s">
        <v>192</v>
      </c>
      <c r="DB2" s="31" t="s">
        <v>193</v>
      </c>
      <c r="DC2" s="31" t="s">
        <v>194</v>
      </c>
      <c r="DD2" s="31" t="s">
        <v>195</v>
      </c>
      <c r="DE2" s="31" t="s">
        <v>8</v>
      </c>
      <c r="DF2" s="31" t="s">
        <v>12</v>
      </c>
      <c r="DG2" s="31" t="s">
        <v>10</v>
      </c>
      <c r="DH2" s="31" t="s">
        <v>14</v>
      </c>
      <c r="DI2" s="31" t="s">
        <v>196</v>
      </c>
      <c r="DJ2" s="31" t="s">
        <v>191</v>
      </c>
      <c r="DK2" s="31" t="s">
        <v>197</v>
      </c>
      <c r="DL2" s="31" t="s">
        <v>198</v>
      </c>
      <c r="DM2" s="32" t="s">
        <v>199</v>
      </c>
      <c r="DN2" s="11"/>
      <c r="DO2" s="11"/>
      <c r="DP2" s="11" t="s">
        <v>379</v>
      </c>
      <c r="DQ2" s="11" t="s">
        <v>380</v>
      </c>
      <c r="DR2" s="11" t="s">
        <v>381</v>
      </c>
      <c r="DS2" s="11" t="s">
        <v>382</v>
      </c>
    </row>
    <row r="3" spans="1:123" x14ac:dyDescent="0.2">
      <c r="A3" s="33">
        <v>1</v>
      </c>
      <c r="B3" s="34" t="s">
        <v>103</v>
      </c>
      <c r="C3" s="116">
        <v>11.211111111111112</v>
      </c>
      <c r="D3" s="117" t="s">
        <v>398</v>
      </c>
      <c r="E3" s="37">
        <v>1</v>
      </c>
      <c r="F3" s="118">
        <v>35837</v>
      </c>
      <c r="G3" s="119">
        <v>27.643835616438356</v>
      </c>
      <c r="H3" s="39" t="s">
        <v>385</v>
      </c>
      <c r="I3" s="119">
        <v>21.213698630136985</v>
      </c>
      <c r="J3" s="120">
        <v>70</v>
      </c>
      <c r="K3" s="120">
        <v>220</v>
      </c>
      <c r="L3" s="120">
        <v>4.5199999999999996</v>
      </c>
      <c r="M3" s="40">
        <v>1</v>
      </c>
      <c r="N3" s="121">
        <v>0</v>
      </c>
      <c r="O3" s="122">
        <v>0</v>
      </c>
      <c r="P3" s="122">
        <v>0.10704349099428906</v>
      </c>
      <c r="Q3" s="122">
        <v>9.0963855421686751E-2</v>
      </c>
      <c r="R3" s="122">
        <v>0.1532567049808429</v>
      </c>
      <c r="S3" s="42">
        <v>0.1532567049808429</v>
      </c>
      <c r="T3" s="42">
        <v>0.1532567049808429</v>
      </c>
      <c r="U3" s="42">
        <v>7.780847145488029E-2</v>
      </c>
      <c r="V3" s="42">
        <v>6.1804697156983932E-2</v>
      </c>
      <c r="W3" s="42">
        <v>6.9806584305932118E-2</v>
      </c>
      <c r="X3" s="43">
        <v>6.9806584305932118E-2</v>
      </c>
      <c r="Y3" s="44">
        <v>20.564383561643837</v>
      </c>
      <c r="Z3" s="45">
        <v>105.4141563198929</v>
      </c>
      <c r="AA3" s="45">
        <v>31.563265306122446</v>
      </c>
      <c r="AB3" s="45">
        <v>0.27272727272727271</v>
      </c>
      <c r="AC3" s="45">
        <v>6.2</v>
      </c>
      <c r="AD3" s="45">
        <v>109.8</v>
      </c>
      <c r="AE3" s="45">
        <v>4.07</v>
      </c>
      <c r="AF3" s="45">
        <v>23.6</v>
      </c>
      <c r="AG3" s="128">
        <v>2</v>
      </c>
      <c r="AH3" s="49">
        <v>7</v>
      </c>
      <c r="AI3" s="49">
        <v>3</v>
      </c>
      <c r="AJ3" s="49">
        <v>8</v>
      </c>
      <c r="AK3" s="49">
        <v>7</v>
      </c>
      <c r="AL3" s="124">
        <v>5</v>
      </c>
      <c r="AM3" s="49">
        <v>5</v>
      </c>
      <c r="AN3" s="49">
        <v>5</v>
      </c>
      <c r="AO3" s="49">
        <v>10</v>
      </c>
      <c r="AP3" s="50">
        <v>1</v>
      </c>
      <c r="AQ3" s="51">
        <v>0</v>
      </c>
      <c r="AR3" s="52">
        <v>2893</v>
      </c>
      <c r="AS3" s="52">
        <v>0</v>
      </c>
      <c r="AT3" s="52">
        <v>35</v>
      </c>
      <c r="AU3" s="52">
        <v>0</v>
      </c>
      <c r="AV3" s="52">
        <v>0</v>
      </c>
      <c r="AW3" s="53">
        <v>0</v>
      </c>
      <c r="AX3" s="53">
        <v>0</v>
      </c>
      <c r="AY3" s="53">
        <v>0</v>
      </c>
      <c r="AZ3" s="53">
        <v>0</v>
      </c>
      <c r="BA3" s="52">
        <v>0</v>
      </c>
      <c r="BB3" s="52">
        <v>3890</v>
      </c>
      <c r="BC3" s="52">
        <v>0</v>
      </c>
      <c r="BD3" s="52"/>
      <c r="BE3" s="54">
        <v>32</v>
      </c>
      <c r="BF3" s="51">
        <v>0</v>
      </c>
      <c r="BG3" s="52">
        <v>2999</v>
      </c>
      <c r="BH3" s="52">
        <v>0</v>
      </c>
      <c r="BI3" s="52">
        <v>33</v>
      </c>
      <c r="BJ3" s="52">
        <v>0</v>
      </c>
      <c r="BK3" s="52">
        <v>0</v>
      </c>
      <c r="BL3" s="53">
        <v>0</v>
      </c>
      <c r="BM3" s="53">
        <v>0</v>
      </c>
      <c r="BN3" s="53">
        <v>0</v>
      </c>
      <c r="BO3" s="53">
        <v>0</v>
      </c>
      <c r="BP3" s="52">
        <v>0</v>
      </c>
      <c r="BQ3" s="52">
        <v>3407</v>
      </c>
      <c r="BR3" s="52">
        <v>0</v>
      </c>
      <c r="BS3" s="52"/>
      <c r="BT3" s="54">
        <v>22</v>
      </c>
      <c r="BU3" s="51">
        <v>564</v>
      </c>
      <c r="BV3" s="52">
        <v>3675</v>
      </c>
      <c r="BW3" s="52">
        <v>4</v>
      </c>
      <c r="BX3" s="52">
        <v>33</v>
      </c>
      <c r="BY3" s="52">
        <v>86</v>
      </c>
      <c r="BZ3" s="52">
        <v>26</v>
      </c>
      <c r="CA3" s="53">
        <v>6.6</v>
      </c>
      <c r="CB3" s="53">
        <v>165.8</v>
      </c>
      <c r="CC3" s="53">
        <v>4.5999999999999996</v>
      </c>
      <c r="CD3" s="53">
        <v>45.2</v>
      </c>
      <c r="CE3" s="52">
        <v>167</v>
      </c>
      <c r="CF3" s="52">
        <v>3154</v>
      </c>
      <c r="CG3" s="52">
        <v>14</v>
      </c>
      <c r="CH3" s="52"/>
      <c r="CI3" s="54">
        <v>26</v>
      </c>
      <c r="CJ3" s="51">
        <v>284</v>
      </c>
      <c r="CK3" s="52">
        <v>2808</v>
      </c>
      <c r="CL3" s="52">
        <v>1</v>
      </c>
      <c r="CM3" s="52">
        <v>36</v>
      </c>
      <c r="CN3" s="52">
        <v>46</v>
      </c>
      <c r="CO3" s="52">
        <v>4</v>
      </c>
      <c r="CP3" s="53">
        <v>6.2</v>
      </c>
      <c r="CQ3" s="53">
        <v>53.6</v>
      </c>
      <c r="CR3" s="53">
        <v>3.22</v>
      </c>
      <c r="CS3" s="53">
        <v>23.6</v>
      </c>
      <c r="CT3" s="52">
        <v>169</v>
      </c>
      <c r="CU3" s="52">
        <v>2172</v>
      </c>
      <c r="CV3" s="52">
        <v>14</v>
      </c>
      <c r="CW3" s="52"/>
      <c r="CX3" s="54">
        <v>28</v>
      </c>
      <c r="CY3" s="51">
        <v>900</v>
      </c>
      <c r="CZ3" s="52">
        <v>2976</v>
      </c>
      <c r="DA3" s="52">
        <v>11</v>
      </c>
      <c r="DB3" s="52">
        <v>33</v>
      </c>
      <c r="DC3" s="52">
        <v>121</v>
      </c>
      <c r="DD3" s="52">
        <v>33</v>
      </c>
      <c r="DE3" s="53">
        <v>5.3</v>
      </c>
      <c r="DF3" s="53">
        <v>109.8</v>
      </c>
      <c r="DG3" s="53">
        <v>4.07</v>
      </c>
      <c r="DH3" s="53">
        <v>22.8</v>
      </c>
      <c r="DI3" s="52">
        <v>300</v>
      </c>
      <c r="DJ3" s="52">
        <v>4854</v>
      </c>
      <c r="DK3" s="52">
        <v>20</v>
      </c>
      <c r="DL3" s="52"/>
      <c r="DM3" s="54">
        <v>52</v>
      </c>
      <c r="DN3" s="126"/>
      <c r="DO3" s="11">
        <v>1</v>
      </c>
      <c r="DP3" s="42" t="s">
        <v>386</v>
      </c>
      <c r="DQ3" s="7">
        <v>1</v>
      </c>
      <c r="DR3" s="127">
        <v>41882</v>
      </c>
      <c r="DS3" s="127">
        <v>43580</v>
      </c>
    </row>
    <row r="4" spans="1:123" x14ac:dyDescent="0.2">
      <c r="A4" s="33">
        <v>2</v>
      </c>
      <c r="B4" s="34" t="s">
        <v>106</v>
      </c>
      <c r="C4" s="116">
        <v>10.277777777777779</v>
      </c>
      <c r="D4" s="117" t="s">
        <v>525</v>
      </c>
      <c r="E4" s="37">
        <v>2</v>
      </c>
      <c r="F4" s="118">
        <v>35551</v>
      </c>
      <c r="G4" s="119">
        <v>28.427397260273974</v>
      </c>
      <c r="H4" s="39" t="s">
        <v>385</v>
      </c>
      <c r="I4" s="119">
        <v>21.997260273972604</v>
      </c>
      <c r="J4" s="120">
        <v>71</v>
      </c>
      <c r="K4" s="120">
        <v>211</v>
      </c>
      <c r="L4" s="120">
        <v>4.49</v>
      </c>
      <c r="M4" s="40">
        <v>2</v>
      </c>
      <c r="N4" s="121">
        <v>0</v>
      </c>
      <c r="O4" s="122">
        <v>0</v>
      </c>
      <c r="P4" s="122">
        <v>3.4346103038309116E-2</v>
      </c>
      <c r="Q4" s="122">
        <v>3.6931818181818184E-2</v>
      </c>
      <c r="R4" s="122">
        <v>0.25550100018185123</v>
      </c>
      <c r="S4" s="42">
        <v>0.25550100018185123</v>
      </c>
      <c r="T4" s="42">
        <v>0.25550100018185123</v>
      </c>
      <c r="U4" s="42">
        <v>7.9533404029692462E-3</v>
      </c>
      <c r="V4" s="42">
        <v>4.5502645502645503E-2</v>
      </c>
      <c r="W4" s="42">
        <v>4.5502645502645503E-2</v>
      </c>
      <c r="X4" s="43">
        <v>4.5502645502645503E-2</v>
      </c>
      <c r="Y4" s="44">
        <v>21.347945205479451</v>
      </c>
      <c r="Z4" s="45">
        <v>103.8310120039714</v>
      </c>
      <c r="AA4" s="45">
        <v>29.425312438008334</v>
      </c>
      <c r="AB4" s="45">
        <v>0.38709677419354838</v>
      </c>
      <c r="AC4" s="45">
        <v>6.2</v>
      </c>
      <c r="AD4" s="45">
        <v>77.5</v>
      </c>
      <c r="AE4" s="45">
        <v>4.97</v>
      </c>
      <c r="AF4" s="45">
        <v>55.5</v>
      </c>
      <c r="AG4" s="128">
        <v>6</v>
      </c>
      <c r="AH4" s="49">
        <v>5</v>
      </c>
      <c r="AI4" s="49">
        <v>2</v>
      </c>
      <c r="AJ4" s="49">
        <v>7</v>
      </c>
      <c r="AK4" s="49">
        <v>10</v>
      </c>
      <c r="AL4" s="49">
        <v>5</v>
      </c>
      <c r="AM4" s="49">
        <v>2</v>
      </c>
      <c r="AN4" s="49">
        <v>8</v>
      </c>
      <c r="AO4" s="49">
        <v>7</v>
      </c>
      <c r="AP4" s="50">
        <v>1</v>
      </c>
      <c r="AQ4" s="56">
        <v>0</v>
      </c>
      <c r="AR4" s="57">
        <v>1325</v>
      </c>
      <c r="AS4" s="57">
        <v>0</v>
      </c>
      <c r="AT4" s="57">
        <v>13</v>
      </c>
      <c r="AU4" s="57">
        <v>0</v>
      </c>
      <c r="AV4" s="57">
        <v>0</v>
      </c>
      <c r="AW4" s="58">
        <v>0</v>
      </c>
      <c r="AX4" s="58">
        <v>0</v>
      </c>
      <c r="AY4" s="58">
        <v>0</v>
      </c>
      <c r="AZ4" s="58">
        <v>0</v>
      </c>
      <c r="BA4" s="57">
        <v>0</v>
      </c>
      <c r="BB4" s="57">
        <v>3034</v>
      </c>
      <c r="BC4" s="57">
        <v>0</v>
      </c>
      <c r="BD4" s="57"/>
      <c r="BE4" s="59">
        <v>13</v>
      </c>
      <c r="BF4" s="56">
        <v>0</v>
      </c>
      <c r="BG4" s="57">
        <v>1744</v>
      </c>
      <c r="BH4" s="57">
        <v>0</v>
      </c>
      <c r="BI4" s="57">
        <v>15</v>
      </c>
      <c r="BJ4" s="57">
        <v>0</v>
      </c>
      <c r="BK4" s="57">
        <v>0</v>
      </c>
      <c r="BL4" s="58">
        <v>0</v>
      </c>
      <c r="BM4" s="58">
        <v>0</v>
      </c>
      <c r="BN4" s="58">
        <v>0</v>
      </c>
      <c r="BO4" s="58">
        <v>0</v>
      </c>
      <c r="BP4" s="57">
        <v>0</v>
      </c>
      <c r="BQ4" s="57">
        <v>2788</v>
      </c>
      <c r="BR4" s="57">
        <v>0</v>
      </c>
      <c r="BS4" s="57"/>
      <c r="BT4" s="59">
        <v>20</v>
      </c>
      <c r="BU4" s="56">
        <v>184</v>
      </c>
      <c r="BV4" s="57">
        <v>2406</v>
      </c>
      <c r="BW4" s="57">
        <v>1</v>
      </c>
      <c r="BX4" s="57">
        <v>34</v>
      </c>
      <c r="BY4" s="57">
        <v>25</v>
      </c>
      <c r="BZ4" s="57">
        <v>7</v>
      </c>
      <c r="CA4" s="58">
        <v>7.4</v>
      </c>
      <c r="CB4" s="58">
        <v>148.1</v>
      </c>
      <c r="CC4" s="58">
        <v>5</v>
      </c>
      <c r="CD4" s="58">
        <v>75.5</v>
      </c>
      <c r="CE4" s="57">
        <v>24</v>
      </c>
      <c r="CF4" s="57">
        <v>3650</v>
      </c>
      <c r="CG4" s="57">
        <v>2</v>
      </c>
      <c r="CH4" s="57"/>
      <c r="CI4" s="59">
        <v>29</v>
      </c>
      <c r="CJ4" s="56">
        <v>191</v>
      </c>
      <c r="CK4" s="57">
        <v>2212</v>
      </c>
      <c r="CL4" s="57">
        <v>2</v>
      </c>
      <c r="CM4" s="57">
        <v>36</v>
      </c>
      <c r="CN4" s="57">
        <v>31</v>
      </c>
      <c r="CO4" s="57">
        <v>12</v>
      </c>
      <c r="CP4" s="58">
        <v>6.2</v>
      </c>
      <c r="CQ4" s="58">
        <v>201.4</v>
      </c>
      <c r="CR4" s="58">
        <v>4.97</v>
      </c>
      <c r="CS4" s="58">
        <v>55.5</v>
      </c>
      <c r="CT4" s="57">
        <v>30</v>
      </c>
      <c r="CU4" s="57">
        <v>3772</v>
      </c>
      <c r="CV4" s="57">
        <v>6</v>
      </c>
      <c r="CW4" s="57"/>
      <c r="CX4" s="59">
        <v>32</v>
      </c>
      <c r="CY4" s="56">
        <v>1276</v>
      </c>
      <c r="CZ4" s="57">
        <v>2664</v>
      </c>
      <c r="DA4" s="57">
        <v>9</v>
      </c>
      <c r="DB4" s="57">
        <v>34</v>
      </c>
      <c r="DC4" s="57">
        <v>220</v>
      </c>
      <c r="DD4" s="57">
        <v>47</v>
      </c>
      <c r="DE4" s="58">
        <v>5.8</v>
      </c>
      <c r="DF4" s="58">
        <v>77.5</v>
      </c>
      <c r="DG4" s="58">
        <v>3.84</v>
      </c>
      <c r="DH4" s="58">
        <v>35.1</v>
      </c>
      <c r="DI4" s="57">
        <v>129</v>
      </c>
      <c r="DJ4" s="57">
        <v>2835</v>
      </c>
      <c r="DK4" s="57">
        <v>23</v>
      </c>
      <c r="DL4" s="57"/>
      <c r="DM4" s="59">
        <v>21</v>
      </c>
      <c r="DN4" s="126"/>
      <c r="DO4" s="11">
        <v>2</v>
      </c>
      <c r="DP4" s="42" t="s">
        <v>390</v>
      </c>
      <c r="DQ4" s="7">
        <v>1</v>
      </c>
      <c r="DR4" s="130">
        <v>42247</v>
      </c>
    </row>
    <row r="5" spans="1:123" x14ac:dyDescent="0.2">
      <c r="A5" s="33">
        <v>3</v>
      </c>
      <c r="B5" s="34" t="s">
        <v>109</v>
      </c>
      <c r="C5" s="116">
        <v>10.211111111111112</v>
      </c>
      <c r="D5" s="117" t="s">
        <v>526</v>
      </c>
      <c r="E5" s="37">
        <v>6</v>
      </c>
      <c r="F5" s="118">
        <v>35661</v>
      </c>
      <c r="G5" s="119">
        <v>28.126027397260273</v>
      </c>
      <c r="H5" s="39" t="s">
        <v>385</v>
      </c>
      <c r="I5" s="119">
        <v>21.695890410958903</v>
      </c>
      <c r="J5" s="120">
        <v>68</v>
      </c>
      <c r="K5" s="120">
        <v>208</v>
      </c>
      <c r="L5" s="120">
        <v>4.49</v>
      </c>
      <c r="M5" s="40">
        <v>3</v>
      </c>
      <c r="N5" s="121">
        <v>0</v>
      </c>
      <c r="O5" s="122">
        <v>0</v>
      </c>
      <c r="P5" s="122">
        <v>0.11861313868613138</v>
      </c>
      <c r="Q5" s="122">
        <v>0.19820731531010555</v>
      </c>
      <c r="R5" s="122">
        <v>0.30092845439650462</v>
      </c>
      <c r="S5" s="42">
        <v>0.30092845439650462</v>
      </c>
      <c r="T5" s="42">
        <v>0.22569634079737846</v>
      </c>
      <c r="U5" s="42">
        <v>5.1894374282433986E-2</v>
      </c>
      <c r="V5" s="42">
        <v>8.6637298091042578E-2</v>
      </c>
      <c r="W5" s="42">
        <v>8.6637298091042578E-2</v>
      </c>
      <c r="X5" s="43">
        <v>6.497797356828193E-2</v>
      </c>
      <c r="Y5" s="44">
        <v>20.046575342465754</v>
      </c>
      <c r="Z5" s="45">
        <v>102.35474169111872</v>
      </c>
      <c r="AA5" s="45">
        <v>31.622837370242216</v>
      </c>
      <c r="AB5" s="45">
        <v>0.26635514018691586</v>
      </c>
      <c r="AC5" s="45">
        <v>8.9</v>
      </c>
      <c r="AD5" s="45">
        <v>158.6</v>
      </c>
      <c r="AE5" s="45">
        <v>6.16</v>
      </c>
      <c r="AF5" s="45">
        <v>70.8</v>
      </c>
      <c r="AG5" s="128">
        <v>4</v>
      </c>
      <c r="AH5" s="49">
        <v>7</v>
      </c>
      <c r="AI5" s="49">
        <v>4</v>
      </c>
      <c r="AJ5" s="49">
        <v>6</v>
      </c>
      <c r="AK5" s="49">
        <v>7</v>
      </c>
      <c r="AL5" s="49">
        <v>10</v>
      </c>
      <c r="AM5" s="49">
        <v>8</v>
      </c>
      <c r="AN5" s="49">
        <v>10</v>
      </c>
      <c r="AO5" s="49">
        <v>6</v>
      </c>
      <c r="AP5" s="50">
        <v>1</v>
      </c>
      <c r="AQ5" s="56">
        <v>0</v>
      </c>
      <c r="AR5" s="57">
        <v>2479</v>
      </c>
      <c r="AS5" s="57">
        <v>0</v>
      </c>
      <c r="AT5" s="57">
        <v>31</v>
      </c>
      <c r="AU5" s="57">
        <v>0</v>
      </c>
      <c r="AV5" s="57">
        <v>0</v>
      </c>
      <c r="AW5" s="58">
        <v>0</v>
      </c>
      <c r="AX5" s="58">
        <v>0</v>
      </c>
      <c r="AY5" s="58">
        <v>0</v>
      </c>
      <c r="AZ5" s="58">
        <v>0</v>
      </c>
      <c r="BA5" s="57">
        <v>0</v>
      </c>
      <c r="BB5" s="57">
        <v>3076</v>
      </c>
      <c r="BC5" s="57">
        <v>0</v>
      </c>
      <c r="BD5" s="57"/>
      <c r="BE5" s="59">
        <v>23</v>
      </c>
      <c r="BF5" s="56">
        <v>0</v>
      </c>
      <c r="BG5" s="57">
        <v>2333</v>
      </c>
      <c r="BH5" s="57">
        <v>0</v>
      </c>
      <c r="BI5" s="57">
        <v>29</v>
      </c>
      <c r="BJ5" s="57">
        <v>0</v>
      </c>
      <c r="BK5" s="57">
        <v>0</v>
      </c>
      <c r="BL5" s="58">
        <v>0</v>
      </c>
      <c r="BM5" s="58">
        <v>0</v>
      </c>
      <c r="BN5" s="58">
        <v>0</v>
      </c>
      <c r="BO5" s="58">
        <v>0</v>
      </c>
      <c r="BP5" s="57">
        <v>0</v>
      </c>
      <c r="BQ5" s="57">
        <v>3997</v>
      </c>
      <c r="BR5" s="57">
        <v>0</v>
      </c>
      <c r="BS5" s="57"/>
      <c r="BT5" s="59">
        <v>30</v>
      </c>
      <c r="BU5" s="56">
        <v>478</v>
      </c>
      <c r="BV5" s="57">
        <v>2071</v>
      </c>
      <c r="BW5" s="57">
        <v>5</v>
      </c>
      <c r="BX5" s="57">
        <v>23</v>
      </c>
      <c r="BY5" s="57">
        <v>86</v>
      </c>
      <c r="BZ5" s="57">
        <v>16</v>
      </c>
      <c r="CA5" s="58">
        <v>5.6</v>
      </c>
      <c r="CB5" s="58">
        <v>57.7</v>
      </c>
      <c r="CC5" s="58">
        <v>3.22</v>
      </c>
      <c r="CD5" s="58">
        <v>37.200000000000003</v>
      </c>
      <c r="CE5" s="57">
        <v>237</v>
      </c>
      <c r="CF5" s="57">
        <v>3957</v>
      </c>
      <c r="CG5" s="57">
        <v>20</v>
      </c>
      <c r="CH5" s="57"/>
      <c r="CI5" s="59">
        <v>34</v>
      </c>
      <c r="CJ5" s="56">
        <v>1145</v>
      </c>
      <c r="CK5" s="57">
        <v>2562</v>
      </c>
      <c r="CL5" s="57">
        <v>9</v>
      </c>
      <c r="CM5" s="57">
        <v>33</v>
      </c>
      <c r="CN5" s="57">
        <v>128</v>
      </c>
      <c r="CO5" s="57">
        <v>34</v>
      </c>
      <c r="CP5" s="58">
        <v>8.9</v>
      </c>
      <c r="CQ5" s="58">
        <v>143.69999999999999</v>
      </c>
      <c r="CR5" s="58">
        <v>5.6</v>
      </c>
      <c r="CS5" s="58">
        <v>60.3</v>
      </c>
      <c r="CT5" s="57">
        <v>226</v>
      </c>
      <c r="CU5" s="57">
        <v>4355</v>
      </c>
      <c r="CV5" s="57">
        <v>24</v>
      </c>
      <c r="CW5" s="57"/>
      <c r="CX5" s="59">
        <v>39</v>
      </c>
      <c r="CY5" s="56">
        <v>1909</v>
      </c>
      <c r="CZ5" s="57">
        <v>3919</v>
      </c>
      <c r="DA5" s="57">
        <v>22</v>
      </c>
      <c r="DB5" s="57">
        <v>48</v>
      </c>
      <c r="DC5" s="57">
        <v>214</v>
      </c>
      <c r="DD5" s="57">
        <v>57</v>
      </c>
      <c r="DE5" s="58">
        <v>8.9</v>
      </c>
      <c r="DF5" s="58">
        <v>158.6</v>
      </c>
      <c r="DG5" s="58">
        <v>6.16</v>
      </c>
      <c r="DH5" s="58">
        <v>70.8</v>
      </c>
      <c r="DI5" s="57">
        <v>295</v>
      </c>
      <c r="DJ5" s="57">
        <v>3405</v>
      </c>
      <c r="DK5" s="57">
        <v>19</v>
      </c>
      <c r="DL5" s="57"/>
      <c r="DM5" s="59">
        <v>28</v>
      </c>
      <c r="DN5" s="126"/>
      <c r="DO5" s="5">
        <v>3</v>
      </c>
      <c r="DP5" s="42" t="s">
        <v>393</v>
      </c>
      <c r="DQ5" s="7">
        <v>0.9</v>
      </c>
      <c r="DR5" s="130">
        <v>42614</v>
      </c>
    </row>
    <row r="6" spans="1:123" x14ac:dyDescent="0.2">
      <c r="A6" s="33">
        <v>4</v>
      </c>
      <c r="B6" s="34" t="s">
        <v>104</v>
      </c>
      <c r="C6" s="116">
        <v>9.6111111111111107</v>
      </c>
      <c r="D6" s="117" t="s">
        <v>527</v>
      </c>
      <c r="E6" s="37">
        <v>3</v>
      </c>
      <c r="F6" s="118">
        <v>35588</v>
      </c>
      <c r="G6" s="119">
        <v>28.326027397260273</v>
      </c>
      <c r="H6" s="39" t="s">
        <v>385</v>
      </c>
      <c r="I6" s="119">
        <v>21.895890410958906</v>
      </c>
      <c r="J6" s="120">
        <v>70</v>
      </c>
      <c r="K6" s="120">
        <v>222</v>
      </c>
      <c r="L6" s="120">
        <v>4.57</v>
      </c>
      <c r="M6" s="40">
        <v>3</v>
      </c>
      <c r="N6" s="121">
        <v>0</v>
      </c>
      <c r="O6" s="122">
        <v>0</v>
      </c>
      <c r="P6" s="122">
        <v>0.13579758845621664</v>
      </c>
      <c r="Q6" s="122">
        <v>0.28716620167397372</v>
      </c>
      <c r="R6" s="122">
        <v>0.28467758656437903</v>
      </c>
      <c r="S6" s="42">
        <v>0.28592189411917635</v>
      </c>
      <c r="T6" s="42">
        <v>0.25732970470725874</v>
      </c>
      <c r="U6" s="42">
        <v>8.3427282976324693E-2</v>
      </c>
      <c r="V6" s="42">
        <v>5.0127713920817371E-2</v>
      </c>
      <c r="W6" s="42">
        <v>6.6777498448571032E-2</v>
      </c>
      <c r="X6" s="43">
        <v>6.0099748603713928E-2</v>
      </c>
      <c r="Y6" s="44">
        <v>20.246575342465754</v>
      </c>
      <c r="Z6" s="45">
        <v>101.79305998893844</v>
      </c>
      <c r="AA6" s="45">
        <v>31.850204081632654</v>
      </c>
      <c r="AB6" s="45">
        <v>0.38671875</v>
      </c>
      <c r="AC6" s="45">
        <v>5.0999999999999996</v>
      </c>
      <c r="AD6" s="45">
        <v>127.8</v>
      </c>
      <c r="AE6" s="45">
        <v>3.48</v>
      </c>
      <c r="AF6" s="45">
        <v>31.2</v>
      </c>
      <c r="AG6" s="128">
        <v>6</v>
      </c>
      <c r="AH6" s="49">
        <v>6</v>
      </c>
      <c r="AI6" s="49">
        <v>4</v>
      </c>
      <c r="AJ6" s="49">
        <v>6</v>
      </c>
      <c r="AK6" s="49">
        <v>10</v>
      </c>
      <c r="AL6" s="49">
        <v>1</v>
      </c>
      <c r="AM6" s="49">
        <v>6</v>
      </c>
      <c r="AN6" s="49">
        <v>2</v>
      </c>
      <c r="AO6" s="49">
        <v>6</v>
      </c>
      <c r="AP6" s="50">
        <v>1</v>
      </c>
      <c r="AQ6" s="56">
        <v>0</v>
      </c>
      <c r="AR6" s="57">
        <v>1489</v>
      </c>
      <c r="AS6" s="57">
        <v>0</v>
      </c>
      <c r="AT6" s="57">
        <v>12</v>
      </c>
      <c r="AU6" s="57">
        <v>0</v>
      </c>
      <c r="AV6" s="57">
        <v>0</v>
      </c>
      <c r="AW6" s="58">
        <v>0</v>
      </c>
      <c r="AX6" s="58">
        <v>0</v>
      </c>
      <c r="AY6" s="58">
        <v>0</v>
      </c>
      <c r="AZ6" s="58">
        <v>0</v>
      </c>
      <c r="BA6" s="57">
        <v>0</v>
      </c>
      <c r="BB6" s="57">
        <v>2981</v>
      </c>
      <c r="BC6" s="57">
        <v>0</v>
      </c>
      <c r="BD6" s="57"/>
      <c r="BE6" s="59">
        <v>21</v>
      </c>
      <c r="BF6" s="56">
        <v>0</v>
      </c>
      <c r="BG6" s="57">
        <v>2184</v>
      </c>
      <c r="BH6" s="57">
        <v>0</v>
      </c>
      <c r="BI6" s="57">
        <v>18</v>
      </c>
      <c r="BJ6" s="57">
        <v>0</v>
      </c>
      <c r="BK6" s="57">
        <v>0</v>
      </c>
      <c r="BL6" s="58">
        <v>0</v>
      </c>
      <c r="BM6" s="58">
        <v>0</v>
      </c>
      <c r="BN6" s="58">
        <v>0</v>
      </c>
      <c r="BO6" s="58">
        <v>0</v>
      </c>
      <c r="BP6" s="57">
        <v>0</v>
      </c>
      <c r="BQ6" s="57">
        <v>2716</v>
      </c>
      <c r="BR6" s="57">
        <v>0</v>
      </c>
      <c r="BS6" s="57"/>
      <c r="BT6" s="59">
        <v>18</v>
      </c>
      <c r="BU6" s="56">
        <v>563</v>
      </c>
      <c r="BV6" s="57">
        <v>1953</v>
      </c>
      <c r="BW6" s="57">
        <v>2</v>
      </c>
      <c r="BX6" s="57">
        <v>18</v>
      </c>
      <c r="BY6" s="57">
        <v>110</v>
      </c>
      <c r="BZ6" s="57">
        <v>22</v>
      </c>
      <c r="CA6" s="58">
        <v>5.0999999999999996</v>
      </c>
      <c r="CB6" s="58">
        <v>87.3</v>
      </c>
      <c r="CC6" s="58">
        <v>3.67</v>
      </c>
      <c r="CD6" s="58">
        <v>30.6</v>
      </c>
      <c r="CE6" s="57">
        <v>124</v>
      </c>
      <c r="CF6" s="57">
        <v>3106</v>
      </c>
      <c r="CG6" s="57">
        <v>12</v>
      </c>
      <c r="CH6" s="57"/>
      <c r="CI6" s="59">
        <v>21</v>
      </c>
      <c r="CJ6" s="56">
        <v>1145</v>
      </c>
      <c r="CK6" s="57">
        <v>1470</v>
      </c>
      <c r="CL6" s="57">
        <v>11</v>
      </c>
      <c r="CM6" s="57">
        <v>16</v>
      </c>
      <c r="CN6" s="57">
        <v>258</v>
      </c>
      <c r="CO6" s="57">
        <v>86</v>
      </c>
      <c r="CP6" s="58">
        <v>4.4000000000000004</v>
      </c>
      <c r="CQ6" s="58">
        <v>127.2</v>
      </c>
      <c r="CR6" s="58">
        <v>3.43</v>
      </c>
      <c r="CS6" s="58">
        <v>30.7</v>
      </c>
      <c r="CT6" s="57">
        <v>296</v>
      </c>
      <c r="CU6" s="57">
        <v>3548</v>
      </c>
      <c r="CV6" s="57">
        <v>36</v>
      </c>
      <c r="CW6" s="57"/>
      <c r="CX6" s="59">
        <v>27</v>
      </c>
      <c r="CY6" s="56">
        <v>1216</v>
      </c>
      <c r="CZ6" s="57">
        <v>1691</v>
      </c>
      <c r="DA6" s="57">
        <v>13</v>
      </c>
      <c r="DB6" s="57">
        <v>20</v>
      </c>
      <c r="DC6" s="57">
        <v>256</v>
      </c>
      <c r="DD6" s="57">
        <v>99</v>
      </c>
      <c r="DE6" s="58">
        <v>4.8</v>
      </c>
      <c r="DF6" s="58">
        <v>127.8</v>
      </c>
      <c r="DG6" s="58">
        <v>3.48</v>
      </c>
      <c r="DH6" s="58">
        <v>31.2</v>
      </c>
      <c r="DI6" s="57">
        <v>157</v>
      </c>
      <c r="DJ6" s="57">
        <v>3132</v>
      </c>
      <c r="DK6" s="57">
        <v>22</v>
      </c>
      <c r="DL6" s="57"/>
      <c r="DM6" s="59">
        <v>20</v>
      </c>
      <c r="DN6" s="126"/>
      <c r="DO6" s="5">
        <v>4</v>
      </c>
      <c r="DP6" s="42" t="s">
        <v>396</v>
      </c>
      <c r="DQ6" s="7">
        <v>0.9</v>
      </c>
      <c r="DR6" s="130">
        <v>42978</v>
      </c>
    </row>
    <row r="7" spans="1:123" x14ac:dyDescent="0.2">
      <c r="A7" s="33">
        <v>5</v>
      </c>
      <c r="B7" s="34" t="s">
        <v>107</v>
      </c>
      <c r="C7" s="116">
        <v>9.3277777777777757</v>
      </c>
      <c r="D7" s="117" t="s">
        <v>528</v>
      </c>
      <c r="E7" s="37">
        <v>1</v>
      </c>
      <c r="F7" s="118">
        <v>35676</v>
      </c>
      <c r="G7" s="119">
        <v>28.084931506849315</v>
      </c>
      <c r="H7" s="39" t="s">
        <v>385</v>
      </c>
      <c r="I7" s="119">
        <v>21.654794520547945</v>
      </c>
      <c r="J7" s="120">
        <v>67</v>
      </c>
      <c r="K7" s="120">
        <v>203</v>
      </c>
      <c r="L7" s="120">
        <v>4.66</v>
      </c>
      <c r="M7" s="40">
        <v>3</v>
      </c>
      <c r="N7" s="121">
        <v>0</v>
      </c>
      <c r="O7" s="122">
        <v>0</v>
      </c>
      <c r="P7" s="122">
        <v>0.24984306340238543</v>
      </c>
      <c r="Q7" s="122">
        <v>0.30113229181596674</v>
      </c>
      <c r="R7" s="122">
        <v>0.23860076575008701</v>
      </c>
      <c r="S7" s="42">
        <v>0.26986652878302686</v>
      </c>
      <c r="T7" s="42">
        <v>0.26986652878302686</v>
      </c>
      <c r="U7" s="42">
        <v>6.8052296345960439E-2</v>
      </c>
      <c r="V7" s="42">
        <v>1.2658227848101266E-2</v>
      </c>
      <c r="W7" s="42">
        <v>4.0355262097030851E-2</v>
      </c>
      <c r="X7" s="43">
        <v>4.0355262097030851E-2</v>
      </c>
      <c r="Y7" s="44">
        <v>19.008219178082193</v>
      </c>
      <c r="Z7" s="45">
        <v>86.095879490871027</v>
      </c>
      <c r="AA7" s="45">
        <v>31.790822009356202</v>
      </c>
      <c r="AB7" s="45">
        <v>0.36363636363636365</v>
      </c>
      <c r="AC7" s="45">
        <v>6.7</v>
      </c>
      <c r="AD7" s="45">
        <v>138.30000000000001</v>
      </c>
      <c r="AE7" s="45">
        <v>3.89</v>
      </c>
      <c r="AF7" s="45">
        <v>48.3</v>
      </c>
      <c r="AG7" s="128">
        <v>7</v>
      </c>
      <c r="AH7" s="49">
        <v>4</v>
      </c>
      <c r="AI7" s="49">
        <v>8</v>
      </c>
      <c r="AJ7" s="49">
        <v>1</v>
      </c>
      <c r="AK7" s="49">
        <v>9</v>
      </c>
      <c r="AL7" s="49">
        <v>7</v>
      </c>
      <c r="AM7" s="49">
        <v>7</v>
      </c>
      <c r="AN7" s="49">
        <v>4</v>
      </c>
      <c r="AO7" s="49">
        <v>6</v>
      </c>
      <c r="AP7" s="50">
        <v>0</v>
      </c>
      <c r="AQ7" s="56">
        <v>0</v>
      </c>
      <c r="AR7" s="57">
        <v>1963</v>
      </c>
      <c r="AS7" s="57">
        <v>0</v>
      </c>
      <c r="AT7" s="57">
        <v>14</v>
      </c>
      <c r="AU7" s="57">
        <v>0</v>
      </c>
      <c r="AV7" s="57">
        <v>0</v>
      </c>
      <c r="AW7" s="58">
        <v>0</v>
      </c>
      <c r="AX7" s="58">
        <v>0</v>
      </c>
      <c r="AY7" s="58">
        <v>0</v>
      </c>
      <c r="AZ7" s="58">
        <v>0</v>
      </c>
      <c r="BA7" s="57">
        <v>0</v>
      </c>
      <c r="BB7" s="57">
        <v>2394</v>
      </c>
      <c r="BC7" s="57">
        <v>0</v>
      </c>
      <c r="BD7" s="57"/>
      <c r="BE7" s="59">
        <v>18</v>
      </c>
      <c r="BF7" s="56">
        <v>0</v>
      </c>
      <c r="BG7" s="57">
        <v>1961</v>
      </c>
      <c r="BH7" s="57">
        <v>0</v>
      </c>
      <c r="BI7" s="57">
        <v>15</v>
      </c>
      <c r="BJ7" s="57">
        <v>0</v>
      </c>
      <c r="BK7" s="57">
        <v>0</v>
      </c>
      <c r="BL7" s="58">
        <v>0</v>
      </c>
      <c r="BM7" s="58">
        <v>0</v>
      </c>
      <c r="BN7" s="58">
        <v>0</v>
      </c>
      <c r="BO7" s="58">
        <v>0</v>
      </c>
      <c r="BP7" s="57">
        <v>0</v>
      </c>
      <c r="BQ7" s="57">
        <v>2557</v>
      </c>
      <c r="BR7" s="57">
        <v>0</v>
      </c>
      <c r="BS7" s="57"/>
      <c r="BT7" s="59">
        <v>12</v>
      </c>
      <c r="BU7" s="56">
        <v>1027</v>
      </c>
      <c r="BV7" s="57">
        <v>2258</v>
      </c>
      <c r="BW7" s="57">
        <v>12</v>
      </c>
      <c r="BX7" s="57">
        <v>31</v>
      </c>
      <c r="BY7" s="57">
        <v>154</v>
      </c>
      <c r="BZ7" s="57">
        <v>24</v>
      </c>
      <c r="CA7" s="58">
        <v>6.7</v>
      </c>
      <c r="CB7" s="58">
        <v>87.7</v>
      </c>
      <c r="CC7" s="58">
        <v>4.62</v>
      </c>
      <c r="CD7" s="58">
        <v>43.3</v>
      </c>
      <c r="CE7" s="57">
        <v>167</v>
      </c>
      <c r="CF7" s="57">
        <v>2521</v>
      </c>
      <c r="CG7" s="57">
        <v>25</v>
      </c>
      <c r="CH7" s="57"/>
      <c r="CI7" s="59">
        <v>9</v>
      </c>
      <c r="CJ7" s="56">
        <v>1898</v>
      </c>
      <c r="CK7" s="57">
        <v>3994</v>
      </c>
      <c r="CL7" s="57">
        <v>32</v>
      </c>
      <c r="CM7" s="57">
        <v>52</v>
      </c>
      <c r="CN7" s="57">
        <v>299</v>
      </c>
      <c r="CO7" s="57">
        <v>83</v>
      </c>
      <c r="CP7" s="58">
        <v>6.3</v>
      </c>
      <c r="CQ7" s="58">
        <v>112.5</v>
      </c>
      <c r="CR7" s="58">
        <v>3.86</v>
      </c>
      <c r="CS7" s="58">
        <v>48.3</v>
      </c>
      <c r="CT7" s="57">
        <v>203</v>
      </c>
      <c r="CU7" s="57">
        <v>2983</v>
      </c>
      <c r="CV7" s="57">
        <v>20</v>
      </c>
      <c r="CW7" s="57"/>
      <c r="CX7" s="59">
        <v>21</v>
      </c>
      <c r="CY7" s="56">
        <v>1335</v>
      </c>
      <c r="CZ7" s="57">
        <v>2902</v>
      </c>
      <c r="DA7" s="57">
        <v>22</v>
      </c>
      <c r="DB7" s="57">
        <v>35</v>
      </c>
      <c r="DC7" s="57">
        <v>264</v>
      </c>
      <c r="DD7" s="57">
        <v>96</v>
      </c>
      <c r="DE7" s="58">
        <v>5.0999999999999996</v>
      </c>
      <c r="DF7" s="58">
        <v>138.30000000000001</v>
      </c>
      <c r="DG7" s="58">
        <v>3.89</v>
      </c>
      <c r="DH7" s="58">
        <v>47.2</v>
      </c>
      <c r="DI7" s="57">
        <v>36</v>
      </c>
      <c r="DJ7" s="57">
        <v>2844</v>
      </c>
      <c r="DK7" s="57">
        <v>6</v>
      </c>
      <c r="DL7" s="57"/>
      <c r="DM7" s="59">
        <v>14</v>
      </c>
      <c r="DN7" s="126"/>
      <c r="DO7" s="5">
        <v>5</v>
      </c>
      <c r="DP7" s="42" t="s">
        <v>399</v>
      </c>
      <c r="DQ7" s="7">
        <v>0.85</v>
      </c>
      <c r="DR7" s="130">
        <v>43343</v>
      </c>
    </row>
    <row r="8" spans="1:123" x14ac:dyDescent="0.2">
      <c r="A8" s="33">
        <v>6</v>
      </c>
      <c r="B8" s="34" t="s">
        <v>105</v>
      </c>
      <c r="C8" s="116">
        <v>9.18888888888889</v>
      </c>
      <c r="D8" s="117" t="s">
        <v>398</v>
      </c>
      <c r="E8" s="37">
        <v>1</v>
      </c>
      <c r="F8" s="118">
        <v>35472</v>
      </c>
      <c r="G8" s="119">
        <v>28.643835616438356</v>
      </c>
      <c r="H8" s="39" t="s">
        <v>389</v>
      </c>
      <c r="I8" s="119">
        <v>22.213698630136985</v>
      </c>
      <c r="J8" s="120">
        <v>70</v>
      </c>
      <c r="K8" s="120">
        <v>216</v>
      </c>
      <c r="L8" s="120">
        <v>4.57</v>
      </c>
      <c r="M8" s="40">
        <v>3</v>
      </c>
      <c r="N8" s="121">
        <v>0</v>
      </c>
      <c r="O8" s="122">
        <v>2.6693724633156415E-2</v>
      </c>
      <c r="P8" s="122">
        <v>0.16620295797334894</v>
      </c>
      <c r="Q8" s="122">
        <v>0.1753257198005469</v>
      </c>
      <c r="R8" s="122">
        <v>0.13729246487867178</v>
      </c>
      <c r="S8" s="42">
        <v>0.15630909233960932</v>
      </c>
      <c r="T8" s="42">
        <v>0.15630909233960932</v>
      </c>
      <c r="U8" s="42">
        <v>3.3604135893648447E-2</v>
      </c>
      <c r="V8" s="42">
        <v>4.2027194066749075E-2</v>
      </c>
      <c r="W8" s="42">
        <v>4.2027194066749075E-2</v>
      </c>
      <c r="X8" s="43">
        <v>4.2027194066749075E-2</v>
      </c>
      <c r="Y8" s="44">
        <v>19.567123287671233</v>
      </c>
      <c r="Z8" s="45">
        <v>99.041896205453625</v>
      </c>
      <c r="AA8" s="45">
        <v>30.98938775510204</v>
      </c>
      <c r="AB8" s="45">
        <v>0.24444444444444444</v>
      </c>
      <c r="AC8" s="45">
        <v>7.4</v>
      </c>
      <c r="AD8" s="45">
        <v>125.2</v>
      </c>
      <c r="AE8" s="45">
        <v>4.84</v>
      </c>
      <c r="AF8" s="45">
        <v>45.8</v>
      </c>
      <c r="AG8" s="128">
        <v>2</v>
      </c>
      <c r="AH8" s="49">
        <v>4</v>
      </c>
      <c r="AI8" s="49">
        <v>6</v>
      </c>
      <c r="AJ8" s="49">
        <v>5</v>
      </c>
      <c r="AK8" s="49">
        <v>6</v>
      </c>
      <c r="AL8" s="49">
        <v>8</v>
      </c>
      <c r="AM8" s="49">
        <v>6</v>
      </c>
      <c r="AN8" s="49">
        <v>8</v>
      </c>
      <c r="AO8" s="49">
        <v>6</v>
      </c>
      <c r="AP8" s="50">
        <v>1</v>
      </c>
      <c r="AQ8" s="56">
        <v>0</v>
      </c>
      <c r="AR8" s="57">
        <v>2893</v>
      </c>
      <c r="AS8" s="57">
        <v>0</v>
      </c>
      <c r="AT8" s="57">
        <v>35</v>
      </c>
      <c r="AU8" s="57">
        <v>0</v>
      </c>
      <c r="AV8" s="57">
        <v>0</v>
      </c>
      <c r="AW8" s="58">
        <v>0</v>
      </c>
      <c r="AX8" s="58">
        <v>0</v>
      </c>
      <c r="AY8" s="58">
        <v>0</v>
      </c>
      <c r="AZ8" s="58">
        <v>0</v>
      </c>
      <c r="BA8" s="57">
        <v>0</v>
      </c>
      <c r="BB8" s="57">
        <v>3890</v>
      </c>
      <c r="BC8" s="57">
        <v>0</v>
      </c>
      <c r="BD8" s="57"/>
      <c r="BE8" s="59">
        <v>32</v>
      </c>
      <c r="BF8" s="56">
        <v>157</v>
      </c>
      <c r="BG8" s="57">
        <v>2999</v>
      </c>
      <c r="BH8" s="57">
        <v>1</v>
      </c>
      <c r="BI8" s="57">
        <v>33</v>
      </c>
      <c r="BJ8" s="57">
        <v>46</v>
      </c>
      <c r="BK8" s="57">
        <v>6</v>
      </c>
      <c r="BL8" s="58">
        <v>3.4</v>
      </c>
      <c r="BM8" s="58">
        <v>32.299999999999997</v>
      </c>
      <c r="BN8" s="58">
        <v>2.2999999999999998</v>
      </c>
      <c r="BO8" s="58">
        <v>26.1</v>
      </c>
      <c r="BP8" s="57">
        <v>14</v>
      </c>
      <c r="BQ8" s="57">
        <v>3407</v>
      </c>
      <c r="BR8" s="57">
        <v>4</v>
      </c>
      <c r="BS8" s="57"/>
      <c r="BT8" s="59">
        <v>22</v>
      </c>
      <c r="BU8" s="56">
        <v>1036</v>
      </c>
      <c r="BV8" s="57">
        <v>3675</v>
      </c>
      <c r="BW8" s="57">
        <v>2</v>
      </c>
      <c r="BX8" s="57">
        <v>33</v>
      </c>
      <c r="BY8" s="57">
        <v>145</v>
      </c>
      <c r="BZ8" s="57">
        <v>32</v>
      </c>
      <c r="CA8" s="58">
        <v>7.1</v>
      </c>
      <c r="CB8" s="58">
        <v>85.9</v>
      </c>
      <c r="CC8" s="58">
        <v>3.69</v>
      </c>
      <c r="CD8" s="58">
        <v>45.8</v>
      </c>
      <c r="CE8" s="57">
        <v>99</v>
      </c>
      <c r="CF8" s="57">
        <v>3154</v>
      </c>
      <c r="CG8" s="57">
        <v>14</v>
      </c>
      <c r="CH8" s="57"/>
      <c r="CI8" s="59">
        <v>26</v>
      </c>
      <c r="CJ8" s="56">
        <v>999</v>
      </c>
      <c r="CK8" s="57">
        <v>3509</v>
      </c>
      <c r="CL8" s="57">
        <v>11</v>
      </c>
      <c r="CM8" s="57">
        <v>36</v>
      </c>
      <c r="CN8" s="57">
        <v>135</v>
      </c>
      <c r="CO8" s="57">
        <v>33</v>
      </c>
      <c r="CP8" s="58">
        <v>7.4</v>
      </c>
      <c r="CQ8" s="58">
        <v>125.2</v>
      </c>
      <c r="CR8" s="58">
        <v>4.84</v>
      </c>
      <c r="CS8" s="58">
        <v>45.4</v>
      </c>
      <c r="CT8" s="57">
        <v>91</v>
      </c>
      <c r="CU8" s="57">
        <v>2708</v>
      </c>
      <c r="CV8" s="57">
        <v>12</v>
      </c>
      <c r="CW8" s="57"/>
      <c r="CX8" s="59">
        <v>28</v>
      </c>
      <c r="CY8" s="56">
        <v>871</v>
      </c>
      <c r="CZ8" s="57">
        <v>2976</v>
      </c>
      <c r="DA8" s="57">
        <v>9</v>
      </c>
      <c r="DB8" s="57">
        <v>33</v>
      </c>
      <c r="DC8" s="57">
        <v>149</v>
      </c>
      <c r="DD8" s="57">
        <v>22</v>
      </c>
      <c r="DE8" s="58">
        <v>5.8</v>
      </c>
      <c r="DF8" s="58">
        <v>49.9</v>
      </c>
      <c r="DG8" s="58">
        <v>3.16</v>
      </c>
      <c r="DH8" s="58">
        <v>39.5</v>
      </c>
      <c r="DI8" s="57">
        <v>204</v>
      </c>
      <c r="DJ8" s="57">
        <v>4854</v>
      </c>
      <c r="DK8" s="57">
        <v>22</v>
      </c>
      <c r="DL8" s="57"/>
      <c r="DM8" s="59">
        <v>52</v>
      </c>
      <c r="DN8" s="126"/>
      <c r="DO8" s="5">
        <v>6</v>
      </c>
      <c r="DP8" s="42" t="s">
        <v>402</v>
      </c>
      <c r="DQ8" s="7">
        <v>0.75</v>
      </c>
      <c r="DR8" s="130"/>
    </row>
    <row r="9" spans="1:123" x14ac:dyDescent="0.2">
      <c r="A9" s="33">
        <v>7</v>
      </c>
      <c r="B9" s="34" t="s">
        <v>110</v>
      </c>
      <c r="C9" s="116">
        <v>8.7222222222222214</v>
      </c>
      <c r="D9" s="117" t="s">
        <v>526</v>
      </c>
      <c r="E9" s="37">
        <v>6</v>
      </c>
      <c r="F9" s="118">
        <v>35550</v>
      </c>
      <c r="G9" s="119">
        <v>28.43013698630137</v>
      </c>
      <c r="H9" s="39" t="s">
        <v>498</v>
      </c>
      <c r="I9" s="119">
        <v>22</v>
      </c>
      <c r="J9" s="120">
        <v>70</v>
      </c>
      <c r="K9" s="120">
        <v>210</v>
      </c>
      <c r="L9" s="120">
        <v>4.5199999999999996</v>
      </c>
      <c r="M9" s="40">
        <v>4</v>
      </c>
      <c r="N9" s="121">
        <v>0</v>
      </c>
      <c r="O9" s="122">
        <v>0</v>
      </c>
      <c r="P9" s="122">
        <v>7.581287325812873E-2</v>
      </c>
      <c r="Q9" s="122">
        <v>0.11074165100477086</v>
      </c>
      <c r="R9" s="122">
        <v>0.1388585472419443</v>
      </c>
      <c r="S9" s="42">
        <v>0.1388585472419443</v>
      </c>
      <c r="T9" s="42">
        <v>0.10414391043145822</v>
      </c>
      <c r="U9" s="42">
        <v>0.12307692307692308</v>
      </c>
      <c r="V9" s="42">
        <v>0.13450807635829662</v>
      </c>
      <c r="W9" s="42">
        <v>0.13450807635829662</v>
      </c>
      <c r="X9" s="43">
        <v>0.10088105726872246</v>
      </c>
      <c r="Y9" s="44" t="s">
        <v>645</v>
      </c>
      <c r="Z9" s="45">
        <v>100.62260375989776</v>
      </c>
      <c r="AA9" s="45">
        <v>30.12857142857143</v>
      </c>
      <c r="AB9" s="45">
        <v>0.3</v>
      </c>
      <c r="AC9" s="45">
        <v>7.7</v>
      </c>
      <c r="AD9" s="45">
        <v>120.4</v>
      </c>
      <c r="AE9" s="45">
        <v>4.97</v>
      </c>
      <c r="AF9" s="45">
        <v>60.4</v>
      </c>
      <c r="AG9" s="128">
        <v>0</v>
      </c>
      <c r="AH9" s="49">
        <v>9</v>
      </c>
      <c r="AI9" s="49">
        <v>0</v>
      </c>
      <c r="AJ9" s="49">
        <v>6</v>
      </c>
      <c r="AK9" s="49">
        <v>8</v>
      </c>
      <c r="AL9" s="49">
        <v>9</v>
      </c>
      <c r="AM9" s="49">
        <v>6</v>
      </c>
      <c r="AN9" s="49">
        <v>8</v>
      </c>
      <c r="AO9" s="49">
        <v>4</v>
      </c>
      <c r="AP9" s="50">
        <v>1</v>
      </c>
      <c r="AQ9" s="56">
        <v>0</v>
      </c>
      <c r="AR9" s="57">
        <v>2476</v>
      </c>
      <c r="AS9" s="57">
        <v>0</v>
      </c>
      <c r="AT9" s="57">
        <v>31</v>
      </c>
      <c r="AU9" s="57">
        <v>0</v>
      </c>
      <c r="AV9" s="57">
        <v>0</v>
      </c>
      <c r="AW9" s="58">
        <v>0</v>
      </c>
      <c r="AX9" s="58">
        <v>0</v>
      </c>
      <c r="AY9" s="58">
        <v>0</v>
      </c>
      <c r="AZ9" s="58">
        <v>0</v>
      </c>
      <c r="BA9" s="57">
        <v>0</v>
      </c>
      <c r="BB9" s="57">
        <v>3076</v>
      </c>
      <c r="BC9" s="57">
        <v>0</v>
      </c>
      <c r="BD9" s="57"/>
      <c r="BE9" s="59">
        <v>23</v>
      </c>
      <c r="BF9" s="56">
        <v>0</v>
      </c>
      <c r="BG9" s="57">
        <v>2333</v>
      </c>
      <c r="BH9" s="57">
        <v>0</v>
      </c>
      <c r="BI9" s="57">
        <v>29</v>
      </c>
      <c r="BJ9" s="57">
        <v>0</v>
      </c>
      <c r="BK9" s="57">
        <v>0</v>
      </c>
      <c r="BL9" s="58">
        <v>0</v>
      </c>
      <c r="BM9" s="58">
        <v>0</v>
      </c>
      <c r="BN9" s="58">
        <v>0</v>
      </c>
      <c r="BO9" s="58">
        <v>0</v>
      </c>
      <c r="BP9" s="57">
        <v>0</v>
      </c>
      <c r="BQ9" s="57">
        <v>3997</v>
      </c>
      <c r="BR9" s="57">
        <v>0</v>
      </c>
      <c r="BS9" s="57"/>
      <c r="BT9" s="59">
        <v>30</v>
      </c>
      <c r="BU9" s="56">
        <v>159</v>
      </c>
      <c r="BV9" s="57">
        <v>2071</v>
      </c>
      <c r="BW9" s="57">
        <v>1</v>
      </c>
      <c r="BX9" s="57">
        <v>23</v>
      </c>
      <c r="BY9" s="57">
        <v>31</v>
      </c>
      <c r="BZ9" s="57">
        <v>7</v>
      </c>
      <c r="CA9" s="58">
        <v>5.0999999999999996</v>
      </c>
      <c r="CB9" s="58">
        <v>85.5</v>
      </c>
      <c r="CC9" s="58">
        <v>3.42</v>
      </c>
      <c r="CD9" s="58">
        <v>11.9</v>
      </c>
      <c r="CE9" s="57">
        <v>298</v>
      </c>
      <c r="CF9" s="57">
        <v>3957</v>
      </c>
      <c r="CG9" s="57">
        <v>29</v>
      </c>
      <c r="CH9" s="57"/>
      <c r="CI9" s="59">
        <v>34</v>
      </c>
      <c r="CJ9" s="56">
        <v>230</v>
      </c>
      <c r="CK9" s="57">
        <v>2562</v>
      </c>
      <c r="CL9" s="57">
        <v>2</v>
      </c>
      <c r="CM9" s="57">
        <v>33</v>
      </c>
      <c r="CN9" s="57">
        <v>30</v>
      </c>
      <c r="CO9" s="57">
        <v>9</v>
      </c>
      <c r="CP9" s="58">
        <v>7.7</v>
      </c>
      <c r="CQ9" s="58">
        <v>120.4</v>
      </c>
      <c r="CR9" s="58">
        <v>4.97</v>
      </c>
      <c r="CS9" s="58">
        <v>60.4</v>
      </c>
      <c r="CT9" s="57">
        <v>536</v>
      </c>
      <c r="CU9" s="57">
        <v>4355</v>
      </c>
      <c r="CV9" s="57">
        <v>36</v>
      </c>
      <c r="CW9" s="57"/>
      <c r="CX9" s="59">
        <v>39</v>
      </c>
      <c r="CY9" s="56">
        <v>559</v>
      </c>
      <c r="CZ9" s="57">
        <v>3919</v>
      </c>
      <c r="DA9" s="57">
        <v>6</v>
      </c>
      <c r="DB9" s="57">
        <v>48</v>
      </c>
      <c r="DC9" s="57">
        <v>79</v>
      </c>
      <c r="DD9" s="57">
        <v>19</v>
      </c>
      <c r="DE9" s="58">
        <v>7.1</v>
      </c>
      <c r="DF9" s="58">
        <v>87.1</v>
      </c>
      <c r="DG9" s="58">
        <v>3.54</v>
      </c>
      <c r="DH9" s="58">
        <v>47.8</v>
      </c>
      <c r="DI9" s="57">
        <v>458</v>
      </c>
      <c r="DJ9" s="57">
        <v>3405</v>
      </c>
      <c r="DK9" s="57">
        <v>39</v>
      </c>
      <c r="DL9" s="57"/>
      <c r="DM9" s="59">
        <v>28</v>
      </c>
      <c r="DN9" s="126"/>
      <c r="DO9" s="5">
        <v>7</v>
      </c>
      <c r="DP9" s="42" t="s">
        <v>405</v>
      </c>
      <c r="DQ9" s="7">
        <v>0.75</v>
      </c>
    </row>
    <row r="10" spans="1:123" x14ac:dyDescent="0.2">
      <c r="A10" s="33">
        <v>8</v>
      </c>
      <c r="B10" s="34" t="s">
        <v>123</v>
      </c>
      <c r="C10" s="116">
        <v>8.6499999999999986</v>
      </c>
      <c r="D10" s="117" t="s">
        <v>492</v>
      </c>
      <c r="E10" s="37">
        <v>5</v>
      </c>
      <c r="F10" s="118">
        <v>35619</v>
      </c>
      <c r="G10" s="119">
        <v>28.241095890410961</v>
      </c>
      <c r="H10" s="39" t="s">
        <v>389</v>
      </c>
      <c r="I10" s="119">
        <v>21.81095890410959</v>
      </c>
      <c r="J10" s="120">
        <v>69</v>
      </c>
      <c r="K10" s="120">
        <v>200</v>
      </c>
      <c r="L10" s="120">
        <v>4.3499999999999996</v>
      </c>
      <c r="M10" s="40">
        <v>4</v>
      </c>
      <c r="N10" s="121">
        <v>0</v>
      </c>
      <c r="O10" s="122">
        <v>7.7415122191241595E-2</v>
      </c>
      <c r="P10" s="122">
        <v>0.1804857621440536</v>
      </c>
      <c r="Q10" s="122">
        <v>0.39496416099981618</v>
      </c>
      <c r="R10" s="122">
        <v>0.16818090046436504</v>
      </c>
      <c r="S10" s="42">
        <v>0.2815725307320906</v>
      </c>
      <c r="T10" s="42">
        <v>0.23933665112227701</v>
      </c>
      <c r="U10" s="42">
        <v>1.2653374233128834E-2</v>
      </c>
      <c r="V10" s="42">
        <v>2.7887323943661974E-2</v>
      </c>
      <c r="W10" s="42">
        <v>2.7887323943661974E-2</v>
      </c>
      <c r="X10" s="43">
        <v>2.3704225352112678E-2</v>
      </c>
      <c r="Y10" s="44">
        <v>19.164383561643834</v>
      </c>
      <c r="Z10" s="45">
        <v>111.71280676140373</v>
      </c>
      <c r="AA10" s="45">
        <v>29.531611006091154</v>
      </c>
      <c r="AB10" s="45">
        <v>0.29007633587786258</v>
      </c>
      <c r="AC10" s="45">
        <v>8.1</v>
      </c>
      <c r="AD10" s="45">
        <v>134.1</v>
      </c>
      <c r="AE10" s="45">
        <v>4.5999999999999996</v>
      </c>
      <c r="AF10" s="45">
        <v>66.400000000000006</v>
      </c>
      <c r="AG10" s="128">
        <v>5</v>
      </c>
      <c r="AH10" s="49">
        <v>2</v>
      </c>
      <c r="AI10" s="49">
        <v>7</v>
      </c>
      <c r="AJ10" s="49">
        <v>9</v>
      </c>
      <c r="AK10" s="49">
        <v>8</v>
      </c>
      <c r="AL10" s="49">
        <v>9</v>
      </c>
      <c r="AM10" s="49">
        <v>7</v>
      </c>
      <c r="AN10" s="49">
        <v>7</v>
      </c>
      <c r="AO10" s="49">
        <v>4</v>
      </c>
      <c r="AP10" s="50">
        <v>0</v>
      </c>
      <c r="AQ10" s="56">
        <v>0</v>
      </c>
      <c r="AR10" s="57">
        <v>2064</v>
      </c>
      <c r="AS10" s="57">
        <v>0</v>
      </c>
      <c r="AT10" s="57">
        <v>22</v>
      </c>
      <c r="AU10" s="57">
        <v>0</v>
      </c>
      <c r="AV10" s="57">
        <v>0</v>
      </c>
      <c r="AW10" s="58">
        <v>0</v>
      </c>
      <c r="AX10" s="58">
        <v>0</v>
      </c>
      <c r="AY10" s="58">
        <v>0</v>
      </c>
      <c r="AZ10" s="58">
        <v>0</v>
      </c>
      <c r="BA10" s="57">
        <v>0</v>
      </c>
      <c r="BB10" s="57">
        <v>2988</v>
      </c>
      <c r="BC10" s="57">
        <v>0</v>
      </c>
      <c r="BD10" s="57"/>
      <c r="BE10" s="59">
        <v>20</v>
      </c>
      <c r="BF10" s="56">
        <v>226</v>
      </c>
      <c r="BG10" s="57">
        <v>3132</v>
      </c>
      <c r="BH10" s="57">
        <v>2</v>
      </c>
      <c r="BI10" s="57">
        <v>33</v>
      </c>
      <c r="BJ10" s="57">
        <v>29</v>
      </c>
      <c r="BK10" s="57">
        <v>8</v>
      </c>
      <c r="BL10" s="58">
        <v>7.8</v>
      </c>
      <c r="BM10" s="58">
        <v>156.69999999999999</v>
      </c>
      <c r="BN10" s="58">
        <v>4.3099999999999996</v>
      </c>
      <c r="BO10" s="58">
        <v>65</v>
      </c>
      <c r="BP10" s="57">
        <v>246</v>
      </c>
      <c r="BQ10" s="57">
        <v>2965</v>
      </c>
      <c r="BR10" s="57">
        <v>15</v>
      </c>
      <c r="BS10" s="57"/>
      <c r="BT10" s="59">
        <v>30</v>
      </c>
      <c r="BU10" s="56">
        <v>779</v>
      </c>
      <c r="BV10" s="57">
        <v>2720</v>
      </c>
      <c r="BW10" s="57">
        <v>3</v>
      </c>
      <c r="BX10" s="57">
        <v>20</v>
      </c>
      <c r="BY10" s="57">
        <v>112</v>
      </c>
      <c r="BZ10" s="57">
        <v>31</v>
      </c>
      <c r="CA10" s="58">
        <v>7</v>
      </c>
      <c r="CB10" s="58">
        <v>134.1</v>
      </c>
      <c r="CC10" s="58">
        <v>4.5999999999999996</v>
      </c>
      <c r="CD10" s="58">
        <v>56.6</v>
      </c>
      <c r="CE10" s="57">
        <v>83</v>
      </c>
      <c r="CF10" s="57">
        <v>2056</v>
      </c>
      <c r="CG10" s="57">
        <v>8</v>
      </c>
      <c r="CH10" s="57"/>
      <c r="CI10" s="59">
        <v>15</v>
      </c>
      <c r="CJ10" s="56">
        <v>2116</v>
      </c>
      <c r="CK10" s="57">
        <v>2833</v>
      </c>
      <c r="CL10" s="57">
        <v>19</v>
      </c>
      <c r="CM10" s="57">
        <v>31</v>
      </c>
      <c r="CN10" s="57">
        <v>262</v>
      </c>
      <c r="CO10" s="57">
        <v>76</v>
      </c>
      <c r="CP10" s="58">
        <v>8.1</v>
      </c>
      <c r="CQ10" s="58">
        <v>125.1</v>
      </c>
      <c r="CR10" s="58">
        <v>4.3</v>
      </c>
      <c r="CS10" s="58">
        <v>66.400000000000006</v>
      </c>
      <c r="CT10" s="57">
        <v>33</v>
      </c>
      <c r="CU10" s="57">
        <v>2608</v>
      </c>
      <c r="CV10" s="57">
        <v>6</v>
      </c>
      <c r="CW10" s="57"/>
      <c r="CX10" s="59">
        <v>23</v>
      </c>
      <c r="CY10" s="56">
        <v>734</v>
      </c>
      <c r="CZ10" s="57">
        <v>1403</v>
      </c>
      <c r="DA10" s="57">
        <v>6</v>
      </c>
      <c r="DB10" s="57">
        <v>16</v>
      </c>
      <c r="DC10" s="57">
        <v>165</v>
      </c>
      <c r="DD10" s="57">
        <v>43</v>
      </c>
      <c r="DE10" s="58">
        <v>4.4000000000000004</v>
      </c>
      <c r="DF10" s="58">
        <v>94.1</v>
      </c>
      <c r="DG10" s="58">
        <v>3.55</v>
      </c>
      <c r="DH10" s="58">
        <v>41.3</v>
      </c>
      <c r="DI10" s="57">
        <v>99</v>
      </c>
      <c r="DJ10" s="57">
        <v>3550</v>
      </c>
      <c r="DK10" s="57">
        <v>20</v>
      </c>
      <c r="DL10" s="57"/>
      <c r="DM10" s="59">
        <v>29</v>
      </c>
      <c r="DN10" s="126"/>
      <c r="DO10" s="5">
        <v>8</v>
      </c>
      <c r="DP10" s="42" t="s">
        <v>408</v>
      </c>
      <c r="DQ10" s="7">
        <v>0.65</v>
      </c>
      <c r="DR10" s="131"/>
    </row>
    <row r="11" spans="1:123" x14ac:dyDescent="0.2">
      <c r="A11" s="33">
        <v>9</v>
      </c>
      <c r="B11" s="34" t="s">
        <v>115</v>
      </c>
      <c r="C11" s="116">
        <v>8.25</v>
      </c>
      <c r="D11" s="117" t="s">
        <v>529</v>
      </c>
      <c r="E11" s="37">
        <v>1</v>
      </c>
      <c r="F11" s="118">
        <v>35853</v>
      </c>
      <c r="G11" s="119">
        <v>27.6</v>
      </c>
      <c r="H11" s="39" t="s">
        <v>385</v>
      </c>
      <c r="I11" s="119">
        <v>21.169863013698631</v>
      </c>
      <c r="J11" s="120">
        <v>70</v>
      </c>
      <c r="K11" s="120">
        <v>224</v>
      </c>
      <c r="L11" s="120">
        <v>4.66</v>
      </c>
      <c r="M11" s="40">
        <v>4</v>
      </c>
      <c r="N11" s="121">
        <v>0</v>
      </c>
      <c r="O11" s="122">
        <v>0</v>
      </c>
      <c r="P11" s="122">
        <v>0.2066630056745378</v>
      </c>
      <c r="Q11" s="122">
        <v>0.30892700087950747</v>
      </c>
      <c r="R11" s="122">
        <v>0.33169899808143255</v>
      </c>
      <c r="S11" s="42">
        <v>0.33169899808143255</v>
      </c>
      <c r="T11" s="42">
        <v>0.33169899808143255</v>
      </c>
      <c r="U11" s="42">
        <v>2.902698282910875E-2</v>
      </c>
      <c r="V11" s="42">
        <v>5.0023820867079564E-2</v>
      </c>
      <c r="W11" s="42">
        <v>5.0023820867079564E-2</v>
      </c>
      <c r="X11" s="43">
        <v>5.0023820867079564E-2</v>
      </c>
      <c r="Y11" s="44">
        <v>18.523287671232875</v>
      </c>
      <c r="Z11" s="45">
        <v>95.002349783030098</v>
      </c>
      <c r="AA11" s="45">
        <v>32.137142857142855</v>
      </c>
      <c r="AB11" s="45">
        <v>0.23655913978494625</v>
      </c>
      <c r="AC11" s="45">
        <v>5.9</v>
      </c>
      <c r="AD11" s="45">
        <v>94.5</v>
      </c>
      <c r="AE11" s="45">
        <v>4.04</v>
      </c>
      <c r="AF11" s="45">
        <v>39</v>
      </c>
      <c r="AG11" s="128">
        <v>9</v>
      </c>
      <c r="AH11" s="49">
        <v>5</v>
      </c>
      <c r="AI11" s="49">
        <v>9</v>
      </c>
      <c r="AJ11" s="49">
        <v>3</v>
      </c>
      <c r="AK11" s="49">
        <v>5</v>
      </c>
      <c r="AL11" s="49">
        <v>4</v>
      </c>
      <c r="AM11" s="49">
        <v>3</v>
      </c>
      <c r="AN11" s="49">
        <v>5</v>
      </c>
      <c r="AO11" s="49">
        <v>4</v>
      </c>
      <c r="AP11" s="50">
        <v>0</v>
      </c>
      <c r="AQ11" s="56">
        <v>0</v>
      </c>
      <c r="AR11" s="57">
        <v>1840</v>
      </c>
      <c r="AS11" s="57">
        <v>0</v>
      </c>
      <c r="AT11" s="57">
        <v>21</v>
      </c>
      <c r="AU11" s="57">
        <v>0</v>
      </c>
      <c r="AV11" s="57">
        <v>0</v>
      </c>
      <c r="AW11" s="58">
        <v>0</v>
      </c>
      <c r="AX11" s="58">
        <v>0</v>
      </c>
      <c r="AY11" s="58">
        <v>0</v>
      </c>
      <c r="AZ11" s="58">
        <v>0</v>
      </c>
      <c r="BA11" s="57">
        <v>0</v>
      </c>
      <c r="BB11" s="57">
        <v>2774</v>
      </c>
      <c r="BC11" s="57">
        <v>0</v>
      </c>
      <c r="BD11" s="57"/>
      <c r="BE11" s="59">
        <v>14</v>
      </c>
      <c r="BF11" s="56">
        <v>0</v>
      </c>
      <c r="BG11" s="57">
        <v>1952</v>
      </c>
      <c r="BH11" s="57">
        <v>0</v>
      </c>
      <c r="BI11" s="57">
        <v>22</v>
      </c>
      <c r="BJ11" s="57">
        <v>0</v>
      </c>
      <c r="BK11" s="57">
        <v>0</v>
      </c>
      <c r="BL11" s="58">
        <v>0</v>
      </c>
      <c r="BM11" s="58">
        <v>0</v>
      </c>
      <c r="BN11" s="58">
        <v>0</v>
      </c>
      <c r="BO11" s="58">
        <v>0</v>
      </c>
      <c r="BP11" s="57">
        <v>0</v>
      </c>
      <c r="BQ11" s="57">
        <v>2512</v>
      </c>
      <c r="BR11" s="57">
        <v>0</v>
      </c>
      <c r="BS11" s="57"/>
      <c r="BT11" s="59">
        <v>10</v>
      </c>
      <c r="BU11" s="56">
        <v>1090</v>
      </c>
      <c r="BV11" s="57">
        <v>3044</v>
      </c>
      <c r="BW11" s="57">
        <v>13</v>
      </c>
      <c r="BX11" s="57">
        <v>30</v>
      </c>
      <c r="BY11" s="57">
        <v>186</v>
      </c>
      <c r="BZ11" s="57">
        <v>44</v>
      </c>
      <c r="CA11" s="58">
        <v>5.9</v>
      </c>
      <c r="CB11" s="58">
        <v>94.5</v>
      </c>
      <c r="CC11" s="58">
        <v>4.04</v>
      </c>
      <c r="CD11" s="58">
        <v>39</v>
      </c>
      <c r="CE11" s="57">
        <v>39</v>
      </c>
      <c r="CF11" s="57">
        <v>2419</v>
      </c>
      <c r="CG11" s="57">
        <v>2</v>
      </c>
      <c r="CH11" s="57"/>
      <c r="CI11" s="59">
        <v>17</v>
      </c>
      <c r="CJ11" s="56">
        <v>1334</v>
      </c>
      <c r="CK11" s="57">
        <v>2102</v>
      </c>
      <c r="CL11" s="57">
        <v>19</v>
      </c>
      <c r="CM11" s="57">
        <v>27</v>
      </c>
      <c r="CN11" s="57">
        <v>264</v>
      </c>
      <c r="CO11" s="57">
        <v>44</v>
      </c>
      <c r="CP11" s="58">
        <v>5.0999999999999996</v>
      </c>
      <c r="CQ11" s="58">
        <v>54</v>
      </c>
      <c r="CR11" s="58">
        <v>3.36</v>
      </c>
      <c r="CS11" s="58">
        <v>34.200000000000003</v>
      </c>
      <c r="CT11" s="57">
        <v>71</v>
      </c>
      <c r="CU11" s="57">
        <v>2446</v>
      </c>
      <c r="CV11" s="57">
        <v>10</v>
      </c>
      <c r="CW11" s="57"/>
      <c r="CX11" s="59">
        <v>10</v>
      </c>
      <c r="CY11" s="56">
        <v>1451</v>
      </c>
      <c r="CZ11" s="57">
        <v>2592</v>
      </c>
      <c r="DA11" s="57">
        <v>16</v>
      </c>
      <c r="DB11" s="57">
        <v>27</v>
      </c>
      <c r="DC11" s="57">
        <v>288</v>
      </c>
      <c r="DD11" s="57">
        <v>46</v>
      </c>
      <c r="DE11" s="58">
        <v>5</v>
      </c>
      <c r="DF11" s="58">
        <v>52.9</v>
      </c>
      <c r="DG11" s="58">
        <v>3.23</v>
      </c>
      <c r="DH11" s="58">
        <v>29.5</v>
      </c>
      <c r="DI11" s="57">
        <v>105</v>
      </c>
      <c r="DJ11" s="57">
        <v>2099</v>
      </c>
      <c r="DK11" s="57">
        <v>17</v>
      </c>
      <c r="DL11" s="57"/>
      <c r="DM11" s="59">
        <v>14</v>
      </c>
      <c r="DN11" s="126"/>
      <c r="DO11" s="5">
        <v>9</v>
      </c>
      <c r="DP11" s="42" t="s">
        <v>411</v>
      </c>
      <c r="DQ11" s="7">
        <v>0.65</v>
      </c>
      <c r="DR11" s="131"/>
    </row>
    <row r="12" spans="1:123" x14ac:dyDescent="0.2">
      <c r="A12" s="33">
        <v>10</v>
      </c>
      <c r="B12" s="34" t="s">
        <v>120</v>
      </c>
      <c r="C12" s="116">
        <v>8.2055555555555557</v>
      </c>
      <c r="D12" s="117" t="s">
        <v>441</v>
      </c>
      <c r="E12" s="37">
        <v>1</v>
      </c>
      <c r="F12" s="118">
        <v>35721</v>
      </c>
      <c r="G12" s="119">
        <v>27.961643835616439</v>
      </c>
      <c r="H12" s="39" t="s">
        <v>385</v>
      </c>
      <c r="I12" s="119">
        <v>21.531506849315068</v>
      </c>
      <c r="J12" s="120">
        <v>68</v>
      </c>
      <c r="K12" s="120">
        <v>206</v>
      </c>
      <c r="L12" s="120">
        <v>4.51</v>
      </c>
      <c r="M12" s="40">
        <v>6</v>
      </c>
      <c r="N12" s="121">
        <v>0</v>
      </c>
      <c r="O12" s="122">
        <v>0</v>
      </c>
      <c r="P12" s="122">
        <v>0.18876626585406028</v>
      </c>
      <c r="Q12" s="122">
        <v>0.18737001323501606</v>
      </c>
      <c r="R12" s="122">
        <v>0.33240906866742781</v>
      </c>
      <c r="S12" s="42">
        <v>0.33240906866742781</v>
      </c>
      <c r="T12" s="42">
        <v>0.33240906866742781</v>
      </c>
      <c r="U12" s="42">
        <v>5.8787507654623393E-2</v>
      </c>
      <c r="V12" s="42">
        <v>8.5870889159561509E-2</v>
      </c>
      <c r="W12" s="42">
        <v>8.5870889159561509E-2</v>
      </c>
      <c r="X12" s="43">
        <v>8.5870889159561509E-2</v>
      </c>
      <c r="Y12" s="44">
        <v>18.884931506849316</v>
      </c>
      <c r="Z12" s="45">
        <v>99.584339797459563</v>
      </c>
      <c r="AA12" s="45">
        <v>31.318771626297579</v>
      </c>
      <c r="AB12" s="45">
        <v>0.25641025641025639</v>
      </c>
      <c r="AC12" s="45">
        <v>6.8</v>
      </c>
      <c r="AD12" s="45">
        <v>91.4</v>
      </c>
      <c r="AE12" s="45">
        <v>3.79</v>
      </c>
      <c r="AF12" s="45">
        <v>48.7</v>
      </c>
      <c r="AG12" s="128">
        <v>9</v>
      </c>
      <c r="AH12" s="49">
        <v>8</v>
      </c>
      <c r="AI12" s="49">
        <v>8</v>
      </c>
      <c r="AJ12" s="49">
        <v>5</v>
      </c>
      <c r="AK12" s="49">
        <v>6</v>
      </c>
      <c r="AL12" s="49">
        <v>7</v>
      </c>
      <c r="AM12" s="49">
        <v>3</v>
      </c>
      <c r="AN12" s="49">
        <v>3</v>
      </c>
      <c r="AO12" s="49">
        <v>2</v>
      </c>
      <c r="AP12" s="50">
        <v>0</v>
      </c>
      <c r="AQ12" s="56">
        <v>0</v>
      </c>
      <c r="AR12" s="57">
        <v>1949</v>
      </c>
      <c r="AS12" s="57">
        <v>0</v>
      </c>
      <c r="AT12" s="57">
        <v>20</v>
      </c>
      <c r="AU12" s="57">
        <v>0</v>
      </c>
      <c r="AV12" s="57">
        <v>0</v>
      </c>
      <c r="AW12" s="58">
        <v>0</v>
      </c>
      <c r="AX12" s="58">
        <v>0</v>
      </c>
      <c r="AY12" s="58">
        <v>0</v>
      </c>
      <c r="AZ12" s="58">
        <v>0</v>
      </c>
      <c r="BA12" s="57">
        <v>0</v>
      </c>
      <c r="BB12" s="57">
        <v>3971</v>
      </c>
      <c r="BC12" s="57">
        <v>0</v>
      </c>
      <c r="BD12" s="57"/>
      <c r="BE12" s="59">
        <v>39</v>
      </c>
      <c r="BF12" s="56">
        <v>0</v>
      </c>
      <c r="BG12" s="57">
        <v>2198</v>
      </c>
      <c r="BH12" s="57">
        <v>0</v>
      </c>
      <c r="BI12" s="57">
        <v>13</v>
      </c>
      <c r="BJ12" s="57">
        <v>0</v>
      </c>
      <c r="BK12" s="57">
        <v>0</v>
      </c>
      <c r="BL12" s="58">
        <v>0</v>
      </c>
      <c r="BM12" s="58">
        <v>0</v>
      </c>
      <c r="BN12" s="58">
        <v>0</v>
      </c>
      <c r="BO12" s="58">
        <v>0</v>
      </c>
      <c r="BP12" s="57">
        <v>0</v>
      </c>
      <c r="BQ12" s="57">
        <v>3323</v>
      </c>
      <c r="BR12" s="57">
        <v>0</v>
      </c>
      <c r="BS12" s="57"/>
      <c r="BT12" s="59">
        <v>25</v>
      </c>
      <c r="BU12" s="56">
        <v>1055</v>
      </c>
      <c r="BV12" s="57">
        <v>2754</v>
      </c>
      <c r="BW12" s="57">
        <v>8</v>
      </c>
      <c r="BX12" s="57">
        <v>28</v>
      </c>
      <c r="BY12" s="57">
        <v>156</v>
      </c>
      <c r="BZ12" s="57">
        <v>40</v>
      </c>
      <c r="CA12" s="58">
        <v>6.8</v>
      </c>
      <c r="CB12" s="58">
        <v>91.4</v>
      </c>
      <c r="CC12" s="58">
        <v>3.72</v>
      </c>
      <c r="CD12" s="58">
        <v>47.1</v>
      </c>
      <c r="CE12" s="57">
        <v>91</v>
      </c>
      <c r="CF12" s="57">
        <v>3317</v>
      </c>
      <c r="CG12" s="57">
        <v>19</v>
      </c>
      <c r="CH12" s="57"/>
      <c r="CI12" s="59">
        <v>25</v>
      </c>
      <c r="CJ12" s="56">
        <v>799</v>
      </c>
      <c r="CK12" s="57">
        <v>2023</v>
      </c>
      <c r="CL12" s="57">
        <v>8</v>
      </c>
      <c r="CM12" s="57">
        <v>26</v>
      </c>
      <c r="CN12" s="57">
        <v>173</v>
      </c>
      <c r="CO12" s="57">
        <v>17</v>
      </c>
      <c r="CP12" s="58">
        <v>4.5999999999999996</v>
      </c>
      <c r="CQ12" s="58">
        <v>27.3</v>
      </c>
      <c r="CR12" s="58">
        <v>2.77</v>
      </c>
      <c r="CS12" s="58">
        <v>34.799999999999997</v>
      </c>
      <c r="CT12" s="57">
        <v>192</v>
      </c>
      <c r="CU12" s="57">
        <v>3266</v>
      </c>
      <c r="CV12" s="57">
        <v>20</v>
      </c>
      <c r="CW12" s="57"/>
      <c r="CX12" s="59">
        <v>22</v>
      </c>
      <c r="CY12" s="56">
        <v>1756</v>
      </c>
      <c r="CZ12" s="57">
        <v>2847</v>
      </c>
      <c r="DA12" s="57">
        <v>18</v>
      </c>
      <c r="DB12" s="57">
        <v>28</v>
      </c>
      <c r="DC12" s="57">
        <v>270</v>
      </c>
      <c r="DD12" s="57">
        <v>47</v>
      </c>
      <c r="DE12" s="58">
        <v>6.5</v>
      </c>
      <c r="DF12" s="58">
        <v>74.900000000000006</v>
      </c>
      <c r="DG12" s="58">
        <v>3.79</v>
      </c>
      <c r="DH12" s="58">
        <v>48.7</v>
      </c>
      <c r="DI12" s="57">
        <v>282</v>
      </c>
      <c r="DJ12" s="57">
        <v>3284</v>
      </c>
      <c r="DK12" s="57">
        <v>28</v>
      </c>
      <c r="DL12" s="57"/>
      <c r="DM12" s="59">
        <v>25</v>
      </c>
      <c r="DN12" s="126"/>
      <c r="DO12" s="5">
        <v>10</v>
      </c>
      <c r="DP12" s="42" t="s">
        <v>414</v>
      </c>
      <c r="DQ12" s="7">
        <v>0.6</v>
      </c>
    </row>
    <row r="13" spans="1:123" x14ac:dyDescent="0.2">
      <c r="A13" s="33">
        <v>11</v>
      </c>
      <c r="B13" s="34" t="s">
        <v>112</v>
      </c>
      <c r="C13" s="116">
        <v>7.3055555555555554</v>
      </c>
      <c r="D13" s="117" t="s">
        <v>530</v>
      </c>
      <c r="E13" s="37">
        <v>2</v>
      </c>
      <c r="F13" s="118">
        <v>35690</v>
      </c>
      <c r="G13" s="119">
        <v>28.046575342465754</v>
      </c>
      <c r="H13" s="39" t="s">
        <v>389</v>
      </c>
      <c r="I13" s="119">
        <v>21.616438356164384</v>
      </c>
      <c r="J13" s="120">
        <v>69</v>
      </c>
      <c r="K13" s="120">
        <v>209</v>
      </c>
      <c r="L13" s="120">
        <v>4.34</v>
      </c>
      <c r="M13" s="40">
        <v>6</v>
      </c>
      <c r="N13" s="121">
        <v>0</v>
      </c>
      <c r="O13" s="122">
        <v>6.222222222222222E-2</v>
      </c>
      <c r="P13" s="122">
        <v>0.24638566483404603</v>
      </c>
      <c r="Q13" s="122">
        <v>0.24097938144329897</v>
      </c>
      <c r="R13" s="122">
        <v>0.11824096926183532</v>
      </c>
      <c r="S13" s="42">
        <v>0.18231331704794068</v>
      </c>
      <c r="T13" s="42">
        <v>0.18231331704794068</v>
      </c>
      <c r="U13" s="42">
        <v>3.0927835051546393E-2</v>
      </c>
      <c r="V13" s="42">
        <v>1.2979351032448377E-2</v>
      </c>
      <c r="W13" s="42">
        <v>2.1953593041997385E-2</v>
      </c>
      <c r="X13" s="43">
        <v>2.1953593041997385E-2</v>
      </c>
      <c r="Y13" s="44">
        <v>18.969863013698632</v>
      </c>
      <c r="Z13" s="45">
        <v>117.81955110312674</v>
      </c>
      <c r="AA13" s="45">
        <v>30.860533501365261</v>
      </c>
      <c r="AB13" s="45">
        <v>0.21818181818181817</v>
      </c>
      <c r="AC13" s="45">
        <v>9.1</v>
      </c>
      <c r="AD13" s="45">
        <v>108.6</v>
      </c>
      <c r="AE13" s="45">
        <v>5.26</v>
      </c>
      <c r="AF13" s="45">
        <v>68.7</v>
      </c>
      <c r="AG13" s="128">
        <v>3</v>
      </c>
      <c r="AH13" s="49">
        <v>2</v>
      </c>
      <c r="AI13" s="49">
        <v>8</v>
      </c>
      <c r="AJ13" s="49">
        <v>10</v>
      </c>
      <c r="AK13" s="49">
        <v>4</v>
      </c>
      <c r="AL13" s="49">
        <v>10</v>
      </c>
      <c r="AM13" s="49">
        <v>5</v>
      </c>
      <c r="AN13" s="49">
        <v>9</v>
      </c>
      <c r="AO13" s="49">
        <v>2</v>
      </c>
      <c r="AP13" s="50">
        <v>0</v>
      </c>
      <c r="AQ13" s="56">
        <v>0</v>
      </c>
      <c r="AR13" s="57">
        <v>1582</v>
      </c>
      <c r="AS13" s="57">
        <v>0</v>
      </c>
      <c r="AT13" s="57">
        <v>21</v>
      </c>
      <c r="AU13" s="57">
        <v>0</v>
      </c>
      <c r="AV13" s="57">
        <v>0</v>
      </c>
      <c r="AW13" s="58">
        <v>0</v>
      </c>
      <c r="AX13" s="58">
        <v>0</v>
      </c>
      <c r="AY13" s="58">
        <v>0</v>
      </c>
      <c r="AZ13" s="58">
        <v>0</v>
      </c>
      <c r="BA13" s="57">
        <v>0</v>
      </c>
      <c r="BB13" s="57">
        <v>2863</v>
      </c>
      <c r="BC13" s="57">
        <v>0</v>
      </c>
      <c r="BD13" s="57"/>
      <c r="BE13" s="59">
        <v>19</v>
      </c>
      <c r="BF13" s="56">
        <v>250</v>
      </c>
      <c r="BG13" s="57">
        <v>2408</v>
      </c>
      <c r="BH13" s="57">
        <v>3</v>
      </c>
      <c r="BI13" s="57">
        <v>20</v>
      </c>
      <c r="BJ13" s="57">
        <v>35</v>
      </c>
      <c r="BK13" s="57">
        <v>10</v>
      </c>
      <c r="BL13" s="58">
        <v>7.1</v>
      </c>
      <c r="BM13" s="58">
        <v>82.4</v>
      </c>
      <c r="BN13" s="58">
        <v>2.77</v>
      </c>
      <c r="BO13" s="58">
        <v>58</v>
      </c>
      <c r="BP13" s="57">
        <v>30</v>
      </c>
      <c r="BQ13" s="57">
        <v>2092</v>
      </c>
      <c r="BR13" s="57">
        <v>2</v>
      </c>
      <c r="BS13" s="57"/>
      <c r="BT13" s="59">
        <v>15</v>
      </c>
      <c r="BU13" s="56">
        <v>1004</v>
      </c>
      <c r="BV13" s="57">
        <v>2594</v>
      </c>
      <c r="BW13" s="57">
        <v>6</v>
      </c>
      <c r="BX13" s="57">
        <v>26</v>
      </c>
      <c r="BY13" s="57">
        <v>110</v>
      </c>
      <c r="BZ13" s="57">
        <v>24</v>
      </c>
      <c r="CA13" s="58">
        <v>9.1</v>
      </c>
      <c r="CB13" s="58">
        <v>108.6</v>
      </c>
      <c r="CC13" s="58">
        <v>5.26</v>
      </c>
      <c r="CD13" s="58">
        <v>68.7</v>
      </c>
      <c r="CE13" s="57">
        <v>206</v>
      </c>
      <c r="CF13" s="57">
        <v>2317</v>
      </c>
      <c r="CG13" s="57">
        <v>16</v>
      </c>
      <c r="CH13" s="57"/>
      <c r="CI13" s="59">
        <v>15</v>
      </c>
      <c r="CJ13" s="56">
        <v>875</v>
      </c>
      <c r="CK13" s="57">
        <v>1940</v>
      </c>
      <c r="CL13" s="57">
        <v>5</v>
      </c>
      <c r="CM13" s="57">
        <v>19</v>
      </c>
      <c r="CN13" s="57">
        <v>137</v>
      </c>
      <c r="CO13" s="57">
        <v>19</v>
      </c>
      <c r="CP13" s="58">
        <v>6.4</v>
      </c>
      <c r="CQ13" s="58">
        <v>49.2</v>
      </c>
      <c r="CR13" s="58">
        <v>3.68</v>
      </c>
      <c r="CS13" s="58">
        <v>58.1</v>
      </c>
      <c r="CT13" s="57">
        <v>60</v>
      </c>
      <c r="CU13" s="57">
        <v>1940</v>
      </c>
      <c r="CV13" s="57">
        <v>5</v>
      </c>
      <c r="CW13" s="57"/>
      <c r="CX13" s="59">
        <v>15</v>
      </c>
      <c r="CY13" s="56">
        <v>505</v>
      </c>
      <c r="CZ13" s="57">
        <v>2762</v>
      </c>
      <c r="DA13" s="57">
        <v>3</v>
      </c>
      <c r="DB13" s="57">
        <v>26</v>
      </c>
      <c r="DC13" s="57">
        <v>66</v>
      </c>
      <c r="DD13" s="57">
        <v>14</v>
      </c>
      <c r="DE13" s="58">
        <v>7.7</v>
      </c>
      <c r="DF13" s="58">
        <v>98.7</v>
      </c>
      <c r="DG13" s="58">
        <v>5.08</v>
      </c>
      <c r="DH13" s="58">
        <v>53.5</v>
      </c>
      <c r="DI13" s="57">
        <v>22</v>
      </c>
      <c r="DJ13" s="57">
        <v>1695</v>
      </c>
      <c r="DK13" s="57">
        <v>6</v>
      </c>
      <c r="DL13" s="57"/>
      <c r="DM13" s="59">
        <v>12</v>
      </c>
      <c r="DN13" s="126"/>
      <c r="DO13" s="11">
        <v>11</v>
      </c>
      <c r="DP13" s="42" t="s">
        <v>417</v>
      </c>
      <c r="DQ13" s="7">
        <v>0.55000000000000004</v>
      </c>
    </row>
    <row r="14" spans="1:123" x14ac:dyDescent="0.2">
      <c r="A14" s="33">
        <v>12</v>
      </c>
      <c r="B14" s="34" t="s">
        <v>114</v>
      </c>
      <c r="C14" s="116">
        <v>6.7888888888888888</v>
      </c>
      <c r="D14" s="117" t="s">
        <v>395</v>
      </c>
      <c r="E14" s="37">
        <v>4</v>
      </c>
      <c r="F14" s="118">
        <v>36014</v>
      </c>
      <c r="G14" s="119">
        <v>27.158904109589042</v>
      </c>
      <c r="H14" s="39" t="s">
        <v>385</v>
      </c>
      <c r="I14" s="119">
        <v>20.728767123287671</v>
      </c>
      <c r="J14" s="120">
        <v>70</v>
      </c>
      <c r="K14" s="120">
        <v>201</v>
      </c>
      <c r="L14" s="120">
        <v>4.4800000000000004</v>
      </c>
      <c r="M14" s="40">
        <v>6</v>
      </c>
      <c r="N14" s="121">
        <v>0</v>
      </c>
      <c r="O14" s="122">
        <v>0</v>
      </c>
      <c r="P14" s="122">
        <v>7.4047318042261149E-3</v>
      </c>
      <c r="Q14" s="122">
        <v>0.22677856189204654</v>
      </c>
      <c r="R14" s="122">
        <v>0.25064322469982847</v>
      </c>
      <c r="S14" s="42">
        <v>0.25064322469982847</v>
      </c>
      <c r="T14" s="42">
        <v>0.22557890222984564</v>
      </c>
      <c r="U14" s="42">
        <v>6.9457659372026637E-2</v>
      </c>
      <c r="V14" s="42">
        <v>8.5517241379310341E-2</v>
      </c>
      <c r="W14" s="42">
        <v>8.5517241379310341E-2</v>
      </c>
      <c r="X14" s="43">
        <v>7.6965517241379303E-2</v>
      </c>
      <c r="Y14" s="44">
        <v>19.079452054794519</v>
      </c>
      <c r="Z14" s="45">
        <v>99.796198249508649</v>
      </c>
      <c r="AA14" s="45">
        <v>28.837346938775511</v>
      </c>
      <c r="AB14" s="45">
        <v>0.19018404907975461</v>
      </c>
      <c r="AC14" s="45">
        <v>6</v>
      </c>
      <c r="AD14" s="45">
        <v>87.4</v>
      </c>
      <c r="AE14" s="45">
        <v>4.0599999999999996</v>
      </c>
      <c r="AF14" s="45">
        <v>49.2</v>
      </c>
      <c r="AG14" s="128">
        <v>4</v>
      </c>
      <c r="AH14" s="49">
        <v>8</v>
      </c>
      <c r="AI14" s="49">
        <v>8</v>
      </c>
      <c r="AJ14" s="49">
        <v>5</v>
      </c>
      <c r="AK14" s="49">
        <v>3</v>
      </c>
      <c r="AL14" s="49">
        <v>4</v>
      </c>
      <c r="AM14" s="49">
        <v>3</v>
      </c>
      <c r="AN14" s="49">
        <v>5</v>
      </c>
      <c r="AO14" s="49">
        <v>2</v>
      </c>
      <c r="AP14" s="50">
        <v>0</v>
      </c>
      <c r="AQ14" s="56">
        <v>0</v>
      </c>
      <c r="AR14" s="57">
        <v>2345</v>
      </c>
      <c r="AS14" s="57">
        <v>0</v>
      </c>
      <c r="AT14" s="57">
        <v>19</v>
      </c>
      <c r="AU14" s="57">
        <v>0</v>
      </c>
      <c r="AV14" s="57">
        <v>0</v>
      </c>
      <c r="AW14" s="58">
        <v>0</v>
      </c>
      <c r="AX14" s="58">
        <v>0</v>
      </c>
      <c r="AY14" s="58">
        <v>0</v>
      </c>
      <c r="AZ14" s="58">
        <v>0</v>
      </c>
      <c r="BA14" s="57">
        <v>0</v>
      </c>
      <c r="BB14" s="57">
        <v>3249</v>
      </c>
      <c r="BC14" s="57">
        <v>0</v>
      </c>
      <c r="BD14" s="57"/>
      <c r="BE14" s="59">
        <v>26</v>
      </c>
      <c r="BF14" s="56">
        <v>0</v>
      </c>
      <c r="BG14" s="57">
        <v>1548</v>
      </c>
      <c r="BH14" s="57">
        <v>0</v>
      </c>
      <c r="BI14" s="57">
        <v>20</v>
      </c>
      <c r="BJ14" s="57">
        <v>0</v>
      </c>
      <c r="BK14" s="57">
        <v>0</v>
      </c>
      <c r="BL14" s="58">
        <v>0</v>
      </c>
      <c r="BM14" s="58">
        <v>0</v>
      </c>
      <c r="BN14" s="58">
        <v>0</v>
      </c>
      <c r="BO14" s="58">
        <v>0</v>
      </c>
      <c r="BP14" s="57">
        <v>0</v>
      </c>
      <c r="BQ14" s="57">
        <v>3602</v>
      </c>
      <c r="BR14" s="57">
        <v>0</v>
      </c>
      <c r="BS14" s="57"/>
      <c r="BT14" s="59">
        <v>18</v>
      </c>
      <c r="BU14" s="56">
        <v>41</v>
      </c>
      <c r="BV14" s="57">
        <v>1973</v>
      </c>
      <c r="BW14" s="57">
        <v>0</v>
      </c>
      <c r="BX14" s="57">
        <v>24</v>
      </c>
      <c r="BY14" s="57">
        <v>7</v>
      </c>
      <c r="BZ14" s="57">
        <v>1</v>
      </c>
      <c r="CA14" s="58">
        <v>5.9</v>
      </c>
      <c r="CB14" s="58">
        <v>55.1</v>
      </c>
      <c r="CC14" s="58">
        <v>3.86</v>
      </c>
      <c r="CD14" s="58">
        <v>41.5</v>
      </c>
      <c r="CE14" s="57">
        <v>0</v>
      </c>
      <c r="CF14" s="57">
        <v>3564</v>
      </c>
      <c r="CG14" s="57">
        <v>0</v>
      </c>
      <c r="CH14" s="57"/>
      <c r="CI14" s="59">
        <v>27</v>
      </c>
      <c r="CJ14" s="56">
        <v>970</v>
      </c>
      <c r="CK14" s="57">
        <v>2090</v>
      </c>
      <c r="CL14" s="57">
        <v>8</v>
      </c>
      <c r="CM14" s="57">
        <v>19</v>
      </c>
      <c r="CN14" s="57">
        <v>163</v>
      </c>
      <c r="CO14" s="57">
        <v>31</v>
      </c>
      <c r="CP14" s="58">
        <v>6</v>
      </c>
      <c r="CQ14" s="58">
        <v>87.4</v>
      </c>
      <c r="CR14" s="58">
        <v>4.0599999999999996</v>
      </c>
      <c r="CS14" s="58">
        <v>47.9</v>
      </c>
      <c r="CT14" s="57">
        <v>219</v>
      </c>
      <c r="CU14" s="57">
        <v>3153</v>
      </c>
      <c r="CV14" s="57">
        <v>18</v>
      </c>
      <c r="CW14" s="57"/>
      <c r="CX14" s="59">
        <v>26</v>
      </c>
      <c r="CY14" s="56">
        <v>983</v>
      </c>
      <c r="CZ14" s="57">
        <v>2489</v>
      </c>
      <c r="DA14" s="57">
        <v>4</v>
      </c>
      <c r="DB14" s="57">
        <v>25</v>
      </c>
      <c r="DC14" s="57">
        <v>164</v>
      </c>
      <c r="DD14" s="57">
        <v>29</v>
      </c>
      <c r="DE14" s="58">
        <v>6</v>
      </c>
      <c r="DF14" s="58">
        <v>77.400000000000006</v>
      </c>
      <c r="DG14" s="58">
        <v>4.05</v>
      </c>
      <c r="DH14" s="58">
        <v>49.2</v>
      </c>
      <c r="DI14" s="57">
        <v>186</v>
      </c>
      <c r="DJ14" s="57">
        <v>2175</v>
      </c>
      <c r="DK14" s="57">
        <v>19</v>
      </c>
      <c r="DL14" s="57"/>
      <c r="DM14" s="59">
        <v>19</v>
      </c>
      <c r="DN14" s="126"/>
      <c r="DO14" s="11">
        <v>12</v>
      </c>
      <c r="DP14" s="42" t="s">
        <v>420</v>
      </c>
      <c r="DQ14" s="7">
        <v>0.5</v>
      </c>
    </row>
    <row r="15" spans="1:123" x14ac:dyDescent="0.2">
      <c r="A15" s="33">
        <v>13</v>
      </c>
      <c r="B15" s="34" t="s">
        <v>111</v>
      </c>
      <c r="C15" s="116">
        <v>6.7388888888888898</v>
      </c>
      <c r="D15" s="117" t="s">
        <v>416</v>
      </c>
      <c r="E15" s="37">
        <v>7</v>
      </c>
      <c r="F15" s="118">
        <v>35965</v>
      </c>
      <c r="G15" s="119">
        <v>27.293150684931508</v>
      </c>
      <c r="H15" s="39" t="s">
        <v>385</v>
      </c>
      <c r="I15" s="119">
        <v>20.863013698630137</v>
      </c>
      <c r="J15" s="120">
        <v>71</v>
      </c>
      <c r="K15" s="120">
        <v>221</v>
      </c>
      <c r="L15" s="120">
        <v>4.5999999999999996</v>
      </c>
      <c r="M15" s="40">
        <v>3</v>
      </c>
      <c r="N15" s="121">
        <v>0</v>
      </c>
      <c r="O15" s="122">
        <v>0</v>
      </c>
      <c r="P15" s="122">
        <v>6.2154246664497231E-2</v>
      </c>
      <c r="Q15" s="122">
        <v>0.24234963067182555</v>
      </c>
      <c r="R15" s="122">
        <v>0.26581854703716101</v>
      </c>
      <c r="S15" s="42">
        <v>0.26581854703716101</v>
      </c>
      <c r="T15" s="42">
        <v>0.19936391027787076</v>
      </c>
      <c r="U15" s="42">
        <v>7.8596682077780797E-2</v>
      </c>
      <c r="V15" s="42">
        <v>4.5574288724973655E-2</v>
      </c>
      <c r="W15" s="42">
        <v>6.2085485401377226E-2</v>
      </c>
      <c r="X15" s="43">
        <v>4.6564114051032918E-2</v>
      </c>
      <c r="Y15" s="44">
        <v>19.213698630136985</v>
      </c>
      <c r="Z15" s="45">
        <v>98.716771309422171</v>
      </c>
      <c r="AA15" s="45">
        <v>30.819877008530053</v>
      </c>
      <c r="AB15" s="45">
        <v>0.2251655629139073</v>
      </c>
      <c r="AC15" s="45">
        <v>5.0999999999999996</v>
      </c>
      <c r="AD15" s="45">
        <v>65.099999999999994</v>
      </c>
      <c r="AE15" s="45">
        <v>3.23</v>
      </c>
      <c r="AF15" s="45">
        <v>35.5</v>
      </c>
      <c r="AG15" s="128">
        <v>3</v>
      </c>
      <c r="AH15" s="49">
        <v>5</v>
      </c>
      <c r="AI15" s="49">
        <v>7</v>
      </c>
      <c r="AJ15" s="49">
        <v>4</v>
      </c>
      <c r="AK15" s="49">
        <v>5</v>
      </c>
      <c r="AL15" s="49">
        <v>1</v>
      </c>
      <c r="AM15" s="49">
        <v>1</v>
      </c>
      <c r="AN15" s="49">
        <v>1</v>
      </c>
      <c r="AO15" s="49">
        <v>6</v>
      </c>
      <c r="AP15" s="50">
        <v>1</v>
      </c>
      <c r="AQ15" s="56">
        <v>0</v>
      </c>
      <c r="AR15" s="57">
        <v>2994</v>
      </c>
      <c r="AS15" s="57">
        <v>0</v>
      </c>
      <c r="AT15" s="57">
        <v>39</v>
      </c>
      <c r="AU15" s="57">
        <v>0</v>
      </c>
      <c r="AV15" s="57">
        <v>0</v>
      </c>
      <c r="AW15" s="58">
        <v>0</v>
      </c>
      <c r="AX15" s="58">
        <v>0</v>
      </c>
      <c r="AY15" s="58">
        <v>0</v>
      </c>
      <c r="AZ15" s="58">
        <v>0</v>
      </c>
      <c r="BA15" s="57">
        <v>0</v>
      </c>
      <c r="BB15" s="57">
        <v>3926</v>
      </c>
      <c r="BC15" s="57">
        <v>0</v>
      </c>
      <c r="BD15" s="57"/>
      <c r="BE15" s="59">
        <v>27</v>
      </c>
      <c r="BF15" s="56">
        <v>0</v>
      </c>
      <c r="BG15" s="57">
        <v>2488</v>
      </c>
      <c r="BH15" s="57">
        <v>0</v>
      </c>
      <c r="BI15" s="57">
        <v>36</v>
      </c>
      <c r="BJ15" s="57">
        <v>0</v>
      </c>
      <c r="BK15" s="57">
        <v>0</v>
      </c>
      <c r="BL15" s="58">
        <v>0</v>
      </c>
      <c r="BM15" s="58">
        <v>0</v>
      </c>
      <c r="BN15" s="58">
        <v>0</v>
      </c>
      <c r="BO15" s="58">
        <v>0</v>
      </c>
      <c r="BP15" s="57">
        <v>0</v>
      </c>
      <c r="BQ15" s="57">
        <v>4032</v>
      </c>
      <c r="BR15" s="57">
        <v>0</v>
      </c>
      <c r="BS15" s="57"/>
      <c r="BT15" s="59">
        <v>24</v>
      </c>
      <c r="BU15" s="56">
        <v>328</v>
      </c>
      <c r="BV15" s="57">
        <v>2268</v>
      </c>
      <c r="BW15" s="57">
        <v>4</v>
      </c>
      <c r="BX15" s="57">
        <v>29</v>
      </c>
      <c r="BY15" s="57">
        <v>67</v>
      </c>
      <c r="BZ15" s="57">
        <v>12</v>
      </c>
      <c r="CA15" s="58">
        <v>4.9000000000000004</v>
      </c>
      <c r="CB15" s="58">
        <v>56.6</v>
      </c>
      <c r="CC15" s="58">
        <v>2.91</v>
      </c>
      <c r="CD15" s="58">
        <v>25.6</v>
      </c>
      <c r="CE15" s="57">
        <v>54</v>
      </c>
      <c r="CF15" s="57">
        <v>3878</v>
      </c>
      <c r="CG15" s="57">
        <v>5</v>
      </c>
      <c r="CH15" s="57"/>
      <c r="CI15" s="59">
        <v>28</v>
      </c>
      <c r="CJ15" s="56">
        <v>1089</v>
      </c>
      <c r="CK15" s="57">
        <v>2009</v>
      </c>
      <c r="CL15" s="57">
        <v>12</v>
      </c>
      <c r="CM15" s="57">
        <v>25</v>
      </c>
      <c r="CN15" s="57">
        <v>213</v>
      </c>
      <c r="CO15" s="57">
        <v>40</v>
      </c>
      <c r="CP15" s="58">
        <v>5.0999999999999996</v>
      </c>
      <c r="CQ15" s="58">
        <v>61.6</v>
      </c>
      <c r="CR15" s="58">
        <v>3.23</v>
      </c>
      <c r="CS15" s="58">
        <v>35.5</v>
      </c>
      <c r="CT15" s="57">
        <v>289</v>
      </c>
      <c r="CU15" s="57">
        <v>3677</v>
      </c>
      <c r="CV15" s="57">
        <v>28</v>
      </c>
      <c r="CW15" s="57"/>
      <c r="CX15" s="59">
        <v>26</v>
      </c>
      <c r="CY15" s="56">
        <v>1415</v>
      </c>
      <c r="CZ15" s="57">
        <v>2178</v>
      </c>
      <c r="DA15" s="57">
        <v>17</v>
      </c>
      <c r="DB15" s="57">
        <v>24</v>
      </c>
      <c r="DC15" s="57">
        <v>302</v>
      </c>
      <c r="DD15" s="57">
        <v>68</v>
      </c>
      <c r="DE15" s="58">
        <v>4.7</v>
      </c>
      <c r="DF15" s="58">
        <v>65.099999999999994</v>
      </c>
      <c r="DG15" s="58">
        <v>2.85</v>
      </c>
      <c r="DH15" s="58">
        <v>19</v>
      </c>
      <c r="DI15" s="57">
        <v>173</v>
      </c>
      <c r="DJ15" s="57">
        <v>3796</v>
      </c>
      <c r="DK15" s="57">
        <v>27</v>
      </c>
      <c r="DL15" s="57"/>
      <c r="DM15" s="59">
        <v>31</v>
      </c>
      <c r="DN15" s="126"/>
      <c r="DO15" s="11"/>
      <c r="DP15" s="42"/>
    </row>
    <row r="16" spans="1:123" x14ac:dyDescent="0.2">
      <c r="A16" s="33">
        <v>14</v>
      </c>
      <c r="B16" s="34" t="s">
        <v>122</v>
      </c>
      <c r="C16" s="116">
        <v>6.6166666666666663</v>
      </c>
      <c r="D16" s="117" t="s">
        <v>424</v>
      </c>
      <c r="E16" s="37">
        <v>1</v>
      </c>
      <c r="F16" s="118">
        <v>35104</v>
      </c>
      <c r="G16" s="119">
        <v>29.652054794520549</v>
      </c>
      <c r="H16" s="39" t="s">
        <v>385</v>
      </c>
      <c r="I16" s="119">
        <v>23.221917808219178</v>
      </c>
      <c r="J16" s="120">
        <v>71</v>
      </c>
      <c r="K16" s="120">
        <v>208</v>
      </c>
      <c r="L16" s="120">
        <v>4.47</v>
      </c>
      <c r="M16" s="40">
        <v>5</v>
      </c>
      <c r="N16" s="121">
        <v>0</v>
      </c>
      <c r="O16" s="122">
        <v>3.8922155688622756E-2</v>
      </c>
      <c r="P16" s="122">
        <v>0.2039355992844365</v>
      </c>
      <c r="Q16" s="122">
        <v>0</v>
      </c>
      <c r="R16" s="122">
        <v>0.15269515053181901</v>
      </c>
      <c r="S16" s="42">
        <v>0.17831537490812777</v>
      </c>
      <c r="T16" s="42">
        <v>0.17831537490812777</v>
      </c>
      <c r="U16" s="42">
        <v>0</v>
      </c>
      <c r="V16" s="42">
        <v>2.7377521613832854E-2</v>
      </c>
      <c r="W16" s="42">
        <v>2.7377521613832854E-2</v>
      </c>
      <c r="X16" s="43">
        <v>2.7377521613832854E-2</v>
      </c>
      <c r="Y16" s="44">
        <v>20.575342465753426</v>
      </c>
      <c r="Z16" s="45">
        <v>104.19892491456234</v>
      </c>
      <c r="AA16" s="45">
        <v>29.006943066851814</v>
      </c>
      <c r="AB16" s="45">
        <v>0.32061068702290074</v>
      </c>
      <c r="AC16" s="45">
        <v>5.9</v>
      </c>
      <c r="AD16" s="45">
        <v>125.5</v>
      </c>
      <c r="AE16" s="45">
        <v>3.99</v>
      </c>
      <c r="AF16" s="45">
        <v>37.1</v>
      </c>
      <c r="AG16" s="128">
        <v>3</v>
      </c>
      <c r="AH16" s="49">
        <v>3</v>
      </c>
      <c r="AI16" s="49">
        <v>3</v>
      </c>
      <c r="AJ16" s="49">
        <v>7</v>
      </c>
      <c r="AK16" s="49">
        <v>9</v>
      </c>
      <c r="AL16" s="49">
        <v>4</v>
      </c>
      <c r="AM16" s="49">
        <v>6</v>
      </c>
      <c r="AN16" s="49">
        <v>4</v>
      </c>
      <c r="AO16" s="49">
        <v>3</v>
      </c>
      <c r="AP16" s="50">
        <v>0</v>
      </c>
      <c r="AQ16" s="56">
        <v>0</v>
      </c>
      <c r="AR16" s="57">
        <v>2252</v>
      </c>
      <c r="AS16" s="57">
        <v>0</v>
      </c>
      <c r="AT16" s="57">
        <v>22</v>
      </c>
      <c r="AU16" s="57">
        <v>0</v>
      </c>
      <c r="AV16" s="57">
        <v>0</v>
      </c>
      <c r="AW16" s="58">
        <v>0</v>
      </c>
      <c r="AX16" s="58">
        <v>0</v>
      </c>
      <c r="AY16" s="58">
        <v>0</v>
      </c>
      <c r="AZ16" s="58">
        <v>0</v>
      </c>
      <c r="BA16" s="57">
        <v>0</v>
      </c>
      <c r="BB16" s="57">
        <v>2159</v>
      </c>
      <c r="BC16" s="57">
        <v>0</v>
      </c>
      <c r="BD16" s="57"/>
      <c r="BE16" s="59">
        <v>18</v>
      </c>
      <c r="BF16" s="56">
        <v>181</v>
      </c>
      <c r="BG16" s="57">
        <v>1777</v>
      </c>
      <c r="BH16" s="57">
        <v>1</v>
      </c>
      <c r="BI16" s="57">
        <v>19</v>
      </c>
      <c r="BJ16" s="57">
        <v>34</v>
      </c>
      <c r="BK16" s="57">
        <v>10</v>
      </c>
      <c r="BL16" s="58">
        <v>5.3</v>
      </c>
      <c r="BM16" s="58">
        <v>109.2</v>
      </c>
      <c r="BN16" s="58">
        <v>3.82</v>
      </c>
      <c r="BO16" s="58">
        <v>52.5</v>
      </c>
      <c r="BP16" s="57">
        <v>1</v>
      </c>
      <c r="BQ16" s="57">
        <v>2899</v>
      </c>
      <c r="BR16" s="57">
        <v>1</v>
      </c>
      <c r="BS16" s="57"/>
      <c r="BT16" s="59">
        <v>20</v>
      </c>
      <c r="BU16" s="56">
        <v>889</v>
      </c>
      <c r="BV16" s="57">
        <v>1667</v>
      </c>
      <c r="BW16" s="57">
        <v>6</v>
      </c>
      <c r="BX16" s="57">
        <v>11</v>
      </c>
      <c r="BY16" s="57">
        <v>179</v>
      </c>
      <c r="BZ16" s="57">
        <v>50</v>
      </c>
      <c r="CA16" s="58">
        <v>5</v>
      </c>
      <c r="CB16" s="58">
        <v>104.5</v>
      </c>
      <c r="CC16" s="58">
        <v>3.75</v>
      </c>
      <c r="CD16" s="58">
        <v>26</v>
      </c>
      <c r="CE16" s="57">
        <v>23</v>
      </c>
      <c r="CF16" s="57">
        <v>2805</v>
      </c>
      <c r="CG16" s="57">
        <v>4</v>
      </c>
      <c r="CH16" s="57"/>
      <c r="CI16" s="59">
        <v>18</v>
      </c>
      <c r="CJ16" s="56">
        <v>0</v>
      </c>
      <c r="CK16" s="57">
        <v>1720</v>
      </c>
      <c r="CL16" s="57">
        <v>0</v>
      </c>
      <c r="CM16" s="57">
        <v>15</v>
      </c>
      <c r="CN16" s="57">
        <v>0</v>
      </c>
      <c r="CO16" s="57">
        <v>0</v>
      </c>
      <c r="CP16" s="58">
        <v>0</v>
      </c>
      <c r="CQ16" s="58">
        <v>0</v>
      </c>
      <c r="CR16" s="58">
        <v>0</v>
      </c>
      <c r="CS16" s="58">
        <v>0</v>
      </c>
      <c r="CT16" s="57">
        <v>0</v>
      </c>
      <c r="CU16" s="57">
        <v>1975</v>
      </c>
      <c r="CV16" s="57">
        <v>0</v>
      </c>
      <c r="CW16" s="57"/>
      <c r="CX16" s="59">
        <v>10</v>
      </c>
      <c r="CY16" s="56">
        <v>771</v>
      </c>
      <c r="CZ16" s="57">
        <v>2771</v>
      </c>
      <c r="DA16" s="57">
        <v>5</v>
      </c>
      <c r="DB16" s="57">
        <v>23</v>
      </c>
      <c r="DC16" s="57">
        <v>131</v>
      </c>
      <c r="DD16" s="57">
        <v>42</v>
      </c>
      <c r="DE16" s="58">
        <v>5.9</v>
      </c>
      <c r="DF16" s="58">
        <v>125.5</v>
      </c>
      <c r="DG16" s="58">
        <v>3.99</v>
      </c>
      <c r="DH16" s="58">
        <v>37.1</v>
      </c>
      <c r="DI16" s="57">
        <v>76</v>
      </c>
      <c r="DJ16" s="57">
        <v>2776</v>
      </c>
      <c r="DK16" s="57">
        <v>9</v>
      </c>
      <c r="DL16" s="57"/>
      <c r="DM16" s="59">
        <v>28</v>
      </c>
      <c r="DN16" s="126"/>
      <c r="DO16" s="11"/>
      <c r="DP16" s="42"/>
    </row>
    <row r="17" spans="1:117" x14ac:dyDescent="0.2">
      <c r="A17" s="33">
        <v>15</v>
      </c>
      <c r="B17" s="34" t="s">
        <v>117</v>
      </c>
      <c r="C17" s="116">
        <v>6.4833333333333334</v>
      </c>
      <c r="D17" s="117" t="s">
        <v>531</v>
      </c>
      <c r="E17" s="37">
        <v>3</v>
      </c>
      <c r="F17" s="118">
        <v>35748</v>
      </c>
      <c r="G17" s="119">
        <v>27.887671232876713</v>
      </c>
      <c r="H17" s="39" t="s">
        <v>385</v>
      </c>
      <c r="I17" s="119">
        <v>21.457534246575342</v>
      </c>
      <c r="J17" s="120">
        <v>70</v>
      </c>
      <c r="K17" s="120">
        <v>198</v>
      </c>
      <c r="L17" s="120">
        <v>4.4000000000000004</v>
      </c>
      <c r="M17" s="40">
        <v>4</v>
      </c>
      <c r="N17" s="121">
        <v>0</v>
      </c>
      <c r="O17" s="122">
        <v>0</v>
      </c>
      <c r="P17" s="122">
        <v>0.18407960199004975</v>
      </c>
      <c r="Q17" s="122">
        <v>0.22444564629529476</v>
      </c>
      <c r="R17" s="122">
        <v>0.15349123346662566</v>
      </c>
      <c r="S17" s="42">
        <v>0.18896843988096021</v>
      </c>
      <c r="T17" s="42">
        <v>0.17007159589286419</v>
      </c>
      <c r="U17" s="42">
        <v>3.8149831982605256E-2</v>
      </c>
      <c r="V17" s="42">
        <v>1.7130089374379345E-2</v>
      </c>
      <c r="W17" s="42">
        <v>2.7639960678492302E-2</v>
      </c>
      <c r="X17" s="43">
        <v>2.4875964610643071E-2</v>
      </c>
      <c r="Y17" s="44">
        <v>18.81095890410959</v>
      </c>
      <c r="Z17" s="45">
        <v>105.65364387678434</v>
      </c>
      <c r="AA17" s="45">
        <v>28.406938775510202</v>
      </c>
      <c r="AB17" s="45">
        <v>0.21518987341772153</v>
      </c>
      <c r="AC17" s="45">
        <v>5.9</v>
      </c>
      <c r="AD17" s="45">
        <v>64.2</v>
      </c>
      <c r="AE17" s="45">
        <v>3.31</v>
      </c>
      <c r="AF17" s="45">
        <v>44.9</v>
      </c>
      <c r="AG17" s="128">
        <v>3</v>
      </c>
      <c r="AH17" s="49">
        <v>2</v>
      </c>
      <c r="AI17" s="49">
        <v>9</v>
      </c>
      <c r="AJ17" s="49">
        <v>8</v>
      </c>
      <c r="AK17" s="49">
        <v>4</v>
      </c>
      <c r="AL17" s="49">
        <v>4</v>
      </c>
      <c r="AM17" s="49">
        <v>1</v>
      </c>
      <c r="AN17" s="49">
        <v>1</v>
      </c>
      <c r="AO17" s="49">
        <v>4</v>
      </c>
      <c r="AP17" s="50">
        <v>0</v>
      </c>
      <c r="AQ17" s="56">
        <v>0</v>
      </c>
      <c r="AR17" s="57">
        <v>1776</v>
      </c>
      <c r="AS17" s="57">
        <v>0</v>
      </c>
      <c r="AT17" s="57">
        <v>18</v>
      </c>
      <c r="AU17" s="57">
        <v>0</v>
      </c>
      <c r="AV17" s="57">
        <v>0</v>
      </c>
      <c r="AW17" s="58">
        <v>0</v>
      </c>
      <c r="AX17" s="58">
        <v>0</v>
      </c>
      <c r="AY17" s="58">
        <v>0</v>
      </c>
      <c r="AZ17" s="58">
        <v>0</v>
      </c>
      <c r="BA17" s="57">
        <v>0</v>
      </c>
      <c r="BB17" s="57">
        <v>3149</v>
      </c>
      <c r="BC17" s="57">
        <v>0</v>
      </c>
      <c r="BD17" s="57"/>
      <c r="BE17" s="59">
        <v>19</v>
      </c>
      <c r="BF17" s="56">
        <v>0</v>
      </c>
      <c r="BG17" s="57">
        <v>1649</v>
      </c>
      <c r="BH17" s="57">
        <v>0</v>
      </c>
      <c r="BI17" s="57">
        <v>25</v>
      </c>
      <c r="BJ17" s="57">
        <v>0</v>
      </c>
      <c r="BK17" s="57">
        <v>0</v>
      </c>
      <c r="BL17" s="58">
        <v>0</v>
      </c>
      <c r="BM17" s="58">
        <v>0</v>
      </c>
      <c r="BN17" s="58">
        <v>0</v>
      </c>
      <c r="BO17" s="58">
        <v>0</v>
      </c>
      <c r="BP17" s="57">
        <v>0</v>
      </c>
      <c r="BQ17" s="57">
        <v>4591</v>
      </c>
      <c r="BR17" s="57">
        <v>0</v>
      </c>
      <c r="BS17" s="57"/>
      <c r="BT17" s="59">
        <v>35</v>
      </c>
      <c r="BU17" s="56">
        <v>1138</v>
      </c>
      <c r="BV17" s="57">
        <v>2221</v>
      </c>
      <c r="BW17" s="57">
        <v>6</v>
      </c>
      <c r="BX17" s="57">
        <v>32</v>
      </c>
      <c r="BY17" s="57">
        <v>205</v>
      </c>
      <c r="BZ17" s="57">
        <v>33</v>
      </c>
      <c r="CA17" s="58">
        <v>5.6</v>
      </c>
      <c r="CB17" s="58">
        <v>53.6</v>
      </c>
      <c r="CC17" s="58">
        <v>3.31</v>
      </c>
      <c r="CD17" s="58">
        <v>43.2</v>
      </c>
      <c r="CE17" s="57">
        <v>46</v>
      </c>
      <c r="CF17" s="57">
        <v>4211</v>
      </c>
      <c r="CG17" s="57">
        <v>5</v>
      </c>
      <c r="CH17" s="57"/>
      <c r="CI17" s="59">
        <v>29</v>
      </c>
      <c r="CJ17" s="56">
        <v>1467</v>
      </c>
      <c r="CK17" s="57">
        <v>2337</v>
      </c>
      <c r="CL17" s="57">
        <v>15</v>
      </c>
      <c r="CM17" s="57">
        <v>34</v>
      </c>
      <c r="CN17" s="57">
        <v>268</v>
      </c>
      <c r="CO17" s="57">
        <v>50</v>
      </c>
      <c r="CP17" s="58">
        <v>5.5</v>
      </c>
      <c r="CQ17" s="58">
        <v>59.8</v>
      </c>
      <c r="CR17" s="58">
        <v>3.19</v>
      </c>
      <c r="CS17" s="58">
        <v>44.9</v>
      </c>
      <c r="CT17" s="57">
        <v>193</v>
      </c>
      <c r="CU17" s="57">
        <v>5059</v>
      </c>
      <c r="CV17" s="57">
        <v>31</v>
      </c>
      <c r="CW17" s="57"/>
      <c r="CX17" s="59">
        <v>37</v>
      </c>
      <c r="CY17" s="56">
        <v>929</v>
      </c>
      <c r="CZ17" s="57">
        <v>2474</v>
      </c>
      <c r="DA17" s="57">
        <v>9</v>
      </c>
      <c r="DB17" s="57">
        <v>30</v>
      </c>
      <c r="DC17" s="57">
        <v>158</v>
      </c>
      <c r="DD17" s="57">
        <v>34</v>
      </c>
      <c r="DE17" s="58">
        <v>5.9</v>
      </c>
      <c r="DF17" s="58">
        <v>64.2</v>
      </c>
      <c r="DG17" s="58">
        <v>2.68</v>
      </c>
      <c r="DH17" s="58">
        <v>43.9</v>
      </c>
      <c r="DI17" s="57">
        <v>69</v>
      </c>
      <c r="DJ17" s="57">
        <v>4028</v>
      </c>
      <c r="DK17" s="57">
        <v>13</v>
      </c>
      <c r="DL17" s="57"/>
      <c r="DM17" s="59">
        <v>33</v>
      </c>
    </row>
    <row r="18" spans="1:117" x14ac:dyDescent="0.2">
      <c r="A18" s="33">
        <v>16</v>
      </c>
      <c r="B18" s="34" t="s">
        <v>113</v>
      </c>
      <c r="C18" s="116">
        <v>6.1444444444444448</v>
      </c>
      <c r="D18" s="117" t="s">
        <v>497</v>
      </c>
      <c r="E18" s="37">
        <v>4</v>
      </c>
      <c r="F18" s="118">
        <v>35316</v>
      </c>
      <c r="G18" s="119">
        <v>29.07123287671233</v>
      </c>
      <c r="H18" s="39" t="s">
        <v>389</v>
      </c>
      <c r="I18" s="119">
        <v>22.641095890410959</v>
      </c>
      <c r="J18" s="120">
        <v>72</v>
      </c>
      <c r="K18" s="120">
        <v>228</v>
      </c>
      <c r="L18" s="120">
        <v>4.58</v>
      </c>
      <c r="M18" s="40">
        <v>5</v>
      </c>
      <c r="N18" s="121">
        <v>0</v>
      </c>
      <c r="O18" s="122">
        <v>0.24531377343113284</v>
      </c>
      <c r="P18" s="122">
        <v>2.8409090909090908E-2</v>
      </c>
      <c r="Q18" s="122">
        <v>0.1347291761492945</v>
      </c>
      <c r="R18" s="122">
        <v>0.24710200927357032</v>
      </c>
      <c r="S18" s="42">
        <v>0.24710200927357032</v>
      </c>
      <c r="T18" s="42">
        <v>0.22239180834621328</v>
      </c>
      <c r="U18" s="42">
        <v>7.4272588055130165E-2</v>
      </c>
      <c r="V18" s="42">
        <v>3.3249370277078083E-2</v>
      </c>
      <c r="W18" s="42">
        <v>5.3760979166104124E-2</v>
      </c>
      <c r="X18" s="43">
        <v>4.8384881249493715E-2</v>
      </c>
      <c r="Y18" s="44">
        <v>18.989041095890411</v>
      </c>
      <c r="Z18" s="45">
        <v>103.63415977116451</v>
      </c>
      <c r="AA18" s="45">
        <v>30.918981481481481</v>
      </c>
      <c r="AB18" s="45">
        <v>0.17525773195876287</v>
      </c>
      <c r="AC18" s="45">
        <v>6.3</v>
      </c>
      <c r="AD18" s="45">
        <v>68.8</v>
      </c>
      <c r="AE18" s="45">
        <v>3.92</v>
      </c>
      <c r="AF18" s="45">
        <v>51.6</v>
      </c>
      <c r="AG18" s="128">
        <v>4</v>
      </c>
      <c r="AH18" s="49">
        <v>5</v>
      </c>
      <c r="AI18" s="49">
        <v>8</v>
      </c>
      <c r="AJ18" s="49">
        <v>7</v>
      </c>
      <c r="AK18" s="49">
        <v>2</v>
      </c>
      <c r="AL18" s="49">
        <v>5</v>
      </c>
      <c r="AM18" s="49">
        <v>1</v>
      </c>
      <c r="AN18" s="49">
        <v>4</v>
      </c>
      <c r="AO18" s="49">
        <v>3</v>
      </c>
      <c r="AP18" s="50">
        <v>0</v>
      </c>
      <c r="AQ18" s="56">
        <v>0</v>
      </c>
      <c r="AR18" s="57">
        <v>3243</v>
      </c>
      <c r="AS18" s="57">
        <v>0</v>
      </c>
      <c r="AT18" s="57">
        <v>35</v>
      </c>
      <c r="AU18" s="57">
        <v>0</v>
      </c>
      <c r="AV18" s="57">
        <v>0</v>
      </c>
      <c r="AW18" s="58">
        <v>0</v>
      </c>
      <c r="AX18" s="58">
        <v>0</v>
      </c>
      <c r="AY18" s="58">
        <v>0</v>
      </c>
      <c r="AZ18" s="58">
        <v>0</v>
      </c>
      <c r="BA18" s="57">
        <v>0</v>
      </c>
      <c r="BB18" s="57">
        <v>2417</v>
      </c>
      <c r="BC18" s="57">
        <v>0</v>
      </c>
      <c r="BD18" s="57"/>
      <c r="BE18" s="59">
        <v>17</v>
      </c>
      <c r="BF18" s="56">
        <v>1127</v>
      </c>
      <c r="BG18" s="57">
        <v>2430</v>
      </c>
      <c r="BH18" s="57">
        <v>11</v>
      </c>
      <c r="BI18" s="57">
        <v>19</v>
      </c>
      <c r="BJ18" s="57">
        <v>212</v>
      </c>
      <c r="BK18" s="57">
        <v>19</v>
      </c>
      <c r="BL18" s="58">
        <v>5.3</v>
      </c>
      <c r="BM18" s="58">
        <v>26.4</v>
      </c>
      <c r="BN18" s="58">
        <v>2.84</v>
      </c>
      <c r="BO18" s="58">
        <v>42.7</v>
      </c>
      <c r="BP18" s="57">
        <v>77</v>
      </c>
      <c r="BQ18" s="57">
        <v>2478</v>
      </c>
      <c r="BR18" s="57">
        <v>14</v>
      </c>
      <c r="BS18" s="57"/>
      <c r="BT18" s="59">
        <v>21</v>
      </c>
      <c r="BU18" s="56">
        <v>127</v>
      </c>
      <c r="BV18" s="57">
        <v>2926</v>
      </c>
      <c r="BW18" s="57">
        <v>2</v>
      </c>
      <c r="BX18" s="57">
        <v>36</v>
      </c>
      <c r="BY18" s="57">
        <v>33</v>
      </c>
      <c r="BZ18" s="57">
        <v>4</v>
      </c>
      <c r="CA18" s="58">
        <v>3.8</v>
      </c>
      <c r="CB18" s="58">
        <v>29</v>
      </c>
      <c r="CC18" s="58">
        <v>2.0299999999999998</v>
      </c>
      <c r="CD18" s="58">
        <v>41.7</v>
      </c>
      <c r="CE18" s="57">
        <v>38</v>
      </c>
      <c r="CF18" s="57">
        <v>2882</v>
      </c>
      <c r="CG18" s="57">
        <v>2</v>
      </c>
      <c r="CH18" s="57"/>
      <c r="CI18" s="59">
        <v>28</v>
      </c>
      <c r="CJ18" s="56">
        <v>398</v>
      </c>
      <c r="CK18" s="57">
        <v>1782</v>
      </c>
      <c r="CL18" s="57">
        <v>5</v>
      </c>
      <c r="CM18" s="57">
        <v>21</v>
      </c>
      <c r="CN18" s="57">
        <v>90</v>
      </c>
      <c r="CO18" s="57">
        <v>15</v>
      </c>
      <c r="CP18" s="58">
        <v>4.4000000000000004</v>
      </c>
      <c r="CQ18" s="58">
        <v>56.2</v>
      </c>
      <c r="CR18" s="58">
        <v>3.02</v>
      </c>
      <c r="CS18" s="58">
        <v>27.1</v>
      </c>
      <c r="CT18" s="57">
        <v>194</v>
      </c>
      <c r="CU18" s="57">
        <v>2612</v>
      </c>
      <c r="CV18" s="57">
        <v>23</v>
      </c>
      <c r="CW18" s="57"/>
      <c r="CX18" s="59">
        <v>12</v>
      </c>
      <c r="CY18" s="56">
        <v>1213</v>
      </c>
      <c r="CZ18" s="57">
        <v>3191</v>
      </c>
      <c r="DA18" s="57">
        <v>11</v>
      </c>
      <c r="DB18" s="57">
        <v>30</v>
      </c>
      <c r="DC18" s="57">
        <v>194</v>
      </c>
      <c r="DD18" s="57">
        <v>34</v>
      </c>
      <c r="DE18" s="58">
        <v>6.3</v>
      </c>
      <c r="DF18" s="58">
        <v>68.8</v>
      </c>
      <c r="DG18" s="58">
        <v>3.92</v>
      </c>
      <c r="DH18" s="58">
        <v>51.6</v>
      </c>
      <c r="DI18" s="57">
        <v>66</v>
      </c>
      <c r="DJ18" s="57">
        <v>1985</v>
      </c>
      <c r="DK18" s="57">
        <v>11</v>
      </c>
      <c r="DL18" s="57"/>
      <c r="DM18" s="59">
        <v>12</v>
      </c>
    </row>
    <row r="19" spans="1:117" x14ac:dyDescent="0.2">
      <c r="A19" s="33">
        <v>17</v>
      </c>
      <c r="B19" s="34" t="s">
        <v>118</v>
      </c>
      <c r="C19" s="116">
        <v>5.6888888888888891</v>
      </c>
      <c r="D19" s="117" t="s">
        <v>508</v>
      </c>
      <c r="E19" s="37">
        <v>7</v>
      </c>
      <c r="F19" s="118">
        <v>35473</v>
      </c>
      <c r="G19" s="119">
        <v>28.641095890410959</v>
      </c>
      <c r="H19" s="39" t="s">
        <v>385</v>
      </c>
      <c r="I19" s="119">
        <v>22.210958904109589</v>
      </c>
      <c r="J19" s="120">
        <v>68</v>
      </c>
      <c r="K19" s="120">
        <v>201</v>
      </c>
      <c r="L19" s="120">
        <v>4.55</v>
      </c>
      <c r="M19" s="40">
        <v>6</v>
      </c>
      <c r="N19" s="121">
        <v>0</v>
      </c>
      <c r="O19" s="122">
        <v>0</v>
      </c>
      <c r="P19" s="122">
        <v>0</v>
      </c>
      <c r="Q19" s="122">
        <v>0</v>
      </c>
      <c r="R19" s="122">
        <v>0.21821837302814723</v>
      </c>
      <c r="S19" s="42">
        <v>0.21821837302814723</v>
      </c>
      <c r="T19" s="42">
        <v>0.16366377977111041</v>
      </c>
      <c r="U19" s="42">
        <v>0</v>
      </c>
      <c r="V19" s="42">
        <v>9.5947712418300649E-2</v>
      </c>
      <c r="W19" s="42">
        <v>9.5947712418300649E-2</v>
      </c>
      <c r="X19" s="43">
        <v>7.196078431372549E-2</v>
      </c>
      <c r="Y19" s="44">
        <v>21.561643835616437</v>
      </c>
      <c r="Z19" s="45">
        <v>93.795168180992491</v>
      </c>
      <c r="AA19" s="45">
        <v>30.558607266435985</v>
      </c>
      <c r="AB19" s="45">
        <v>0.31125827814569534</v>
      </c>
      <c r="AC19" s="45">
        <v>6.9</v>
      </c>
      <c r="AD19" s="45">
        <v>173.7</v>
      </c>
      <c r="AE19" s="45">
        <v>5.07</v>
      </c>
      <c r="AF19" s="45">
        <v>50.5</v>
      </c>
      <c r="AG19" s="128">
        <v>2</v>
      </c>
      <c r="AH19" s="49">
        <v>7</v>
      </c>
      <c r="AI19" s="49">
        <v>2</v>
      </c>
      <c r="AJ19" s="49">
        <v>2</v>
      </c>
      <c r="AK19" s="49">
        <v>8</v>
      </c>
      <c r="AL19" s="49">
        <v>7</v>
      </c>
      <c r="AM19" s="49">
        <v>8</v>
      </c>
      <c r="AN19" s="49">
        <v>8</v>
      </c>
      <c r="AO19" s="49">
        <v>2</v>
      </c>
      <c r="AP19" s="50">
        <v>0</v>
      </c>
      <c r="AQ19" s="56">
        <v>0</v>
      </c>
      <c r="AR19" s="57">
        <v>2521</v>
      </c>
      <c r="AS19" s="57">
        <v>0</v>
      </c>
      <c r="AT19" s="57">
        <v>22</v>
      </c>
      <c r="AU19" s="57">
        <v>0</v>
      </c>
      <c r="AV19" s="57">
        <v>0</v>
      </c>
      <c r="AW19" s="58">
        <v>0</v>
      </c>
      <c r="AX19" s="58">
        <v>0</v>
      </c>
      <c r="AY19" s="58">
        <v>0</v>
      </c>
      <c r="AZ19" s="58">
        <v>0</v>
      </c>
      <c r="BA19" s="57">
        <v>0</v>
      </c>
      <c r="BB19" s="57">
        <v>2782</v>
      </c>
      <c r="BC19" s="57">
        <v>0</v>
      </c>
      <c r="BD19" s="57"/>
      <c r="BE19" s="59">
        <v>20</v>
      </c>
      <c r="BF19" s="56">
        <v>0</v>
      </c>
      <c r="BG19" s="57">
        <v>2146</v>
      </c>
      <c r="BH19" s="57">
        <v>0</v>
      </c>
      <c r="BI19" s="57">
        <v>22</v>
      </c>
      <c r="BJ19" s="57">
        <v>0</v>
      </c>
      <c r="BK19" s="57">
        <v>0</v>
      </c>
      <c r="BL19" s="58">
        <v>0</v>
      </c>
      <c r="BM19" s="58">
        <v>0</v>
      </c>
      <c r="BN19" s="58">
        <v>0</v>
      </c>
      <c r="BO19" s="58">
        <v>0</v>
      </c>
      <c r="BP19" s="57">
        <v>0</v>
      </c>
      <c r="BQ19" s="57">
        <v>2672</v>
      </c>
      <c r="BR19" s="57">
        <v>0</v>
      </c>
      <c r="BS19" s="57"/>
      <c r="BT19" s="59">
        <v>21</v>
      </c>
      <c r="BU19" s="56">
        <v>0</v>
      </c>
      <c r="BV19" s="57">
        <v>2046</v>
      </c>
      <c r="BW19" s="57">
        <v>0</v>
      </c>
      <c r="BX19" s="57">
        <v>25</v>
      </c>
      <c r="BY19" s="57">
        <v>0</v>
      </c>
      <c r="BZ19" s="57">
        <v>0</v>
      </c>
      <c r="CA19" s="58">
        <v>0</v>
      </c>
      <c r="CB19" s="58">
        <v>0</v>
      </c>
      <c r="CC19" s="58">
        <v>0</v>
      </c>
      <c r="CD19" s="58">
        <v>0</v>
      </c>
      <c r="CE19" s="57">
        <v>0</v>
      </c>
      <c r="CF19" s="57">
        <v>2469</v>
      </c>
      <c r="CG19" s="57">
        <v>0</v>
      </c>
      <c r="CH19" s="57"/>
      <c r="CI19" s="59">
        <v>10</v>
      </c>
      <c r="CJ19" s="56">
        <v>0</v>
      </c>
      <c r="CK19" s="57">
        <v>2228</v>
      </c>
      <c r="CL19" s="57">
        <v>0</v>
      </c>
      <c r="CM19" s="57">
        <v>24</v>
      </c>
      <c r="CN19" s="57">
        <v>0</v>
      </c>
      <c r="CO19" s="57">
        <v>0</v>
      </c>
      <c r="CP19" s="58">
        <v>0</v>
      </c>
      <c r="CQ19" s="58">
        <v>0</v>
      </c>
      <c r="CR19" s="58">
        <v>0</v>
      </c>
      <c r="CS19" s="58">
        <v>0</v>
      </c>
      <c r="CT19" s="57">
        <v>0</v>
      </c>
      <c r="CU19" s="57">
        <v>2938</v>
      </c>
      <c r="CV19" s="57">
        <v>0</v>
      </c>
      <c r="CW19" s="57"/>
      <c r="CX19" s="59">
        <v>17</v>
      </c>
      <c r="CY19" s="56">
        <v>1044</v>
      </c>
      <c r="CZ19" s="57">
        <v>2641</v>
      </c>
      <c r="DA19" s="57">
        <v>14</v>
      </c>
      <c r="DB19" s="57">
        <v>37</v>
      </c>
      <c r="DC19" s="57">
        <v>151</v>
      </c>
      <c r="DD19" s="57">
        <v>47</v>
      </c>
      <c r="DE19" s="58">
        <v>6.9</v>
      </c>
      <c r="DF19" s="58">
        <v>173.7</v>
      </c>
      <c r="DG19" s="58">
        <v>5.07</v>
      </c>
      <c r="DH19" s="58">
        <v>50.5</v>
      </c>
      <c r="DI19" s="57">
        <v>367</v>
      </c>
      <c r="DJ19" s="57">
        <v>3825</v>
      </c>
      <c r="DK19" s="57">
        <v>24</v>
      </c>
      <c r="DL19" s="57"/>
      <c r="DM19" s="59">
        <v>32</v>
      </c>
    </row>
    <row r="20" spans="1:117" x14ac:dyDescent="0.2">
      <c r="A20" s="33">
        <v>18</v>
      </c>
      <c r="B20" s="34" t="s">
        <v>125</v>
      </c>
      <c r="C20" s="116">
        <v>5.5611111111111109</v>
      </c>
      <c r="D20" s="117" t="s">
        <v>445</v>
      </c>
      <c r="E20" s="37">
        <v>2</v>
      </c>
      <c r="F20" s="118">
        <v>35667</v>
      </c>
      <c r="G20" s="119">
        <v>28.109589041095891</v>
      </c>
      <c r="H20" s="39" t="s">
        <v>498</v>
      </c>
      <c r="I20" s="119">
        <v>21.67945205479452</v>
      </c>
      <c r="J20" s="120">
        <v>70</v>
      </c>
      <c r="K20" s="120">
        <v>211</v>
      </c>
      <c r="L20" s="120">
        <v>4.47</v>
      </c>
      <c r="M20" s="40">
        <v>7</v>
      </c>
      <c r="N20" s="121">
        <v>0</v>
      </c>
      <c r="O20" s="122">
        <v>0</v>
      </c>
      <c r="P20" s="122">
        <v>0.19919584520020103</v>
      </c>
      <c r="Q20" s="122">
        <v>0.10065432270639009</v>
      </c>
      <c r="R20" s="122">
        <v>0.14190450786876502</v>
      </c>
      <c r="S20" s="42">
        <v>0.17055017653448301</v>
      </c>
      <c r="T20" s="42">
        <v>0.17055017653448301</v>
      </c>
      <c r="U20" s="42">
        <v>2.5550421310138623E-2</v>
      </c>
      <c r="V20" s="42">
        <v>2.1568627450980392E-2</v>
      </c>
      <c r="W20" s="42">
        <v>2.3559524380559506E-2</v>
      </c>
      <c r="X20" s="43">
        <v>2.3559524380559506E-2</v>
      </c>
      <c r="Y20" s="44">
        <v>19.032876712328768</v>
      </c>
      <c r="Z20" s="45">
        <v>105.70179402390698</v>
      </c>
      <c r="AA20" s="45">
        <v>30.272040816326534</v>
      </c>
      <c r="AB20" s="45">
        <v>0.25966850828729282</v>
      </c>
      <c r="AC20" s="45">
        <v>6.2</v>
      </c>
      <c r="AD20" s="45">
        <v>75.8</v>
      </c>
      <c r="AE20" s="45">
        <v>3.65</v>
      </c>
      <c r="AF20" s="45">
        <v>40.9</v>
      </c>
      <c r="AG20" s="128">
        <v>3</v>
      </c>
      <c r="AH20" s="49">
        <v>2</v>
      </c>
      <c r="AI20" s="49">
        <v>8</v>
      </c>
      <c r="AJ20" s="49">
        <v>8</v>
      </c>
      <c r="AK20" s="49">
        <v>6</v>
      </c>
      <c r="AL20" s="49">
        <v>5</v>
      </c>
      <c r="AM20" s="49">
        <v>2</v>
      </c>
      <c r="AN20" s="49">
        <v>2</v>
      </c>
      <c r="AO20" s="49">
        <v>1</v>
      </c>
      <c r="AP20" s="50">
        <v>0</v>
      </c>
      <c r="AQ20" s="56">
        <v>0</v>
      </c>
      <c r="AR20" s="57">
        <v>3967</v>
      </c>
      <c r="AS20" s="57">
        <v>0</v>
      </c>
      <c r="AT20" s="57">
        <v>41</v>
      </c>
      <c r="AU20" s="57">
        <v>0</v>
      </c>
      <c r="AV20" s="57">
        <v>0</v>
      </c>
      <c r="AW20" s="58">
        <v>0</v>
      </c>
      <c r="AX20" s="58">
        <v>0</v>
      </c>
      <c r="AY20" s="58">
        <v>0</v>
      </c>
      <c r="AZ20" s="58">
        <v>0</v>
      </c>
      <c r="BA20" s="57">
        <v>0</v>
      </c>
      <c r="BB20" s="57">
        <v>3707</v>
      </c>
      <c r="BC20" s="57">
        <v>0</v>
      </c>
      <c r="BD20" s="57"/>
      <c r="BE20" s="59">
        <v>42</v>
      </c>
      <c r="BF20" s="56">
        <v>0</v>
      </c>
      <c r="BG20" s="57">
        <v>3188</v>
      </c>
      <c r="BH20" s="57">
        <v>0</v>
      </c>
      <c r="BI20" s="57">
        <v>39</v>
      </c>
      <c r="BJ20" s="57">
        <v>0</v>
      </c>
      <c r="BK20" s="57">
        <v>0</v>
      </c>
      <c r="BL20" s="58">
        <v>0</v>
      </c>
      <c r="BM20" s="58">
        <v>0</v>
      </c>
      <c r="BN20" s="58">
        <v>0</v>
      </c>
      <c r="BO20" s="58">
        <v>0</v>
      </c>
      <c r="BP20" s="57">
        <v>0</v>
      </c>
      <c r="BQ20" s="57">
        <v>2455</v>
      </c>
      <c r="BR20" s="57">
        <v>0</v>
      </c>
      <c r="BS20" s="57"/>
      <c r="BT20" s="59">
        <v>19</v>
      </c>
      <c r="BU20" s="56">
        <v>1098</v>
      </c>
      <c r="BV20" s="57">
        <v>3188</v>
      </c>
      <c r="BW20" s="57">
        <v>9</v>
      </c>
      <c r="BX20" s="57">
        <v>33</v>
      </c>
      <c r="BY20" s="57">
        <v>181</v>
      </c>
      <c r="BZ20" s="57">
        <v>47</v>
      </c>
      <c r="CA20" s="58">
        <v>6.1</v>
      </c>
      <c r="CB20" s="58">
        <v>75.8</v>
      </c>
      <c r="CC20" s="58">
        <v>3.17</v>
      </c>
      <c r="CD20" s="58">
        <v>36.299999999999997</v>
      </c>
      <c r="CE20" s="57">
        <v>91</v>
      </c>
      <c r="CF20" s="57">
        <v>2781</v>
      </c>
      <c r="CG20" s="57">
        <v>24</v>
      </c>
      <c r="CH20" s="57"/>
      <c r="CI20" s="59">
        <v>26</v>
      </c>
      <c r="CJ20" s="56">
        <v>629</v>
      </c>
      <c r="CK20" s="57">
        <v>3504</v>
      </c>
      <c r="CL20" s="57">
        <v>10</v>
      </c>
      <c r="CM20" s="57">
        <v>34</v>
      </c>
      <c r="CN20" s="57">
        <v>101</v>
      </c>
      <c r="CO20" s="57">
        <v>14</v>
      </c>
      <c r="CP20" s="58">
        <v>6.2</v>
      </c>
      <c r="CQ20" s="58">
        <v>49.4</v>
      </c>
      <c r="CR20" s="58">
        <v>3.65</v>
      </c>
      <c r="CS20" s="58">
        <v>40.9</v>
      </c>
      <c r="CT20" s="57">
        <v>94</v>
      </c>
      <c r="CU20" s="57">
        <v>3679</v>
      </c>
      <c r="CV20" s="57">
        <v>10</v>
      </c>
      <c r="CW20" s="57"/>
      <c r="CX20" s="59">
        <v>39</v>
      </c>
      <c r="CY20" s="56">
        <v>954</v>
      </c>
      <c r="CZ20" s="57">
        <v>2398</v>
      </c>
      <c r="DA20" s="57">
        <v>5</v>
      </c>
      <c r="DB20" s="57">
        <v>23</v>
      </c>
      <c r="DC20" s="57">
        <v>172</v>
      </c>
      <c r="DD20" s="57">
        <v>36</v>
      </c>
      <c r="DE20" s="58">
        <v>5.5</v>
      </c>
      <c r="DF20" s="58">
        <v>57.2</v>
      </c>
      <c r="DG20" s="58">
        <v>2.98</v>
      </c>
      <c r="DH20" s="58">
        <v>32.799999999999997</v>
      </c>
      <c r="DI20" s="57">
        <v>110</v>
      </c>
      <c r="DJ20" s="57">
        <v>5100</v>
      </c>
      <c r="DK20" s="57">
        <v>21</v>
      </c>
      <c r="DL20" s="57"/>
      <c r="DM20" s="59">
        <v>51</v>
      </c>
    </row>
    <row r="21" spans="1:117" ht="15.75" customHeight="1" x14ac:dyDescent="0.2">
      <c r="A21" s="33">
        <v>19</v>
      </c>
      <c r="B21" s="34" t="s">
        <v>108</v>
      </c>
      <c r="C21" s="116">
        <v>4.9722222222222223</v>
      </c>
      <c r="D21" s="117" t="s">
        <v>463</v>
      </c>
      <c r="E21" s="37">
        <v>5</v>
      </c>
      <c r="F21" s="118">
        <v>35476</v>
      </c>
      <c r="G21" s="119">
        <v>28.632876712328766</v>
      </c>
      <c r="H21" s="39" t="s">
        <v>389</v>
      </c>
      <c r="I21" s="119">
        <v>22.202739726027396</v>
      </c>
      <c r="J21" s="120">
        <v>69</v>
      </c>
      <c r="K21" s="120">
        <v>205</v>
      </c>
      <c r="L21" s="120">
        <v>4.58</v>
      </c>
      <c r="M21" s="40">
        <v>7</v>
      </c>
      <c r="N21" s="121">
        <v>0</v>
      </c>
      <c r="O21" s="122">
        <v>0.25152671755725192</v>
      </c>
      <c r="P21" s="122">
        <v>0.23604814756917306</v>
      </c>
      <c r="Q21" s="122">
        <v>0.30525516979700246</v>
      </c>
      <c r="R21" s="122">
        <v>0.23204134366925064</v>
      </c>
      <c r="S21" s="42">
        <v>0.26864825673312653</v>
      </c>
      <c r="T21" s="42">
        <v>0.22835101822315754</v>
      </c>
      <c r="U21" s="42">
        <v>8.0304603669089647E-2</v>
      </c>
      <c r="V21" s="42">
        <v>2.3074617920287685E-2</v>
      </c>
      <c r="W21" s="42">
        <v>5.1689610794688666E-2</v>
      </c>
      <c r="X21" s="43">
        <v>4.3936169175485366E-2</v>
      </c>
      <c r="Y21" s="44">
        <v>18.550684931506851</v>
      </c>
      <c r="Z21" s="45">
        <v>93.179836636354054</v>
      </c>
      <c r="AA21" s="45">
        <v>30.269901281243438</v>
      </c>
      <c r="AB21" s="45">
        <v>0.1981981981981982</v>
      </c>
      <c r="AC21" s="45">
        <v>6.2</v>
      </c>
      <c r="AD21" s="45">
        <v>82.9</v>
      </c>
      <c r="AE21" s="45">
        <v>3.57</v>
      </c>
      <c r="AF21" s="45">
        <v>46</v>
      </c>
      <c r="AG21" s="128">
        <v>4</v>
      </c>
      <c r="AH21" s="49">
        <v>5</v>
      </c>
      <c r="AI21" s="49">
        <v>9</v>
      </c>
      <c r="AJ21" s="49">
        <v>2</v>
      </c>
      <c r="AK21" s="49">
        <v>3</v>
      </c>
      <c r="AL21" s="49">
        <v>5</v>
      </c>
      <c r="AM21" s="49">
        <v>2</v>
      </c>
      <c r="AN21" s="49">
        <v>2</v>
      </c>
      <c r="AO21" s="49">
        <v>1</v>
      </c>
      <c r="AP21" s="50">
        <v>0.25</v>
      </c>
      <c r="AQ21" s="56">
        <v>0</v>
      </c>
      <c r="AR21" s="57">
        <v>2640</v>
      </c>
      <c r="AS21" s="57">
        <v>0</v>
      </c>
      <c r="AT21" s="57">
        <v>23</v>
      </c>
      <c r="AU21" s="57">
        <v>0</v>
      </c>
      <c r="AV21" s="57">
        <v>0</v>
      </c>
      <c r="AW21" s="58">
        <v>0</v>
      </c>
      <c r="AX21" s="58">
        <v>0</v>
      </c>
      <c r="AY21" s="58">
        <v>0</v>
      </c>
      <c r="AZ21" s="58">
        <v>0</v>
      </c>
      <c r="BA21" s="57">
        <v>0</v>
      </c>
      <c r="BB21" s="57">
        <v>2801</v>
      </c>
      <c r="BC21" s="57">
        <v>0</v>
      </c>
      <c r="BD21" s="57"/>
      <c r="BE21" s="59">
        <v>19</v>
      </c>
      <c r="BF21" s="56">
        <v>1300</v>
      </c>
      <c r="BG21" s="57">
        <v>2130</v>
      </c>
      <c r="BH21" s="57">
        <v>14</v>
      </c>
      <c r="BI21" s="57">
        <v>27</v>
      </c>
      <c r="BJ21" s="57">
        <v>226</v>
      </c>
      <c r="BK21" s="57">
        <v>61</v>
      </c>
      <c r="BL21" s="58">
        <v>5.8</v>
      </c>
      <c r="BM21" s="58">
        <v>105.5</v>
      </c>
      <c r="BN21" s="58">
        <v>3.88</v>
      </c>
      <c r="BO21" s="58">
        <v>46.9</v>
      </c>
      <c r="BP21" s="57">
        <v>18</v>
      </c>
      <c r="BQ21" s="57">
        <v>3110</v>
      </c>
      <c r="BR21" s="57">
        <v>6</v>
      </c>
      <c r="BS21" s="57"/>
      <c r="BT21" s="59">
        <v>17</v>
      </c>
      <c r="BU21" s="56">
        <v>1373</v>
      </c>
      <c r="BV21" s="57">
        <v>2774</v>
      </c>
      <c r="BW21" s="57">
        <v>10</v>
      </c>
      <c r="BX21" s="57">
        <v>24</v>
      </c>
      <c r="BY21" s="57">
        <v>237</v>
      </c>
      <c r="BZ21" s="57">
        <v>45</v>
      </c>
      <c r="CA21" s="58">
        <v>5.8</v>
      </c>
      <c r="CB21" s="58">
        <v>57.4</v>
      </c>
      <c r="CC21" s="58">
        <v>2.94</v>
      </c>
      <c r="CD21" s="58">
        <v>27.2</v>
      </c>
      <c r="CE21" s="57">
        <v>137</v>
      </c>
      <c r="CF21" s="57">
        <v>3623</v>
      </c>
      <c r="CG21" s="57">
        <v>19</v>
      </c>
      <c r="CH21" s="57"/>
      <c r="CI21" s="59">
        <v>47</v>
      </c>
      <c r="CJ21" s="56">
        <v>1377</v>
      </c>
      <c r="CK21" s="57">
        <v>2382</v>
      </c>
      <c r="CL21" s="57">
        <v>21</v>
      </c>
      <c r="CM21" s="57">
        <v>37</v>
      </c>
      <c r="CN21" s="57">
        <v>222</v>
      </c>
      <c r="CO21" s="57">
        <v>44</v>
      </c>
      <c r="CP21" s="58">
        <v>6.2</v>
      </c>
      <c r="CQ21" s="58">
        <v>82.9</v>
      </c>
      <c r="CR21" s="58">
        <v>3.57</v>
      </c>
      <c r="CS21" s="58">
        <v>46</v>
      </c>
      <c r="CT21" s="57">
        <v>232</v>
      </c>
      <c r="CU21" s="57">
        <v>2889</v>
      </c>
      <c r="CV21" s="57">
        <v>19</v>
      </c>
      <c r="CW21" s="57"/>
      <c r="CX21" s="59">
        <v>19</v>
      </c>
      <c r="CY21" s="56">
        <v>1270</v>
      </c>
      <c r="CZ21" s="57">
        <v>2468</v>
      </c>
      <c r="DA21" s="57">
        <v>12</v>
      </c>
      <c r="DB21" s="57">
        <v>26</v>
      </c>
      <c r="DC21" s="57">
        <v>259</v>
      </c>
      <c r="DD21" s="57">
        <v>45</v>
      </c>
      <c r="DE21" s="58">
        <v>4.9000000000000004</v>
      </c>
      <c r="DF21" s="58">
        <v>48.1</v>
      </c>
      <c r="DG21" s="58">
        <v>2.85</v>
      </c>
      <c r="DH21" s="58">
        <v>28.7</v>
      </c>
      <c r="DI21" s="57">
        <v>77</v>
      </c>
      <c r="DJ21" s="57">
        <v>3337</v>
      </c>
      <c r="DK21" s="57">
        <v>21</v>
      </c>
      <c r="DL21" s="57"/>
      <c r="DM21" s="59">
        <v>19</v>
      </c>
    </row>
    <row r="22" spans="1:117" ht="15.75" customHeight="1" x14ac:dyDescent="0.2">
      <c r="A22" s="33">
        <v>20</v>
      </c>
      <c r="B22" s="34" t="s">
        <v>121</v>
      </c>
      <c r="C22" s="116">
        <v>4.5500000000000007</v>
      </c>
      <c r="D22" s="117" t="s">
        <v>449</v>
      </c>
      <c r="E22" s="37">
        <v>2</v>
      </c>
      <c r="F22" s="118">
        <v>35436</v>
      </c>
      <c r="G22" s="119">
        <v>28.742465753424657</v>
      </c>
      <c r="H22" s="39" t="s">
        <v>389</v>
      </c>
      <c r="I22" s="119">
        <v>22.312328767123287</v>
      </c>
      <c r="J22" s="120">
        <v>71</v>
      </c>
      <c r="K22" s="120">
        <v>212</v>
      </c>
      <c r="L22" s="120">
        <v>4.57</v>
      </c>
      <c r="M22" s="40">
        <v>6</v>
      </c>
      <c r="N22" s="121">
        <v>0</v>
      </c>
      <c r="O22" s="122">
        <v>1.3854527461652647E-2</v>
      </c>
      <c r="P22" s="122">
        <v>4.3105168629016165E-2</v>
      </c>
      <c r="Q22" s="122">
        <v>6.4012356272524454E-2</v>
      </c>
      <c r="R22" s="122">
        <v>0.19716832721552177</v>
      </c>
      <c r="S22" s="42">
        <v>0.19716832721552177</v>
      </c>
      <c r="T22" s="42">
        <v>0.19716832721552177</v>
      </c>
      <c r="U22" s="42">
        <v>5.5889939810834051E-3</v>
      </c>
      <c r="V22" s="42">
        <v>3.9737077980280845E-2</v>
      </c>
      <c r="W22" s="42">
        <v>3.9737077980280845E-2</v>
      </c>
      <c r="X22" s="43">
        <v>3.9737077980280845E-2</v>
      </c>
      <c r="Y22" s="44">
        <v>21.663013698630138</v>
      </c>
      <c r="Z22" s="45">
        <v>97.20778701646374</v>
      </c>
      <c r="AA22" s="45">
        <v>29.564768895060503</v>
      </c>
      <c r="AB22" s="45">
        <v>0.12658227848101267</v>
      </c>
      <c r="AC22" s="45">
        <v>9.1999999999999993</v>
      </c>
      <c r="AD22" s="45">
        <v>46</v>
      </c>
      <c r="AE22" s="45">
        <v>4.92</v>
      </c>
      <c r="AF22" s="45">
        <v>51.1</v>
      </c>
      <c r="AG22" s="128">
        <v>3</v>
      </c>
      <c r="AH22" s="49">
        <v>4</v>
      </c>
      <c r="AI22" s="49">
        <v>2</v>
      </c>
      <c r="AJ22" s="49">
        <v>4</v>
      </c>
      <c r="AK22" s="49">
        <v>0</v>
      </c>
      <c r="AL22" s="49">
        <v>10</v>
      </c>
      <c r="AM22" s="49">
        <v>0</v>
      </c>
      <c r="AN22" s="49">
        <v>8</v>
      </c>
      <c r="AO22" s="49">
        <v>2</v>
      </c>
      <c r="AP22" s="50">
        <v>0</v>
      </c>
      <c r="AQ22" s="56">
        <v>0</v>
      </c>
      <c r="AR22" s="57">
        <v>2073</v>
      </c>
      <c r="AS22" s="57">
        <v>0</v>
      </c>
      <c r="AT22" s="57">
        <v>24</v>
      </c>
      <c r="AU22" s="57">
        <v>0</v>
      </c>
      <c r="AV22" s="57">
        <v>0</v>
      </c>
      <c r="AW22" s="58">
        <v>0</v>
      </c>
      <c r="AX22" s="58">
        <v>0</v>
      </c>
      <c r="AY22" s="58">
        <v>0</v>
      </c>
      <c r="AZ22" s="58">
        <v>0</v>
      </c>
      <c r="BA22" s="57">
        <v>0</v>
      </c>
      <c r="BB22" s="57">
        <v>3711</v>
      </c>
      <c r="BC22" s="57">
        <v>0</v>
      </c>
      <c r="BD22" s="57"/>
      <c r="BE22" s="59">
        <v>30</v>
      </c>
      <c r="BF22" s="56">
        <v>84</v>
      </c>
      <c r="BG22" s="57">
        <v>2699</v>
      </c>
      <c r="BH22" s="57">
        <v>1</v>
      </c>
      <c r="BI22" s="57">
        <v>29</v>
      </c>
      <c r="BJ22" s="57">
        <v>21</v>
      </c>
      <c r="BK22" s="57">
        <v>2</v>
      </c>
      <c r="BL22" s="58">
        <v>4</v>
      </c>
      <c r="BM22" s="58">
        <v>21.3</v>
      </c>
      <c r="BN22" s="58">
        <v>2.2400000000000002</v>
      </c>
      <c r="BO22" s="58">
        <v>0</v>
      </c>
      <c r="BP22" s="57">
        <v>0</v>
      </c>
      <c r="BQ22" s="57">
        <v>3364</v>
      </c>
      <c r="BR22" s="57">
        <v>0</v>
      </c>
      <c r="BS22" s="57"/>
      <c r="BT22" s="59">
        <v>25</v>
      </c>
      <c r="BU22" s="56">
        <v>200</v>
      </c>
      <c r="BV22" s="57">
        <v>1960</v>
      </c>
      <c r="BW22" s="57">
        <v>3</v>
      </c>
      <c r="BX22" s="57">
        <v>18</v>
      </c>
      <c r="BY22" s="57">
        <v>39</v>
      </c>
      <c r="BZ22" s="57">
        <v>8</v>
      </c>
      <c r="CA22" s="58">
        <v>5.0999999999999996</v>
      </c>
      <c r="CB22" s="58">
        <v>53</v>
      </c>
      <c r="CC22" s="58">
        <v>2.85</v>
      </c>
      <c r="CD22" s="58">
        <v>41</v>
      </c>
      <c r="CE22" s="57">
        <v>16</v>
      </c>
      <c r="CF22" s="57">
        <v>3051</v>
      </c>
      <c r="CG22" s="57">
        <v>4</v>
      </c>
      <c r="CH22" s="57"/>
      <c r="CI22" s="59">
        <v>27</v>
      </c>
      <c r="CJ22" s="56">
        <v>360</v>
      </c>
      <c r="CK22" s="57">
        <v>3501</v>
      </c>
      <c r="CL22" s="57">
        <v>4</v>
      </c>
      <c r="CM22" s="57">
        <v>35</v>
      </c>
      <c r="CN22" s="57">
        <v>39</v>
      </c>
      <c r="CO22" s="57">
        <v>3</v>
      </c>
      <c r="CP22" s="58">
        <v>9.1999999999999993</v>
      </c>
      <c r="CQ22" s="58">
        <v>36</v>
      </c>
      <c r="CR22" s="58">
        <v>4.92</v>
      </c>
      <c r="CS22" s="58">
        <v>51.1</v>
      </c>
      <c r="CT22" s="57">
        <v>13</v>
      </c>
      <c r="CU22" s="57">
        <v>2326</v>
      </c>
      <c r="CV22" s="57">
        <v>2</v>
      </c>
      <c r="CW22" s="57"/>
      <c r="CX22" s="59">
        <v>20</v>
      </c>
      <c r="CY22" s="56">
        <v>995</v>
      </c>
      <c r="CZ22" s="57">
        <v>2374</v>
      </c>
      <c r="DA22" s="57">
        <v>12</v>
      </c>
      <c r="DB22" s="57">
        <v>27</v>
      </c>
      <c r="DC22" s="57">
        <v>158</v>
      </c>
      <c r="DD22" s="57">
        <v>20</v>
      </c>
      <c r="DE22" s="58">
        <v>6.3</v>
      </c>
      <c r="DF22" s="58">
        <v>46</v>
      </c>
      <c r="DG22" s="58">
        <v>3.48</v>
      </c>
      <c r="DH22" s="58">
        <v>49.4</v>
      </c>
      <c r="DI22" s="57">
        <v>133</v>
      </c>
      <c r="DJ22" s="57">
        <v>3347</v>
      </c>
      <c r="DK22" s="57">
        <v>16</v>
      </c>
      <c r="DL22" s="57"/>
      <c r="DM22" s="59">
        <v>23</v>
      </c>
    </row>
    <row r="23" spans="1:117" ht="15.75" customHeight="1" x14ac:dyDescent="0.2">
      <c r="A23" s="33">
        <v>21</v>
      </c>
      <c r="B23" s="34" t="s">
        <v>116</v>
      </c>
      <c r="C23" s="116">
        <v>4.2555555555555564</v>
      </c>
      <c r="D23" s="117" t="s">
        <v>528</v>
      </c>
      <c r="E23" s="37">
        <v>10</v>
      </c>
      <c r="F23" s="118">
        <v>35369</v>
      </c>
      <c r="G23" s="119">
        <v>28.926027397260274</v>
      </c>
      <c r="H23" s="39" t="s">
        <v>498</v>
      </c>
      <c r="I23" s="119">
        <v>22.495890410958904</v>
      </c>
      <c r="J23" s="120">
        <v>70</v>
      </c>
      <c r="K23" s="120">
        <v>204</v>
      </c>
      <c r="L23" s="120">
        <v>4.37</v>
      </c>
      <c r="M23" s="40">
        <v>7</v>
      </c>
      <c r="N23" s="121">
        <v>0</v>
      </c>
      <c r="O23" s="122">
        <v>0</v>
      </c>
      <c r="P23" s="122">
        <v>3.4735300272023435E-2</v>
      </c>
      <c r="Q23" s="122">
        <v>5.8047871578042136E-2</v>
      </c>
      <c r="R23" s="122">
        <v>0.1771667246780369</v>
      </c>
      <c r="S23" s="42">
        <v>0.1771667246780369</v>
      </c>
      <c r="T23" s="42">
        <v>0.10630003480682214</v>
      </c>
      <c r="U23" s="42">
        <v>2.0113979215554811E-2</v>
      </c>
      <c r="V23" s="42">
        <v>5.8368495077355836E-2</v>
      </c>
      <c r="W23" s="42">
        <v>5.8368495077355836E-2</v>
      </c>
      <c r="X23" s="43">
        <v>3.5021097046413499E-2</v>
      </c>
      <c r="Y23" s="44">
        <v>21.846575342465755</v>
      </c>
      <c r="Z23" s="45">
        <v>111.8753521122639</v>
      </c>
      <c r="AA23" s="45">
        <v>29.267755102040816</v>
      </c>
      <c r="AB23" s="45">
        <v>0.24812030075187969</v>
      </c>
      <c r="AC23" s="45">
        <v>6.4</v>
      </c>
      <c r="AD23" s="45">
        <v>92.7</v>
      </c>
      <c r="AE23" s="45">
        <v>3.92</v>
      </c>
      <c r="AF23" s="45">
        <v>46.5</v>
      </c>
      <c r="AG23" s="128">
        <v>0</v>
      </c>
      <c r="AH23" s="49">
        <v>3</v>
      </c>
      <c r="AI23" s="49">
        <v>2</v>
      </c>
      <c r="AJ23" s="49">
        <v>9</v>
      </c>
      <c r="AK23" s="49">
        <v>6</v>
      </c>
      <c r="AL23" s="49">
        <v>6</v>
      </c>
      <c r="AM23" s="49">
        <v>3</v>
      </c>
      <c r="AN23" s="49">
        <v>4</v>
      </c>
      <c r="AO23" s="49">
        <v>1</v>
      </c>
      <c r="AP23" s="50">
        <v>0.5</v>
      </c>
      <c r="AQ23" s="56">
        <v>0</v>
      </c>
      <c r="AR23" s="57">
        <v>1963</v>
      </c>
      <c r="AS23" s="57">
        <v>0</v>
      </c>
      <c r="AT23" s="57">
        <v>14</v>
      </c>
      <c r="AU23" s="57">
        <v>0</v>
      </c>
      <c r="AV23" s="57">
        <v>0</v>
      </c>
      <c r="AW23" s="58">
        <v>0</v>
      </c>
      <c r="AX23" s="58">
        <v>0</v>
      </c>
      <c r="AY23" s="58">
        <v>0</v>
      </c>
      <c r="AZ23" s="58">
        <v>0</v>
      </c>
      <c r="BA23" s="57">
        <v>0</v>
      </c>
      <c r="BB23" s="57">
        <v>2394</v>
      </c>
      <c r="BC23" s="57">
        <v>0</v>
      </c>
      <c r="BD23" s="57"/>
      <c r="BE23" s="59">
        <v>18</v>
      </c>
      <c r="BF23" s="56">
        <v>0</v>
      </c>
      <c r="BG23" s="57">
        <v>1961</v>
      </c>
      <c r="BH23" s="57">
        <v>0</v>
      </c>
      <c r="BI23" s="57">
        <v>15</v>
      </c>
      <c r="BJ23" s="57">
        <v>0</v>
      </c>
      <c r="BK23" s="57">
        <v>0</v>
      </c>
      <c r="BL23" s="58">
        <v>0</v>
      </c>
      <c r="BM23" s="58">
        <v>0</v>
      </c>
      <c r="BN23" s="58">
        <v>0</v>
      </c>
      <c r="BO23" s="58">
        <v>0</v>
      </c>
      <c r="BP23" s="57">
        <v>0</v>
      </c>
      <c r="BQ23" s="57">
        <v>2557</v>
      </c>
      <c r="BR23" s="57">
        <v>0</v>
      </c>
      <c r="BS23" s="57"/>
      <c r="BT23" s="59">
        <v>12</v>
      </c>
      <c r="BU23" s="56">
        <v>145</v>
      </c>
      <c r="BV23" s="57">
        <v>2258</v>
      </c>
      <c r="BW23" s="57">
        <v>1</v>
      </c>
      <c r="BX23" s="57">
        <v>31</v>
      </c>
      <c r="BY23" s="57">
        <v>42</v>
      </c>
      <c r="BZ23" s="57">
        <v>5</v>
      </c>
      <c r="CA23" s="58">
        <v>3.5</v>
      </c>
      <c r="CB23" s="58">
        <v>50.3</v>
      </c>
      <c r="CC23" s="58">
        <v>2.95</v>
      </c>
      <c r="CD23" s="58">
        <v>15.2</v>
      </c>
      <c r="CE23" s="57">
        <v>21</v>
      </c>
      <c r="CF23" s="57">
        <v>2521</v>
      </c>
      <c r="CG23" s="57">
        <v>5</v>
      </c>
      <c r="CH23" s="57"/>
      <c r="CI23" s="59">
        <v>9</v>
      </c>
      <c r="CJ23" s="56">
        <v>345</v>
      </c>
      <c r="CK23" s="57">
        <v>3994</v>
      </c>
      <c r="CL23" s="57">
        <v>2</v>
      </c>
      <c r="CM23" s="57">
        <v>52</v>
      </c>
      <c r="CN23" s="57">
        <v>56</v>
      </c>
      <c r="CO23" s="57">
        <v>6</v>
      </c>
      <c r="CP23" s="58">
        <v>6.2</v>
      </c>
      <c r="CQ23" s="58">
        <v>27.7</v>
      </c>
      <c r="CR23" s="58">
        <v>2.54</v>
      </c>
      <c r="CS23" s="58">
        <v>41.2</v>
      </c>
      <c r="CT23" s="57">
        <v>60</v>
      </c>
      <c r="CU23" s="57">
        <v>2983</v>
      </c>
      <c r="CV23" s="57">
        <v>8</v>
      </c>
      <c r="CW23" s="57"/>
      <c r="CX23" s="59">
        <v>21</v>
      </c>
      <c r="CY23" s="56">
        <v>852</v>
      </c>
      <c r="CZ23" s="57">
        <v>2902</v>
      </c>
      <c r="DA23" s="57">
        <v>8</v>
      </c>
      <c r="DB23" s="57">
        <v>35</v>
      </c>
      <c r="DC23" s="57">
        <v>133</v>
      </c>
      <c r="DD23" s="57">
        <v>33</v>
      </c>
      <c r="DE23" s="58">
        <v>6.4</v>
      </c>
      <c r="DF23" s="58">
        <v>92.7</v>
      </c>
      <c r="DG23" s="58">
        <v>3.92</v>
      </c>
      <c r="DH23" s="58">
        <v>46.5</v>
      </c>
      <c r="DI23" s="57">
        <v>166</v>
      </c>
      <c r="DJ23" s="57">
        <v>2844</v>
      </c>
      <c r="DK23" s="57">
        <v>11</v>
      </c>
      <c r="DL23" s="57"/>
      <c r="DM23" s="59">
        <v>14</v>
      </c>
    </row>
    <row r="24" spans="1:117" ht="15.75" customHeight="1" x14ac:dyDescent="0.2">
      <c r="A24" s="33">
        <v>22</v>
      </c>
      <c r="B24" s="34" t="s">
        <v>124</v>
      </c>
      <c r="C24" s="116">
        <v>4.2222222222222223</v>
      </c>
      <c r="D24" s="117" t="s">
        <v>493</v>
      </c>
      <c r="E24" s="37">
        <v>3</v>
      </c>
      <c r="F24" s="118">
        <v>35320</v>
      </c>
      <c r="G24" s="119">
        <v>29.06027397260274</v>
      </c>
      <c r="H24" s="39" t="s">
        <v>385</v>
      </c>
      <c r="I24" s="119">
        <v>22.63013698630137</v>
      </c>
      <c r="J24" s="120">
        <v>72</v>
      </c>
      <c r="K24" s="120">
        <v>224</v>
      </c>
      <c r="L24" s="120">
        <v>4.59</v>
      </c>
      <c r="M24" s="40">
        <v>6</v>
      </c>
      <c r="N24" s="121">
        <v>0</v>
      </c>
      <c r="O24" s="122">
        <v>7.2537356738720446E-4</v>
      </c>
      <c r="P24" s="122">
        <v>0</v>
      </c>
      <c r="Q24" s="122">
        <v>0.17771752526497411</v>
      </c>
      <c r="R24" s="122">
        <v>1.4904809619238476E-2</v>
      </c>
      <c r="S24" s="42">
        <v>0.17771752526497411</v>
      </c>
      <c r="T24" s="42">
        <v>0.15994577273847671</v>
      </c>
      <c r="U24" s="42">
        <v>5.5478775913129316E-2</v>
      </c>
      <c r="V24" s="42">
        <v>0</v>
      </c>
      <c r="W24" s="42">
        <v>2.7739387956564658E-2</v>
      </c>
      <c r="X24" s="43">
        <v>2.4965449160908194E-2</v>
      </c>
      <c r="Y24" s="44">
        <v>20.980821917808218</v>
      </c>
      <c r="Z24" s="45">
        <v>100.93162648617674</v>
      </c>
      <c r="AA24" s="45">
        <v>30.376543209876541</v>
      </c>
      <c r="AB24" s="45">
        <v>0.15957446808510639</v>
      </c>
      <c r="AC24" s="45">
        <v>6.2</v>
      </c>
      <c r="AD24" s="45">
        <v>66.400000000000006</v>
      </c>
      <c r="AE24" s="45">
        <v>3.89</v>
      </c>
      <c r="AF24" s="45">
        <v>46.1</v>
      </c>
      <c r="AG24" s="128">
        <v>2</v>
      </c>
      <c r="AH24" s="49">
        <v>2</v>
      </c>
      <c r="AI24" s="49">
        <v>3</v>
      </c>
      <c r="AJ24" s="49">
        <v>6</v>
      </c>
      <c r="AK24" s="49">
        <v>1</v>
      </c>
      <c r="AL24" s="49">
        <v>5</v>
      </c>
      <c r="AM24" s="49">
        <v>1</v>
      </c>
      <c r="AN24" s="49">
        <v>4</v>
      </c>
      <c r="AO24" s="49">
        <v>2</v>
      </c>
      <c r="AP24" s="50">
        <v>0</v>
      </c>
      <c r="AQ24" s="56">
        <v>0</v>
      </c>
      <c r="AR24" s="57">
        <v>3395</v>
      </c>
      <c r="AS24" s="57">
        <v>0</v>
      </c>
      <c r="AT24" s="57">
        <v>40</v>
      </c>
      <c r="AU24" s="57">
        <v>0</v>
      </c>
      <c r="AV24" s="57">
        <v>0</v>
      </c>
      <c r="AW24" s="58">
        <v>0</v>
      </c>
      <c r="AX24" s="58">
        <v>0</v>
      </c>
      <c r="AY24" s="58">
        <v>0</v>
      </c>
      <c r="AZ24" s="58">
        <v>0</v>
      </c>
      <c r="BA24" s="57">
        <v>0</v>
      </c>
      <c r="BB24" s="57">
        <v>2646</v>
      </c>
      <c r="BC24" s="57">
        <v>0</v>
      </c>
      <c r="BD24" s="57"/>
      <c r="BE24" s="59">
        <v>17</v>
      </c>
      <c r="BF24" s="56">
        <v>5</v>
      </c>
      <c r="BG24" s="57">
        <v>2887</v>
      </c>
      <c r="BH24" s="57">
        <v>0</v>
      </c>
      <c r="BI24" s="57">
        <v>32</v>
      </c>
      <c r="BJ24" s="57">
        <v>1</v>
      </c>
      <c r="BK24" s="57">
        <v>0</v>
      </c>
      <c r="BL24" s="58">
        <v>5</v>
      </c>
      <c r="BM24" s="58">
        <v>0</v>
      </c>
      <c r="BN24" s="58">
        <v>2</v>
      </c>
      <c r="BO24" s="58">
        <v>0</v>
      </c>
      <c r="BP24" s="57">
        <v>0</v>
      </c>
      <c r="BQ24" s="57">
        <v>4006</v>
      </c>
      <c r="BR24" s="57">
        <v>0</v>
      </c>
      <c r="BS24" s="57"/>
      <c r="BT24" s="59">
        <v>38</v>
      </c>
      <c r="BU24" s="56">
        <v>0</v>
      </c>
      <c r="BV24" s="57">
        <v>3078</v>
      </c>
      <c r="BW24" s="57">
        <v>0</v>
      </c>
      <c r="BX24" s="57">
        <v>30</v>
      </c>
      <c r="BY24" s="57">
        <v>0</v>
      </c>
      <c r="BZ24" s="57">
        <v>0</v>
      </c>
      <c r="CA24" s="58">
        <v>0</v>
      </c>
      <c r="CB24" s="58">
        <v>0</v>
      </c>
      <c r="CC24" s="58">
        <v>0</v>
      </c>
      <c r="CD24" s="58">
        <v>0</v>
      </c>
      <c r="CE24" s="57">
        <v>0</v>
      </c>
      <c r="CF24" s="57">
        <v>4134</v>
      </c>
      <c r="CG24" s="57">
        <v>0</v>
      </c>
      <c r="CH24" s="57"/>
      <c r="CI24" s="59">
        <v>43</v>
      </c>
      <c r="CJ24" s="56">
        <v>1161</v>
      </c>
      <c r="CK24" s="57">
        <v>3049</v>
      </c>
      <c r="CL24" s="57">
        <v>13</v>
      </c>
      <c r="CM24" s="57">
        <v>33</v>
      </c>
      <c r="CN24" s="57">
        <v>188</v>
      </c>
      <c r="CO24" s="57">
        <v>30</v>
      </c>
      <c r="CP24" s="58">
        <v>6.2</v>
      </c>
      <c r="CQ24" s="58">
        <v>66.400000000000006</v>
      </c>
      <c r="CR24" s="58">
        <v>3.89</v>
      </c>
      <c r="CS24" s="58">
        <v>46.1</v>
      </c>
      <c r="CT24" s="57">
        <v>281</v>
      </c>
      <c r="CU24" s="57">
        <v>5065</v>
      </c>
      <c r="CV24" s="57">
        <v>17</v>
      </c>
      <c r="CW24" s="57"/>
      <c r="CX24" s="59">
        <v>47</v>
      </c>
      <c r="CY24" s="56">
        <v>119</v>
      </c>
      <c r="CZ24" s="57">
        <v>3464</v>
      </c>
      <c r="DA24" s="57">
        <v>3</v>
      </c>
      <c r="DB24" s="57">
        <v>42</v>
      </c>
      <c r="DC24" s="57">
        <v>11</v>
      </c>
      <c r="DD24" s="57">
        <v>5</v>
      </c>
      <c r="DE24" s="58">
        <v>10.8</v>
      </c>
      <c r="DF24" s="58">
        <v>285.10000000000002</v>
      </c>
      <c r="DG24" s="58">
        <v>6.27</v>
      </c>
      <c r="DH24" s="58">
        <v>79.8</v>
      </c>
      <c r="DI24" s="57">
        <v>0</v>
      </c>
      <c r="DJ24" s="57">
        <v>4520</v>
      </c>
      <c r="DK24" s="57">
        <v>0</v>
      </c>
      <c r="DL24" s="57"/>
      <c r="DM24" s="59">
        <v>43</v>
      </c>
    </row>
    <row r="25" spans="1:117" ht="15.75" customHeight="1" x14ac:dyDescent="0.2">
      <c r="A25" s="33">
        <v>23</v>
      </c>
      <c r="B25" s="34" t="s">
        <v>119</v>
      </c>
      <c r="C25" s="116">
        <v>4.0111111111111111</v>
      </c>
      <c r="D25" s="117" t="s">
        <v>532</v>
      </c>
      <c r="E25" s="37">
        <v>6</v>
      </c>
      <c r="F25" s="118">
        <v>35368</v>
      </c>
      <c r="G25" s="119">
        <v>28.92876712328767</v>
      </c>
      <c r="H25" s="39" t="s">
        <v>389</v>
      </c>
      <c r="I25" s="119">
        <v>22.4986301369863</v>
      </c>
      <c r="J25" s="120">
        <v>71</v>
      </c>
      <c r="K25" s="120">
        <v>220</v>
      </c>
      <c r="L25" s="120">
        <v>4.45</v>
      </c>
      <c r="M25" s="40">
        <v>5</v>
      </c>
      <c r="N25" s="121">
        <v>0</v>
      </c>
      <c r="O25" s="122">
        <v>3.9345539540319441E-2</v>
      </c>
      <c r="P25" s="122">
        <v>0.16580310880829016</v>
      </c>
      <c r="Q25" s="122">
        <v>0.13793103448275862</v>
      </c>
      <c r="R25" s="122">
        <v>0.21656649135987979</v>
      </c>
      <c r="S25" s="42">
        <v>0.21656649135987979</v>
      </c>
      <c r="T25" s="42">
        <v>0.16242486851990984</v>
      </c>
      <c r="U25" s="42">
        <v>2.2914757103574702E-2</v>
      </c>
      <c r="V25" s="42">
        <v>1.5771913861085837E-2</v>
      </c>
      <c r="W25" s="42">
        <v>1.9343335482330269E-2</v>
      </c>
      <c r="X25" s="43">
        <v>1.4507501611747702E-2</v>
      </c>
      <c r="Y25" s="44">
        <v>19.852054794520548</v>
      </c>
      <c r="Z25" s="45">
        <v>112.20510915445304</v>
      </c>
      <c r="AA25" s="45">
        <v>30.68042055147788</v>
      </c>
      <c r="AB25" s="45">
        <v>0.2129032258064516</v>
      </c>
      <c r="AC25" s="45">
        <v>5.9</v>
      </c>
      <c r="AD25" s="45">
        <v>78.099999999999994</v>
      </c>
      <c r="AE25" s="45">
        <v>3.7</v>
      </c>
      <c r="AF25" s="45">
        <v>44.6</v>
      </c>
      <c r="AG25" s="128">
        <v>2</v>
      </c>
      <c r="AH25" s="49">
        <v>1</v>
      </c>
      <c r="AI25" s="49">
        <v>5</v>
      </c>
      <c r="AJ25" s="49">
        <v>9</v>
      </c>
      <c r="AK25" s="49">
        <v>4</v>
      </c>
      <c r="AL25" s="49">
        <v>4</v>
      </c>
      <c r="AM25" s="49">
        <v>2</v>
      </c>
      <c r="AN25" s="49">
        <v>3</v>
      </c>
      <c r="AO25" s="49">
        <v>3</v>
      </c>
      <c r="AP25" s="50">
        <v>0</v>
      </c>
      <c r="AQ25" s="56">
        <v>0</v>
      </c>
      <c r="AR25" s="57">
        <v>1293</v>
      </c>
      <c r="AS25" s="57">
        <v>0</v>
      </c>
      <c r="AT25" s="57">
        <v>11</v>
      </c>
      <c r="AU25" s="57">
        <v>0</v>
      </c>
      <c r="AV25" s="57">
        <v>0</v>
      </c>
      <c r="AW25" s="58">
        <v>0</v>
      </c>
      <c r="AX25" s="58">
        <v>0</v>
      </c>
      <c r="AY25" s="58">
        <v>0</v>
      </c>
      <c r="AZ25" s="58">
        <v>0</v>
      </c>
      <c r="BA25" s="57">
        <v>0</v>
      </c>
      <c r="BB25" s="57">
        <v>2408</v>
      </c>
      <c r="BC25" s="57">
        <v>0</v>
      </c>
      <c r="BD25" s="57"/>
      <c r="BE25" s="59">
        <v>13</v>
      </c>
      <c r="BF25" s="56">
        <v>195</v>
      </c>
      <c r="BG25" s="57">
        <v>2096</v>
      </c>
      <c r="BH25" s="57">
        <v>2</v>
      </c>
      <c r="BI25" s="57">
        <v>25</v>
      </c>
      <c r="BJ25" s="57">
        <v>51</v>
      </c>
      <c r="BK25" s="57">
        <v>9</v>
      </c>
      <c r="BL25" s="58">
        <v>3.8</v>
      </c>
      <c r="BM25" s="58">
        <v>43.3</v>
      </c>
      <c r="BN25" s="58">
        <v>2.5499999999999998</v>
      </c>
      <c r="BO25" s="58">
        <v>16.399999999999999</v>
      </c>
      <c r="BP25" s="57">
        <v>7</v>
      </c>
      <c r="BQ25" s="57">
        <v>3038</v>
      </c>
      <c r="BR25" s="57">
        <v>2</v>
      </c>
      <c r="BS25" s="57"/>
      <c r="BT25" s="59">
        <v>20</v>
      </c>
      <c r="BU25" s="56">
        <v>914</v>
      </c>
      <c r="BV25" s="57">
        <v>2466</v>
      </c>
      <c r="BW25" s="57">
        <v>14</v>
      </c>
      <c r="BX25" s="57">
        <v>31</v>
      </c>
      <c r="BY25" s="57">
        <v>155</v>
      </c>
      <c r="BZ25" s="57">
        <v>33</v>
      </c>
      <c r="CA25" s="58">
        <v>5.9</v>
      </c>
      <c r="CB25" s="58">
        <v>78.099999999999994</v>
      </c>
      <c r="CC25" s="58">
        <v>3.7</v>
      </c>
      <c r="CD25" s="58">
        <v>44.6</v>
      </c>
      <c r="CE25" s="57">
        <v>46</v>
      </c>
      <c r="CF25" s="57">
        <v>3324</v>
      </c>
      <c r="CG25" s="57">
        <v>6</v>
      </c>
      <c r="CH25" s="57"/>
      <c r="CI25" s="59">
        <v>22</v>
      </c>
      <c r="CJ25" s="56">
        <v>621</v>
      </c>
      <c r="CK25" s="57">
        <v>1773</v>
      </c>
      <c r="CL25" s="57">
        <v>5</v>
      </c>
      <c r="CM25" s="57">
        <v>15</v>
      </c>
      <c r="CN25" s="57">
        <v>157</v>
      </c>
      <c r="CO25" s="57">
        <v>18</v>
      </c>
      <c r="CP25" s="58">
        <v>4</v>
      </c>
      <c r="CQ25" s="58">
        <v>28.9</v>
      </c>
      <c r="CR25" s="58">
        <v>2.25</v>
      </c>
      <c r="CS25" s="58">
        <v>37</v>
      </c>
      <c r="CT25" s="57">
        <v>75</v>
      </c>
      <c r="CU25" s="57">
        <v>3273</v>
      </c>
      <c r="CV25" s="57">
        <v>14</v>
      </c>
      <c r="CW25" s="57"/>
      <c r="CX25" s="59">
        <v>21</v>
      </c>
      <c r="CY25" s="56">
        <v>1101</v>
      </c>
      <c r="CZ25" s="57">
        <v>2027</v>
      </c>
      <c r="DA25" s="57">
        <v>13</v>
      </c>
      <c r="DB25" s="57">
        <v>28</v>
      </c>
      <c r="DC25" s="57">
        <v>210</v>
      </c>
      <c r="DD25" s="57">
        <v>31</v>
      </c>
      <c r="DE25" s="58">
        <v>5.2</v>
      </c>
      <c r="DF25" s="58">
        <v>49</v>
      </c>
      <c r="DG25" s="58">
        <v>3.34</v>
      </c>
      <c r="DH25" s="58">
        <v>39.9</v>
      </c>
      <c r="DI25" s="57">
        <v>52</v>
      </c>
      <c r="DJ25" s="57">
        <v>3297</v>
      </c>
      <c r="DK25" s="57">
        <v>8</v>
      </c>
      <c r="DL25" s="57"/>
      <c r="DM25" s="59">
        <v>20</v>
      </c>
    </row>
    <row r="26" spans="1:117" ht="15.75" customHeight="1" thickBot="1" x14ac:dyDescent="0.25">
      <c r="A26" s="60">
        <v>24</v>
      </c>
      <c r="B26" s="62" t="s">
        <v>369</v>
      </c>
      <c r="C26" s="134">
        <v>2.588888888888889</v>
      </c>
      <c r="D26" s="135" t="s">
        <v>428</v>
      </c>
      <c r="E26" s="66">
        <v>2</v>
      </c>
      <c r="F26" s="136">
        <v>35323</v>
      </c>
      <c r="G26" s="137">
        <v>29.052054794520547</v>
      </c>
      <c r="H26" s="68" t="s">
        <v>389</v>
      </c>
      <c r="I26" s="137">
        <v>22.621917808219177</v>
      </c>
      <c r="J26" s="138">
        <v>72</v>
      </c>
      <c r="K26" s="138">
        <v>233</v>
      </c>
      <c r="L26" s="138">
        <v>4.76</v>
      </c>
      <c r="M26" s="69">
        <v>0</v>
      </c>
      <c r="N26" s="140">
        <v>0</v>
      </c>
      <c r="O26" s="141">
        <v>0.13263189093064612</v>
      </c>
      <c r="P26" s="141">
        <v>0.23818565400843883</v>
      </c>
      <c r="Q26" s="141">
        <v>0.20915216170690623</v>
      </c>
      <c r="R26" s="141">
        <v>7.9847053531264062E-2</v>
      </c>
      <c r="S26" s="71">
        <v>0.15901635376985146</v>
      </c>
      <c r="T26" s="71">
        <v>0.15901635376985146</v>
      </c>
      <c r="U26" s="71">
        <v>5.2187589362310556E-2</v>
      </c>
      <c r="V26" s="71">
        <v>3.3644992208528124E-2</v>
      </c>
      <c r="W26" s="71">
        <v>4.2916290785419337E-2</v>
      </c>
      <c r="X26" s="72">
        <v>4.2916290785419337E-2</v>
      </c>
      <c r="Y26" s="73">
        <v>19.975342465753425</v>
      </c>
      <c r="Z26" s="74">
        <v>90.773296154718892</v>
      </c>
      <c r="AA26" s="74">
        <v>31.597029320987652</v>
      </c>
      <c r="AB26" s="74">
        <v>0.17934782608695651</v>
      </c>
      <c r="AC26" s="74">
        <v>5.3</v>
      </c>
      <c r="AD26" s="74">
        <v>72.900000000000006</v>
      </c>
      <c r="AE26" s="74">
        <v>3.72</v>
      </c>
      <c r="AF26" s="75">
        <v>38.6</v>
      </c>
      <c r="AG26" s="142">
        <v>2</v>
      </c>
      <c r="AH26" s="78">
        <v>4</v>
      </c>
      <c r="AI26" s="78">
        <v>5</v>
      </c>
      <c r="AJ26" s="78">
        <v>2</v>
      </c>
      <c r="AK26" s="78">
        <v>2</v>
      </c>
      <c r="AL26" s="215">
        <v>2</v>
      </c>
      <c r="AM26" s="78">
        <v>1</v>
      </c>
      <c r="AN26" s="78">
        <v>3</v>
      </c>
      <c r="AO26" s="78">
        <v>0</v>
      </c>
      <c r="AP26" s="79">
        <v>0</v>
      </c>
      <c r="AQ26" s="80">
        <v>0</v>
      </c>
      <c r="AR26" s="81">
        <v>2640</v>
      </c>
      <c r="AS26" s="81">
        <v>0</v>
      </c>
      <c r="AT26" s="81">
        <v>23</v>
      </c>
      <c r="AU26" s="81">
        <v>29</v>
      </c>
      <c r="AV26" s="81">
        <v>10</v>
      </c>
      <c r="AW26" s="82">
        <v>0</v>
      </c>
      <c r="AX26" s="82">
        <v>0</v>
      </c>
      <c r="AY26" s="82">
        <v>0</v>
      </c>
      <c r="AZ26" s="82">
        <v>0</v>
      </c>
      <c r="BA26" s="81">
        <v>0</v>
      </c>
      <c r="BB26" s="81">
        <v>2801</v>
      </c>
      <c r="BC26" s="81">
        <v>0</v>
      </c>
      <c r="BD26" s="81"/>
      <c r="BE26" s="83">
        <v>19</v>
      </c>
      <c r="BF26" s="80">
        <v>701</v>
      </c>
      <c r="BG26" s="81">
        <v>2119.6</v>
      </c>
      <c r="BH26" s="81">
        <v>11</v>
      </c>
      <c r="BI26" s="81">
        <v>28</v>
      </c>
      <c r="BJ26" s="81">
        <v>146</v>
      </c>
      <c r="BK26" s="81">
        <v>38</v>
      </c>
      <c r="BL26" s="82">
        <v>4.8</v>
      </c>
      <c r="BM26" s="82">
        <v>86.4</v>
      </c>
      <c r="BN26" s="82">
        <v>3.22</v>
      </c>
      <c r="BO26" s="82">
        <v>38.9</v>
      </c>
      <c r="BP26" s="81">
        <v>15</v>
      </c>
      <c r="BQ26" s="81">
        <v>3278.7999999999997</v>
      </c>
      <c r="BR26" s="81">
        <v>3</v>
      </c>
      <c r="BS26" s="81"/>
      <c r="BT26" s="83">
        <v>18</v>
      </c>
      <c r="BU26" s="80">
        <v>982</v>
      </c>
      <c r="BV26" s="81">
        <v>2072.3999999999996</v>
      </c>
      <c r="BW26" s="81">
        <v>6</v>
      </c>
      <c r="BX26" s="81">
        <v>25</v>
      </c>
      <c r="BY26" s="81">
        <v>184</v>
      </c>
      <c r="BZ26" s="81">
        <v>33</v>
      </c>
      <c r="CA26" s="82">
        <v>5.3</v>
      </c>
      <c r="CB26" s="82">
        <v>72.900000000000006</v>
      </c>
      <c r="CC26" s="82">
        <v>3.72</v>
      </c>
      <c r="CD26" s="82">
        <v>38.6</v>
      </c>
      <c r="CE26" s="81">
        <v>147</v>
      </c>
      <c r="CF26" s="81">
        <v>2667.6000000000004</v>
      </c>
      <c r="CG26" s="81">
        <v>10</v>
      </c>
      <c r="CH26" s="81"/>
      <c r="CI26" s="83">
        <v>48</v>
      </c>
      <c r="CJ26" s="80">
        <v>897</v>
      </c>
      <c r="CK26" s="81">
        <v>2189.2000000000003</v>
      </c>
      <c r="CL26" s="81">
        <v>8</v>
      </c>
      <c r="CM26" s="81">
        <v>38</v>
      </c>
      <c r="CN26" s="81">
        <v>201</v>
      </c>
      <c r="CO26" s="81">
        <v>36</v>
      </c>
      <c r="CP26" s="82">
        <v>4.5</v>
      </c>
      <c r="CQ26" s="82">
        <v>57</v>
      </c>
      <c r="CR26" s="82">
        <v>3.07</v>
      </c>
      <c r="CS26" s="82">
        <v>29.7</v>
      </c>
      <c r="CT26" s="81">
        <v>146</v>
      </c>
      <c r="CU26" s="81">
        <v>2797.6</v>
      </c>
      <c r="CV26" s="81">
        <v>20</v>
      </c>
      <c r="CW26" s="81"/>
      <c r="CX26" s="83">
        <v>20</v>
      </c>
      <c r="CY26" s="80">
        <v>260</v>
      </c>
      <c r="CZ26" s="81">
        <v>1622.3999999999999</v>
      </c>
      <c r="DA26" s="81">
        <v>0</v>
      </c>
      <c r="DB26" s="81">
        <v>27</v>
      </c>
      <c r="DC26" s="81">
        <v>78</v>
      </c>
      <c r="DD26" s="81">
        <v>9</v>
      </c>
      <c r="DE26" s="82">
        <v>3.3</v>
      </c>
      <c r="DF26" s="82">
        <v>31.5</v>
      </c>
      <c r="DG26" s="82">
        <v>2.31</v>
      </c>
      <c r="DH26" s="82">
        <v>0</v>
      </c>
      <c r="DI26" s="81">
        <v>95</v>
      </c>
      <c r="DJ26" s="81">
        <v>2823.6</v>
      </c>
      <c r="DK26" s="81">
        <v>10</v>
      </c>
      <c r="DL26" s="81"/>
      <c r="DM26" s="83">
        <v>20</v>
      </c>
    </row>
    <row r="27" spans="1:117" ht="15.75" customHeight="1" x14ac:dyDescent="0.2"/>
    <row r="28" spans="1:117" ht="15.75" customHeight="1" x14ac:dyDescent="0.2"/>
    <row r="29" spans="1:117" ht="15.75" customHeight="1" x14ac:dyDescent="0.2"/>
    <row r="30" spans="1:117" ht="15.75" customHeight="1" x14ac:dyDescent="0.2"/>
    <row r="31" spans="1:117" ht="15.75" customHeight="1" x14ac:dyDescent="0.2"/>
    <row r="32" spans="1:117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2:DM2" xr:uid="{00000000-0009-0000-0000-000009000000}">
    <sortState xmlns:xlrd2="http://schemas.microsoft.com/office/spreadsheetml/2017/richdata2" ref="A3:DM26">
      <sortCondition ref="A2"/>
    </sortState>
  </autoFilter>
  <mergeCells count="10">
    <mergeCell ref="BU1:CI1"/>
    <mergeCell ref="CJ1:CX1"/>
    <mergeCell ref="CY1:DM1"/>
    <mergeCell ref="A1:C1"/>
    <mergeCell ref="D1:M1"/>
    <mergeCell ref="N1:X1"/>
    <mergeCell ref="Y1:AF1"/>
    <mergeCell ref="AG1:AP1"/>
    <mergeCell ref="AQ1:BE1"/>
    <mergeCell ref="BF1:BT1"/>
  </mergeCells>
  <conditionalFormatting sqref="B3:B26">
    <cfRule type="expression" dxfId="115" priority="1" stopIfTrue="1">
      <formula>C3&gt;=13</formula>
    </cfRule>
    <cfRule type="expression" dxfId="114" priority="2">
      <formula>AND(C3&gt;=12,C3&lt;13)</formula>
    </cfRule>
    <cfRule type="expression" dxfId="113" priority="3" stopIfTrue="1">
      <formula>AND(C3&gt;=11,C3&lt;12)</formula>
    </cfRule>
    <cfRule type="expression" dxfId="112" priority="4">
      <formula>AND(C3&gt;=9,C3&lt;11)</formula>
    </cfRule>
    <cfRule type="expression" dxfId="111" priority="5">
      <formula>AND(C3&gt;=7,C3&lt;9)</formula>
    </cfRule>
    <cfRule type="expression" dxfId="110" priority="6" stopIfTrue="1">
      <formula>AND(C3&gt;=6,C3&lt;7)</formula>
    </cfRule>
    <cfRule type="expression" dxfId="109" priority="7" stopIfTrue="1">
      <formula>AND(C3&gt;=5,C3&lt;6)</formula>
    </cfRule>
    <cfRule type="expression" dxfId="108" priority="8">
      <formula>C3&lt;5</formula>
    </cfRule>
  </conditionalFormatting>
  <conditionalFormatting sqref="C3:C2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H26">
    <cfRule type="containsText" dxfId="107" priority="10" operator="containsText" text="SR">
      <formula>NOT(ISERROR(SEARCH(("SR"),(H3))))</formula>
    </cfRule>
  </conditionalFormatting>
  <conditionalFormatting sqref="N3:R26">
    <cfRule type="cellIs" dxfId="106" priority="11" stopIfTrue="1" operator="between">
      <formula>0.15</formula>
      <formula>0.199</formula>
    </cfRule>
    <cfRule type="cellIs" dxfId="105" priority="12" stopIfTrue="1" operator="equal">
      <formula>0</formula>
    </cfRule>
    <cfRule type="colorScale" priority="13">
      <colorScale>
        <cfvo type="formula" val="0.14999"/>
        <cfvo type="formula" val="0.15"/>
        <cfvo type="formula" val="0.4"/>
        <color rgb="FFFACACA"/>
        <color rgb="FFC0E399"/>
        <color rgb="FF63BE7B"/>
      </colorScale>
    </cfRule>
  </conditionalFormatting>
  <conditionalFormatting sqref="S3:T26">
    <cfRule type="colorScale" priority="14">
      <colorScale>
        <cfvo type="formula" val="0.1499"/>
        <cfvo type="formula" val="0.15"/>
        <cfvo type="formula" val="0.4"/>
        <color rgb="FFFACACA"/>
        <color rgb="FFCEF9B9"/>
        <color rgb="FF00B050"/>
      </colorScale>
    </cfRule>
  </conditionalFormatting>
  <conditionalFormatting sqref="U3:V2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:W2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:X2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S1000"/>
  <sheetViews>
    <sheetView zoomScale="80" zoomScaleNormal="80" workbookViewId="0">
      <selection sqref="A1:XFD1048576"/>
    </sheetView>
  </sheetViews>
  <sheetFormatPr baseColWidth="10" defaultColWidth="14.5" defaultRowHeight="15" customHeight="1" x14ac:dyDescent="0.2"/>
  <cols>
    <col min="1" max="1" width="8.5" customWidth="1"/>
    <col min="2" max="2" width="23.6640625" customWidth="1"/>
    <col min="3" max="3" width="12" customWidth="1"/>
    <col min="4" max="4" width="18.6640625" customWidth="1"/>
    <col min="5" max="5" width="10.83203125" customWidth="1"/>
    <col min="6" max="6" width="11.5" customWidth="1"/>
    <col min="7" max="7" width="7.5" customWidth="1"/>
    <col min="8" max="8" width="8" customWidth="1"/>
    <col min="9" max="9" width="12.6640625" customWidth="1"/>
    <col min="10" max="10" width="10" customWidth="1"/>
    <col min="11" max="11" width="10.5" customWidth="1"/>
    <col min="12" max="12" width="11.33203125" customWidth="1"/>
    <col min="13" max="13" width="12.5" customWidth="1"/>
    <col min="14" max="20" width="9.83203125" customWidth="1"/>
    <col min="21" max="22" width="11" customWidth="1"/>
    <col min="23" max="23" width="10" customWidth="1"/>
    <col min="24" max="24" width="11" customWidth="1"/>
    <col min="25" max="25" width="9.33203125" customWidth="1"/>
    <col min="26" max="26" width="9.5" customWidth="1"/>
    <col min="27" max="27" width="7.6640625" customWidth="1"/>
    <col min="28" max="28" width="10.1640625" customWidth="1"/>
    <col min="29" max="29" width="7.33203125" customWidth="1"/>
    <col min="30" max="30" width="7.5" customWidth="1"/>
    <col min="31" max="31" width="9.83203125" customWidth="1"/>
    <col min="32" max="32" width="11.5" customWidth="1"/>
    <col min="33" max="33" width="10.83203125" customWidth="1"/>
    <col min="34" max="34" width="11" customWidth="1"/>
    <col min="35" max="35" width="10.33203125" customWidth="1"/>
    <col min="36" max="36" width="10.5" customWidth="1"/>
    <col min="37" max="37" width="10.1640625" customWidth="1"/>
    <col min="38" max="39" width="8.5" customWidth="1"/>
    <col min="40" max="40" width="10.83203125" customWidth="1"/>
    <col min="41" max="41" width="7.6640625" customWidth="1"/>
    <col min="42" max="42" width="9.5" customWidth="1"/>
    <col min="43" max="43" width="12" customWidth="1"/>
    <col min="44" max="44" width="12.6640625" customWidth="1"/>
    <col min="45" max="45" width="12.33203125" customWidth="1"/>
    <col min="46" max="46" width="12.1640625" customWidth="1"/>
    <col min="47" max="47" width="6.6640625" customWidth="1"/>
    <col min="48" max="48" width="8" customWidth="1"/>
    <col min="49" max="49" width="7.33203125" customWidth="1"/>
    <col min="50" max="50" width="7.5" customWidth="1"/>
    <col min="51" max="51" width="9.83203125" customWidth="1"/>
    <col min="52" max="52" width="11.5" customWidth="1"/>
    <col min="53" max="53" width="10.83203125" customWidth="1"/>
    <col min="54" max="54" width="12.6640625" customWidth="1"/>
    <col min="55" max="55" width="8.1640625" customWidth="1"/>
    <col min="56" max="56" width="11.33203125" customWidth="1"/>
    <col min="57" max="57" width="13" customWidth="1"/>
    <col min="58" max="58" width="12" customWidth="1"/>
    <col min="59" max="59" width="12.6640625" customWidth="1"/>
    <col min="60" max="60" width="12.33203125" customWidth="1"/>
    <col min="61" max="61" width="12.1640625" customWidth="1"/>
    <col min="62" max="62" width="6.6640625" customWidth="1"/>
    <col min="63" max="63" width="8" customWidth="1"/>
    <col min="64" max="64" width="7.33203125" customWidth="1"/>
    <col min="65" max="65" width="7.5" customWidth="1"/>
    <col min="66" max="66" width="9.83203125" customWidth="1"/>
    <col min="67" max="67" width="11.5" customWidth="1"/>
    <col min="68" max="68" width="10.83203125" customWidth="1"/>
    <col min="69" max="69" width="12.6640625" customWidth="1"/>
    <col min="70" max="70" width="8.1640625" customWidth="1"/>
    <col min="71" max="71" width="11.33203125" customWidth="1"/>
    <col min="72" max="72" width="13" customWidth="1"/>
    <col min="73" max="73" width="12" customWidth="1"/>
    <col min="74" max="74" width="12.6640625" customWidth="1"/>
    <col min="75" max="75" width="12.33203125" customWidth="1"/>
    <col min="76" max="76" width="12.1640625" customWidth="1"/>
    <col min="77" max="77" width="6.6640625" customWidth="1"/>
    <col min="78" max="78" width="8" customWidth="1"/>
    <col min="79" max="79" width="7.33203125" customWidth="1"/>
    <col min="80" max="80" width="7.5" customWidth="1"/>
    <col min="81" max="81" width="9.83203125" customWidth="1"/>
    <col min="82" max="82" width="11.5" customWidth="1"/>
    <col min="83" max="83" width="10.83203125" customWidth="1"/>
    <col min="84" max="84" width="12.6640625" customWidth="1"/>
    <col min="85" max="85" width="8.1640625" customWidth="1"/>
    <col min="86" max="86" width="11.33203125" customWidth="1"/>
    <col min="87" max="87" width="13" customWidth="1"/>
    <col min="88" max="88" width="12" customWidth="1"/>
    <col min="89" max="89" width="12.6640625" customWidth="1"/>
    <col min="90" max="90" width="12.33203125" customWidth="1"/>
    <col min="91" max="91" width="12.1640625" customWidth="1"/>
    <col min="92" max="92" width="6.6640625" customWidth="1"/>
    <col min="93" max="93" width="8" customWidth="1"/>
    <col min="94" max="94" width="7.33203125" customWidth="1"/>
    <col min="95" max="95" width="7.5" customWidth="1"/>
    <col min="96" max="96" width="9.83203125" customWidth="1"/>
    <col min="97" max="97" width="11.5" customWidth="1"/>
    <col min="98" max="98" width="10.83203125" customWidth="1"/>
    <col min="99" max="99" width="12.6640625" customWidth="1"/>
    <col min="100" max="100" width="8.1640625" customWidth="1"/>
    <col min="101" max="101" width="11.33203125" customWidth="1"/>
    <col min="102" max="102" width="13" customWidth="1"/>
    <col min="103" max="103" width="12" customWidth="1"/>
    <col min="104" max="104" width="12.6640625" customWidth="1"/>
    <col min="105" max="105" width="12.33203125" customWidth="1"/>
    <col min="106" max="106" width="12.1640625" customWidth="1"/>
    <col min="107" max="107" width="6.6640625" customWidth="1"/>
    <col min="108" max="108" width="8" customWidth="1"/>
    <col min="109" max="109" width="7.33203125" customWidth="1"/>
    <col min="110" max="110" width="7.5" customWidth="1"/>
    <col min="111" max="111" width="9.83203125" customWidth="1"/>
    <col min="112" max="112" width="11.5" customWidth="1"/>
    <col min="113" max="113" width="10.83203125" customWidth="1"/>
    <col min="114" max="114" width="12.6640625" customWidth="1"/>
    <col min="115" max="115" width="8.1640625" customWidth="1"/>
    <col min="116" max="116" width="11.33203125" customWidth="1"/>
    <col min="117" max="117" width="13" customWidth="1"/>
    <col min="118" max="118" width="8" customWidth="1"/>
    <col min="119" max="119" width="3.5" customWidth="1"/>
    <col min="120" max="120" width="16.5" customWidth="1"/>
    <col min="121" max="121" width="11" customWidth="1"/>
    <col min="122" max="122" width="14.5" customWidth="1"/>
    <col min="123" max="123" width="10.5" customWidth="1"/>
  </cols>
  <sheetData>
    <row r="1" spans="1:123" x14ac:dyDescent="0.2">
      <c r="A1" s="250"/>
      <c r="B1" s="251"/>
      <c r="C1" s="253"/>
      <c r="D1" s="254" t="s">
        <v>156</v>
      </c>
      <c r="E1" s="251"/>
      <c r="F1" s="251"/>
      <c r="G1" s="251"/>
      <c r="H1" s="251"/>
      <c r="I1" s="251"/>
      <c r="J1" s="251"/>
      <c r="K1" s="251"/>
      <c r="L1" s="251"/>
      <c r="M1" s="253"/>
      <c r="N1" s="255" t="s">
        <v>157</v>
      </c>
      <c r="O1" s="251"/>
      <c r="P1" s="251"/>
      <c r="Q1" s="251"/>
      <c r="R1" s="251"/>
      <c r="S1" s="251"/>
      <c r="T1" s="251"/>
      <c r="U1" s="251"/>
      <c r="V1" s="251"/>
      <c r="W1" s="251"/>
      <c r="X1" s="253"/>
      <c r="Y1" s="256" t="s">
        <v>158</v>
      </c>
      <c r="Z1" s="251"/>
      <c r="AA1" s="251"/>
      <c r="AB1" s="251"/>
      <c r="AC1" s="251"/>
      <c r="AD1" s="251"/>
      <c r="AE1" s="251"/>
      <c r="AF1" s="253"/>
      <c r="AG1" s="257" t="s">
        <v>159</v>
      </c>
      <c r="AH1" s="251"/>
      <c r="AI1" s="251"/>
      <c r="AJ1" s="251"/>
      <c r="AK1" s="251"/>
      <c r="AL1" s="251"/>
      <c r="AM1" s="251"/>
      <c r="AN1" s="251"/>
      <c r="AO1" s="251"/>
      <c r="AP1" s="253"/>
      <c r="AQ1" s="247" t="s">
        <v>443</v>
      </c>
      <c r="AR1" s="248"/>
      <c r="AS1" s="248"/>
      <c r="AT1" s="248"/>
      <c r="AU1" s="248"/>
      <c r="AV1" s="248"/>
      <c r="AW1" s="248"/>
      <c r="AX1" s="248"/>
      <c r="AY1" s="248"/>
      <c r="AZ1" s="248"/>
      <c r="BA1" s="248"/>
      <c r="BB1" s="248"/>
      <c r="BC1" s="248"/>
      <c r="BD1" s="248"/>
      <c r="BE1" s="249"/>
      <c r="BF1" s="247" t="s">
        <v>491</v>
      </c>
      <c r="BG1" s="248"/>
      <c r="BH1" s="248"/>
      <c r="BI1" s="248"/>
      <c r="BJ1" s="248"/>
      <c r="BK1" s="248"/>
      <c r="BL1" s="248"/>
      <c r="BM1" s="248"/>
      <c r="BN1" s="248"/>
      <c r="BO1" s="248"/>
      <c r="BP1" s="248"/>
      <c r="BQ1" s="248"/>
      <c r="BR1" s="248"/>
      <c r="BS1" s="248"/>
      <c r="BT1" s="249"/>
      <c r="BU1" s="247" t="s">
        <v>512</v>
      </c>
      <c r="BV1" s="248"/>
      <c r="BW1" s="248"/>
      <c r="BX1" s="248"/>
      <c r="BY1" s="248"/>
      <c r="BZ1" s="248"/>
      <c r="CA1" s="248"/>
      <c r="CB1" s="248"/>
      <c r="CC1" s="248"/>
      <c r="CD1" s="248"/>
      <c r="CE1" s="248"/>
      <c r="CF1" s="248"/>
      <c r="CG1" s="248"/>
      <c r="CH1" s="248"/>
      <c r="CI1" s="249"/>
      <c r="CJ1" s="247" t="s">
        <v>524</v>
      </c>
      <c r="CK1" s="248"/>
      <c r="CL1" s="248"/>
      <c r="CM1" s="248"/>
      <c r="CN1" s="248"/>
      <c r="CO1" s="248"/>
      <c r="CP1" s="248"/>
      <c r="CQ1" s="248"/>
      <c r="CR1" s="248"/>
      <c r="CS1" s="248"/>
      <c r="CT1" s="248"/>
      <c r="CU1" s="248"/>
      <c r="CV1" s="248"/>
      <c r="CW1" s="248"/>
      <c r="CX1" s="249"/>
      <c r="CY1" s="247" t="s">
        <v>533</v>
      </c>
      <c r="CZ1" s="248"/>
      <c r="DA1" s="248"/>
      <c r="DB1" s="248"/>
      <c r="DC1" s="248"/>
      <c r="DD1" s="248"/>
      <c r="DE1" s="248"/>
      <c r="DF1" s="248"/>
      <c r="DG1" s="248"/>
      <c r="DH1" s="248"/>
      <c r="DI1" s="248"/>
      <c r="DJ1" s="248"/>
      <c r="DK1" s="248"/>
      <c r="DL1" s="248"/>
      <c r="DM1" s="249"/>
      <c r="DN1" s="114"/>
      <c r="DO1" s="11"/>
    </row>
    <row r="2" spans="1:123" ht="16" thickBot="1" x14ac:dyDescent="0.25">
      <c r="A2" s="15" t="s">
        <v>56</v>
      </c>
      <c r="B2" s="16" t="s">
        <v>58</v>
      </c>
      <c r="C2" s="17" t="s">
        <v>2</v>
      </c>
      <c r="D2" s="115" t="s">
        <v>168</v>
      </c>
      <c r="E2" s="19" t="s">
        <v>24</v>
      </c>
      <c r="F2" s="19" t="s">
        <v>28</v>
      </c>
      <c r="G2" s="19" t="s">
        <v>30</v>
      </c>
      <c r="H2" s="19" t="s">
        <v>57</v>
      </c>
      <c r="I2" s="19" t="s">
        <v>34</v>
      </c>
      <c r="J2" s="19" t="s">
        <v>170</v>
      </c>
      <c r="K2" s="19" t="s">
        <v>171</v>
      </c>
      <c r="L2" s="19" t="s">
        <v>172</v>
      </c>
      <c r="M2" s="20" t="s">
        <v>22</v>
      </c>
      <c r="N2" s="21" t="s">
        <v>36</v>
      </c>
      <c r="O2" s="22" t="s">
        <v>38</v>
      </c>
      <c r="P2" s="22" t="s">
        <v>40</v>
      </c>
      <c r="Q2" s="22" t="s">
        <v>42</v>
      </c>
      <c r="R2" s="22" t="s">
        <v>44</v>
      </c>
      <c r="S2" s="22" t="s">
        <v>18</v>
      </c>
      <c r="T2" s="22" t="s">
        <v>20</v>
      </c>
      <c r="U2" s="22" t="s">
        <v>173</v>
      </c>
      <c r="V2" s="22" t="s">
        <v>174</v>
      </c>
      <c r="W2" s="22" t="s">
        <v>175</v>
      </c>
      <c r="X2" s="23" t="s">
        <v>176</v>
      </c>
      <c r="Y2" s="24" t="s">
        <v>177</v>
      </c>
      <c r="Z2" s="25" t="s">
        <v>178</v>
      </c>
      <c r="AA2" s="25" t="s">
        <v>179</v>
      </c>
      <c r="AB2" s="25" t="s">
        <v>180</v>
      </c>
      <c r="AC2" s="25" t="s">
        <v>8</v>
      </c>
      <c r="AD2" s="25" t="s">
        <v>12</v>
      </c>
      <c r="AE2" s="25" t="s">
        <v>10</v>
      </c>
      <c r="AF2" s="26" t="s">
        <v>14</v>
      </c>
      <c r="AG2" s="27" t="s">
        <v>183</v>
      </c>
      <c r="AH2" s="28" t="s">
        <v>176</v>
      </c>
      <c r="AI2" s="28" t="s">
        <v>185</v>
      </c>
      <c r="AJ2" s="28" t="s">
        <v>186</v>
      </c>
      <c r="AK2" s="28" t="s">
        <v>180</v>
      </c>
      <c r="AL2" s="28" t="s">
        <v>187</v>
      </c>
      <c r="AM2" s="28" t="s">
        <v>188</v>
      </c>
      <c r="AN2" s="28" t="s">
        <v>189</v>
      </c>
      <c r="AO2" s="28" t="s">
        <v>26</v>
      </c>
      <c r="AP2" s="29" t="s">
        <v>16</v>
      </c>
      <c r="AQ2" s="30" t="s">
        <v>190</v>
      </c>
      <c r="AR2" s="31" t="s">
        <v>191</v>
      </c>
      <c r="AS2" s="31" t="s">
        <v>192</v>
      </c>
      <c r="AT2" s="31" t="s">
        <v>193</v>
      </c>
      <c r="AU2" s="31" t="s">
        <v>194</v>
      </c>
      <c r="AV2" s="31" t="s">
        <v>195</v>
      </c>
      <c r="AW2" s="31" t="s">
        <v>8</v>
      </c>
      <c r="AX2" s="31" t="s">
        <v>12</v>
      </c>
      <c r="AY2" s="31" t="s">
        <v>10</v>
      </c>
      <c r="AZ2" s="31" t="s">
        <v>14</v>
      </c>
      <c r="BA2" s="31" t="s">
        <v>196</v>
      </c>
      <c r="BB2" s="31" t="s">
        <v>191</v>
      </c>
      <c r="BC2" s="31" t="s">
        <v>197</v>
      </c>
      <c r="BD2" s="31" t="s">
        <v>198</v>
      </c>
      <c r="BE2" s="32" t="s">
        <v>199</v>
      </c>
      <c r="BF2" s="30" t="s">
        <v>190</v>
      </c>
      <c r="BG2" s="31" t="s">
        <v>191</v>
      </c>
      <c r="BH2" s="31" t="s">
        <v>192</v>
      </c>
      <c r="BI2" s="31" t="s">
        <v>193</v>
      </c>
      <c r="BJ2" s="31" t="s">
        <v>194</v>
      </c>
      <c r="BK2" s="31" t="s">
        <v>195</v>
      </c>
      <c r="BL2" s="31" t="s">
        <v>8</v>
      </c>
      <c r="BM2" s="31" t="s">
        <v>12</v>
      </c>
      <c r="BN2" s="31" t="s">
        <v>10</v>
      </c>
      <c r="BO2" s="31" t="s">
        <v>14</v>
      </c>
      <c r="BP2" s="31" t="s">
        <v>196</v>
      </c>
      <c r="BQ2" s="31" t="s">
        <v>191</v>
      </c>
      <c r="BR2" s="31" t="s">
        <v>197</v>
      </c>
      <c r="BS2" s="31" t="s">
        <v>198</v>
      </c>
      <c r="BT2" s="32" t="s">
        <v>199</v>
      </c>
      <c r="BU2" s="30" t="s">
        <v>190</v>
      </c>
      <c r="BV2" s="31" t="s">
        <v>191</v>
      </c>
      <c r="BW2" s="31" t="s">
        <v>192</v>
      </c>
      <c r="BX2" s="31" t="s">
        <v>193</v>
      </c>
      <c r="BY2" s="31" t="s">
        <v>194</v>
      </c>
      <c r="BZ2" s="31" t="s">
        <v>195</v>
      </c>
      <c r="CA2" s="31" t="s">
        <v>8</v>
      </c>
      <c r="CB2" s="31" t="s">
        <v>12</v>
      </c>
      <c r="CC2" s="31" t="s">
        <v>10</v>
      </c>
      <c r="CD2" s="31" t="s">
        <v>14</v>
      </c>
      <c r="CE2" s="31" t="s">
        <v>196</v>
      </c>
      <c r="CF2" s="31" t="s">
        <v>191</v>
      </c>
      <c r="CG2" s="31" t="s">
        <v>197</v>
      </c>
      <c r="CH2" s="31" t="s">
        <v>198</v>
      </c>
      <c r="CI2" s="32" t="s">
        <v>199</v>
      </c>
      <c r="CJ2" s="30" t="s">
        <v>190</v>
      </c>
      <c r="CK2" s="31" t="s">
        <v>191</v>
      </c>
      <c r="CL2" s="31" t="s">
        <v>192</v>
      </c>
      <c r="CM2" s="31" t="s">
        <v>193</v>
      </c>
      <c r="CN2" s="31" t="s">
        <v>194</v>
      </c>
      <c r="CO2" s="31" t="s">
        <v>195</v>
      </c>
      <c r="CP2" s="31" t="s">
        <v>8</v>
      </c>
      <c r="CQ2" s="31" t="s">
        <v>12</v>
      </c>
      <c r="CR2" s="31" t="s">
        <v>10</v>
      </c>
      <c r="CS2" s="31" t="s">
        <v>14</v>
      </c>
      <c r="CT2" s="31" t="s">
        <v>196</v>
      </c>
      <c r="CU2" s="31" t="s">
        <v>191</v>
      </c>
      <c r="CV2" s="31" t="s">
        <v>197</v>
      </c>
      <c r="CW2" s="31" t="s">
        <v>198</v>
      </c>
      <c r="CX2" s="32" t="s">
        <v>199</v>
      </c>
      <c r="CY2" s="30" t="s">
        <v>190</v>
      </c>
      <c r="CZ2" s="31" t="s">
        <v>191</v>
      </c>
      <c r="DA2" s="31" t="s">
        <v>192</v>
      </c>
      <c r="DB2" s="31" t="s">
        <v>193</v>
      </c>
      <c r="DC2" s="31" t="s">
        <v>194</v>
      </c>
      <c r="DD2" s="31" t="s">
        <v>195</v>
      </c>
      <c r="DE2" s="31" t="s">
        <v>8</v>
      </c>
      <c r="DF2" s="31" t="s">
        <v>12</v>
      </c>
      <c r="DG2" s="31" t="s">
        <v>10</v>
      </c>
      <c r="DH2" s="31" t="s">
        <v>14</v>
      </c>
      <c r="DI2" s="31" t="s">
        <v>196</v>
      </c>
      <c r="DJ2" s="31" t="s">
        <v>191</v>
      </c>
      <c r="DK2" s="31" t="s">
        <v>197</v>
      </c>
      <c r="DL2" s="31" t="s">
        <v>198</v>
      </c>
      <c r="DM2" s="32" t="s">
        <v>199</v>
      </c>
      <c r="DN2" s="11"/>
      <c r="DO2" s="11"/>
      <c r="DP2" s="11" t="s">
        <v>379</v>
      </c>
      <c r="DQ2" s="11" t="s">
        <v>380</v>
      </c>
      <c r="DR2" s="11" t="s">
        <v>381</v>
      </c>
      <c r="DS2" s="11" t="s">
        <v>382</v>
      </c>
    </row>
    <row r="3" spans="1:123" x14ac:dyDescent="0.2">
      <c r="A3" s="33">
        <v>1</v>
      </c>
      <c r="B3" s="34" t="s">
        <v>126</v>
      </c>
      <c r="C3" s="116">
        <v>12.81111111111111</v>
      </c>
      <c r="D3" s="117" t="s">
        <v>388</v>
      </c>
      <c r="E3" s="37">
        <v>2</v>
      </c>
      <c r="F3" s="118">
        <v>36179</v>
      </c>
      <c r="G3" s="119">
        <v>26.706849315068492</v>
      </c>
      <c r="H3" s="39" t="s">
        <v>385</v>
      </c>
      <c r="I3" s="119">
        <v>21.273972602739725</v>
      </c>
      <c r="J3" s="120">
        <v>70</v>
      </c>
      <c r="K3" s="120">
        <v>226</v>
      </c>
      <c r="L3" s="120">
        <v>4.3899999999999997</v>
      </c>
      <c r="M3" s="40">
        <v>2</v>
      </c>
      <c r="N3" s="121">
        <v>0</v>
      </c>
      <c r="O3" s="122">
        <v>0</v>
      </c>
      <c r="P3" s="122">
        <v>0.35576592082616176</v>
      </c>
      <c r="Q3" s="122">
        <v>0.40060670949321914</v>
      </c>
      <c r="R3" s="122">
        <v>0.37015663643858204</v>
      </c>
      <c r="S3" s="42">
        <v>0.38538167296590059</v>
      </c>
      <c r="T3" s="42">
        <v>0.38538167296590059</v>
      </c>
      <c r="U3" s="42">
        <v>2.9268292682926831E-2</v>
      </c>
      <c r="V3" s="42">
        <v>8.6723768736616705E-2</v>
      </c>
      <c r="W3" s="42">
        <v>8.6723768736616705E-2</v>
      </c>
      <c r="X3" s="43">
        <v>8.6723768736616705E-2</v>
      </c>
      <c r="Y3" s="44">
        <v>18.63013698630137</v>
      </c>
      <c r="Z3" s="45">
        <v>121.69713490886191</v>
      </c>
      <c r="AA3" s="45">
        <v>32.424081632653056</v>
      </c>
      <c r="AB3" s="45">
        <v>0.27187499999999998</v>
      </c>
      <c r="AC3" s="45">
        <v>7.1</v>
      </c>
      <c r="AD3" s="45">
        <v>104.4</v>
      </c>
      <c r="AE3" s="45">
        <v>4.53</v>
      </c>
      <c r="AF3" s="45">
        <v>43.4</v>
      </c>
      <c r="AG3" s="128">
        <v>10</v>
      </c>
      <c r="AH3" s="49">
        <v>8</v>
      </c>
      <c r="AI3" s="49">
        <v>9</v>
      </c>
      <c r="AJ3" s="49">
        <v>10</v>
      </c>
      <c r="AK3" s="49">
        <v>7</v>
      </c>
      <c r="AL3" s="124">
        <v>8</v>
      </c>
      <c r="AM3" s="49">
        <v>4</v>
      </c>
      <c r="AN3" s="49">
        <v>7</v>
      </c>
      <c r="AO3" s="49">
        <v>7</v>
      </c>
      <c r="AP3" s="50">
        <v>0.5</v>
      </c>
      <c r="AQ3" s="51">
        <v>0</v>
      </c>
      <c r="AR3" s="52">
        <v>1954</v>
      </c>
      <c r="AS3" s="52">
        <v>0</v>
      </c>
      <c r="AT3" s="52">
        <v>27</v>
      </c>
      <c r="AU3" s="52">
        <v>0</v>
      </c>
      <c r="AV3" s="52">
        <v>0</v>
      </c>
      <c r="AW3" s="53">
        <v>0</v>
      </c>
      <c r="AX3" s="53">
        <v>0</v>
      </c>
      <c r="AY3" s="53">
        <v>0</v>
      </c>
      <c r="AZ3" s="53">
        <v>0</v>
      </c>
      <c r="BA3" s="52">
        <v>0</v>
      </c>
      <c r="BB3" s="52">
        <v>2968</v>
      </c>
      <c r="BC3" s="52">
        <v>0</v>
      </c>
      <c r="BD3" s="52"/>
      <c r="BE3" s="54">
        <v>14</v>
      </c>
      <c r="BF3" s="51">
        <v>0</v>
      </c>
      <c r="BG3" s="52">
        <v>2843</v>
      </c>
      <c r="BH3" s="52">
        <v>0</v>
      </c>
      <c r="BI3" s="52">
        <v>31</v>
      </c>
      <c r="BJ3" s="52">
        <v>0</v>
      </c>
      <c r="BK3" s="52">
        <v>0</v>
      </c>
      <c r="BL3" s="53">
        <v>0</v>
      </c>
      <c r="BM3" s="53">
        <v>0</v>
      </c>
      <c r="BN3" s="53">
        <v>0</v>
      </c>
      <c r="BO3" s="53">
        <v>0</v>
      </c>
      <c r="BP3" s="52">
        <v>0</v>
      </c>
      <c r="BQ3" s="52">
        <v>2507</v>
      </c>
      <c r="BR3" s="52">
        <v>0</v>
      </c>
      <c r="BS3" s="52"/>
      <c r="BT3" s="54">
        <v>14</v>
      </c>
      <c r="BU3" s="51">
        <v>1972</v>
      </c>
      <c r="BV3" s="52">
        <v>3121</v>
      </c>
      <c r="BW3" s="52">
        <v>13</v>
      </c>
      <c r="BX3" s="52">
        <v>28</v>
      </c>
      <c r="BY3" s="52">
        <v>299</v>
      </c>
      <c r="BZ3" s="52">
        <v>66</v>
      </c>
      <c r="CA3" s="53">
        <v>6.6</v>
      </c>
      <c r="CB3" s="53">
        <v>101.9</v>
      </c>
      <c r="CC3" s="53">
        <v>4.53</v>
      </c>
      <c r="CD3" s="53">
        <v>43.2</v>
      </c>
      <c r="CE3" s="52">
        <v>95</v>
      </c>
      <c r="CF3" s="52">
        <v>2689</v>
      </c>
      <c r="CG3" s="52">
        <v>8</v>
      </c>
      <c r="CH3" s="52"/>
      <c r="CI3" s="54">
        <v>25</v>
      </c>
      <c r="CJ3" s="51">
        <v>2185</v>
      </c>
      <c r="CK3" s="52">
        <v>3554</v>
      </c>
      <c r="CL3" s="52">
        <v>16</v>
      </c>
      <c r="CM3" s="52">
        <v>32</v>
      </c>
      <c r="CN3" s="52">
        <v>306</v>
      </c>
      <c r="CO3" s="52">
        <v>67</v>
      </c>
      <c r="CP3" s="53">
        <v>7.1</v>
      </c>
      <c r="CQ3" s="53">
        <v>94</v>
      </c>
      <c r="CR3" s="53">
        <v>4.28</v>
      </c>
      <c r="CS3" s="53">
        <v>43.4</v>
      </c>
      <c r="CT3" s="52">
        <v>60</v>
      </c>
      <c r="CU3" s="52">
        <v>2050</v>
      </c>
      <c r="CV3" s="52">
        <v>2</v>
      </c>
      <c r="CW3" s="52"/>
      <c r="CX3" s="54">
        <v>19</v>
      </c>
      <c r="CY3" s="51">
        <v>2002</v>
      </c>
      <c r="CZ3" s="52">
        <v>3263</v>
      </c>
      <c r="DA3" s="52">
        <v>21</v>
      </c>
      <c r="DB3" s="52">
        <v>38</v>
      </c>
      <c r="DC3" s="52">
        <v>320</v>
      </c>
      <c r="DD3" s="52">
        <v>87</v>
      </c>
      <c r="DE3" s="53">
        <v>6.3</v>
      </c>
      <c r="DF3" s="53">
        <v>104.4</v>
      </c>
      <c r="DG3" s="53">
        <v>3.93</v>
      </c>
      <c r="DH3" s="53">
        <v>39.299999999999997</v>
      </c>
      <c r="DI3" s="52">
        <v>243</v>
      </c>
      <c r="DJ3" s="52">
        <v>2802</v>
      </c>
      <c r="DK3" s="52">
        <v>26</v>
      </c>
      <c r="DL3" s="52"/>
      <c r="DM3" s="54">
        <v>18</v>
      </c>
      <c r="DN3" s="126"/>
      <c r="DO3" s="11">
        <v>1</v>
      </c>
      <c r="DP3" s="42" t="s">
        <v>386</v>
      </c>
      <c r="DQ3" s="7">
        <v>1</v>
      </c>
      <c r="DR3" s="127">
        <v>42247</v>
      </c>
      <c r="DS3" s="127">
        <v>43944</v>
      </c>
    </row>
    <row r="4" spans="1:123" x14ac:dyDescent="0.2">
      <c r="A4" s="33">
        <v>2</v>
      </c>
      <c r="B4" s="34" t="s">
        <v>129</v>
      </c>
      <c r="C4" s="116">
        <v>11.894444444444444</v>
      </c>
      <c r="D4" s="117" t="s">
        <v>445</v>
      </c>
      <c r="E4" s="37">
        <v>2</v>
      </c>
      <c r="F4" s="118">
        <v>36146</v>
      </c>
      <c r="G4" s="119">
        <v>26.797260273972604</v>
      </c>
      <c r="H4" s="39" t="s">
        <v>385</v>
      </c>
      <c r="I4" s="119">
        <v>21.364383561643837</v>
      </c>
      <c r="J4" s="120">
        <v>69</v>
      </c>
      <c r="K4" s="120">
        <v>209</v>
      </c>
      <c r="L4" s="120">
        <v>4.3899999999999997</v>
      </c>
      <c r="M4" s="40">
        <v>2</v>
      </c>
      <c r="N4" s="121">
        <v>0</v>
      </c>
      <c r="O4" s="122">
        <v>0</v>
      </c>
      <c r="P4" s="122">
        <v>0.21668548842461885</v>
      </c>
      <c r="Q4" s="122">
        <v>0.17551347025873568</v>
      </c>
      <c r="R4" s="122">
        <v>0.30327537403962801</v>
      </c>
      <c r="S4" s="42">
        <v>0.30327537403962801</v>
      </c>
      <c r="T4" s="42">
        <v>0.30327537403962801</v>
      </c>
      <c r="U4" s="42">
        <v>5.1568627450980391E-2</v>
      </c>
      <c r="V4" s="42">
        <v>6.704668838219327E-2</v>
      </c>
      <c r="W4" s="42">
        <v>6.704668838219327E-2</v>
      </c>
      <c r="X4" s="43">
        <v>6.704668838219327E-2</v>
      </c>
      <c r="Y4" s="44">
        <v>18.720547945205478</v>
      </c>
      <c r="Z4" s="45">
        <v>112.54292564580592</v>
      </c>
      <c r="AA4" s="45">
        <v>30.860533501365261</v>
      </c>
      <c r="AB4" s="45">
        <v>0.2425249169435216</v>
      </c>
      <c r="AC4" s="45">
        <v>6.7</v>
      </c>
      <c r="AD4" s="45">
        <v>92.9</v>
      </c>
      <c r="AE4" s="45">
        <v>4.25</v>
      </c>
      <c r="AF4" s="45">
        <v>47.5</v>
      </c>
      <c r="AG4" s="128">
        <v>8</v>
      </c>
      <c r="AH4" s="49">
        <v>7</v>
      </c>
      <c r="AI4" s="49">
        <v>9</v>
      </c>
      <c r="AJ4" s="49">
        <v>9</v>
      </c>
      <c r="AK4" s="49">
        <v>6</v>
      </c>
      <c r="AL4" s="49">
        <v>7</v>
      </c>
      <c r="AM4" s="49">
        <v>3</v>
      </c>
      <c r="AN4" s="49">
        <v>6</v>
      </c>
      <c r="AO4" s="49">
        <v>7</v>
      </c>
      <c r="AP4" s="50">
        <v>0.75</v>
      </c>
      <c r="AQ4" s="56">
        <v>0</v>
      </c>
      <c r="AR4" s="57">
        <v>3188</v>
      </c>
      <c r="AS4" s="57">
        <v>0</v>
      </c>
      <c r="AT4" s="57">
        <v>39</v>
      </c>
      <c r="AU4" s="57">
        <v>0</v>
      </c>
      <c r="AV4" s="57">
        <v>0</v>
      </c>
      <c r="AW4" s="58">
        <v>0</v>
      </c>
      <c r="AX4" s="58">
        <v>0</v>
      </c>
      <c r="AY4" s="58">
        <v>0</v>
      </c>
      <c r="AZ4" s="58">
        <v>0</v>
      </c>
      <c r="BA4" s="57">
        <v>0</v>
      </c>
      <c r="BB4" s="57">
        <v>2455</v>
      </c>
      <c r="BC4" s="57">
        <v>0</v>
      </c>
      <c r="BD4" s="57"/>
      <c r="BE4" s="59">
        <v>19</v>
      </c>
      <c r="BF4" s="56">
        <v>0</v>
      </c>
      <c r="BG4" s="57">
        <v>3188</v>
      </c>
      <c r="BH4" s="57">
        <v>0</v>
      </c>
      <c r="BI4" s="57">
        <v>33</v>
      </c>
      <c r="BJ4" s="57">
        <v>0</v>
      </c>
      <c r="BK4" s="57">
        <v>0</v>
      </c>
      <c r="BL4" s="58">
        <v>0</v>
      </c>
      <c r="BM4" s="58">
        <v>0</v>
      </c>
      <c r="BN4" s="58">
        <v>0</v>
      </c>
      <c r="BO4" s="58">
        <v>0</v>
      </c>
      <c r="BP4" s="57">
        <v>0</v>
      </c>
      <c r="BQ4" s="57">
        <v>2781</v>
      </c>
      <c r="BR4" s="57">
        <v>0</v>
      </c>
      <c r="BS4" s="57"/>
      <c r="BT4" s="59">
        <v>26</v>
      </c>
      <c r="BU4" s="56">
        <v>1400</v>
      </c>
      <c r="BV4" s="57">
        <v>3405</v>
      </c>
      <c r="BW4" s="57">
        <v>7</v>
      </c>
      <c r="BX4" s="57">
        <v>34</v>
      </c>
      <c r="BY4" s="57">
        <v>194</v>
      </c>
      <c r="BZ4" s="57">
        <v>31</v>
      </c>
      <c r="CA4" s="58">
        <v>7.2</v>
      </c>
      <c r="CB4" s="58">
        <v>62.9</v>
      </c>
      <c r="CC4" s="58">
        <v>4.25</v>
      </c>
      <c r="CD4" s="58">
        <v>46.4</v>
      </c>
      <c r="CE4" s="57">
        <v>135</v>
      </c>
      <c r="CF4" s="57">
        <v>3679</v>
      </c>
      <c r="CG4" s="57">
        <v>22</v>
      </c>
      <c r="CH4" s="57"/>
      <c r="CI4" s="59">
        <v>39</v>
      </c>
      <c r="CJ4" s="56">
        <v>1053</v>
      </c>
      <c r="CK4" s="57">
        <v>2398</v>
      </c>
      <c r="CL4" s="57">
        <v>10</v>
      </c>
      <c r="CM4" s="57">
        <v>23</v>
      </c>
      <c r="CN4" s="57">
        <v>231</v>
      </c>
      <c r="CO4" s="57">
        <v>38</v>
      </c>
      <c r="CP4" s="58">
        <v>4.5999999999999996</v>
      </c>
      <c r="CQ4" s="58">
        <v>43.9</v>
      </c>
      <c r="CR4" s="58">
        <v>2.68</v>
      </c>
      <c r="CS4" s="58">
        <v>15.4</v>
      </c>
      <c r="CT4" s="57">
        <v>263</v>
      </c>
      <c r="CU4" s="57">
        <v>5100</v>
      </c>
      <c r="CV4" s="57">
        <v>4</v>
      </c>
      <c r="CW4" s="57"/>
      <c r="CX4" s="59">
        <v>51</v>
      </c>
      <c r="CY4" s="56">
        <v>2003</v>
      </c>
      <c r="CZ4" s="57">
        <v>3735</v>
      </c>
      <c r="DA4" s="57">
        <v>21</v>
      </c>
      <c r="DB4" s="57">
        <v>39</v>
      </c>
      <c r="DC4" s="57">
        <v>301</v>
      </c>
      <c r="DD4" s="57">
        <v>73</v>
      </c>
      <c r="DE4" s="58">
        <v>6.7</v>
      </c>
      <c r="DF4" s="58">
        <v>92.9</v>
      </c>
      <c r="DG4" s="58">
        <v>4.01</v>
      </c>
      <c r="DH4" s="58">
        <v>47.5</v>
      </c>
      <c r="DI4" s="57">
        <v>247</v>
      </c>
      <c r="DJ4" s="57">
        <v>3684</v>
      </c>
      <c r="DK4" s="57">
        <v>23</v>
      </c>
      <c r="DL4" s="57"/>
      <c r="DM4" s="59">
        <v>48</v>
      </c>
      <c r="DN4" s="126"/>
      <c r="DO4" s="11">
        <v>2</v>
      </c>
      <c r="DP4" s="42" t="s">
        <v>390</v>
      </c>
      <c r="DQ4" s="7">
        <v>1</v>
      </c>
      <c r="DR4" s="130">
        <v>42613</v>
      </c>
    </row>
    <row r="5" spans="1:123" x14ac:dyDescent="0.2">
      <c r="A5" s="33">
        <v>3</v>
      </c>
      <c r="B5" s="34" t="s">
        <v>130</v>
      </c>
      <c r="C5" s="116">
        <v>10.905555555555557</v>
      </c>
      <c r="D5" s="117" t="s">
        <v>413</v>
      </c>
      <c r="E5" s="37">
        <v>4</v>
      </c>
      <c r="F5" s="118">
        <v>36333</v>
      </c>
      <c r="G5" s="119">
        <v>26.284931506849315</v>
      </c>
      <c r="H5" s="39" t="s">
        <v>385</v>
      </c>
      <c r="I5" s="119">
        <v>20.852054794520548</v>
      </c>
      <c r="J5" s="120">
        <v>70</v>
      </c>
      <c r="K5" s="120">
        <v>217</v>
      </c>
      <c r="L5" s="120">
        <v>4.47</v>
      </c>
      <c r="M5" s="40">
        <v>2</v>
      </c>
      <c r="N5" s="121">
        <v>0</v>
      </c>
      <c r="O5" s="122">
        <v>0</v>
      </c>
      <c r="P5" s="122">
        <v>0.24721311475409835</v>
      </c>
      <c r="Q5" s="122">
        <v>0.19589293954776188</v>
      </c>
      <c r="R5" s="122">
        <v>0.2575357950263753</v>
      </c>
      <c r="S5" s="42">
        <v>0.2575357950263753</v>
      </c>
      <c r="T5" s="42">
        <v>0.23178221552373779</v>
      </c>
      <c r="U5" s="42">
        <v>4.3813637766121565E-2</v>
      </c>
      <c r="V5" s="42">
        <v>6.4673756826674325E-2</v>
      </c>
      <c r="W5" s="42">
        <v>6.4673756826674325E-2</v>
      </c>
      <c r="X5" s="43">
        <v>5.8206381144006891E-2</v>
      </c>
      <c r="Y5" s="44">
        <v>18.208219178082192</v>
      </c>
      <c r="Z5" s="45">
        <v>108.70753224259629</v>
      </c>
      <c r="AA5" s="45">
        <v>31.132857142857141</v>
      </c>
      <c r="AB5" s="45">
        <v>0.32900432900432902</v>
      </c>
      <c r="AC5" s="45">
        <v>4.9000000000000004</v>
      </c>
      <c r="AD5" s="45">
        <v>125.9</v>
      </c>
      <c r="AE5" s="45">
        <v>3.91</v>
      </c>
      <c r="AF5" s="45">
        <v>45.1</v>
      </c>
      <c r="AG5" s="128">
        <v>5</v>
      </c>
      <c r="AH5" s="49">
        <v>6</v>
      </c>
      <c r="AI5" s="49">
        <v>10</v>
      </c>
      <c r="AJ5" s="49">
        <v>9</v>
      </c>
      <c r="AK5" s="49">
        <v>9</v>
      </c>
      <c r="AL5" s="49">
        <v>1</v>
      </c>
      <c r="AM5" s="49">
        <v>6</v>
      </c>
      <c r="AN5" s="49">
        <v>4</v>
      </c>
      <c r="AO5" s="49">
        <v>7</v>
      </c>
      <c r="AP5" s="50">
        <v>0.5</v>
      </c>
      <c r="AQ5" s="56">
        <v>0</v>
      </c>
      <c r="AR5" s="57">
        <v>2187</v>
      </c>
      <c r="AS5" s="57">
        <v>0</v>
      </c>
      <c r="AT5" s="57">
        <v>27</v>
      </c>
      <c r="AU5" s="57">
        <v>0</v>
      </c>
      <c r="AV5" s="57">
        <v>0</v>
      </c>
      <c r="AW5" s="58">
        <v>0</v>
      </c>
      <c r="AX5" s="58">
        <v>0</v>
      </c>
      <c r="AY5" s="58">
        <v>0</v>
      </c>
      <c r="AZ5" s="58">
        <v>0</v>
      </c>
      <c r="BA5" s="57">
        <v>0</v>
      </c>
      <c r="BB5" s="57">
        <v>3325</v>
      </c>
      <c r="BC5" s="57">
        <v>0</v>
      </c>
      <c r="BD5" s="57"/>
      <c r="BE5" s="59">
        <v>22</v>
      </c>
      <c r="BF5" s="56">
        <v>0</v>
      </c>
      <c r="BG5" s="57">
        <v>2630</v>
      </c>
      <c r="BH5" s="57">
        <v>0</v>
      </c>
      <c r="BI5" s="57">
        <v>33</v>
      </c>
      <c r="BJ5" s="57">
        <v>0</v>
      </c>
      <c r="BK5" s="57">
        <v>0</v>
      </c>
      <c r="BL5" s="58">
        <v>0</v>
      </c>
      <c r="BM5" s="58">
        <v>0</v>
      </c>
      <c r="BN5" s="58">
        <v>0</v>
      </c>
      <c r="BO5" s="58">
        <v>0</v>
      </c>
      <c r="BP5" s="57">
        <v>0</v>
      </c>
      <c r="BQ5" s="57">
        <v>3433</v>
      </c>
      <c r="BR5" s="57">
        <v>0</v>
      </c>
      <c r="BS5" s="57"/>
      <c r="BT5" s="59">
        <v>23</v>
      </c>
      <c r="BU5" s="56">
        <v>1015</v>
      </c>
      <c r="BV5" s="57">
        <v>2024</v>
      </c>
      <c r="BW5" s="57">
        <v>7</v>
      </c>
      <c r="BX5" s="57">
        <v>18</v>
      </c>
      <c r="BY5" s="57">
        <v>193</v>
      </c>
      <c r="BZ5" s="57">
        <v>41</v>
      </c>
      <c r="CA5" s="58">
        <v>5.3</v>
      </c>
      <c r="CB5" s="58">
        <v>80.599999999999994</v>
      </c>
      <c r="CC5" s="58">
        <v>3.66</v>
      </c>
      <c r="CD5" s="58">
        <v>38.4</v>
      </c>
      <c r="CE5" s="57">
        <v>116</v>
      </c>
      <c r="CF5" s="57">
        <v>2551</v>
      </c>
      <c r="CG5" s="57">
        <v>16</v>
      </c>
      <c r="CH5" s="57"/>
      <c r="CI5" s="59">
        <v>21</v>
      </c>
      <c r="CJ5" s="56">
        <v>707</v>
      </c>
      <c r="CK5" s="57">
        <v>1093</v>
      </c>
      <c r="CL5" s="57">
        <v>6</v>
      </c>
      <c r="CM5" s="57">
        <v>11</v>
      </c>
      <c r="CN5" s="57">
        <v>162</v>
      </c>
      <c r="CO5" s="57">
        <v>27</v>
      </c>
      <c r="CP5" s="58">
        <v>4.4000000000000004</v>
      </c>
      <c r="CQ5" s="58">
        <v>63.7</v>
      </c>
      <c r="CR5" s="58">
        <v>3.55</v>
      </c>
      <c r="CS5" s="58">
        <v>45.1</v>
      </c>
      <c r="CT5" s="57">
        <v>142</v>
      </c>
      <c r="CU5" s="57">
        <v>3241</v>
      </c>
      <c r="CV5" s="57">
        <v>6</v>
      </c>
      <c r="CW5" s="57"/>
      <c r="CX5" s="59">
        <v>20</v>
      </c>
      <c r="CY5" s="56">
        <v>1142</v>
      </c>
      <c r="CZ5" s="57">
        <v>1829</v>
      </c>
      <c r="DA5" s="57">
        <v>14</v>
      </c>
      <c r="DB5" s="57">
        <v>24</v>
      </c>
      <c r="DC5" s="57">
        <v>231</v>
      </c>
      <c r="DD5" s="57">
        <v>76</v>
      </c>
      <c r="DE5" s="58">
        <v>4.9000000000000004</v>
      </c>
      <c r="DF5" s="58">
        <v>125.9</v>
      </c>
      <c r="DG5" s="58">
        <v>3.91</v>
      </c>
      <c r="DH5" s="58">
        <v>33.299999999999997</v>
      </c>
      <c r="DI5" s="57">
        <v>225</v>
      </c>
      <c r="DJ5" s="57">
        <v>3479</v>
      </c>
      <c r="DK5" s="57">
        <v>30</v>
      </c>
      <c r="DL5" s="57"/>
      <c r="DM5" s="59">
        <v>24</v>
      </c>
      <c r="DN5" s="126"/>
      <c r="DO5" s="5">
        <v>3</v>
      </c>
      <c r="DP5" s="42" t="s">
        <v>393</v>
      </c>
      <c r="DQ5" s="7">
        <v>0.9</v>
      </c>
      <c r="DR5" s="130">
        <v>42979</v>
      </c>
    </row>
    <row r="6" spans="1:123" x14ac:dyDescent="0.2">
      <c r="A6" s="33">
        <v>4</v>
      </c>
      <c r="B6" s="34" t="s">
        <v>229</v>
      </c>
      <c r="C6" s="116">
        <v>10.722222222222221</v>
      </c>
      <c r="D6" s="117" t="s">
        <v>526</v>
      </c>
      <c r="E6" s="37">
        <v>6</v>
      </c>
      <c r="F6" s="118">
        <v>35969</v>
      </c>
      <c r="G6" s="119">
        <v>27.282191780821918</v>
      </c>
      <c r="H6" s="39" t="s">
        <v>389</v>
      </c>
      <c r="I6" s="119">
        <v>21.849315068493151</v>
      </c>
      <c r="J6" s="120">
        <v>72</v>
      </c>
      <c r="K6" s="120">
        <v>228</v>
      </c>
      <c r="L6" s="120">
        <v>4.3899999999999997</v>
      </c>
      <c r="M6" s="40">
        <v>3</v>
      </c>
      <c r="N6" s="121">
        <v>0</v>
      </c>
      <c r="O6" s="122">
        <v>0</v>
      </c>
      <c r="P6" s="122">
        <v>0</v>
      </c>
      <c r="Q6" s="122">
        <v>3.7851271267444087E-2</v>
      </c>
      <c r="R6" s="122">
        <v>0.16255852990546868</v>
      </c>
      <c r="S6" s="42">
        <v>0.16255852990546868</v>
      </c>
      <c r="T6" s="42">
        <v>0.1219188974291015</v>
      </c>
      <c r="U6" s="42">
        <v>8.1414473684210523E-2</v>
      </c>
      <c r="V6" s="42">
        <v>0.17593833780160861</v>
      </c>
      <c r="W6" s="42">
        <v>0.17593833780160861</v>
      </c>
      <c r="X6" s="43">
        <v>0.13195375335120646</v>
      </c>
      <c r="Y6" s="44">
        <v>21.216438356164385</v>
      </c>
      <c r="Z6" s="45">
        <v>122.77410070451556</v>
      </c>
      <c r="AA6" s="45">
        <v>30.918981481481481</v>
      </c>
      <c r="AB6" s="45">
        <v>0.48484848484848486</v>
      </c>
      <c r="AC6" s="45">
        <v>11.181818181818182</v>
      </c>
      <c r="AD6" s="45">
        <v>359.2</v>
      </c>
      <c r="AE6" s="45">
        <v>7.73</v>
      </c>
      <c r="AF6" s="45">
        <v>61.8</v>
      </c>
      <c r="AG6" s="128">
        <v>1</v>
      </c>
      <c r="AH6" s="49">
        <v>10</v>
      </c>
      <c r="AI6" s="49">
        <v>2</v>
      </c>
      <c r="AJ6" s="49">
        <v>10</v>
      </c>
      <c r="AK6" s="49">
        <v>10</v>
      </c>
      <c r="AL6" s="49">
        <v>10</v>
      </c>
      <c r="AM6" s="49">
        <v>10</v>
      </c>
      <c r="AN6" s="49">
        <v>10</v>
      </c>
      <c r="AO6" s="49">
        <v>6</v>
      </c>
      <c r="AP6" s="50">
        <v>0.25</v>
      </c>
      <c r="AQ6" s="56">
        <v>0</v>
      </c>
      <c r="AR6" s="57">
        <v>1</v>
      </c>
      <c r="AS6" s="57"/>
      <c r="AT6" s="57"/>
      <c r="AU6" s="57"/>
      <c r="AV6" s="57"/>
      <c r="AW6" s="58"/>
      <c r="AX6" s="58"/>
      <c r="AY6" s="58"/>
      <c r="AZ6" s="58"/>
      <c r="BA6" s="57">
        <v>0</v>
      </c>
      <c r="BB6" s="57">
        <v>1</v>
      </c>
      <c r="BC6" s="57"/>
      <c r="BD6" s="57"/>
      <c r="BE6" s="59"/>
      <c r="BF6" s="56">
        <v>0</v>
      </c>
      <c r="BG6" s="57">
        <v>1</v>
      </c>
      <c r="BH6" s="57"/>
      <c r="BI6" s="57"/>
      <c r="BJ6" s="57"/>
      <c r="BK6" s="57"/>
      <c r="BL6" s="58"/>
      <c r="BM6" s="58"/>
      <c r="BN6" s="58"/>
      <c r="BO6" s="58"/>
      <c r="BP6" s="57">
        <v>0</v>
      </c>
      <c r="BQ6" s="57">
        <v>1</v>
      </c>
      <c r="BR6" s="57"/>
      <c r="BS6" s="57"/>
      <c r="BT6" s="59"/>
      <c r="BU6" s="56">
        <v>0</v>
      </c>
      <c r="BV6" s="57">
        <v>1</v>
      </c>
      <c r="BW6" s="57"/>
      <c r="BX6" s="57"/>
      <c r="BY6" s="57"/>
      <c r="BZ6" s="57"/>
      <c r="CA6" s="58"/>
      <c r="CB6" s="58"/>
      <c r="CC6" s="58"/>
      <c r="CD6" s="58"/>
      <c r="CE6" s="57">
        <v>0</v>
      </c>
      <c r="CF6" s="57">
        <v>1</v>
      </c>
      <c r="CG6" s="57"/>
      <c r="CH6" s="57"/>
      <c r="CI6" s="59"/>
      <c r="CJ6" s="56">
        <v>0</v>
      </c>
      <c r="CK6" s="57">
        <v>1399.5</v>
      </c>
      <c r="CL6" s="57">
        <v>0</v>
      </c>
      <c r="CM6" s="57">
        <v>17</v>
      </c>
      <c r="CN6" s="57"/>
      <c r="CO6" s="57"/>
      <c r="CP6" s="58"/>
      <c r="CQ6" s="58"/>
      <c r="CR6" s="58"/>
      <c r="CS6" s="58"/>
      <c r="CT6" s="57">
        <v>99</v>
      </c>
      <c r="CU6" s="57">
        <v>1216</v>
      </c>
      <c r="CV6" s="57">
        <v>6</v>
      </c>
      <c r="CW6" s="57"/>
      <c r="CX6" s="59">
        <v>10</v>
      </c>
      <c r="CY6" s="56">
        <v>369</v>
      </c>
      <c r="CZ6" s="57">
        <v>2613.7999999999997</v>
      </c>
      <c r="DA6" s="57">
        <v>4</v>
      </c>
      <c r="DB6" s="57">
        <v>32.199999999999996</v>
      </c>
      <c r="DC6" s="57">
        <v>33</v>
      </c>
      <c r="DD6" s="57">
        <v>16</v>
      </c>
      <c r="DE6" s="58">
        <v>11.181818181818182</v>
      </c>
      <c r="DF6" s="58">
        <v>359.2</v>
      </c>
      <c r="DG6" s="58">
        <v>7.73</v>
      </c>
      <c r="DH6" s="58">
        <v>61.8</v>
      </c>
      <c r="DI6" s="57">
        <v>735</v>
      </c>
      <c r="DJ6" s="57">
        <v>4177.5999999999995</v>
      </c>
      <c r="DK6" s="57">
        <v>38</v>
      </c>
      <c r="DL6" s="57"/>
      <c r="DM6" s="59">
        <v>33.6</v>
      </c>
      <c r="DN6" s="126"/>
      <c r="DO6" s="5">
        <v>4</v>
      </c>
      <c r="DP6" s="42" t="s">
        <v>396</v>
      </c>
      <c r="DQ6" s="7">
        <v>0.9</v>
      </c>
      <c r="DR6" s="130">
        <v>43343</v>
      </c>
    </row>
    <row r="7" spans="1:123" x14ac:dyDescent="0.2">
      <c r="A7" s="33">
        <v>5</v>
      </c>
      <c r="B7" s="34" t="s">
        <v>127</v>
      </c>
      <c r="C7" s="116">
        <v>10.68888888888889</v>
      </c>
      <c r="D7" s="117" t="s">
        <v>384</v>
      </c>
      <c r="E7" s="37">
        <v>1</v>
      </c>
      <c r="F7" s="118">
        <v>36174</v>
      </c>
      <c r="G7" s="119">
        <v>26.720547945205478</v>
      </c>
      <c r="H7" s="39" t="s">
        <v>385</v>
      </c>
      <c r="I7" s="119">
        <v>21.287671232876711</v>
      </c>
      <c r="J7" s="120">
        <v>68</v>
      </c>
      <c r="K7" s="120">
        <v>212</v>
      </c>
      <c r="L7" s="120">
        <v>4.4800000000000004</v>
      </c>
      <c r="M7" s="40">
        <v>2</v>
      </c>
      <c r="N7" s="121">
        <v>0</v>
      </c>
      <c r="O7" s="122">
        <v>0</v>
      </c>
      <c r="P7" s="122">
        <v>0.11747587685709909</v>
      </c>
      <c r="Q7" s="122">
        <v>0.20682237246465887</v>
      </c>
      <c r="R7" s="122">
        <v>0.25135655522492562</v>
      </c>
      <c r="S7" s="42">
        <v>0.25135655522492562</v>
      </c>
      <c r="T7" s="42">
        <v>0.25135655522492562</v>
      </c>
      <c r="U7" s="42">
        <v>9.3838862559241704E-2</v>
      </c>
      <c r="V7" s="42">
        <v>6.9186418962203719E-2</v>
      </c>
      <c r="W7" s="42">
        <v>8.1512640760722704E-2</v>
      </c>
      <c r="X7" s="43">
        <v>8.1512640760722704E-2</v>
      </c>
      <c r="Y7" s="44">
        <v>19.641095890410959</v>
      </c>
      <c r="Z7" s="45">
        <v>105.25768173580016</v>
      </c>
      <c r="AA7" s="45">
        <v>32.23096885813149</v>
      </c>
      <c r="AB7" s="45">
        <v>0.22699386503067484</v>
      </c>
      <c r="AC7" s="45">
        <v>6.4</v>
      </c>
      <c r="AD7" s="45">
        <v>89.8</v>
      </c>
      <c r="AE7" s="45">
        <v>3.89</v>
      </c>
      <c r="AF7" s="45">
        <v>46.5</v>
      </c>
      <c r="AG7" s="128">
        <v>6</v>
      </c>
      <c r="AH7" s="49">
        <v>8</v>
      </c>
      <c r="AI7" s="49">
        <v>6</v>
      </c>
      <c r="AJ7" s="49">
        <v>7</v>
      </c>
      <c r="AK7" s="49">
        <v>5</v>
      </c>
      <c r="AL7" s="49">
        <v>6</v>
      </c>
      <c r="AM7" s="49">
        <v>3</v>
      </c>
      <c r="AN7" s="49">
        <v>4</v>
      </c>
      <c r="AO7" s="49">
        <v>7</v>
      </c>
      <c r="AP7" s="50">
        <v>1</v>
      </c>
      <c r="AQ7" s="56">
        <v>0</v>
      </c>
      <c r="AR7" s="57">
        <v>2498</v>
      </c>
      <c r="AS7" s="57">
        <v>0</v>
      </c>
      <c r="AT7" s="57">
        <v>22</v>
      </c>
      <c r="AU7" s="57">
        <v>0</v>
      </c>
      <c r="AV7" s="57">
        <v>0</v>
      </c>
      <c r="AW7" s="58">
        <v>0</v>
      </c>
      <c r="AX7" s="58">
        <v>0</v>
      </c>
      <c r="AY7" s="58">
        <v>0</v>
      </c>
      <c r="AZ7" s="58">
        <v>0</v>
      </c>
      <c r="BA7" s="57">
        <v>0</v>
      </c>
      <c r="BB7" s="57">
        <v>2406</v>
      </c>
      <c r="BC7" s="57">
        <v>0</v>
      </c>
      <c r="BD7" s="57"/>
      <c r="BE7" s="59">
        <v>14</v>
      </c>
      <c r="BF7" s="56">
        <v>0</v>
      </c>
      <c r="BG7" s="57">
        <v>2486</v>
      </c>
      <c r="BH7" s="57">
        <v>0</v>
      </c>
      <c r="BI7" s="57">
        <v>18</v>
      </c>
      <c r="BJ7" s="57">
        <v>0</v>
      </c>
      <c r="BK7" s="57">
        <v>0</v>
      </c>
      <c r="BL7" s="58">
        <v>0</v>
      </c>
      <c r="BM7" s="58">
        <v>0</v>
      </c>
      <c r="BN7" s="58">
        <v>0</v>
      </c>
      <c r="BO7" s="58">
        <v>0</v>
      </c>
      <c r="BP7" s="57">
        <v>0</v>
      </c>
      <c r="BQ7" s="57">
        <v>2515</v>
      </c>
      <c r="BR7" s="57">
        <v>0</v>
      </c>
      <c r="BS7" s="57"/>
      <c r="BT7" s="59">
        <v>16</v>
      </c>
      <c r="BU7" s="56">
        <v>614</v>
      </c>
      <c r="BV7" s="57">
        <v>3876</v>
      </c>
      <c r="BW7" s="57">
        <v>3</v>
      </c>
      <c r="BX7" s="57">
        <v>42</v>
      </c>
      <c r="BY7" s="57">
        <v>81</v>
      </c>
      <c r="BZ7" s="57">
        <v>16</v>
      </c>
      <c r="CA7" s="58">
        <v>7.6</v>
      </c>
      <c r="CB7" s="58">
        <v>102.6</v>
      </c>
      <c r="CC7" s="58">
        <v>4.37</v>
      </c>
      <c r="CD7" s="58">
        <v>53.6</v>
      </c>
      <c r="CE7" s="57">
        <v>153</v>
      </c>
      <c r="CF7" s="57">
        <v>2653</v>
      </c>
      <c r="CG7" s="57">
        <v>17</v>
      </c>
      <c r="CH7" s="57"/>
      <c r="CI7" s="59">
        <v>24</v>
      </c>
      <c r="CJ7" s="56">
        <v>1049</v>
      </c>
      <c r="CK7" s="57">
        <v>3343</v>
      </c>
      <c r="CL7" s="57">
        <v>10</v>
      </c>
      <c r="CM7" s="57">
        <v>30</v>
      </c>
      <c r="CN7" s="57">
        <v>163</v>
      </c>
      <c r="CO7" s="57">
        <v>37</v>
      </c>
      <c r="CP7" s="58">
        <v>6.4</v>
      </c>
      <c r="CQ7" s="58">
        <v>89.8</v>
      </c>
      <c r="CR7" s="58">
        <v>3.89</v>
      </c>
      <c r="CS7" s="58">
        <v>46.5</v>
      </c>
      <c r="CT7" s="57">
        <v>297</v>
      </c>
      <c r="CU7" s="57">
        <v>3165</v>
      </c>
      <c r="CV7" s="57">
        <v>8</v>
      </c>
      <c r="CW7" s="57"/>
      <c r="CX7" s="59">
        <v>34</v>
      </c>
      <c r="CY7" s="56">
        <v>1220</v>
      </c>
      <c r="CZ7" s="57">
        <v>2591</v>
      </c>
      <c r="DA7" s="57">
        <v>7</v>
      </c>
      <c r="DB7" s="57">
        <v>21</v>
      </c>
      <c r="DC7" s="57">
        <v>197</v>
      </c>
      <c r="DD7" s="57">
        <v>40</v>
      </c>
      <c r="DE7" s="58">
        <v>6.2</v>
      </c>
      <c r="DF7" s="58">
        <v>70.7</v>
      </c>
      <c r="DG7" s="58">
        <v>3.55</v>
      </c>
      <c r="DH7" s="58">
        <v>37.5</v>
      </c>
      <c r="DI7" s="57">
        <v>216</v>
      </c>
      <c r="DJ7" s="57">
        <v>3122</v>
      </c>
      <c r="DK7" s="57">
        <v>24</v>
      </c>
      <c r="DL7" s="57"/>
      <c r="DM7" s="59">
        <v>26</v>
      </c>
      <c r="DN7" s="126"/>
      <c r="DO7" s="5">
        <v>5</v>
      </c>
      <c r="DP7" s="42" t="s">
        <v>399</v>
      </c>
      <c r="DQ7" s="7">
        <v>0.85</v>
      </c>
      <c r="DR7" s="130">
        <v>43713</v>
      </c>
    </row>
    <row r="8" spans="1:123" x14ac:dyDescent="0.2">
      <c r="A8" s="33">
        <v>6</v>
      </c>
      <c r="B8" s="34" t="s">
        <v>128</v>
      </c>
      <c r="C8" s="116">
        <v>10.316666666666666</v>
      </c>
      <c r="D8" s="117" t="s">
        <v>432</v>
      </c>
      <c r="E8" s="37">
        <v>1</v>
      </c>
      <c r="F8" s="118">
        <v>36261</v>
      </c>
      <c r="G8" s="119">
        <v>26.482191780821918</v>
      </c>
      <c r="H8" s="39" t="s">
        <v>385</v>
      </c>
      <c r="I8" s="119">
        <v>21.049315068493151</v>
      </c>
      <c r="J8" s="120">
        <v>67</v>
      </c>
      <c r="K8" s="120">
        <v>207</v>
      </c>
      <c r="L8" s="120">
        <v>4.5999999999999996</v>
      </c>
      <c r="M8" s="40">
        <v>1</v>
      </c>
      <c r="N8" s="121">
        <v>0</v>
      </c>
      <c r="O8" s="122">
        <v>0</v>
      </c>
      <c r="P8" s="122">
        <v>1.440868263473054E-2</v>
      </c>
      <c r="Q8" s="122">
        <v>0.14405969007078631</v>
      </c>
      <c r="R8" s="122">
        <v>0.21956368754398312</v>
      </c>
      <c r="S8" s="42">
        <v>0.21956368754398312</v>
      </c>
      <c r="T8" s="42">
        <v>0.21956368754398312</v>
      </c>
      <c r="U8" s="42">
        <v>3.164983164983165E-2</v>
      </c>
      <c r="V8" s="42">
        <v>7.5199203187250999E-2</v>
      </c>
      <c r="W8" s="42">
        <v>7.5199203187250999E-2</v>
      </c>
      <c r="X8" s="43">
        <v>7.5199203187250999E-2</v>
      </c>
      <c r="Y8" s="44">
        <v>20.416438356164385</v>
      </c>
      <c r="Z8" s="45">
        <v>92.463220185748369</v>
      </c>
      <c r="AA8" s="45">
        <v>32.417242147471597</v>
      </c>
      <c r="AB8" s="45">
        <v>0.33177570093457942</v>
      </c>
      <c r="AC8" s="45">
        <v>6.6</v>
      </c>
      <c r="AD8" s="45">
        <v>115.5</v>
      </c>
      <c r="AE8" s="45">
        <v>3.65</v>
      </c>
      <c r="AF8" s="45">
        <v>44.7</v>
      </c>
      <c r="AG8" s="128">
        <v>4</v>
      </c>
      <c r="AH8" s="49">
        <v>8</v>
      </c>
      <c r="AI8" s="49">
        <v>4</v>
      </c>
      <c r="AJ8" s="49">
        <v>2</v>
      </c>
      <c r="AK8" s="49">
        <v>9</v>
      </c>
      <c r="AL8" s="49">
        <v>6</v>
      </c>
      <c r="AM8" s="49">
        <v>5</v>
      </c>
      <c r="AN8" s="49">
        <v>2</v>
      </c>
      <c r="AO8" s="49">
        <v>10</v>
      </c>
      <c r="AP8" s="50">
        <v>0.25</v>
      </c>
      <c r="AQ8" s="56">
        <v>0</v>
      </c>
      <c r="AR8" s="57">
        <v>3082</v>
      </c>
      <c r="AS8" s="57">
        <v>0</v>
      </c>
      <c r="AT8" s="57">
        <v>36</v>
      </c>
      <c r="AU8" s="57">
        <v>0</v>
      </c>
      <c r="AV8" s="57">
        <v>0</v>
      </c>
      <c r="AW8" s="58">
        <v>0</v>
      </c>
      <c r="AX8" s="58">
        <v>0</v>
      </c>
      <c r="AY8" s="58">
        <v>0</v>
      </c>
      <c r="AZ8" s="58">
        <v>0</v>
      </c>
      <c r="BA8" s="57">
        <v>0</v>
      </c>
      <c r="BB8" s="57">
        <v>2165</v>
      </c>
      <c r="BC8" s="57">
        <v>0</v>
      </c>
      <c r="BD8" s="57"/>
      <c r="BE8" s="59">
        <v>13</v>
      </c>
      <c r="BF8" s="56">
        <v>0</v>
      </c>
      <c r="BG8" s="57">
        <v>2796</v>
      </c>
      <c r="BH8" s="57">
        <v>0</v>
      </c>
      <c r="BI8" s="57">
        <v>30</v>
      </c>
      <c r="BJ8" s="57">
        <v>0</v>
      </c>
      <c r="BK8" s="57">
        <v>0</v>
      </c>
      <c r="BL8" s="58">
        <v>0</v>
      </c>
      <c r="BM8" s="58">
        <v>0</v>
      </c>
      <c r="BN8" s="58">
        <v>0</v>
      </c>
      <c r="BO8" s="58">
        <v>0</v>
      </c>
      <c r="BP8" s="57">
        <v>0</v>
      </c>
      <c r="BQ8" s="57">
        <v>2281</v>
      </c>
      <c r="BR8" s="57">
        <v>0</v>
      </c>
      <c r="BS8" s="57"/>
      <c r="BT8" s="59">
        <v>12</v>
      </c>
      <c r="BU8" s="56">
        <v>31</v>
      </c>
      <c r="BV8" s="57">
        <v>2699</v>
      </c>
      <c r="BW8" s="57">
        <v>0</v>
      </c>
      <c r="BX8" s="57">
        <v>25</v>
      </c>
      <c r="BY8" s="57">
        <v>9</v>
      </c>
      <c r="BZ8" s="57">
        <v>3</v>
      </c>
      <c r="CA8" s="58">
        <v>3.4</v>
      </c>
      <c r="CB8" s="58">
        <v>100</v>
      </c>
      <c r="CC8" s="58">
        <v>2</v>
      </c>
      <c r="CD8" s="58">
        <v>0</v>
      </c>
      <c r="CE8" s="57">
        <v>46</v>
      </c>
      <c r="CF8" s="57">
        <v>2645</v>
      </c>
      <c r="CG8" s="57">
        <v>3</v>
      </c>
      <c r="CH8" s="57"/>
      <c r="CI8" s="59">
        <v>17</v>
      </c>
      <c r="CJ8" s="56">
        <v>659</v>
      </c>
      <c r="CK8" s="57">
        <v>2257</v>
      </c>
      <c r="CL8" s="57">
        <v>7</v>
      </c>
      <c r="CM8" s="57">
        <v>29</v>
      </c>
      <c r="CN8" s="57">
        <v>147</v>
      </c>
      <c r="CO8" s="57">
        <v>33</v>
      </c>
      <c r="CP8" s="58">
        <v>4.5</v>
      </c>
      <c r="CQ8" s="58">
        <v>74.2</v>
      </c>
      <c r="CR8" s="58">
        <v>3.24</v>
      </c>
      <c r="CS8" s="58">
        <v>33.799999999999997</v>
      </c>
      <c r="CT8" s="57">
        <v>94</v>
      </c>
      <c r="CU8" s="57">
        <v>2970</v>
      </c>
      <c r="CV8" s="57">
        <v>3</v>
      </c>
      <c r="CW8" s="57"/>
      <c r="CX8" s="59">
        <v>17</v>
      </c>
      <c r="CY8" s="56">
        <v>1419</v>
      </c>
      <c r="CZ8" s="57">
        <v>2502</v>
      </c>
      <c r="DA8" s="57">
        <v>16</v>
      </c>
      <c r="DB8" s="57">
        <v>32</v>
      </c>
      <c r="DC8" s="57">
        <v>214</v>
      </c>
      <c r="DD8" s="57">
        <v>71</v>
      </c>
      <c r="DE8" s="58">
        <v>6.6</v>
      </c>
      <c r="DF8" s="58">
        <v>115.5</v>
      </c>
      <c r="DG8" s="58">
        <v>3.65</v>
      </c>
      <c r="DH8" s="58">
        <v>44.7</v>
      </c>
      <c r="DI8" s="57">
        <v>453</v>
      </c>
      <c r="DJ8" s="57">
        <v>6024</v>
      </c>
      <c r="DK8" s="57">
        <v>55</v>
      </c>
      <c r="DL8" s="57"/>
      <c r="DM8" s="59">
        <v>61</v>
      </c>
      <c r="DN8" s="126"/>
      <c r="DO8" s="5">
        <v>6</v>
      </c>
      <c r="DP8" s="42" t="s">
        <v>402</v>
      </c>
      <c r="DQ8" s="7">
        <v>0.75</v>
      </c>
      <c r="DR8" s="130"/>
    </row>
    <row r="9" spans="1:123" x14ac:dyDescent="0.2">
      <c r="A9" s="33">
        <v>7</v>
      </c>
      <c r="B9" s="34" t="s">
        <v>133</v>
      </c>
      <c r="C9" s="116">
        <v>10.072222222222221</v>
      </c>
      <c r="D9" s="117" t="s">
        <v>534</v>
      </c>
      <c r="E9" s="37">
        <v>1</v>
      </c>
      <c r="F9" s="118">
        <v>35554</v>
      </c>
      <c r="G9" s="119">
        <v>28.419178082191781</v>
      </c>
      <c r="H9" s="39" t="s">
        <v>469</v>
      </c>
      <c r="I9" s="119">
        <v>22.986301369863014</v>
      </c>
      <c r="J9" s="120">
        <v>69</v>
      </c>
      <c r="K9" s="120">
        <v>214</v>
      </c>
      <c r="L9" s="120">
        <v>4.51</v>
      </c>
      <c r="M9" s="40">
        <v>3</v>
      </c>
      <c r="N9" s="121">
        <v>0.17542390621729118</v>
      </c>
      <c r="O9" s="122">
        <v>9.213323883770376E-2</v>
      </c>
      <c r="P9" s="122">
        <v>0</v>
      </c>
      <c r="Q9" s="122">
        <v>0.26412270856715303</v>
      </c>
      <c r="R9" s="122">
        <v>0.36910112359550562</v>
      </c>
      <c r="S9" s="42">
        <v>0.36910112359550562</v>
      </c>
      <c r="T9" s="42">
        <v>0.36910112359550562</v>
      </c>
      <c r="U9" s="42">
        <v>5.3030303030303032E-2</v>
      </c>
      <c r="V9" s="42">
        <v>0.13856589147286821</v>
      </c>
      <c r="W9" s="42">
        <v>0.13856589147286821</v>
      </c>
      <c r="X9" s="43">
        <v>0.13856589147286821</v>
      </c>
      <c r="Y9" s="44">
        <v>18.336986301369862</v>
      </c>
      <c r="Z9" s="45">
        <v>103.45169279930266</v>
      </c>
      <c r="AA9" s="45">
        <v>31.598823776517538</v>
      </c>
      <c r="AB9" s="45">
        <v>0.28025477707006369</v>
      </c>
      <c r="AC9" s="45">
        <v>5.2</v>
      </c>
      <c r="AD9" s="45">
        <v>103.2</v>
      </c>
      <c r="AE9" s="45">
        <v>3.73</v>
      </c>
      <c r="AF9" s="45">
        <v>60.1</v>
      </c>
      <c r="AG9" s="128">
        <v>10</v>
      </c>
      <c r="AH9" s="49">
        <v>10</v>
      </c>
      <c r="AI9" s="49">
        <v>10</v>
      </c>
      <c r="AJ9" s="49">
        <v>7</v>
      </c>
      <c r="AK9" s="49">
        <v>8</v>
      </c>
      <c r="AL9" s="49">
        <v>1</v>
      </c>
      <c r="AM9" s="49">
        <v>4</v>
      </c>
      <c r="AN9" s="49">
        <v>3</v>
      </c>
      <c r="AO9" s="49">
        <v>6</v>
      </c>
      <c r="AP9" s="50">
        <v>0</v>
      </c>
      <c r="AQ9" s="56">
        <v>718</v>
      </c>
      <c r="AR9" s="57">
        <v>1856</v>
      </c>
      <c r="AS9" s="57">
        <v>6</v>
      </c>
      <c r="AT9" s="57">
        <v>9</v>
      </c>
      <c r="AU9" s="57">
        <v>157</v>
      </c>
      <c r="AV9" s="57">
        <v>28</v>
      </c>
      <c r="AW9" s="58">
        <v>4.5999999999999996</v>
      </c>
      <c r="AX9" s="58">
        <v>55.6</v>
      </c>
      <c r="AY9" s="58">
        <v>3.01</v>
      </c>
      <c r="AZ9" s="58">
        <v>41.9</v>
      </c>
      <c r="BA9" s="57">
        <v>120</v>
      </c>
      <c r="BB9" s="57">
        <v>2921</v>
      </c>
      <c r="BC9" s="57">
        <v>16</v>
      </c>
      <c r="BD9" s="57"/>
      <c r="BE9" s="59">
        <v>16</v>
      </c>
      <c r="BF9" s="56">
        <v>301</v>
      </c>
      <c r="BG9" s="57">
        <v>2138</v>
      </c>
      <c r="BH9" s="57">
        <v>3</v>
      </c>
      <c r="BI9" s="57">
        <v>26</v>
      </c>
      <c r="BJ9" s="57">
        <v>60</v>
      </c>
      <c r="BK9" s="57">
        <v>10</v>
      </c>
      <c r="BL9" s="58">
        <v>5</v>
      </c>
      <c r="BM9" s="58">
        <v>47.5</v>
      </c>
      <c r="BN9" s="58">
        <v>2.73</v>
      </c>
      <c r="BO9" s="58">
        <v>55.5</v>
      </c>
      <c r="BP9" s="57">
        <v>89</v>
      </c>
      <c r="BQ9" s="57">
        <v>2095</v>
      </c>
      <c r="BR9" s="57">
        <v>9</v>
      </c>
      <c r="BS9" s="57"/>
      <c r="BT9" s="59">
        <v>13</v>
      </c>
      <c r="BU9" s="56">
        <v>0</v>
      </c>
      <c r="BV9" s="57">
        <v>1286</v>
      </c>
      <c r="BW9" s="57">
        <v>0</v>
      </c>
      <c r="BX9" s="57">
        <v>14</v>
      </c>
      <c r="BY9" s="57">
        <v>0</v>
      </c>
      <c r="BZ9" s="57">
        <v>0</v>
      </c>
      <c r="CA9" s="58">
        <v>0</v>
      </c>
      <c r="CB9" s="58">
        <v>0</v>
      </c>
      <c r="CC9" s="58">
        <v>0</v>
      </c>
      <c r="CD9" s="58">
        <v>0</v>
      </c>
      <c r="CE9" s="57">
        <v>0</v>
      </c>
      <c r="CF9" s="57">
        <v>2098</v>
      </c>
      <c r="CG9" s="57">
        <v>0</v>
      </c>
      <c r="CH9" s="57"/>
      <c r="CI9" s="59">
        <v>8</v>
      </c>
      <c r="CJ9" s="56">
        <v>1244</v>
      </c>
      <c r="CK9" s="57">
        <v>2178</v>
      </c>
      <c r="CL9" s="57">
        <v>12</v>
      </c>
      <c r="CM9" s="57">
        <v>22</v>
      </c>
      <c r="CN9" s="57">
        <v>157</v>
      </c>
      <c r="CO9" s="57">
        <v>44</v>
      </c>
      <c r="CP9" s="58">
        <v>7.9</v>
      </c>
      <c r="CQ9" s="58">
        <v>140.6</v>
      </c>
      <c r="CR9" s="58">
        <v>5.28</v>
      </c>
      <c r="CS9" s="58">
        <v>60.1</v>
      </c>
      <c r="CT9" s="57">
        <v>168</v>
      </c>
      <c r="CU9" s="57">
        <v>3168</v>
      </c>
      <c r="CV9" s="57">
        <v>1</v>
      </c>
      <c r="CW9" s="57"/>
      <c r="CX9" s="59">
        <v>24</v>
      </c>
      <c r="CY9" s="56">
        <v>1028</v>
      </c>
      <c r="CZ9" s="57">
        <v>1496</v>
      </c>
      <c r="DA9" s="57">
        <v>9</v>
      </c>
      <c r="DB9" s="57">
        <v>11</v>
      </c>
      <c r="DC9" s="57">
        <v>199</v>
      </c>
      <c r="DD9" s="57">
        <v>55</v>
      </c>
      <c r="DE9" s="58">
        <v>5.2</v>
      </c>
      <c r="DF9" s="58">
        <v>103.2</v>
      </c>
      <c r="DG9" s="58">
        <v>3.73</v>
      </c>
      <c r="DH9" s="58">
        <v>39</v>
      </c>
      <c r="DI9" s="57">
        <v>286</v>
      </c>
      <c r="DJ9" s="57">
        <v>2064</v>
      </c>
      <c r="DK9" s="57">
        <v>29</v>
      </c>
      <c r="DL9" s="57"/>
      <c r="DM9" s="59">
        <v>10</v>
      </c>
      <c r="DN9" s="126"/>
      <c r="DO9" s="5">
        <v>7</v>
      </c>
      <c r="DP9" s="42" t="s">
        <v>405</v>
      </c>
      <c r="DQ9" s="7">
        <v>0.75</v>
      </c>
    </row>
    <row r="10" spans="1:123" x14ac:dyDescent="0.2">
      <c r="A10" s="33">
        <v>8</v>
      </c>
      <c r="B10" s="34" t="s">
        <v>234</v>
      </c>
      <c r="C10" s="116">
        <v>10.038888888888888</v>
      </c>
      <c r="D10" s="117" t="s">
        <v>535</v>
      </c>
      <c r="E10" s="37">
        <v>4</v>
      </c>
      <c r="F10" s="118">
        <v>35917</v>
      </c>
      <c r="G10" s="119">
        <v>27.424657534246574</v>
      </c>
      <c r="H10" s="39" t="s">
        <v>385</v>
      </c>
      <c r="I10" s="119">
        <v>21.991780821917807</v>
      </c>
      <c r="J10" s="120">
        <v>72</v>
      </c>
      <c r="K10" s="120">
        <v>247</v>
      </c>
      <c r="L10" s="120">
        <v>4.53</v>
      </c>
      <c r="M10" s="40">
        <v>2</v>
      </c>
      <c r="N10" s="121">
        <v>0</v>
      </c>
      <c r="O10" s="122">
        <v>0</v>
      </c>
      <c r="P10" s="122">
        <v>0.31549742370194211</v>
      </c>
      <c r="Q10" s="122">
        <v>0.21506386175807662</v>
      </c>
      <c r="R10" s="122">
        <v>0.37166405023547883</v>
      </c>
      <c r="S10" s="42">
        <v>0.37166405023547883</v>
      </c>
      <c r="T10" s="42">
        <v>0.33449764521193093</v>
      </c>
      <c r="U10" s="42">
        <v>1.24355474673946E-2</v>
      </c>
      <c r="V10" s="42">
        <v>5.8876811594202896E-2</v>
      </c>
      <c r="W10" s="42">
        <v>5.8876811594202896E-2</v>
      </c>
      <c r="X10" s="43">
        <v>5.2989130434782608E-2</v>
      </c>
      <c r="Y10" s="44">
        <v>19.347945205479451</v>
      </c>
      <c r="Z10" s="45">
        <v>117.30975853856673</v>
      </c>
      <c r="AA10" s="45">
        <v>33.495563271604944</v>
      </c>
      <c r="AB10" s="45">
        <v>0.25552050473186122</v>
      </c>
      <c r="AC10" s="45">
        <v>5.4</v>
      </c>
      <c r="AD10" s="45">
        <v>88.6</v>
      </c>
      <c r="AE10" s="45">
        <v>3.88</v>
      </c>
      <c r="AF10" s="45">
        <v>40.6</v>
      </c>
      <c r="AG10" s="128">
        <v>9</v>
      </c>
      <c r="AH10" s="49">
        <v>5</v>
      </c>
      <c r="AI10" s="49">
        <v>7</v>
      </c>
      <c r="AJ10" s="49">
        <v>10</v>
      </c>
      <c r="AK10" s="49">
        <v>6</v>
      </c>
      <c r="AL10" s="49">
        <v>2</v>
      </c>
      <c r="AM10" s="49">
        <v>3</v>
      </c>
      <c r="AN10" s="49">
        <v>4</v>
      </c>
      <c r="AO10" s="49">
        <v>7</v>
      </c>
      <c r="AP10" s="50">
        <v>0</v>
      </c>
      <c r="AQ10" s="56">
        <v>0</v>
      </c>
      <c r="AR10" s="57">
        <v>2096</v>
      </c>
      <c r="AS10" s="57">
        <v>0</v>
      </c>
      <c r="AT10" s="57">
        <v>25</v>
      </c>
      <c r="AU10" s="57">
        <v>0</v>
      </c>
      <c r="AV10" s="57">
        <v>0</v>
      </c>
      <c r="AW10" s="58">
        <v>0</v>
      </c>
      <c r="AX10" s="58">
        <v>0</v>
      </c>
      <c r="AY10" s="58">
        <v>0</v>
      </c>
      <c r="AZ10" s="58">
        <v>0</v>
      </c>
      <c r="BA10" s="57">
        <v>0</v>
      </c>
      <c r="BB10" s="57">
        <v>3038</v>
      </c>
      <c r="BC10" s="57">
        <v>0</v>
      </c>
      <c r="BD10" s="57"/>
      <c r="BE10" s="59">
        <v>20</v>
      </c>
      <c r="BF10" s="56">
        <v>0</v>
      </c>
      <c r="BG10" s="57">
        <v>2466</v>
      </c>
      <c r="BH10" s="57">
        <v>0</v>
      </c>
      <c r="BI10" s="57">
        <v>31</v>
      </c>
      <c r="BJ10" s="57">
        <v>0</v>
      </c>
      <c r="BK10" s="57">
        <v>0</v>
      </c>
      <c r="BL10" s="58">
        <v>0</v>
      </c>
      <c r="BM10" s="58">
        <v>0</v>
      </c>
      <c r="BN10" s="58">
        <v>0</v>
      </c>
      <c r="BO10" s="58">
        <v>0</v>
      </c>
      <c r="BP10" s="57">
        <v>0</v>
      </c>
      <c r="BQ10" s="57">
        <v>3324</v>
      </c>
      <c r="BR10" s="57">
        <v>0</v>
      </c>
      <c r="BS10" s="57"/>
      <c r="BT10" s="59">
        <v>22</v>
      </c>
      <c r="BU10" s="56">
        <v>1592</v>
      </c>
      <c r="BV10" s="57">
        <v>1773</v>
      </c>
      <c r="BW10" s="57">
        <v>14</v>
      </c>
      <c r="BX10" s="57">
        <v>15</v>
      </c>
      <c r="BY10" s="57">
        <v>299</v>
      </c>
      <c r="BZ10" s="57">
        <v>64</v>
      </c>
      <c r="CA10" s="58">
        <v>5.3</v>
      </c>
      <c r="CB10" s="58">
        <v>83</v>
      </c>
      <c r="CC10" s="58">
        <v>3.88</v>
      </c>
      <c r="CD10" s="58">
        <v>40.6</v>
      </c>
      <c r="CE10" s="57">
        <v>0</v>
      </c>
      <c r="CF10" s="57">
        <v>3273</v>
      </c>
      <c r="CG10" s="57">
        <v>0</v>
      </c>
      <c r="CH10" s="57"/>
      <c r="CI10" s="59">
        <v>21</v>
      </c>
      <c r="CJ10" s="56">
        <v>1104</v>
      </c>
      <c r="CK10" s="57">
        <v>2027</v>
      </c>
      <c r="CL10" s="57">
        <v>10</v>
      </c>
      <c r="CM10" s="57">
        <v>28</v>
      </c>
      <c r="CN10" s="57">
        <v>226</v>
      </c>
      <c r="CO10" s="57">
        <v>53</v>
      </c>
      <c r="CP10" s="58">
        <v>4.9000000000000004</v>
      </c>
      <c r="CQ10" s="58">
        <v>71.900000000000006</v>
      </c>
      <c r="CR10" s="58">
        <v>3.17</v>
      </c>
      <c r="CS10" s="58">
        <v>40.1</v>
      </c>
      <c r="CT10" s="57">
        <v>41</v>
      </c>
      <c r="CU10" s="57">
        <v>3297</v>
      </c>
      <c r="CV10" s="57">
        <v>8</v>
      </c>
      <c r="CW10" s="57"/>
      <c r="CX10" s="59">
        <v>20</v>
      </c>
      <c r="CY10" s="56">
        <v>1699</v>
      </c>
      <c r="CZ10" s="57">
        <v>1784</v>
      </c>
      <c r="DA10" s="57">
        <v>14</v>
      </c>
      <c r="DB10" s="57">
        <v>16</v>
      </c>
      <c r="DC10" s="57">
        <v>317</v>
      </c>
      <c r="DD10" s="57">
        <v>81</v>
      </c>
      <c r="DE10" s="58">
        <v>5.4</v>
      </c>
      <c r="DF10" s="58">
        <v>88.6</v>
      </c>
      <c r="DG10" s="58">
        <v>3.48</v>
      </c>
      <c r="DH10" s="58">
        <v>31.7</v>
      </c>
      <c r="DI10" s="57">
        <v>195</v>
      </c>
      <c r="DJ10" s="57">
        <v>3312</v>
      </c>
      <c r="DK10" s="57">
        <v>13</v>
      </c>
      <c r="DL10" s="57"/>
      <c r="DM10" s="59">
        <v>26</v>
      </c>
      <c r="DN10" s="126"/>
      <c r="DO10" s="5">
        <v>8</v>
      </c>
      <c r="DP10" s="42" t="s">
        <v>408</v>
      </c>
      <c r="DQ10" s="7">
        <v>0.65</v>
      </c>
      <c r="DR10" s="131"/>
    </row>
    <row r="11" spans="1:123" x14ac:dyDescent="0.2">
      <c r="A11" s="33">
        <v>9</v>
      </c>
      <c r="B11" s="34" t="s">
        <v>131</v>
      </c>
      <c r="C11" s="116">
        <v>9.3777777777777782</v>
      </c>
      <c r="D11" s="117" t="s">
        <v>459</v>
      </c>
      <c r="E11" s="37">
        <v>5</v>
      </c>
      <c r="F11" s="118">
        <v>35779</v>
      </c>
      <c r="G11" s="119">
        <v>27.802739726027397</v>
      </c>
      <c r="H11" s="39" t="s">
        <v>389</v>
      </c>
      <c r="I11" s="119">
        <v>22.36986301369863</v>
      </c>
      <c r="J11" s="120">
        <v>69</v>
      </c>
      <c r="K11" s="120">
        <v>206</v>
      </c>
      <c r="L11" s="120">
        <v>4.6500000000000004</v>
      </c>
      <c r="M11" s="40">
        <v>3</v>
      </c>
      <c r="N11" s="121">
        <v>0</v>
      </c>
      <c r="O11" s="122">
        <v>6.8583675656367207E-2</v>
      </c>
      <c r="P11" s="122">
        <v>0.26125790844808339</v>
      </c>
      <c r="Q11" s="122">
        <v>0.20591950911387835</v>
      </c>
      <c r="R11" s="122">
        <v>0.29953379953379955</v>
      </c>
      <c r="S11" s="42">
        <v>0.29953379953379955</v>
      </c>
      <c r="T11" s="42">
        <v>0.25460372960372962</v>
      </c>
      <c r="U11" s="42">
        <v>1.6550810989738499E-2</v>
      </c>
      <c r="V11" s="42">
        <v>0.12143081267649827</v>
      </c>
      <c r="W11" s="42">
        <v>0.12143081267649827</v>
      </c>
      <c r="X11" s="43">
        <v>0.10321619077502353</v>
      </c>
      <c r="Y11" s="44">
        <v>19.726027397260275</v>
      </c>
      <c r="Z11" s="45">
        <v>88.12221492460128</v>
      </c>
      <c r="AA11" s="45">
        <v>30.417559336273889</v>
      </c>
      <c r="AB11" s="45">
        <v>0.38034188034188032</v>
      </c>
      <c r="AC11" s="45">
        <v>6.1</v>
      </c>
      <c r="AD11" s="45">
        <v>176.8</v>
      </c>
      <c r="AE11" s="45">
        <v>4.45</v>
      </c>
      <c r="AF11" s="45">
        <v>44.5</v>
      </c>
      <c r="AG11" s="128">
        <v>6</v>
      </c>
      <c r="AH11" s="49">
        <v>9</v>
      </c>
      <c r="AI11" s="49">
        <v>6</v>
      </c>
      <c r="AJ11" s="49">
        <v>1</v>
      </c>
      <c r="AK11" s="49">
        <v>10</v>
      </c>
      <c r="AL11" s="49">
        <v>5</v>
      </c>
      <c r="AM11" s="49">
        <v>8</v>
      </c>
      <c r="AN11" s="49">
        <v>6</v>
      </c>
      <c r="AO11" s="49">
        <v>6</v>
      </c>
      <c r="AP11" s="50">
        <v>0</v>
      </c>
      <c r="AQ11" s="56">
        <v>0</v>
      </c>
      <c r="AR11" s="57">
        <v>2379</v>
      </c>
      <c r="AS11" s="57">
        <v>0</v>
      </c>
      <c r="AT11" s="57">
        <v>24</v>
      </c>
      <c r="AU11" s="57">
        <v>0</v>
      </c>
      <c r="AV11" s="57">
        <v>0</v>
      </c>
      <c r="AW11" s="58">
        <v>0</v>
      </c>
      <c r="AX11" s="58">
        <v>0</v>
      </c>
      <c r="AY11" s="58">
        <v>0</v>
      </c>
      <c r="AZ11" s="58">
        <v>0</v>
      </c>
      <c r="BA11" s="57">
        <v>0</v>
      </c>
      <c r="BB11" s="57">
        <v>2340</v>
      </c>
      <c r="BC11" s="57">
        <v>0</v>
      </c>
      <c r="BD11" s="57"/>
      <c r="BE11" s="59">
        <v>15</v>
      </c>
      <c r="BF11" s="56">
        <v>380</v>
      </c>
      <c r="BG11" s="57">
        <v>2782</v>
      </c>
      <c r="BH11" s="57">
        <v>2</v>
      </c>
      <c r="BI11" s="57">
        <v>26</v>
      </c>
      <c r="BJ11" s="57">
        <v>84</v>
      </c>
      <c r="BK11" s="57">
        <v>8</v>
      </c>
      <c r="BL11" s="58">
        <v>4.5</v>
      </c>
      <c r="BM11" s="58">
        <v>28.2</v>
      </c>
      <c r="BN11" s="58">
        <v>3</v>
      </c>
      <c r="BO11" s="58">
        <v>26.6</v>
      </c>
      <c r="BP11" s="57">
        <v>4</v>
      </c>
      <c r="BQ11" s="57">
        <v>2817</v>
      </c>
      <c r="BR11" s="57">
        <v>1</v>
      </c>
      <c r="BS11" s="57"/>
      <c r="BT11" s="59">
        <v>15</v>
      </c>
      <c r="BU11" s="56">
        <v>1161</v>
      </c>
      <c r="BV11" s="57">
        <v>2132</v>
      </c>
      <c r="BW11" s="57">
        <v>10</v>
      </c>
      <c r="BX11" s="57">
        <v>22</v>
      </c>
      <c r="BY11" s="57">
        <v>213</v>
      </c>
      <c r="BZ11" s="57">
        <v>64</v>
      </c>
      <c r="CA11" s="58">
        <v>5.5</v>
      </c>
      <c r="CB11" s="58">
        <v>109.6</v>
      </c>
      <c r="CC11" s="58">
        <v>3.54</v>
      </c>
      <c r="CD11" s="58">
        <v>36.200000000000003</v>
      </c>
      <c r="CE11" s="57">
        <v>243</v>
      </c>
      <c r="CF11" s="57">
        <v>3242</v>
      </c>
      <c r="CG11" s="57">
        <v>29</v>
      </c>
      <c r="CH11" s="57"/>
      <c r="CI11" s="59">
        <v>18</v>
      </c>
      <c r="CJ11" s="56">
        <v>1091</v>
      </c>
      <c r="CK11" s="57">
        <v>2520</v>
      </c>
      <c r="CL11" s="57">
        <v>11</v>
      </c>
      <c r="CM11" s="57">
        <v>23</v>
      </c>
      <c r="CN11" s="57">
        <v>179</v>
      </c>
      <c r="CO11" s="57">
        <v>53</v>
      </c>
      <c r="CP11" s="58">
        <v>6.1</v>
      </c>
      <c r="CQ11" s="58">
        <v>113.6</v>
      </c>
      <c r="CR11" s="58">
        <v>3.54</v>
      </c>
      <c r="CS11" s="58">
        <v>39.200000000000003</v>
      </c>
      <c r="CT11" s="57">
        <v>50</v>
      </c>
      <c r="CU11" s="57">
        <v>3021</v>
      </c>
      <c r="CV11" s="57">
        <v>7</v>
      </c>
      <c r="CW11" s="57"/>
      <c r="CX11" s="59">
        <v>19</v>
      </c>
      <c r="CY11" s="56">
        <v>1412</v>
      </c>
      <c r="CZ11" s="57">
        <v>2819</v>
      </c>
      <c r="DA11" s="57">
        <v>15</v>
      </c>
      <c r="DB11" s="57">
        <v>34</v>
      </c>
      <c r="DC11" s="57">
        <v>234</v>
      </c>
      <c r="DD11" s="57">
        <v>89</v>
      </c>
      <c r="DE11" s="58">
        <v>6</v>
      </c>
      <c r="DF11" s="58">
        <v>176.8</v>
      </c>
      <c r="DG11" s="58">
        <v>4.45</v>
      </c>
      <c r="DH11" s="58">
        <v>44.5</v>
      </c>
      <c r="DI11" s="57">
        <v>387</v>
      </c>
      <c r="DJ11" s="57">
        <v>3187</v>
      </c>
      <c r="DK11" s="57">
        <v>28</v>
      </c>
      <c r="DL11" s="57"/>
      <c r="DM11" s="59">
        <v>20</v>
      </c>
      <c r="DN11" s="126"/>
      <c r="DO11" s="5">
        <v>9</v>
      </c>
      <c r="DP11" s="42" t="s">
        <v>411</v>
      </c>
      <c r="DQ11" s="7">
        <v>0.65</v>
      </c>
      <c r="DR11" s="131"/>
    </row>
    <row r="12" spans="1:123" x14ac:dyDescent="0.2">
      <c r="A12" s="33">
        <v>10</v>
      </c>
      <c r="B12" s="34" t="s">
        <v>266</v>
      </c>
      <c r="C12" s="116">
        <v>7.7555555555555555</v>
      </c>
      <c r="D12" s="117" t="s">
        <v>530</v>
      </c>
      <c r="E12" s="37">
        <v>2</v>
      </c>
      <c r="F12" s="118">
        <v>35858</v>
      </c>
      <c r="G12" s="119">
        <v>27.586301369863012</v>
      </c>
      <c r="H12" s="39" t="s">
        <v>494</v>
      </c>
      <c r="I12" s="119">
        <v>22.153424657534245</v>
      </c>
      <c r="J12" s="120">
        <v>68</v>
      </c>
      <c r="K12" s="120">
        <v>208</v>
      </c>
      <c r="L12" s="120">
        <v>4.4400000000000004</v>
      </c>
      <c r="M12" s="40">
        <v>4</v>
      </c>
      <c r="N12" s="121">
        <v>0</v>
      </c>
      <c r="O12" s="122">
        <v>0</v>
      </c>
      <c r="P12" s="122">
        <v>0</v>
      </c>
      <c r="Q12" s="122">
        <v>0.2481489791339466</v>
      </c>
      <c r="R12" s="122">
        <v>0.17956806600339723</v>
      </c>
      <c r="S12" s="42">
        <v>0.21385852256867191</v>
      </c>
      <c r="T12" s="42">
        <v>0.21385852256867191</v>
      </c>
      <c r="U12" s="42">
        <v>4.3067846607669616E-2</v>
      </c>
      <c r="V12" s="42">
        <v>6.0344827586206899E-2</v>
      </c>
      <c r="W12" s="42">
        <v>6.0344827586206899E-2</v>
      </c>
      <c r="X12" s="43">
        <v>6.0344827586206899E-2</v>
      </c>
      <c r="Y12" s="44">
        <v>20.506849315068493</v>
      </c>
      <c r="Z12" s="45">
        <v>107.04378329856252</v>
      </c>
      <c r="AA12" s="45">
        <v>31.622837370242216</v>
      </c>
      <c r="AB12" s="45">
        <v>0.24561403508771928</v>
      </c>
      <c r="AC12" s="45">
        <v>7.9</v>
      </c>
      <c r="AD12" s="45">
        <v>85</v>
      </c>
      <c r="AE12" s="45">
        <v>3.91</v>
      </c>
      <c r="AF12" s="45">
        <v>63.1</v>
      </c>
      <c r="AG12" s="128">
        <v>4</v>
      </c>
      <c r="AH12" s="49">
        <v>6</v>
      </c>
      <c r="AI12" s="49">
        <v>4</v>
      </c>
      <c r="AJ12" s="49">
        <v>8</v>
      </c>
      <c r="AK12" s="49">
        <v>6</v>
      </c>
      <c r="AL12" s="49">
        <v>9</v>
      </c>
      <c r="AM12" s="49">
        <v>2</v>
      </c>
      <c r="AN12" s="49">
        <v>4</v>
      </c>
      <c r="AO12" s="49">
        <v>4</v>
      </c>
      <c r="AP12" s="50">
        <v>0</v>
      </c>
      <c r="AQ12" s="56">
        <v>0</v>
      </c>
      <c r="AR12" s="57">
        <v>2408</v>
      </c>
      <c r="AS12" s="57">
        <v>0</v>
      </c>
      <c r="AT12" s="57">
        <v>20</v>
      </c>
      <c r="AU12" s="57">
        <v>0</v>
      </c>
      <c r="AV12" s="57">
        <v>0</v>
      </c>
      <c r="AW12" s="58">
        <v>0</v>
      </c>
      <c r="AX12" s="58">
        <v>0</v>
      </c>
      <c r="AY12" s="58">
        <v>0</v>
      </c>
      <c r="AZ12" s="58">
        <v>0</v>
      </c>
      <c r="BA12" s="57">
        <v>0</v>
      </c>
      <c r="BB12" s="57">
        <v>2092</v>
      </c>
      <c r="BC12" s="57">
        <v>0</v>
      </c>
      <c r="BD12" s="57"/>
      <c r="BE12" s="59">
        <v>15</v>
      </c>
      <c r="BF12" s="56">
        <v>0</v>
      </c>
      <c r="BG12" s="57">
        <v>2594</v>
      </c>
      <c r="BH12" s="57">
        <v>0</v>
      </c>
      <c r="BI12" s="57">
        <v>26</v>
      </c>
      <c r="BJ12" s="57">
        <v>0</v>
      </c>
      <c r="BK12" s="57">
        <v>0</v>
      </c>
      <c r="BL12" s="58">
        <v>0</v>
      </c>
      <c r="BM12" s="58">
        <v>0</v>
      </c>
      <c r="BN12" s="58">
        <v>0</v>
      </c>
      <c r="BO12" s="58">
        <v>0</v>
      </c>
      <c r="BP12" s="57">
        <v>0</v>
      </c>
      <c r="BQ12" s="57">
        <v>2317</v>
      </c>
      <c r="BR12" s="57">
        <v>0</v>
      </c>
      <c r="BS12" s="57"/>
      <c r="BT12" s="59">
        <v>15</v>
      </c>
      <c r="BU12" s="56">
        <v>0</v>
      </c>
      <c r="BV12" s="57">
        <v>1940</v>
      </c>
      <c r="BW12" s="57">
        <v>0</v>
      </c>
      <c r="BX12" s="57">
        <v>19</v>
      </c>
      <c r="BY12" s="57">
        <v>0</v>
      </c>
      <c r="BZ12" s="57">
        <v>0</v>
      </c>
      <c r="CA12" s="58">
        <v>0</v>
      </c>
      <c r="CB12" s="58">
        <v>0</v>
      </c>
      <c r="CC12" s="58">
        <v>0</v>
      </c>
      <c r="CD12" s="58">
        <v>0</v>
      </c>
      <c r="CE12" s="57">
        <v>0</v>
      </c>
      <c r="CF12" s="57">
        <v>1940</v>
      </c>
      <c r="CG12" s="57">
        <v>0</v>
      </c>
      <c r="CH12" s="57"/>
      <c r="CI12" s="59">
        <v>15</v>
      </c>
      <c r="CJ12" s="56">
        <v>1033</v>
      </c>
      <c r="CK12" s="57">
        <v>2762</v>
      </c>
      <c r="CL12" s="57">
        <v>4</v>
      </c>
      <c r="CM12" s="57">
        <v>26</v>
      </c>
      <c r="CN12" s="57">
        <v>131</v>
      </c>
      <c r="CO12" s="57">
        <v>28</v>
      </c>
      <c r="CP12" s="58">
        <v>7.9</v>
      </c>
      <c r="CQ12" s="58">
        <v>85</v>
      </c>
      <c r="CR12" s="58">
        <v>3.91</v>
      </c>
      <c r="CS12" s="58">
        <v>63.1</v>
      </c>
      <c r="CT12" s="57">
        <v>73</v>
      </c>
      <c r="CU12" s="57">
        <v>1695</v>
      </c>
      <c r="CV12" s="57">
        <v>2</v>
      </c>
      <c r="CW12" s="57"/>
      <c r="CX12" s="59">
        <v>12</v>
      </c>
      <c r="CY12" s="56">
        <v>614</v>
      </c>
      <c r="CZ12" s="57">
        <v>2033</v>
      </c>
      <c r="DA12" s="57">
        <v>8</v>
      </c>
      <c r="DB12" s="57">
        <v>23</v>
      </c>
      <c r="DC12" s="57">
        <v>114</v>
      </c>
      <c r="DD12" s="57">
        <v>28</v>
      </c>
      <c r="DE12" s="58">
        <v>5.4</v>
      </c>
      <c r="DF12" s="58">
        <v>69.8</v>
      </c>
      <c r="DG12" s="58">
        <v>2.77</v>
      </c>
      <c r="DH12" s="58">
        <v>46.3</v>
      </c>
      <c r="DI12" s="57">
        <v>126</v>
      </c>
      <c r="DJ12" s="57">
        <v>2088</v>
      </c>
      <c r="DK12" s="57">
        <v>17</v>
      </c>
      <c r="DL12" s="57"/>
      <c r="DM12" s="59">
        <v>16</v>
      </c>
      <c r="DN12" s="126"/>
      <c r="DO12" s="5">
        <v>10</v>
      </c>
      <c r="DP12" s="42" t="s">
        <v>414</v>
      </c>
      <c r="DQ12" s="7">
        <v>0.6</v>
      </c>
    </row>
    <row r="13" spans="1:123" x14ac:dyDescent="0.2">
      <c r="A13" s="33">
        <v>11</v>
      </c>
      <c r="B13" s="34" t="s">
        <v>137</v>
      </c>
      <c r="C13" s="116">
        <v>7.1833333333333336</v>
      </c>
      <c r="D13" s="117" t="s">
        <v>536</v>
      </c>
      <c r="E13" s="37">
        <v>10</v>
      </c>
      <c r="F13" s="118">
        <v>35905</v>
      </c>
      <c r="G13" s="119">
        <v>27.457534246575342</v>
      </c>
      <c r="H13" s="39" t="s">
        <v>389</v>
      </c>
      <c r="I13" s="119">
        <v>22.024657534246575</v>
      </c>
      <c r="J13" s="120">
        <v>69</v>
      </c>
      <c r="K13" s="120">
        <v>194</v>
      </c>
      <c r="L13" s="120">
        <v>4.37</v>
      </c>
      <c r="M13" s="40">
        <v>5</v>
      </c>
      <c r="N13" s="121">
        <v>0</v>
      </c>
      <c r="O13" s="122">
        <v>3.9991961414791E-2</v>
      </c>
      <c r="P13" s="122">
        <v>0.13683304647160069</v>
      </c>
      <c r="Q13" s="122">
        <v>0.22986954565901935</v>
      </c>
      <c r="R13" s="122">
        <v>0.29494576505885067</v>
      </c>
      <c r="S13" s="42">
        <v>0.29494576505885067</v>
      </c>
      <c r="T13" s="42">
        <v>0.17696745903531039</v>
      </c>
      <c r="U13" s="42">
        <v>0.16247642991829039</v>
      </c>
      <c r="V13" s="42">
        <v>6.8939103791650705E-2</v>
      </c>
      <c r="W13" s="42">
        <v>0.11570776685497056</v>
      </c>
      <c r="X13" s="43">
        <v>6.9424660112982331E-2</v>
      </c>
      <c r="Y13" s="44">
        <v>20.378082191780823</v>
      </c>
      <c r="Z13" s="45">
        <v>106.39126622440783</v>
      </c>
      <c r="AA13" s="45">
        <v>28.645662675908419</v>
      </c>
      <c r="AB13" s="45">
        <v>0.32704402515723269</v>
      </c>
      <c r="AC13" s="45">
        <v>6.9</v>
      </c>
      <c r="AD13" s="45">
        <v>111.9</v>
      </c>
      <c r="AE13" s="45">
        <v>3.78</v>
      </c>
      <c r="AF13" s="45">
        <v>57.8</v>
      </c>
      <c r="AG13" s="128">
        <v>3</v>
      </c>
      <c r="AH13" s="49">
        <v>7</v>
      </c>
      <c r="AI13" s="49">
        <v>4</v>
      </c>
      <c r="AJ13" s="49">
        <v>8</v>
      </c>
      <c r="AK13" s="49">
        <v>9</v>
      </c>
      <c r="AL13" s="49">
        <v>7</v>
      </c>
      <c r="AM13" s="49">
        <v>5</v>
      </c>
      <c r="AN13" s="49">
        <v>3</v>
      </c>
      <c r="AO13" s="49">
        <v>3</v>
      </c>
      <c r="AP13" s="50">
        <v>0</v>
      </c>
      <c r="AQ13" s="56">
        <v>0</v>
      </c>
      <c r="AR13" s="57">
        <v>2166</v>
      </c>
      <c r="AS13" s="57">
        <v>0</v>
      </c>
      <c r="AT13" s="57">
        <v>16</v>
      </c>
      <c r="AU13" s="57">
        <v>0</v>
      </c>
      <c r="AV13" s="57">
        <v>0</v>
      </c>
      <c r="AW13" s="58">
        <v>0</v>
      </c>
      <c r="AX13" s="58">
        <v>0</v>
      </c>
      <c r="AY13" s="58">
        <v>0</v>
      </c>
      <c r="AZ13" s="58">
        <v>0</v>
      </c>
      <c r="BA13" s="57">
        <v>0</v>
      </c>
      <c r="BB13" s="57">
        <v>3034</v>
      </c>
      <c r="BC13" s="57">
        <v>0</v>
      </c>
      <c r="BD13" s="57"/>
      <c r="BE13" s="59">
        <v>26</v>
      </c>
      <c r="BF13" s="56">
        <v>164</v>
      </c>
      <c r="BG13" s="57">
        <v>2051</v>
      </c>
      <c r="BH13" s="57">
        <v>1</v>
      </c>
      <c r="BI13" s="57">
        <v>13</v>
      </c>
      <c r="BJ13" s="57">
        <v>39</v>
      </c>
      <c r="BK13" s="57">
        <v>5</v>
      </c>
      <c r="BL13" s="58">
        <v>4.2</v>
      </c>
      <c r="BM13" s="58">
        <v>24</v>
      </c>
      <c r="BN13" s="58">
        <v>2.2599999999999998</v>
      </c>
      <c r="BO13" s="58">
        <v>20.7</v>
      </c>
      <c r="BP13" s="57">
        <v>35</v>
      </c>
      <c r="BQ13" s="57">
        <v>2925</v>
      </c>
      <c r="BR13" s="57">
        <v>8</v>
      </c>
      <c r="BS13" s="57"/>
      <c r="BT13" s="59">
        <v>22</v>
      </c>
      <c r="BU13" s="56">
        <v>432</v>
      </c>
      <c r="BV13" s="57">
        <v>1388</v>
      </c>
      <c r="BW13" s="57">
        <v>1</v>
      </c>
      <c r="BX13" s="57">
        <v>18</v>
      </c>
      <c r="BY13" s="57">
        <v>72</v>
      </c>
      <c r="BZ13" s="57">
        <v>24</v>
      </c>
      <c r="CA13" s="58">
        <v>6</v>
      </c>
      <c r="CB13" s="58">
        <v>130</v>
      </c>
      <c r="CC13" s="58">
        <v>4.3899999999999997</v>
      </c>
      <c r="CD13" s="58">
        <v>28</v>
      </c>
      <c r="CE13" s="57">
        <v>363</v>
      </c>
      <c r="CF13" s="57">
        <v>4422</v>
      </c>
      <c r="CG13" s="57">
        <v>36</v>
      </c>
      <c r="CH13" s="57"/>
      <c r="CI13" s="59">
        <v>29</v>
      </c>
      <c r="CJ13" s="56">
        <v>505</v>
      </c>
      <c r="CK13" s="57">
        <v>1264</v>
      </c>
      <c r="CL13" s="57">
        <v>7</v>
      </c>
      <c r="CM13" s="57">
        <v>14</v>
      </c>
      <c r="CN13" s="57">
        <v>109</v>
      </c>
      <c r="CO13" s="57">
        <v>26</v>
      </c>
      <c r="CP13" s="58">
        <v>4.5999999999999996</v>
      </c>
      <c r="CQ13" s="58">
        <v>55.2</v>
      </c>
      <c r="CR13" s="58">
        <v>2.46</v>
      </c>
      <c r="CS13" s="58">
        <v>25.1</v>
      </c>
      <c r="CT13" s="57">
        <v>517</v>
      </c>
      <c r="CU13" s="57">
        <v>3182</v>
      </c>
      <c r="CV13" s="57">
        <v>9</v>
      </c>
      <c r="CW13" s="57"/>
      <c r="CX13" s="59">
        <v>16</v>
      </c>
      <c r="CY13" s="56">
        <v>1098</v>
      </c>
      <c r="CZ13" s="57">
        <v>1722</v>
      </c>
      <c r="DA13" s="57">
        <v>9</v>
      </c>
      <c r="DB13" s="57">
        <v>16</v>
      </c>
      <c r="DC13" s="57">
        <v>159</v>
      </c>
      <c r="DD13" s="57">
        <v>52</v>
      </c>
      <c r="DE13" s="58">
        <v>6.9</v>
      </c>
      <c r="DF13" s="58">
        <v>111.9</v>
      </c>
      <c r="DG13" s="58">
        <v>3.78</v>
      </c>
      <c r="DH13" s="58">
        <v>57.8</v>
      </c>
      <c r="DI13" s="57">
        <v>180</v>
      </c>
      <c r="DJ13" s="57">
        <v>2611</v>
      </c>
      <c r="DK13" s="57">
        <v>37</v>
      </c>
      <c r="DL13" s="57"/>
      <c r="DM13" s="59">
        <v>15</v>
      </c>
      <c r="DN13" s="126"/>
      <c r="DO13" s="11">
        <v>11</v>
      </c>
      <c r="DP13" s="42" t="s">
        <v>417</v>
      </c>
      <c r="DQ13" s="7">
        <v>0.55000000000000004</v>
      </c>
    </row>
    <row r="14" spans="1:123" x14ac:dyDescent="0.2">
      <c r="A14" s="33">
        <v>12</v>
      </c>
      <c r="B14" s="34" t="s">
        <v>136</v>
      </c>
      <c r="C14" s="116">
        <v>6.6055555555555552</v>
      </c>
      <c r="D14" s="117" t="s">
        <v>473</v>
      </c>
      <c r="E14" s="37">
        <v>5</v>
      </c>
      <c r="F14" s="118">
        <v>36263</v>
      </c>
      <c r="G14" s="119">
        <v>26.476712328767125</v>
      </c>
      <c r="H14" s="39" t="s">
        <v>385</v>
      </c>
      <c r="I14" s="119">
        <v>21.043835616438358</v>
      </c>
      <c r="J14" s="120">
        <v>68</v>
      </c>
      <c r="K14" s="120">
        <v>207</v>
      </c>
      <c r="L14" s="120">
        <v>4.57</v>
      </c>
      <c r="M14" s="40">
        <v>7</v>
      </c>
      <c r="N14" s="121">
        <v>0</v>
      </c>
      <c r="O14" s="122">
        <v>0</v>
      </c>
      <c r="P14" s="122">
        <v>2.8750000000000001E-2</v>
      </c>
      <c r="Q14" s="122">
        <v>0.35167066642052797</v>
      </c>
      <c r="R14" s="122">
        <v>0.29212321686996073</v>
      </c>
      <c r="S14" s="42">
        <v>0.32189694164524435</v>
      </c>
      <c r="T14" s="42">
        <v>0.27361240039845769</v>
      </c>
      <c r="U14" s="42">
        <v>8.6942148760330573E-2</v>
      </c>
      <c r="V14" s="42">
        <v>0.10695517774343122</v>
      </c>
      <c r="W14" s="42">
        <v>0.10695517774343122</v>
      </c>
      <c r="X14" s="43">
        <v>9.0911901081916532E-2</v>
      </c>
      <c r="Y14" s="44">
        <v>19.397260273972602</v>
      </c>
      <c r="Z14" s="45">
        <v>94.915150530226384</v>
      </c>
      <c r="AA14" s="45">
        <v>31.470804498269896</v>
      </c>
      <c r="AB14" s="45">
        <v>0.28000000000000003</v>
      </c>
      <c r="AC14" s="45">
        <v>5.5</v>
      </c>
      <c r="AD14" s="45">
        <v>101.5</v>
      </c>
      <c r="AE14" s="45">
        <v>3.43</v>
      </c>
      <c r="AF14" s="45">
        <v>43.7</v>
      </c>
      <c r="AG14" s="128">
        <v>7</v>
      </c>
      <c r="AH14" s="49">
        <v>9</v>
      </c>
      <c r="AI14" s="49">
        <v>6</v>
      </c>
      <c r="AJ14" s="49">
        <v>3</v>
      </c>
      <c r="AK14" s="49">
        <v>8</v>
      </c>
      <c r="AL14" s="49">
        <v>3</v>
      </c>
      <c r="AM14" s="49">
        <v>4</v>
      </c>
      <c r="AN14" s="49">
        <v>1</v>
      </c>
      <c r="AO14" s="49">
        <v>1</v>
      </c>
      <c r="AP14" s="50">
        <v>0</v>
      </c>
      <c r="AQ14" s="56">
        <v>0</v>
      </c>
      <c r="AR14" s="57">
        <v>2319</v>
      </c>
      <c r="AS14" s="57">
        <v>0</v>
      </c>
      <c r="AT14" s="57">
        <v>19</v>
      </c>
      <c r="AU14" s="57">
        <v>0</v>
      </c>
      <c r="AV14" s="57">
        <v>0</v>
      </c>
      <c r="AW14" s="58">
        <v>0</v>
      </c>
      <c r="AX14" s="58">
        <v>0</v>
      </c>
      <c r="AY14" s="58">
        <v>0</v>
      </c>
      <c r="AZ14" s="58">
        <v>0</v>
      </c>
      <c r="BA14" s="57">
        <v>0</v>
      </c>
      <c r="BB14" s="57">
        <v>3887</v>
      </c>
      <c r="BC14" s="57">
        <v>0</v>
      </c>
      <c r="BD14" s="57"/>
      <c r="BE14" s="59">
        <v>30</v>
      </c>
      <c r="BF14" s="56">
        <v>0</v>
      </c>
      <c r="BG14" s="57">
        <v>1578</v>
      </c>
      <c r="BH14" s="57">
        <v>0</v>
      </c>
      <c r="BI14" s="57">
        <v>27</v>
      </c>
      <c r="BJ14" s="57">
        <v>0</v>
      </c>
      <c r="BK14" s="57">
        <v>0</v>
      </c>
      <c r="BL14" s="58">
        <v>0</v>
      </c>
      <c r="BM14" s="58">
        <v>0</v>
      </c>
      <c r="BN14" s="58">
        <v>0</v>
      </c>
      <c r="BO14" s="58">
        <v>0</v>
      </c>
      <c r="BP14" s="57">
        <v>0</v>
      </c>
      <c r="BQ14" s="57">
        <v>3111</v>
      </c>
      <c r="BR14" s="57">
        <v>0</v>
      </c>
      <c r="BS14" s="57"/>
      <c r="BT14" s="59">
        <v>16</v>
      </c>
      <c r="BU14" s="56">
        <v>146</v>
      </c>
      <c r="BV14" s="57">
        <v>2276</v>
      </c>
      <c r="BW14" s="57">
        <v>1</v>
      </c>
      <c r="BX14" s="57">
        <v>27</v>
      </c>
      <c r="BY14" s="57">
        <v>23</v>
      </c>
      <c r="BZ14" s="57">
        <v>9</v>
      </c>
      <c r="CA14" s="58">
        <v>6.3</v>
      </c>
      <c r="CB14" s="58">
        <v>153.69999999999999</v>
      </c>
      <c r="CC14" s="58">
        <v>3.91</v>
      </c>
      <c r="CD14" s="58">
        <v>52.7</v>
      </c>
      <c r="CE14" s="57">
        <v>15</v>
      </c>
      <c r="CF14" s="57">
        <v>3324</v>
      </c>
      <c r="CG14" s="57">
        <v>5</v>
      </c>
      <c r="CH14" s="57"/>
      <c r="CI14" s="59">
        <v>21</v>
      </c>
      <c r="CJ14" s="56">
        <v>1642</v>
      </c>
      <c r="CK14" s="57">
        <v>2392</v>
      </c>
      <c r="CL14" s="57">
        <v>16</v>
      </c>
      <c r="CM14" s="57">
        <v>26</v>
      </c>
      <c r="CN14" s="57">
        <v>300</v>
      </c>
      <c r="CO14" s="57">
        <v>84</v>
      </c>
      <c r="CP14" s="58">
        <v>5.5</v>
      </c>
      <c r="CQ14" s="58">
        <v>101.5</v>
      </c>
      <c r="CR14" s="58">
        <v>3.43</v>
      </c>
      <c r="CS14" s="58">
        <v>43.7</v>
      </c>
      <c r="CT14" s="57">
        <v>263</v>
      </c>
      <c r="CU14" s="57">
        <v>3025</v>
      </c>
      <c r="CV14" s="57">
        <v>15</v>
      </c>
      <c r="CW14" s="57"/>
      <c r="CX14" s="59">
        <v>20</v>
      </c>
      <c r="CY14" s="56">
        <v>1067</v>
      </c>
      <c r="CZ14" s="57">
        <v>1602</v>
      </c>
      <c r="DA14" s="57">
        <v>10</v>
      </c>
      <c r="DB14" s="57">
        <v>13</v>
      </c>
      <c r="DC14" s="57">
        <v>253</v>
      </c>
      <c r="DD14" s="57">
        <v>62</v>
      </c>
      <c r="DE14" s="58">
        <v>4.2</v>
      </c>
      <c r="DF14" s="58">
        <v>69.900000000000006</v>
      </c>
      <c r="DG14" s="58">
        <v>2.91</v>
      </c>
      <c r="DH14" s="58">
        <v>23</v>
      </c>
      <c r="DI14" s="57">
        <v>346</v>
      </c>
      <c r="DJ14" s="57">
        <v>3235</v>
      </c>
      <c r="DK14" s="57">
        <v>42</v>
      </c>
      <c r="DL14" s="57"/>
      <c r="DM14" s="59">
        <v>21</v>
      </c>
      <c r="DN14" s="126"/>
      <c r="DO14" s="11">
        <v>12</v>
      </c>
      <c r="DP14" s="42" t="s">
        <v>420</v>
      </c>
      <c r="DQ14" s="7">
        <v>0.5</v>
      </c>
    </row>
    <row r="15" spans="1:123" x14ac:dyDescent="0.2">
      <c r="A15" s="33">
        <v>13</v>
      </c>
      <c r="B15" s="34" t="s">
        <v>135</v>
      </c>
      <c r="C15" s="116">
        <v>6.5944444444444441</v>
      </c>
      <c r="D15" s="117" t="s">
        <v>537</v>
      </c>
      <c r="E15" s="37">
        <v>8</v>
      </c>
      <c r="F15" s="118">
        <v>35985</v>
      </c>
      <c r="G15" s="119">
        <v>27.238356164383561</v>
      </c>
      <c r="H15" s="39" t="s">
        <v>385</v>
      </c>
      <c r="I15" s="119">
        <v>21.805479452054794</v>
      </c>
      <c r="J15" s="120">
        <v>70</v>
      </c>
      <c r="K15" s="120">
        <v>203</v>
      </c>
      <c r="L15" s="120">
        <v>4.41</v>
      </c>
      <c r="M15" s="40">
        <v>3</v>
      </c>
      <c r="N15" s="121">
        <v>0</v>
      </c>
      <c r="O15" s="122">
        <v>4.4551798174986577E-2</v>
      </c>
      <c r="P15" s="122">
        <v>0</v>
      </c>
      <c r="Q15" s="122">
        <v>0.22719971443869355</v>
      </c>
      <c r="R15" s="122">
        <v>0.27737467018469658</v>
      </c>
      <c r="S15" s="42">
        <v>0.27737467018469658</v>
      </c>
      <c r="T15" s="42">
        <v>0.18029353562005279</v>
      </c>
      <c r="U15" s="42">
        <v>3.5916061339790153E-2</v>
      </c>
      <c r="V15" s="42">
        <v>7.0113314447592071E-2</v>
      </c>
      <c r="W15" s="42">
        <v>7.0113314447592071E-2</v>
      </c>
      <c r="X15" s="43">
        <v>4.5573654390934845E-2</v>
      </c>
      <c r="Y15" s="44">
        <v>20.158904109589042</v>
      </c>
      <c r="Z15" s="45">
        <v>107.34249257173711</v>
      </c>
      <c r="AA15" s="45">
        <v>29.124285714285712</v>
      </c>
      <c r="AB15" s="45">
        <v>0.1953125</v>
      </c>
      <c r="AC15" s="45">
        <v>6.7</v>
      </c>
      <c r="AD15" s="45">
        <v>71.400000000000006</v>
      </c>
      <c r="AE15" s="45">
        <v>3.9</v>
      </c>
      <c r="AF15" s="45">
        <v>65.5</v>
      </c>
      <c r="AG15" s="128">
        <v>3</v>
      </c>
      <c r="AH15" s="49">
        <v>5</v>
      </c>
      <c r="AI15" s="49">
        <v>4</v>
      </c>
      <c r="AJ15" s="49">
        <v>8</v>
      </c>
      <c r="AK15" s="49">
        <v>3</v>
      </c>
      <c r="AL15" s="49">
        <v>7</v>
      </c>
      <c r="AM15" s="49">
        <v>1</v>
      </c>
      <c r="AN15" s="49">
        <v>4</v>
      </c>
      <c r="AO15" s="49">
        <v>6</v>
      </c>
      <c r="AP15" s="50">
        <v>0</v>
      </c>
      <c r="AQ15" s="56">
        <v>0</v>
      </c>
      <c r="AR15" s="57">
        <v>3529</v>
      </c>
      <c r="AS15" s="57">
        <v>0</v>
      </c>
      <c r="AT15" s="57">
        <v>25</v>
      </c>
      <c r="AU15" s="57">
        <v>0</v>
      </c>
      <c r="AV15" s="57">
        <v>0</v>
      </c>
      <c r="AW15" s="58">
        <v>0</v>
      </c>
      <c r="AX15" s="58">
        <v>0</v>
      </c>
      <c r="AY15" s="58">
        <v>0</v>
      </c>
      <c r="AZ15" s="58">
        <v>0</v>
      </c>
      <c r="BA15" s="57">
        <v>0</v>
      </c>
      <c r="BB15" s="57">
        <v>2546</v>
      </c>
      <c r="BC15" s="57">
        <v>0</v>
      </c>
      <c r="BD15" s="57"/>
      <c r="BE15" s="59">
        <v>33</v>
      </c>
      <c r="BF15" s="56">
        <v>217</v>
      </c>
      <c r="BG15" s="57">
        <v>3262</v>
      </c>
      <c r="BH15" s="57">
        <v>0</v>
      </c>
      <c r="BI15" s="57">
        <v>29</v>
      </c>
      <c r="BJ15" s="57">
        <v>48</v>
      </c>
      <c r="BK15" s="57">
        <v>5</v>
      </c>
      <c r="BL15" s="58">
        <v>4.5</v>
      </c>
      <c r="BM15" s="58">
        <v>38</v>
      </c>
      <c r="BN15" s="58">
        <v>2.56</v>
      </c>
      <c r="BO15" s="58">
        <v>22.6</v>
      </c>
      <c r="BP15" s="57">
        <v>32</v>
      </c>
      <c r="BQ15" s="57">
        <v>2327</v>
      </c>
      <c r="BR15" s="57">
        <v>6</v>
      </c>
      <c r="BS15" s="57"/>
      <c r="BT15" s="59">
        <v>16</v>
      </c>
      <c r="BU15" s="56">
        <v>0</v>
      </c>
      <c r="BV15" s="57">
        <v>2907</v>
      </c>
      <c r="BW15" s="57">
        <v>0</v>
      </c>
      <c r="BX15" s="57">
        <v>27</v>
      </c>
      <c r="BY15" s="57">
        <v>0</v>
      </c>
      <c r="BZ15" s="57">
        <v>0</v>
      </c>
      <c r="CA15" s="58">
        <v>0</v>
      </c>
      <c r="CB15" s="58">
        <v>0</v>
      </c>
      <c r="CC15" s="58">
        <v>0</v>
      </c>
      <c r="CD15" s="58">
        <v>0</v>
      </c>
      <c r="CE15" s="57">
        <v>0</v>
      </c>
      <c r="CF15" s="57">
        <v>2811</v>
      </c>
      <c r="CG15" s="57">
        <v>0</v>
      </c>
      <c r="CH15" s="57"/>
      <c r="CI15" s="59">
        <v>28</v>
      </c>
      <c r="CJ15" s="56">
        <v>1184</v>
      </c>
      <c r="CK15" s="57">
        <v>3125</v>
      </c>
      <c r="CL15" s="57">
        <v>7</v>
      </c>
      <c r="CM15" s="57">
        <v>31</v>
      </c>
      <c r="CN15" s="57">
        <v>178</v>
      </c>
      <c r="CO15" s="57">
        <v>34</v>
      </c>
      <c r="CP15" s="58">
        <v>6.7</v>
      </c>
      <c r="CQ15" s="58">
        <v>71.400000000000006</v>
      </c>
      <c r="CR15" s="58">
        <v>3.9</v>
      </c>
      <c r="CS15" s="58">
        <v>65.5</v>
      </c>
      <c r="CT15" s="57">
        <v>89</v>
      </c>
      <c r="CU15" s="57">
        <v>2478</v>
      </c>
      <c r="CV15" s="57">
        <v>1</v>
      </c>
      <c r="CW15" s="57"/>
      <c r="CX15" s="59">
        <v>27</v>
      </c>
      <c r="CY15" s="56">
        <v>1484</v>
      </c>
      <c r="CZ15" s="57">
        <v>3240</v>
      </c>
      <c r="DA15" s="57">
        <v>18</v>
      </c>
      <c r="DB15" s="57">
        <v>35</v>
      </c>
      <c r="DC15" s="57">
        <v>256</v>
      </c>
      <c r="DD15" s="57">
        <v>50</v>
      </c>
      <c r="DE15" s="58">
        <v>5.8</v>
      </c>
      <c r="DF15" s="58">
        <v>60.1</v>
      </c>
      <c r="DG15" s="58">
        <v>2.97</v>
      </c>
      <c r="DH15" s="58">
        <v>47.8</v>
      </c>
      <c r="DI15" s="57">
        <v>198</v>
      </c>
      <c r="DJ15" s="57">
        <v>2824</v>
      </c>
      <c r="DK15" s="57">
        <v>21</v>
      </c>
      <c r="DL15" s="57"/>
      <c r="DM15" s="59">
        <v>30</v>
      </c>
      <c r="DN15" s="126"/>
      <c r="DO15" s="11"/>
      <c r="DP15" s="42"/>
    </row>
    <row r="16" spans="1:123" x14ac:dyDescent="0.2">
      <c r="A16" s="33">
        <v>14</v>
      </c>
      <c r="B16" s="34" t="s">
        <v>132</v>
      </c>
      <c r="C16" s="116">
        <v>6.5777777777777784</v>
      </c>
      <c r="D16" s="117" t="s">
        <v>395</v>
      </c>
      <c r="E16" s="37">
        <v>4</v>
      </c>
      <c r="F16" s="118">
        <v>36054</v>
      </c>
      <c r="G16" s="119">
        <v>27.049315068493151</v>
      </c>
      <c r="H16" s="39" t="s">
        <v>385</v>
      </c>
      <c r="I16" s="119">
        <v>21.616438356164384</v>
      </c>
      <c r="J16" s="120">
        <v>70</v>
      </c>
      <c r="K16" s="120">
        <v>217</v>
      </c>
      <c r="L16" s="120">
        <v>4.58</v>
      </c>
      <c r="M16" s="40">
        <v>4</v>
      </c>
      <c r="N16" s="121">
        <v>0</v>
      </c>
      <c r="O16" s="122">
        <v>0</v>
      </c>
      <c r="P16" s="122">
        <v>5.8935723822239175E-2</v>
      </c>
      <c r="Q16" s="122">
        <v>0.15030017152658662</v>
      </c>
      <c r="R16" s="122">
        <v>0.17322999581064097</v>
      </c>
      <c r="S16" s="42">
        <v>0.17322999581064097</v>
      </c>
      <c r="T16" s="42">
        <v>0.15590699622957688</v>
      </c>
      <c r="U16" s="42">
        <v>3.9080459770114942E-2</v>
      </c>
      <c r="V16" s="42">
        <v>4.3223217042297007E-2</v>
      </c>
      <c r="W16" s="42">
        <v>4.3223217042297007E-2</v>
      </c>
      <c r="X16" s="43">
        <v>3.8900895338067308E-2</v>
      </c>
      <c r="Y16" s="44">
        <v>19.969863013698632</v>
      </c>
      <c r="Z16" s="45">
        <v>98.634266097994285</v>
      </c>
      <c r="AA16" s="45">
        <v>31.132857142857141</v>
      </c>
      <c r="AB16" s="45">
        <v>0.31304347826086959</v>
      </c>
      <c r="AC16" s="45">
        <v>6</v>
      </c>
      <c r="AD16" s="45">
        <v>118</v>
      </c>
      <c r="AE16" s="45">
        <v>3.67</v>
      </c>
      <c r="AF16" s="45">
        <v>54.2</v>
      </c>
      <c r="AG16" s="128">
        <v>2</v>
      </c>
      <c r="AH16" s="49">
        <v>4</v>
      </c>
      <c r="AI16" s="49">
        <v>5</v>
      </c>
      <c r="AJ16" s="49">
        <v>4</v>
      </c>
      <c r="AK16" s="49">
        <v>8</v>
      </c>
      <c r="AL16" s="49">
        <v>4</v>
      </c>
      <c r="AM16" s="49">
        <v>5</v>
      </c>
      <c r="AN16" s="49">
        <v>3</v>
      </c>
      <c r="AO16" s="49">
        <v>4</v>
      </c>
      <c r="AP16" s="50">
        <v>0</v>
      </c>
      <c r="AQ16" s="56">
        <v>0</v>
      </c>
      <c r="AR16" s="57">
        <v>1548</v>
      </c>
      <c r="AS16" s="57">
        <v>0</v>
      </c>
      <c r="AT16" s="57">
        <v>20</v>
      </c>
      <c r="AU16" s="57">
        <v>0</v>
      </c>
      <c r="AV16" s="57">
        <v>0</v>
      </c>
      <c r="AW16" s="58">
        <v>0</v>
      </c>
      <c r="AX16" s="58">
        <v>0</v>
      </c>
      <c r="AY16" s="58">
        <v>0</v>
      </c>
      <c r="AZ16" s="58">
        <v>0</v>
      </c>
      <c r="BA16" s="57">
        <v>0</v>
      </c>
      <c r="BB16" s="57">
        <v>3602</v>
      </c>
      <c r="BC16" s="57">
        <v>0</v>
      </c>
      <c r="BD16" s="57"/>
      <c r="BE16" s="59">
        <v>18</v>
      </c>
      <c r="BF16" s="56">
        <v>0</v>
      </c>
      <c r="BG16" s="57">
        <v>1973</v>
      </c>
      <c r="BH16" s="57">
        <v>0</v>
      </c>
      <c r="BI16" s="57">
        <v>24</v>
      </c>
      <c r="BJ16" s="57">
        <v>0</v>
      </c>
      <c r="BK16" s="57">
        <v>0</v>
      </c>
      <c r="BL16" s="58">
        <v>0</v>
      </c>
      <c r="BM16" s="58">
        <v>0</v>
      </c>
      <c r="BN16" s="58">
        <v>0</v>
      </c>
      <c r="BO16" s="58">
        <v>0</v>
      </c>
      <c r="BP16" s="57">
        <v>0</v>
      </c>
      <c r="BQ16" s="57">
        <v>3564</v>
      </c>
      <c r="BR16" s="57">
        <v>0</v>
      </c>
      <c r="BS16" s="57"/>
      <c r="BT16" s="59">
        <v>27</v>
      </c>
      <c r="BU16" s="56">
        <v>217</v>
      </c>
      <c r="BV16" s="57">
        <v>2090</v>
      </c>
      <c r="BW16" s="57">
        <v>3</v>
      </c>
      <c r="BX16" s="57">
        <v>19</v>
      </c>
      <c r="BY16" s="57">
        <v>41</v>
      </c>
      <c r="BZ16" s="57">
        <v>14</v>
      </c>
      <c r="CA16" s="58">
        <v>5.3</v>
      </c>
      <c r="CB16" s="58">
        <v>160.30000000000001</v>
      </c>
      <c r="CC16" s="58">
        <v>4.24</v>
      </c>
      <c r="CD16" s="58">
        <v>45.6</v>
      </c>
      <c r="CE16" s="57">
        <v>92</v>
      </c>
      <c r="CF16" s="57">
        <v>3153</v>
      </c>
      <c r="CG16" s="57">
        <v>4</v>
      </c>
      <c r="CH16" s="57"/>
      <c r="CI16" s="59">
        <v>26</v>
      </c>
      <c r="CJ16" s="56">
        <v>616</v>
      </c>
      <c r="CK16" s="57">
        <v>2489</v>
      </c>
      <c r="CL16" s="57">
        <v>6</v>
      </c>
      <c r="CM16" s="57">
        <v>25</v>
      </c>
      <c r="CN16" s="57">
        <v>109</v>
      </c>
      <c r="CO16" s="57">
        <v>31</v>
      </c>
      <c r="CP16" s="58">
        <v>5.7</v>
      </c>
      <c r="CQ16" s="58">
        <v>107.9</v>
      </c>
      <c r="CR16" s="58">
        <v>3.67</v>
      </c>
      <c r="CS16" s="58">
        <v>54.2</v>
      </c>
      <c r="CT16" s="57">
        <v>85</v>
      </c>
      <c r="CU16" s="57">
        <v>2175</v>
      </c>
      <c r="CV16" s="57">
        <v>4</v>
      </c>
      <c r="CW16" s="57"/>
      <c r="CX16" s="59">
        <v>19</v>
      </c>
      <c r="CY16" s="56">
        <v>687</v>
      </c>
      <c r="CZ16" s="57">
        <v>1535</v>
      </c>
      <c r="DA16" s="57">
        <v>8</v>
      </c>
      <c r="DB16" s="57">
        <v>16</v>
      </c>
      <c r="DC16" s="57">
        <v>115</v>
      </c>
      <c r="DD16" s="57">
        <v>36</v>
      </c>
      <c r="DE16" s="58">
        <v>6</v>
      </c>
      <c r="DF16" s="58">
        <v>118</v>
      </c>
      <c r="DG16" s="58">
        <v>3.54</v>
      </c>
      <c r="DH16" s="58">
        <v>49.6</v>
      </c>
      <c r="DI16" s="57">
        <v>140</v>
      </c>
      <c r="DJ16" s="57">
        <v>3239</v>
      </c>
      <c r="DK16" s="57">
        <v>14</v>
      </c>
      <c r="DL16" s="57"/>
      <c r="DM16" s="59">
        <v>27</v>
      </c>
      <c r="DN16" s="126"/>
      <c r="DO16" s="11"/>
      <c r="DP16" s="42"/>
    </row>
    <row r="17" spans="1:117" x14ac:dyDescent="0.2">
      <c r="A17" s="33">
        <v>15</v>
      </c>
      <c r="B17" s="34" t="s">
        <v>310</v>
      </c>
      <c r="C17" s="116">
        <v>5.927777777777778</v>
      </c>
      <c r="D17" s="117" t="s">
        <v>424</v>
      </c>
      <c r="E17" s="37">
        <v>1</v>
      </c>
      <c r="F17" s="118">
        <v>35825</v>
      </c>
      <c r="G17" s="119">
        <v>27.676712328767124</v>
      </c>
      <c r="H17" s="39" t="s">
        <v>389</v>
      </c>
      <c r="I17" s="119">
        <v>22.243835616438357</v>
      </c>
      <c r="J17" s="120">
        <v>70</v>
      </c>
      <c r="K17" s="120">
        <v>216</v>
      </c>
      <c r="L17" s="120">
        <v>4.62</v>
      </c>
      <c r="M17" s="40">
        <v>4</v>
      </c>
      <c r="N17" s="121">
        <v>0</v>
      </c>
      <c r="O17" s="122">
        <v>0.13059033989266547</v>
      </c>
      <c r="P17" s="122">
        <v>0.17104194857916102</v>
      </c>
      <c r="Q17" s="122">
        <v>0.17919596178114297</v>
      </c>
      <c r="R17" s="122">
        <v>0.16901911738431302</v>
      </c>
      <c r="S17" s="42">
        <v>0.17410753958272801</v>
      </c>
      <c r="T17" s="42">
        <v>0.17410753958272801</v>
      </c>
      <c r="U17" s="42">
        <v>6.1239193083573486E-2</v>
      </c>
      <c r="V17" s="42">
        <v>6.9053708439897693E-2</v>
      </c>
      <c r="W17" s="42">
        <v>6.9053708439897693E-2</v>
      </c>
      <c r="X17" s="43">
        <v>6.9053708439897693E-2</v>
      </c>
      <c r="Y17" s="44">
        <v>19.600000000000001</v>
      </c>
      <c r="Z17" s="45">
        <v>94.823470132593457</v>
      </c>
      <c r="AA17" s="45">
        <v>30.98938775510204</v>
      </c>
      <c r="AB17" s="45">
        <v>0.20588235294117646</v>
      </c>
      <c r="AC17" s="45">
        <v>6.1</v>
      </c>
      <c r="AD17" s="45">
        <v>69.099999999999994</v>
      </c>
      <c r="AE17" s="45">
        <v>3.73</v>
      </c>
      <c r="AF17" s="45">
        <v>39.4</v>
      </c>
      <c r="AG17" s="128">
        <v>3</v>
      </c>
      <c r="AH17" s="49">
        <v>7</v>
      </c>
      <c r="AI17" s="49">
        <v>6</v>
      </c>
      <c r="AJ17" s="49">
        <v>3</v>
      </c>
      <c r="AK17" s="49">
        <v>4</v>
      </c>
      <c r="AL17" s="49">
        <v>5</v>
      </c>
      <c r="AM17" s="49">
        <v>1</v>
      </c>
      <c r="AN17" s="49">
        <v>3</v>
      </c>
      <c r="AO17" s="49">
        <v>4</v>
      </c>
      <c r="AP17" s="50">
        <v>0</v>
      </c>
      <c r="AQ17" s="56">
        <v>0</v>
      </c>
      <c r="AR17" s="57">
        <v>1777</v>
      </c>
      <c r="AS17" s="57">
        <v>0</v>
      </c>
      <c r="AT17" s="57">
        <v>19</v>
      </c>
      <c r="AU17" s="57">
        <v>0</v>
      </c>
      <c r="AV17" s="57">
        <v>0</v>
      </c>
      <c r="AW17" s="58">
        <v>0</v>
      </c>
      <c r="AX17" s="58">
        <v>0</v>
      </c>
      <c r="AY17" s="58">
        <v>0</v>
      </c>
      <c r="AZ17" s="58">
        <v>0</v>
      </c>
      <c r="BA17" s="57">
        <v>0</v>
      </c>
      <c r="BB17" s="57">
        <v>2899</v>
      </c>
      <c r="BC17" s="57">
        <v>0</v>
      </c>
      <c r="BD17" s="57"/>
      <c r="BE17" s="59">
        <v>20</v>
      </c>
      <c r="BF17" s="56">
        <v>421</v>
      </c>
      <c r="BG17" s="57">
        <v>1667</v>
      </c>
      <c r="BH17" s="57">
        <v>1</v>
      </c>
      <c r="BI17" s="57">
        <v>11</v>
      </c>
      <c r="BJ17" s="57">
        <v>91</v>
      </c>
      <c r="BK17" s="57">
        <v>15</v>
      </c>
      <c r="BL17" s="58">
        <v>4.5999999999999996</v>
      </c>
      <c r="BM17" s="58">
        <v>45.9</v>
      </c>
      <c r="BN17" s="58">
        <v>2.73</v>
      </c>
      <c r="BO17" s="58">
        <v>31.8</v>
      </c>
      <c r="BP17" s="57">
        <v>163</v>
      </c>
      <c r="BQ17" s="57">
        <v>2805</v>
      </c>
      <c r="BR17" s="57">
        <v>10</v>
      </c>
      <c r="BS17" s="57"/>
      <c r="BT17" s="59">
        <v>18</v>
      </c>
      <c r="BU17" s="56">
        <v>552</v>
      </c>
      <c r="BV17" s="57">
        <v>1720</v>
      </c>
      <c r="BW17" s="57">
        <v>8</v>
      </c>
      <c r="BX17" s="57">
        <v>15</v>
      </c>
      <c r="BY17" s="57">
        <v>136</v>
      </c>
      <c r="BZ17" s="57">
        <v>28</v>
      </c>
      <c r="CA17" s="58">
        <v>4.0999999999999996</v>
      </c>
      <c r="CB17" s="58">
        <v>56.8</v>
      </c>
      <c r="CC17" s="58">
        <v>2.68</v>
      </c>
      <c r="CD17" s="58">
        <v>30.3</v>
      </c>
      <c r="CE17" s="57">
        <v>80</v>
      </c>
      <c r="CF17" s="57">
        <v>1975</v>
      </c>
      <c r="CG17" s="57">
        <v>10</v>
      </c>
      <c r="CH17" s="57"/>
      <c r="CI17" s="59">
        <v>10</v>
      </c>
      <c r="CJ17" s="56">
        <v>824</v>
      </c>
      <c r="CK17" s="57">
        <v>2771</v>
      </c>
      <c r="CL17" s="57">
        <v>7</v>
      </c>
      <c r="CM17" s="57">
        <v>23</v>
      </c>
      <c r="CN17" s="57">
        <v>134</v>
      </c>
      <c r="CO17" s="57">
        <v>17</v>
      </c>
      <c r="CP17" s="58">
        <v>6.1</v>
      </c>
      <c r="CQ17" s="58">
        <v>49.5</v>
      </c>
      <c r="CR17" s="58">
        <v>3.31</v>
      </c>
      <c r="CS17" s="58">
        <v>39.4</v>
      </c>
      <c r="CT17" s="57">
        <v>170</v>
      </c>
      <c r="CU17" s="57">
        <v>2776</v>
      </c>
      <c r="CV17" s="57">
        <v>5</v>
      </c>
      <c r="CW17" s="57"/>
      <c r="CX17" s="59">
        <v>28</v>
      </c>
      <c r="CY17" s="56">
        <v>676</v>
      </c>
      <c r="CZ17" s="57">
        <v>1687</v>
      </c>
      <c r="DA17" s="57">
        <v>6</v>
      </c>
      <c r="DB17" s="57">
        <v>21</v>
      </c>
      <c r="DC17" s="57">
        <v>132</v>
      </c>
      <c r="DD17" s="57">
        <v>24</v>
      </c>
      <c r="DE17" s="58">
        <v>5.0999999999999996</v>
      </c>
      <c r="DF17" s="58">
        <v>69.099999999999994</v>
      </c>
      <c r="DG17" s="58">
        <v>3.73</v>
      </c>
      <c r="DH17" s="58">
        <v>36.4</v>
      </c>
      <c r="DI17" s="57">
        <v>270</v>
      </c>
      <c r="DJ17" s="57">
        <v>3910</v>
      </c>
      <c r="DK17" s="57">
        <v>41</v>
      </c>
      <c r="DL17" s="57"/>
      <c r="DM17" s="59">
        <v>33</v>
      </c>
    </row>
    <row r="18" spans="1:117" x14ac:dyDescent="0.2">
      <c r="A18" s="33">
        <v>16</v>
      </c>
      <c r="B18" s="34" t="s">
        <v>134</v>
      </c>
      <c r="C18" s="116">
        <v>4.6500000000000004</v>
      </c>
      <c r="D18" s="117" t="s">
        <v>452</v>
      </c>
      <c r="E18" s="37">
        <v>5</v>
      </c>
      <c r="F18" s="118">
        <v>35754</v>
      </c>
      <c r="G18" s="119">
        <v>27.87123287671233</v>
      </c>
      <c r="H18" s="39" t="s">
        <v>469</v>
      </c>
      <c r="I18" s="119">
        <v>22.438356164383563</v>
      </c>
      <c r="J18" s="120">
        <v>70</v>
      </c>
      <c r="K18" s="120">
        <v>212</v>
      </c>
      <c r="L18" s="120">
        <v>4.49</v>
      </c>
      <c r="M18" s="40">
        <v>4</v>
      </c>
      <c r="N18" s="121">
        <v>0</v>
      </c>
      <c r="O18" s="122">
        <v>0</v>
      </c>
      <c r="P18" s="122">
        <v>0</v>
      </c>
      <c r="Q18" s="122">
        <v>0.30418170239864145</v>
      </c>
      <c r="R18" s="122">
        <v>0.23233360723089563</v>
      </c>
      <c r="S18" s="42">
        <v>0.26825765481476854</v>
      </c>
      <c r="T18" s="42">
        <v>0.22801900659255325</v>
      </c>
      <c r="U18" s="42">
        <v>6.7648089730108663E-2</v>
      </c>
      <c r="V18" s="42">
        <v>2.3157208088714937E-2</v>
      </c>
      <c r="W18" s="42">
        <v>4.54026489094118E-2</v>
      </c>
      <c r="X18" s="43">
        <v>3.859225157300003E-2</v>
      </c>
      <c r="Y18" s="44">
        <v>20.791780821917808</v>
      </c>
      <c r="Z18" s="45">
        <v>104.32310210825561</v>
      </c>
      <c r="AA18" s="45">
        <v>30.415510204081631</v>
      </c>
      <c r="AB18" s="45">
        <v>0.19213973799126638</v>
      </c>
      <c r="AC18" s="45">
        <v>5.5</v>
      </c>
      <c r="AD18" s="45">
        <v>51.3</v>
      </c>
      <c r="AE18" s="45">
        <v>2.85</v>
      </c>
      <c r="AF18" s="45">
        <v>40</v>
      </c>
      <c r="AG18" s="128">
        <v>4</v>
      </c>
      <c r="AH18" s="49">
        <v>4</v>
      </c>
      <c r="AI18" s="49">
        <v>3</v>
      </c>
      <c r="AJ18" s="49">
        <v>7</v>
      </c>
      <c r="AK18" s="49">
        <v>3</v>
      </c>
      <c r="AL18" s="49">
        <v>3</v>
      </c>
      <c r="AM18" s="49">
        <v>0</v>
      </c>
      <c r="AN18" s="49">
        <v>0</v>
      </c>
      <c r="AO18" s="49">
        <v>4</v>
      </c>
      <c r="AP18" s="50">
        <v>0</v>
      </c>
      <c r="AQ18" s="56">
        <v>0</v>
      </c>
      <c r="AR18" s="57">
        <v>2308</v>
      </c>
      <c r="AS18" s="57">
        <v>0</v>
      </c>
      <c r="AT18" s="57">
        <v>26</v>
      </c>
      <c r="AU18" s="57">
        <v>0</v>
      </c>
      <c r="AV18" s="57">
        <v>0</v>
      </c>
      <c r="AW18" s="58">
        <v>0</v>
      </c>
      <c r="AX18" s="58">
        <v>0</v>
      </c>
      <c r="AY18" s="58">
        <v>0</v>
      </c>
      <c r="AZ18" s="58">
        <v>0</v>
      </c>
      <c r="BA18" s="57">
        <v>0</v>
      </c>
      <c r="BB18" s="57">
        <v>3749</v>
      </c>
      <c r="BC18" s="57">
        <v>0</v>
      </c>
      <c r="BD18" s="57"/>
      <c r="BE18" s="59">
        <v>23</v>
      </c>
      <c r="BF18" s="56">
        <v>0</v>
      </c>
      <c r="BG18" s="57">
        <v>1011</v>
      </c>
      <c r="BH18" s="57">
        <v>0</v>
      </c>
      <c r="BI18" s="57">
        <v>13</v>
      </c>
      <c r="BJ18" s="57">
        <v>0</v>
      </c>
      <c r="BK18" s="57">
        <v>0</v>
      </c>
      <c r="BL18" s="58">
        <v>0</v>
      </c>
      <c r="BM18" s="58">
        <v>0</v>
      </c>
      <c r="BN18" s="58">
        <v>0</v>
      </c>
      <c r="BO18" s="58">
        <v>0</v>
      </c>
      <c r="BP18" s="57">
        <v>0</v>
      </c>
      <c r="BQ18" s="57">
        <v>3547</v>
      </c>
      <c r="BR18" s="57">
        <v>0</v>
      </c>
      <c r="BS18" s="57"/>
      <c r="BT18" s="59">
        <v>22</v>
      </c>
      <c r="BU18" s="56">
        <v>0</v>
      </c>
      <c r="BV18" s="57">
        <v>1474</v>
      </c>
      <c r="BW18" s="57">
        <v>0</v>
      </c>
      <c r="BX18" s="57">
        <v>19</v>
      </c>
      <c r="BY18" s="57">
        <v>0</v>
      </c>
      <c r="BZ18" s="57">
        <v>0</v>
      </c>
      <c r="CA18" s="58">
        <v>0</v>
      </c>
      <c r="CB18" s="58">
        <v>0</v>
      </c>
      <c r="CC18" s="58">
        <v>0</v>
      </c>
      <c r="CD18" s="58">
        <v>0</v>
      </c>
      <c r="CE18" s="57">
        <v>0</v>
      </c>
      <c r="CF18" s="57">
        <v>4478</v>
      </c>
      <c r="CG18" s="57">
        <v>0</v>
      </c>
      <c r="CH18" s="57"/>
      <c r="CI18" s="59">
        <v>31</v>
      </c>
      <c r="CJ18" s="56">
        <v>1240</v>
      </c>
      <c r="CK18" s="57">
        <v>1858</v>
      </c>
      <c r="CL18" s="57">
        <v>12</v>
      </c>
      <c r="CM18" s="57">
        <v>20</v>
      </c>
      <c r="CN18" s="57">
        <v>225</v>
      </c>
      <c r="CO18" s="57">
        <v>34</v>
      </c>
      <c r="CP18" s="58">
        <v>5.5</v>
      </c>
      <c r="CQ18" s="58">
        <v>43</v>
      </c>
      <c r="CR18" s="58">
        <v>2.85</v>
      </c>
      <c r="CS18" s="58">
        <v>40</v>
      </c>
      <c r="CT18" s="57">
        <v>193</v>
      </c>
      <c r="CU18" s="57">
        <v>2853</v>
      </c>
      <c r="CV18" s="57">
        <v>4</v>
      </c>
      <c r="CW18" s="57"/>
      <c r="CX18" s="59">
        <v>13</v>
      </c>
      <c r="CY18" s="56">
        <v>1060</v>
      </c>
      <c r="CZ18" s="57">
        <v>1802</v>
      </c>
      <c r="DA18" s="57">
        <v>12</v>
      </c>
      <c r="DB18" s="57">
        <v>18</v>
      </c>
      <c r="DC18" s="57">
        <v>229</v>
      </c>
      <c r="DD18" s="57">
        <v>44</v>
      </c>
      <c r="DE18" s="58">
        <v>4.5999999999999996</v>
      </c>
      <c r="DF18" s="58">
        <v>51.3</v>
      </c>
      <c r="DG18" s="58">
        <v>2.8</v>
      </c>
      <c r="DH18" s="58">
        <v>25.6</v>
      </c>
      <c r="DI18" s="57">
        <v>71</v>
      </c>
      <c r="DJ18" s="57">
        <v>3066</v>
      </c>
      <c r="DK18" s="57">
        <v>11</v>
      </c>
      <c r="DL18" s="57"/>
      <c r="DM18" s="59">
        <v>22</v>
      </c>
    </row>
    <row r="19" spans="1:117" x14ac:dyDescent="0.2">
      <c r="A19" s="33">
        <v>17</v>
      </c>
      <c r="B19" s="34" t="s">
        <v>340</v>
      </c>
      <c r="C19" s="116">
        <v>4.1222222222222227</v>
      </c>
      <c r="D19" s="117" t="s">
        <v>538</v>
      </c>
      <c r="E19" s="37">
        <v>4</v>
      </c>
      <c r="F19" s="118">
        <v>35799</v>
      </c>
      <c r="G19" s="119">
        <v>27.747945205479454</v>
      </c>
      <c r="H19" s="39" t="s">
        <v>498</v>
      </c>
      <c r="I19" s="119">
        <v>22.315068493150687</v>
      </c>
      <c r="J19" s="120">
        <v>65</v>
      </c>
      <c r="K19" s="120">
        <v>185</v>
      </c>
      <c r="L19" s="120">
        <v>4.6100000000000003</v>
      </c>
      <c r="M19" s="40">
        <v>0</v>
      </c>
      <c r="N19" s="121">
        <v>0</v>
      </c>
      <c r="O19" s="122">
        <v>5.5880572927173695E-2</v>
      </c>
      <c r="P19" s="122">
        <v>0.13843494657448147</v>
      </c>
      <c r="Q19" s="122">
        <v>0.28386744355426075</v>
      </c>
      <c r="R19" s="122">
        <v>0.191441014959288</v>
      </c>
      <c r="S19" s="42">
        <v>0.23765422925677437</v>
      </c>
      <c r="T19" s="42">
        <v>0.21388880633109694</v>
      </c>
      <c r="U19" s="42">
        <v>4.3421482206986613E-2</v>
      </c>
      <c r="V19" s="42">
        <v>9.1450046977763863E-2</v>
      </c>
      <c r="W19" s="42">
        <v>9.1450046977763863E-2</v>
      </c>
      <c r="X19" s="43">
        <v>8.2305042279987473E-2</v>
      </c>
      <c r="Y19" s="44">
        <v>20.668493150684931</v>
      </c>
      <c r="Z19" s="45">
        <v>81.921523914666722</v>
      </c>
      <c r="AA19" s="45">
        <v>30.782248520710063</v>
      </c>
      <c r="AB19" s="45">
        <v>0.25850340136054423</v>
      </c>
      <c r="AC19" s="45">
        <v>5.6</v>
      </c>
      <c r="AD19" s="45">
        <v>88</v>
      </c>
      <c r="AE19" s="45">
        <v>3.3</v>
      </c>
      <c r="AF19" s="45">
        <v>36.9</v>
      </c>
      <c r="AG19" s="128">
        <v>4</v>
      </c>
      <c r="AH19" s="49">
        <v>8</v>
      </c>
      <c r="AI19" s="49">
        <v>3</v>
      </c>
      <c r="AJ19" s="49">
        <v>0</v>
      </c>
      <c r="AK19" s="49">
        <v>6</v>
      </c>
      <c r="AL19" s="49">
        <v>3</v>
      </c>
      <c r="AM19" s="49">
        <v>3</v>
      </c>
      <c r="AN19" s="49">
        <v>1</v>
      </c>
      <c r="AO19" s="49">
        <v>0</v>
      </c>
      <c r="AP19" s="50">
        <v>0</v>
      </c>
      <c r="AQ19" s="56">
        <v>0</v>
      </c>
      <c r="AR19" s="57">
        <v>2886</v>
      </c>
      <c r="AS19" s="57">
        <v>0</v>
      </c>
      <c r="AT19" s="57">
        <v>31</v>
      </c>
      <c r="AU19" s="57">
        <v>0</v>
      </c>
      <c r="AV19" s="57">
        <v>0</v>
      </c>
      <c r="AW19" s="58">
        <v>0</v>
      </c>
      <c r="AX19" s="58">
        <v>0</v>
      </c>
      <c r="AY19" s="58">
        <v>0</v>
      </c>
      <c r="AZ19" s="58">
        <v>0</v>
      </c>
      <c r="BA19" s="57">
        <v>0</v>
      </c>
      <c r="BB19" s="57">
        <v>3548</v>
      </c>
      <c r="BC19" s="57">
        <v>0</v>
      </c>
      <c r="BD19" s="57"/>
      <c r="BE19" s="59">
        <v>27</v>
      </c>
      <c r="BF19" s="56">
        <v>261</v>
      </c>
      <c r="BG19" s="57">
        <v>2820</v>
      </c>
      <c r="BH19" s="57">
        <v>2</v>
      </c>
      <c r="BI19" s="57">
        <v>26</v>
      </c>
      <c r="BJ19" s="57">
        <v>38</v>
      </c>
      <c r="BK19" s="57">
        <v>11</v>
      </c>
      <c r="BL19" s="58">
        <v>6.9</v>
      </c>
      <c r="BM19" s="58">
        <v>152.19999999999999</v>
      </c>
      <c r="BN19" s="58">
        <v>4.68</v>
      </c>
      <c r="BO19" s="58">
        <v>64</v>
      </c>
      <c r="BP19" s="57">
        <v>16</v>
      </c>
      <c r="BQ19" s="57">
        <v>2137</v>
      </c>
      <c r="BR19" s="57">
        <v>2</v>
      </c>
      <c r="BS19" s="57"/>
      <c r="BT19" s="59">
        <v>13</v>
      </c>
      <c r="BU19" s="56">
        <v>836</v>
      </c>
      <c r="BV19" s="57">
        <v>4021</v>
      </c>
      <c r="BW19" s="57">
        <v>5</v>
      </c>
      <c r="BX19" s="57">
        <v>48</v>
      </c>
      <c r="BY19" s="57">
        <v>145</v>
      </c>
      <c r="BZ19" s="57">
        <v>32</v>
      </c>
      <c r="CA19" s="58">
        <v>5.8</v>
      </c>
      <c r="CB19" s="58">
        <v>63.9</v>
      </c>
      <c r="CC19" s="58">
        <v>2.71</v>
      </c>
      <c r="CD19" s="58">
        <v>45.8</v>
      </c>
      <c r="CE19" s="57">
        <v>45</v>
      </c>
      <c r="CF19" s="57">
        <v>2343</v>
      </c>
      <c r="CG19" s="57">
        <v>12</v>
      </c>
      <c r="CH19" s="57"/>
      <c r="CI19" s="59">
        <v>19</v>
      </c>
      <c r="CJ19" s="56">
        <v>1426</v>
      </c>
      <c r="CK19" s="57">
        <v>2429</v>
      </c>
      <c r="CL19" s="57">
        <v>6</v>
      </c>
      <c r="CM19" s="57">
        <v>14</v>
      </c>
      <c r="CN19" s="57">
        <v>254</v>
      </c>
      <c r="CO19" s="57">
        <v>46</v>
      </c>
      <c r="CP19" s="58">
        <v>5.6</v>
      </c>
      <c r="CQ19" s="58">
        <v>44.2</v>
      </c>
      <c r="CR19" s="58">
        <v>2.48</v>
      </c>
      <c r="CS19" s="58">
        <v>36.9</v>
      </c>
      <c r="CT19" s="57">
        <v>133</v>
      </c>
      <c r="CU19" s="57">
        <v>3063</v>
      </c>
      <c r="CV19" s="57">
        <v>2</v>
      </c>
      <c r="CW19" s="57"/>
      <c r="CX19" s="59">
        <v>29</v>
      </c>
      <c r="CY19" s="56">
        <v>719</v>
      </c>
      <c r="CZ19" s="57">
        <v>2088</v>
      </c>
      <c r="DA19" s="57">
        <v>5</v>
      </c>
      <c r="DB19" s="57">
        <v>19</v>
      </c>
      <c r="DC19" s="57">
        <v>147</v>
      </c>
      <c r="DD19" s="57">
        <v>38</v>
      </c>
      <c r="DE19" s="58">
        <v>4.9000000000000004</v>
      </c>
      <c r="DF19" s="58">
        <v>88</v>
      </c>
      <c r="DG19" s="58">
        <v>3.3</v>
      </c>
      <c r="DH19" s="58">
        <v>21.4</v>
      </c>
      <c r="DI19" s="57">
        <v>292</v>
      </c>
      <c r="DJ19" s="57">
        <v>3193</v>
      </c>
      <c r="DK19" s="57">
        <v>33</v>
      </c>
      <c r="DL19" s="57"/>
      <c r="DM19" s="59">
        <v>23</v>
      </c>
    </row>
    <row r="20" spans="1:117" x14ac:dyDescent="0.2">
      <c r="A20" s="33">
        <v>18</v>
      </c>
      <c r="B20" s="34" t="s">
        <v>346</v>
      </c>
      <c r="C20" s="116">
        <v>4.0444444444444452</v>
      </c>
      <c r="D20" s="117" t="s">
        <v>407</v>
      </c>
      <c r="E20" s="37">
        <v>1</v>
      </c>
      <c r="F20" s="118">
        <v>35960</v>
      </c>
      <c r="G20" s="119">
        <v>27.306849315068494</v>
      </c>
      <c r="H20" s="39" t="s">
        <v>389</v>
      </c>
      <c r="I20" s="119">
        <v>21.873972602739727</v>
      </c>
      <c r="J20" s="120">
        <v>71</v>
      </c>
      <c r="K20" s="120">
        <v>209</v>
      </c>
      <c r="L20" s="120">
        <v>4.54</v>
      </c>
      <c r="M20" s="40">
        <v>0</v>
      </c>
      <c r="N20" s="121">
        <v>0</v>
      </c>
      <c r="O20" s="122">
        <v>0.17817618415227976</v>
      </c>
      <c r="P20" s="122">
        <v>8.6946599726152443E-2</v>
      </c>
      <c r="Q20" s="122">
        <v>0.14187601662750768</v>
      </c>
      <c r="R20" s="122">
        <v>0.14900291283889761</v>
      </c>
      <c r="S20" s="42">
        <v>0.16358954849558868</v>
      </c>
      <c r="T20" s="42">
        <v>0.16358954849558868</v>
      </c>
      <c r="U20" s="42">
        <v>3.7496475895122637E-2</v>
      </c>
      <c r="V20" s="42">
        <v>6.2617172853393327E-2</v>
      </c>
      <c r="W20" s="42">
        <v>6.2617172853393327E-2</v>
      </c>
      <c r="X20" s="43">
        <v>6.2617172853393327E-2</v>
      </c>
      <c r="Y20" s="44">
        <v>18.227397260273971</v>
      </c>
      <c r="Z20" s="45">
        <v>98.390432663316361</v>
      </c>
      <c r="AA20" s="45">
        <v>29.146399523903987</v>
      </c>
      <c r="AB20" s="45">
        <v>0.20754716981132076</v>
      </c>
      <c r="AC20" s="45">
        <v>5.3</v>
      </c>
      <c r="AD20" s="45">
        <v>69.3</v>
      </c>
      <c r="AE20" s="45">
        <v>3.36</v>
      </c>
      <c r="AF20" s="45">
        <v>42.2</v>
      </c>
      <c r="AG20" s="128">
        <v>2</v>
      </c>
      <c r="AH20" s="49">
        <v>6</v>
      </c>
      <c r="AI20" s="49">
        <v>10</v>
      </c>
      <c r="AJ20" s="49">
        <v>4</v>
      </c>
      <c r="AK20" s="49">
        <v>4</v>
      </c>
      <c r="AL20" s="49">
        <v>2</v>
      </c>
      <c r="AM20" s="49">
        <v>1</v>
      </c>
      <c r="AN20" s="49">
        <v>1</v>
      </c>
      <c r="AO20" s="49">
        <v>0</v>
      </c>
      <c r="AP20" s="50">
        <v>0</v>
      </c>
      <c r="AQ20" s="56">
        <v>0</v>
      </c>
      <c r="AR20" s="57">
        <v>1856</v>
      </c>
      <c r="AS20" s="57">
        <v>0</v>
      </c>
      <c r="AT20" s="57">
        <v>11</v>
      </c>
      <c r="AU20" s="57">
        <v>0</v>
      </c>
      <c r="AV20" s="57">
        <v>0</v>
      </c>
      <c r="AW20" s="58">
        <v>0</v>
      </c>
      <c r="AX20" s="58">
        <v>0</v>
      </c>
      <c r="AY20" s="58">
        <v>0</v>
      </c>
      <c r="AZ20" s="58">
        <v>0</v>
      </c>
      <c r="BA20" s="57">
        <v>0</v>
      </c>
      <c r="BB20" s="57">
        <v>2490</v>
      </c>
      <c r="BC20" s="57">
        <v>0</v>
      </c>
      <c r="BD20" s="57"/>
      <c r="BE20" s="59">
        <v>17</v>
      </c>
      <c r="BF20" s="56">
        <v>750</v>
      </c>
      <c r="BG20" s="57">
        <v>1747</v>
      </c>
      <c r="BH20" s="57">
        <v>6</v>
      </c>
      <c r="BI20" s="57">
        <v>20</v>
      </c>
      <c r="BJ20" s="57">
        <v>134</v>
      </c>
      <c r="BK20" s="57">
        <v>29</v>
      </c>
      <c r="BL20" s="58">
        <v>5.6</v>
      </c>
      <c r="BM20" s="58">
        <v>69.099999999999994</v>
      </c>
      <c r="BN20" s="58">
        <v>3.32</v>
      </c>
      <c r="BO20" s="58">
        <v>36.9</v>
      </c>
      <c r="BP20" s="57">
        <v>55</v>
      </c>
      <c r="BQ20" s="57">
        <v>2771</v>
      </c>
      <c r="BR20" s="57">
        <v>15</v>
      </c>
      <c r="BS20" s="57"/>
      <c r="BT20" s="59">
        <v>12</v>
      </c>
      <c r="BU20" s="56">
        <v>253</v>
      </c>
      <c r="BV20" s="57">
        <v>1588</v>
      </c>
      <c r="BW20" s="57">
        <v>2</v>
      </c>
      <c r="BX20" s="57">
        <v>16</v>
      </c>
      <c r="BY20" s="57">
        <v>65</v>
      </c>
      <c r="BZ20" s="57">
        <v>10</v>
      </c>
      <c r="CA20" s="58">
        <v>3.9</v>
      </c>
      <c r="CB20" s="58">
        <v>47.4</v>
      </c>
      <c r="CC20" s="58">
        <v>2.77</v>
      </c>
      <c r="CD20" s="58">
        <v>18.600000000000001</v>
      </c>
      <c r="CE20" s="57">
        <v>128</v>
      </c>
      <c r="CF20" s="57">
        <v>2794</v>
      </c>
      <c r="CG20" s="57">
        <v>11</v>
      </c>
      <c r="CH20" s="57"/>
      <c r="CI20" s="59">
        <v>18</v>
      </c>
      <c r="CJ20" s="56">
        <v>652</v>
      </c>
      <c r="CK20" s="57">
        <v>1986</v>
      </c>
      <c r="CL20" s="57">
        <v>4</v>
      </c>
      <c r="CM20" s="57">
        <v>15</v>
      </c>
      <c r="CN20" s="57">
        <v>123</v>
      </c>
      <c r="CO20" s="57">
        <v>18</v>
      </c>
      <c r="CP20" s="58">
        <v>5.3</v>
      </c>
      <c r="CQ20" s="58">
        <v>49</v>
      </c>
      <c r="CR20" s="58">
        <v>3.36</v>
      </c>
      <c r="CS20" s="58">
        <v>40</v>
      </c>
      <c r="CT20" s="57">
        <v>133</v>
      </c>
      <c r="CU20" s="57">
        <v>3547</v>
      </c>
      <c r="CV20" s="57">
        <v>2</v>
      </c>
      <c r="CW20" s="57"/>
      <c r="CX20" s="59">
        <v>32</v>
      </c>
      <c r="CY20" s="56">
        <v>498</v>
      </c>
      <c r="CZ20" s="57">
        <v>1796</v>
      </c>
      <c r="DA20" s="57">
        <v>4</v>
      </c>
      <c r="DB20" s="57">
        <v>18</v>
      </c>
      <c r="DC20" s="57">
        <v>106</v>
      </c>
      <c r="DD20" s="57">
        <v>22</v>
      </c>
      <c r="DE20" s="58">
        <v>4.7</v>
      </c>
      <c r="DF20" s="58">
        <v>69.3</v>
      </c>
      <c r="DG20" s="58">
        <v>3.06</v>
      </c>
      <c r="DH20" s="58">
        <v>42.2</v>
      </c>
      <c r="DI20" s="57">
        <v>167</v>
      </c>
      <c r="DJ20" s="57">
        <v>2667</v>
      </c>
      <c r="DK20" s="57">
        <v>22</v>
      </c>
      <c r="DL20" s="57"/>
      <c r="DM20" s="59">
        <v>12</v>
      </c>
    </row>
    <row r="21" spans="1:117" ht="15.75" customHeight="1" x14ac:dyDescent="0.2">
      <c r="A21" s="33">
        <v>19</v>
      </c>
      <c r="B21" s="34" t="s">
        <v>349</v>
      </c>
      <c r="C21" s="116">
        <v>3.7611111111111111</v>
      </c>
      <c r="D21" s="117" t="s">
        <v>539</v>
      </c>
      <c r="E21" s="37">
        <v>3</v>
      </c>
      <c r="F21" s="118">
        <v>35683</v>
      </c>
      <c r="G21" s="119">
        <v>28.065753424657533</v>
      </c>
      <c r="H21" s="39" t="s">
        <v>389</v>
      </c>
      <c r="I21" s="119">
        <v>22.632876712328766</v>
      </c>
      <c r="J21" s="120">
        <v>70</v>
      </c>
      <c r="K21" s="120">
        <v>208</v>
      </c>
      <c r="L21" s="120">
        <v>4.6100000000000003</v>
      </c>
      <c r="M21" s="40">
        <v>0</v>
      </c>
      <c r="N21" s="121">
        <v>0</v>
      </c>
      <c r="O21" s="122">
        <v>4.1355256601893375E-2</v>
      </c>
      <c r="P21" s="122">
        <v>0.14176179928437554</v>
      </c>
      <c r="Q21" s="122">
        <v>0.12894461859979101</v>
      </c>
      <c r="R21" s="122">
        <v>0.19582992641046607</v>
      </c>
      <c r="S21" s="42">
        <v>0.19582992641046607</v>
      </c>
      <c r="T21" s="42">
        <v>0.17624693376941947</v>
      </c>
      <c r="U21" s="42">
        <v>6.9116042197162608E-3</v>
      </c>
      <c r="V21" s="42">
        <v>5.2373158756137482E-2</v>
      </c>
      <c r="W21" s="42">
        <v>5.2373158756137482E-2</v>
      </c>
      <c r="X21" s="43">
        <v>4.7135842880523734E-2</v>
      </c>
      <c r="Y21" s="44">
        <v>22</v>
      </c>
      <c r="Z21" s="45">
        <v>92.106362022976626</v>
      </c>
      <c r="AA21" s="45">
        <v>29.841632653061225</v>
      </c>
      <c r="AB21" s="45">
        <v>0.28104575163398693</v>
      </c>
      <c r="AC21" s="45">
        <v>5.4</v>
      </c>
      <c r="AD21" s="45">
        <v>106.7</v>
      </c>
      <c r="AE21" s="45">
        <v>3.89</v>
      </c>
      <c r="AF21" s="45">
        <v>35.299999999999997</v>
      </c>
      <c r="AG21" s="128">
        <v>3</v>
      </c>
      <c r="AH21" s="49">
        <v>5</v>
      </c>
      <c r="AI21" s="49">
        <v>2</v>
      </c>
      <c r="AJ21" s="49">
        <v>2</v>
      </c>
      <c r="AK21" s="49">
        <v>8</v>
      </c>
      <c r="AL21" s="49">
        <v>2</v>
      </c>
      <c r="AM21" s="49">
        <v>5</v>
      </c>
      <c r="AN21" s="49">
        <v>4</v>
      </c>
      <c r="AO21" s="49">
        <v>0</v>
      </c>
      <c r="AP21" s="50">
        <v>0</v>
      </c>
      <c r="AQ21" s="56">
        <v>0</v>
      </c>
      <c r="AR21" s="57">
        <v>2800</v>
      </c>
      <c r="AS21" s="57">
        <v>0</v>
      </c>
      <c r="AT21" s="57">
        <v>26</v>
      </c>
      <c r="AU21" s="57">
        <v>0</v>
      </c>
      <c r="AV21" s="57">
        <v>0</v>
      </c>
      <c r="AW21" s="58">
        <v>0</v>
      </c>
      <c r="AX21" s="58">
        <v>0</v>
      </c>
      <c r="AY21" s="58">
        <v>0</v>
      </c>
      <c r="AZ21" s="58">
        <v>0</v>
      </c>
      <c r="BA21" s="57">
        <v>0</v>
      </c>
      <c r="BB21" s="57">
        <v>4517</v>
      </c>
      <c r="BC21" s="57">
        <v>0</v>
      </c>
      <c r="BD21" s="57"/>
      <c r="BE21" s="59">
        <v>39</v>
      </c>
      <c r="BF21" s="56">
        <v>229</v>
      </c>
      <c r="BG21" s="57">
        <v>2535</v>
      </c>
      <c r="BH21" s="57">
        <v>1</v>
      </c>
      <c r="BI21" s="57">
        <v>30</v>
      </c>
      <c r="BJ21" s="57">
        <v>27</v>
      </c>
      <c r="BK21" s="57">
        <v>6</v>
      </c>
      <c r="BL21" s="58">
        <v>8.5</v>
      </c>
      <c r="BM21" s="58">
        <v>74.5</v>
      </c>
      <c r="BN21" s="58">
        <v>3.41</v>
      </c>
      <c r="BO21" s="58">
        <v>42.4</v>
      </c>
      <c r="BP21" s="57">
        <v>20</v>
      </c>
      <c r="BQ21" s="57">
        <v>3486</v>
      </c>
      <c r="BR21" s="57">
        <v>5</v>
      </c>
      <c r="BS21" s="57"/>
      <c r="BT21" s="59">
        <v>18</v>
      </c>
      <c r="BU21" s="56">
        <v>750</v>
      </c>
      <c r="BV21" s="57">
        <v>2438</v>
      </c>
      <c r="BW21" s="57">
        <v>8</v>
      </c>
      <c r="BX21" s="57">
        <v>27</v>
      </c>
      <c r="BY21" s="57">
        <v>127</v>
      </c>
      <c r="BZ21" s="57">
        <v>28</v>
      </c>
      <c r="CA21" s="58">
        <v>5.9</v>
      </c>
      <c r="CB21" s="58">
        <v>65.599999999999994</v>
      </c>
      <c r="CC21" s="58">
        <v>2.9</v>
      </c>
      <c r="CD21" s="58">
        <v>31.3</v>
      </c>
      <c r="CE21" s="57">
        <v>82</v>
      </c>
      <c r="CF21" s="57">
        <v>3431</v>
      </c>
      <c r="CG21" s="57">
        <v>10</v>
      </c>
      <c r="CH21" s="57"/>
      <c r="CI21" s="59">
        <v>28</v>
      </c>
      <c r="CJ21" s="56">
        <v>598</v>
      </c>
      <c r="CK21" s="57">
        <v>2036</v>
      </c>
      <c r="CL21" s="57">
        <v>3</v>
      </c>
      <c r="CM21" s="57">
        <v>14</v>
      </c>
      <c r="CN21" s="57">
        <v>124</v>
      </c>
      <c r="CO21" s="57">
        <v>25</v>
      </c>
      <c r="CP21" s="58">
        <v>4.8</v>
      </c>
      <c r="CQ21" s="58">
        <v>62.8</v>
      </c>
      <c r="CR21" s="58">
        <v>3.05</v>
      </c>
      <c r="CS21" s="58">
        <v>23.6</v>
      </c>
      <c r="CT21" s="57">
        <v>19</v>
      </c>
      <c r="CU21" s="57">
        <v>2749</v>
      </c>
      <c r="CV21" s="57">
        <v>2</v>
      </c>
      <c r="CW21" s="57"/>
      <c r="CX21" s="59">
        <v>18</v>
      </c>
      <c r="CY21" s="56">
        <v>830</v>
      </c>
      <c r="CZ21" s="57">
        <v>2448</v>
      </c>
      <c r="DA21" s="57">
        <v>6</v>
      </c>
      <c r="DB21" s="57">
        <v>23</v>
      </c>
      <c r="DC21" s="57">
        <v>153</v>
      </c>
      <c r="DD21" s="57">
        <v>43</v>
      </c>
      <c r="DE21" s="58">
        <v>5.4</v>
      </c>
      <c r="DF21" s="58">
        <v>106.7</v>
      </c>
      <c r="DG21" s="58">
        <v>3.89</v>
      </c>
      <c r="DH21" s="58">
        <v>35.299999999999997</v>
      </c>
      <c r="DI21" s="57">
        <v>128</v>
      </c>
      <c r="DJ21" s="57">
        <v>2444</v>
      </c>
      <c r="DK21" s="57">
        <v>22</v>
      </c>
      <c r="DL21" s="57"/>
      <c r="DM21" s="59">
        <v>15</v>
      </c>
    </row>
    <row r="22" spans="1:117" ht="15.75" customHeight="1" x14ac:dyDescent="0.2">
      <c r="A22" s="33">
        <v>20</v>
      </c>
      <c r="B22" s="34" t="s">
        <v>356</v>
      </c>
      <c r="C22" s="116">
        <v>2.9722222222222223</v>
      </c>
      <c r="D22" s="117" t="s">
        <v>449</v>
      </c>
      <c r="E22" s="37">
        <v>2</v>
      </c>
      <c r="F22" s="118">
        <v>35758</v>
      </c>
      <c r="G22" s="119">
        <v>27.860273972602741</v>
      </c>
      <c r="H22" s="39" t="s">
        <v>389</v>
      </c>
      <c r="I22" s="119">
        <v>22.427397260273974</v>
      </c>
      <c r="J22" s="120">
        <v>70</v>
      </c>
      <c r="K22" s="120">
        <v>220</v>
      </c>
      <c r="L22" s="120">
        <v>4.68</v>
      </c>
      <c r="M22" s="40">
        <v>0</v>
      </c>
      <c r="N22" s="121">
        <v>0</v>
      </c>
      <c r="O22" s="122">
        <v>0</v>
      </c>
      <c r="P22" s="122">
        <v>4.187403466620903E-2</v>
      </c>
      <c r="Q22" s="122">
        <v>9.5962244362873622E-2</v>
      </c>
      <c r="R22" s="122">
        <v>0.17127564674397858</v>
      </c>
      <c r="S22" s="42">
        <v>0.17127564674397858</v>
      </c>
      <c r="T22" s="42">
        <v>0.17127564674397858</v>
      </c>
      <c r="U22" s="42">
        <v>4.6907678518075889E-2</v>
      </c>
      <c r="V22" s="42">
        <v>3.1726662599145819E-2</v>
      </c>
      <c r="W22" s="42">
        <v>3.9317170558610851E-2</v>
      </c>
      <c r="X22" s="43">
        <v>3.9317170558610851E-2</v>
      </c>
      <c r="Y22" s="44">
        <v>21.794520547945204</v>
      </c>
      <c r="Z22" s="45">
        <v>91.721102040074257</v>
      </c>
      <c r="AA22" s="45">
        <v>31.563265306122446</v>
      </c>
      <c r="AB22" s="45">
        <v>0.22916666666666666</v>
      </c>
      <c r="AC22" s="45">
        <v>5.9</v>
      </c>
      <c r="AD22" s="45">
        <v>81.5</v>
      </c>
      <c r="AE22" s="45">
        <v>3.81</v>
      </c>
      <c r="AF22" s="45">
        <v>45.7</v>
      </c>
      <c r="AG22" s="128">
        <v>3</v>
      </c>
      <c r="AH22" s="49">
        <v>4</v>
      </c>
      <c r="AI22" s="49">
        <v>2</v>
      </c>
      <c r="AJ22" s="49">
        <v>2</v>
      </c>
      <c r="AK22" s="49">
        <v>5</v>
      </c>
      <c r="AL22" s="49">
        <v>4</v>
      </c>
      <c r="AM22" s="49">
        <v>2</v>
      </c>
      <c r="AN22" s="49">
        <v>3</v>
      </c>
      <c r="AO22" s="49">
        <v>0</v>
      </c>
      <c r="AP22" s="50">
        <v>0</v>
      </c>
      <c r="AQ22" s="56">
        <v>0</v>
      </c>
      <c r="AR22" s="57">
        <v>2699</v>
      </c>
      <c r="AS22" s="57">
        <v>0</v>
      </c>
      <c r="AT22" s="57">
        <v>29</v>
      </c>
      <c r="AU22" s="57">
        <v>0</v>
      </c>
      <c r="AV22" s="57">
        <v>0</v>
      </c>
      <c r="AW22" s="58">
        <v>0</v>
      </c>
      <c r="AX22" s="58">
        <v>0</v>
      </c>
      <c r="AY22" s="58">
        <v>0</v>
      </c>
      <c r="AZ22" s="58">
        <v>0</v>
      </c>
      <c r="BA22" s="57">
        <v>0</v>
      </c>
      <c r="BB22" s="57">
        <v>3364</v>
      </c>
      <c r="BC22" s="57">
        <v>0</v>
      </c>
      <c r="BD22" s="57"/>
      <c r="BE22" s="59">
        <v>25</v>
      </c>
      <c r="BF22" s="56">
        <v>0</v>
      </c>
      <c r="BG22" s="57">
        <v>1960</v>
      </c>
      <c r="BH22" s="57">
        <v>0</v>
      </c>
      <c r="BI22" s="57">
        <v>18</v>
      </c>
      <c r="BJ22" s="57">
        <v>0</v>
      </c>
      <c r="BK22" s="57">
        <v>0</v>
      </c>
      <c r="BL22" s="58">
        <v>0</v>
      </c>
      <c r="BM22" s="58">
        <v>0</v>
      </c>
      <c r="BN22" s="58">
        <v>0</v>
      </c>
      <c r="BO22" s="58">
        <v>0</v>
      </c>
      <c r="BP22" s="57">
        <v>0</v>
      </c>
      <c r="BQ22" s="57">
        <v>3051</v>
      </c>
      <c r="BR22" s="57">
        <v>0</v>
      </c>
      <c r="BS22" s="57"/>
      <c r="BT22" s="59">
        <v>27</v>
      </c>
      <c r="BU22" s="56">
        <v>232</v>
      </c>
      <c r="BV22" s="57">
        <v>3501</v>
      </c>
      <c r="BW22" s="57">
        <v>3</v>
      </c>
      <c r="BX22" s="57">
        <v>35</v>
      </c>
      <c r="BY22" s="57">
        <v>44</v>
      </c>
      <c r="BZ22" s="57">
        <v>2</v>
      </c>
      <c r="CA22" s="58">
        <v>5.3</v>
      </c>
      <c r="CB22" s="58">
        <v>13.5</v>
      </c>
      <c r="CC22" s="58">
        <v>2.25</v>
      </c>
      <c r="CD22" s="58">
        <v>27.6</v>
      </c>
      <c r="CE22" s="57">
        <v>12</v>
      </c>
      <c r="CF22" s="57">
        <v>2326</v>
      </c>
      <c r="CG22" s="57">
        <v>6</v>
      </c>
      <c r="CH22" s="57"/>
      <c r="CI22" s="59">
        <v>20</v>
      </c>
      <c r="CJ22" s="56">
        <v>392</v>
      </c>
      <c r="CK22" s="57">
        <v>2374</v>
      </c>
      <c r="CL22" s="57">
        <v>3</v>
      </c>
      <c r="CM22" s="57">
        <v>27</v>
      </c>
      <c r="CN22" s="57">
        <v>83</v>
      </c>
      <c r="CO22" s="57">
        <v>9</v>
      </c>
      <c r="CP22" s="58">
        <v>4.7</v>
      </c>
      <c r="CQ22" s="58">
        <v>30.7</v>
      </c>
      <c r="CR22" s="58">
        <v>2.73</v>
      </c>
      <c r="CS22" s="58">
        <v>30.4</v>
      </c>
      <c r="CT22" s="57">
        <v>157</v>
      </c>
      <c r="CU22" s="57">
        <v>3347</v>
      </c>
      <c r="CV22" s="57">
        <v>1</v>
      </c>
      <c r="CW22" s="57"/>
      <c r="CX22" s="59">
        <v>23</v>
      </c>
      <c r="CY22" s="56">
        <v>856</v>
      </c>
      <c r="CZ22" s="57">
        <v>2327</v>
      </c>
      <c r="DA22" s="57">
        <v>6</v>
      </c>
      <c r="DB22" s="57">
        <v>20</v>
      </c>
      <c r="DC22" s="57">
        <v>144</v>
      </c>
      <c r="DD22" s="57">
        <v>33</v>
      </c>
      <c r="DE22" s="58">
        <v>5.9</v>
      </c>
      <c r="DF22" s="58">
        <v>81.5</v>
      </c>
      <c r="DG22" s="58">
        <v>3.81</v>
      </c>
      <c r="DH22" s="58">
        <v>45.7</v>
      </c>
      <c r="DI22" s="57">
        <v>104</v>
      </c>
      <c r="DJ22" s="57">
        <v>3278</v>
      </c>
      <c r="DK22" s="57">
        <v>15</v>
      </c>
      <c r="DL22" s="57"/>
      <c r="DM22" s="59">
        <v>37</v>
      </c>
    </row>
    <row r="23" spans="1:117" ht="15.75" customHeight="1" x14ac:dyDescent="0.2">
      <c r="A23" s="33">
        <v>21</v>
      </c>
      <c r="B23" s="34" t="s">
        <v>357</v>
      </c>
      <c r="C23" s="116">
        <v>2.7777777777777777</v>
      </c>
      <c r="D23" s="117" t="s">
        <v>463</v>
      </c>
      <c r="E23" s="37">
        <v>5</v>
      </c>
      <c r="F23" s="118">
        <v>36159</v>
      </c>
      <c r="G23" s="119">
        <v>26.761643835616439</v>
      </c>
      <c r="H23" s="39" t="s">
        <v>385</v>
      </c>
      <c r="I23" s="119">
        <v>21.328767123287673</v>
      </c>
      <c r="J23" s="120">
        <v>70</v>
      </c>
      <c r="K23" s="120">
        <v>197</v>
      </c>
      <c r="L23" s="120">
        <v>4.62</v>
      </c>
      <c r="M23" s="40">
        <v>0</v>
      </c>
      <c r="N23" s="121">
        <v>0</v>
      </c>
      <c r="O23" s="122">
        <v>0</v>
      </c>
      <c r="P23" s="122">
        <v>8.8218554354012518E-2</v>
      </c>
      <c r="Q23" s="122">
        <v>0.13178294573643412</v>
      </c>
      <c r="R23" s="122">
        <v>0.21706645694062132</v>
      </c>
      <c r="S23" s="42">
        <v>0.21706645694062132</v>
      </c>
      <c r="T23" s="42">
        <v>0.18450648839952813</v>
      </c>
      <c r="U23" s="42">
        <v>5.0943961642193586E-2</v>
      </c>
      <c r="V23" s="42">
        <v>3.0025284450063212E-2</v>
      </c>
      <c r="W23" s="42">
        <v>4.0484623046128397E-2</v>
      </c>
      <c r="X23" s="43">
        <v>3.4411929589209134E-2</v>
      </c>
      <c r="Y23" s="44">
        <v>20.695890410958903</v>
      </c>
      <c r="Z23" s="45">
        <v>86.482516741300515</v>
      </c>
      <c r="AA23" s="45">
        <v>28.263469387755105</v>
      </c>
      <c r="AB23" s="45">
        <v>0.18269230769230768</v>
      </c>
      <c r="AC23" s="45">
        <v>5.7</v>
      </c>
      <c r="AD23" s="45">
        <v>66</v>
      </c>
      <c r="AE23" s="45">
        <v>3.47</v>
      </c>
      <c r="AF23" s="45">
        <v>42.2</v>
      </c>
      <c r="AG23" s="128">
        <v>3</v>
      </c>
      <c r="AH23" s="49">
        <v>3</v>
      </c>
      <c r="AI23" s="49">
        <v>3</v>
      </c>
      <c r="AJ23" s="49">
        <v>1</v>
      </c>
      <c r="AK23" s="49">
        <v>2</v>
      </c>
      <c r="AL23" s="49">
        <v>3</v>
      </c>
      <c r="AM23" s="49">
        <v>1</v>
      </c>
      <c r="AN23" s="49">
        <v>1</v>
      </c>
      <c r="AO23" s="49">
        <v>0</v>
      </c>
      <c r="AP23" s="50">
        <v>0.25</v>
      </c>
      <c r="AQ23" s="56">
        <v>0</v>
      </c>
      <c r="AR23" s="57">
        <v>2130</v>
      </c>
      <c r="AS23" s="57">
        <v>0</v>
      </c>
      <c r="AT23" s="57">
        <v>27</v>
      </c>
      <c r="AU23" s="57">
        <v>0</v>
      </c>
      <c r="AV23" s="57">
        <v>0</v>
      </c>
      <c r="AW23" s="58">
        <v>0</v>
      </c>
      <c r="AX23" s="58">
        <v>0</v>
      </c>
      <c r="AY23" s="58">
        <v>0</v>
      </c>
      <c r="AZ23" s="58">
        <v>0</v>
      </c>
      <c r="BA23" s="57">
        <v>0</v>
      </c>
      <c r="BB23" s="57">
        <v>3110</v>
      </c>
      <c r="BC23" s="57">
        <v>0</v>
      </c>
      <c r="BD23" s="57"/>
      <c r="BE23" s="59">
        <v>17</v>
      </c>
      <c r="BF23" s="56">
        <v>0</v>
      </c>
      <c r="BG23" s="57">
        <v>2774</v>
      </c>
      <c r="BH23" s="57">
        <v>0</v>
      </c>
      <c r="BI23" s="57">
        <v>24</v>
      </c>
      <c r="BJ23" s="57">
        <v>0</v>
      </c>
      <c r="BK23" s="57">
        <v>0</v>
      </c>
      <c r="BL23" s="58">
        <v>0</v>
      </c>
      <c r="BM23" s="58">
        <v>0</v>
      </c>
      <c r="BN23" s="58">
        <v>0</v>
      </c>
      <c r="BO23" s="58">
        <v>0</v>
      </c>
      <c r="BP23" s="57">
        <v>0</v>
      </c>
      <c r="BQ23" s="57">
        <v>3623</v>
      </c>
      <c r="BR23" s="57">
        <v>0</v>
      </c>
      <c r="BS23" s="57"/>
      <c r="BT23" s="59">
        <v>47</v>
      </c>
      <c r="BU23" s="56">
        <v>388</v>
      </c>
      <c r="BV23" s="57">
        <v>2382</v>
      </c>
      <c r="BW23" s="57">
        <v>3</v>
      </c>
      <c r="BX23" s="57">
        <v>37</v>
      </c>
      <c r="BY23" s="57">
        <v>61</v>
      </c>
      <c r="BZ23" s="57">
        <v>13</v>
      </c>
      <c r="CA23" s="58">
        <v>6.4</v>
      </c>
      <c r="CB23" s="58">
        <v>76.8</v>
      </c>
      <c r="CC23" s="58">
        <v>3.34</v>
      </c>
      <c r="CD23" s="58">
        <v>44.1</v>
      </c>
      <c r="CE23" s="57">
        <v>77</v>
      </c>
      <c r="CF23" s="57">
        <v>2889</v>
      </c>
      <c r="CG23" s="57">
        <v>13</v>
      </c>
      <c r="CH23" s="57"/>
      <c r="CI23" s="59">
        <v>19</v>
      </c>
      <c r="CJ23" s="56">
        <v>595</v>
      </c>
      <c r="CK23" s="57">
        <v>2468</v>
      </c>
      <c r="CL23" s="57">
        <v>7</v>
      </c>
      <c r="CM23" s="57">
        <v>26</v>
      </c>
      <c r="CN23" s="57">
        <v>104</v>
      </c>
      <c r="CO23" s="57">
        <v>19</v>
      </c>
      <c r="CP23" s="58">
        <v>5.7</v>
      </c>
      <c r="CQ23" s="58">
        <v>66</v>
      </c>
      <c r="CR23" s="58">
        <v>3.3</v>
      </c>
      <c r="CS23" s="58">
        <v>42.2</v>
      </c>
      <c r="CT23" s="57">
        <v>170</v>
      </c>
      <c r="CU23" s="57">
        <v>3337</v>
      </c>
      <c r="CV23" s="57">
        <v>6</v>
      </c>
      <c r="CW23" s="57"/>
      <c r="CX23" s="59">
        <v>19</v>
      </c>
      <c r="CY23" s="56">
        <v>1009</v>
      </c>
      <c r="CZ23" s="57">
        <v>1922</v>
      </c>
      <c r="DA23" s="57">
        <v>11</v>
      </c>
      <c r="DB23" s="57">
        <v>24</v>
      </c>
      <c r="DC23" s="57">
        <v>187</v>
      </c>
      <c r="DD23" s="57">
        <v>30</v>
      </c>
      <c r="DE23" s="58">
        <v>5.4</v>
      </c>
      <c r="DF23" s="58">
        <v>57.8</v>
      </c>
      <c r="DG23" s="58">
        <v>3.47</v>
      </c>
      <c r="DH23" s="58">
        <v>29.9</v>
      </c>
      <c r="DI23" s="57">
        <v>95</v>
      </c>
      <c r="DJ23" s="57">
        <v>3164</v>
      </c>
      <c r="DK23" s="57">
        <v>17</v>
      </c>
      <c r="DL23" s="57"/>
      <c r="DM23" s="59">
        <v>24</v>
      </c>
    </row>
    <row r="24" spans="1:117" ht="15.75" customHeight="1" x14ac:dyDescent="0.2">
      <c r="A24" s="33">
        <v>21</v>
      </c>
      <c r="B24" s="34" t="s">
        <v>365</v>
      </c>
      <c r="C24" s="116">
        <v>2.7777777777777777</v>
      </c>
      <c r="D24" s="117" t="s">
        <v>540</v>
      </c>
      <c r="E24" s="37">
        <v>3</v>
      </c>
      <c r="F24" s="118">
        <v>35320</v>
      </c>
      <c r="G24" s="119">
        <v>29.06027397260274</v>
      </c>
      <c r="H24" s="39" t="s">
        <v>469</v>
      </c>
      <c r="I24" s="119">
        <v>23.627397260273973</v>
      </c>
      <c r="J24" s="120">
        <v>68</v>
      </c>
      <c r="K24" s="120">
        <v>205</v>
      </c>
      <c r="L24" s="120">
        <v>4.55</v>
      </c>
      <c r="M24" s="40">
        <v>0</v>
      </c>
      <c r="N24" s="121">
        <v>0</v>
      </c>
      <c r="O24" s="122">
        <v>9.5217071376011778E-2</v>
      </c>
      <c r="P24" s="122">
        <v>0.10857735164550401</v>
      </c>
      <c r="Q24" s="122">
        <v>0.10237935656836461</v>
      </c>
      <c r="R24" s="122">
        <v>0.13557024233180817</v>
      </c>
      <c r="S24" s="42">
        <v>0.13557024233180817</v>
      </c>
      <c r="T24" s="42">
        <v>0.12201321809862736</v>
      </c>
      <c r="U24" s="42">
        <v>4.5092838196286469E-2</v>
      </c>
      <c r="V24" s="42">
        <v>5.1526183141977037E-2</v>
      </c>
      <c r="W24" s="42">
        <v>5.1526183141977037E-2</v>
      </c>
      <c r="X24" s="43">
        <v>4.6373564827779337E-2</v>
      </c>
      <c r="Y24" s="44" t="s">
        <v>645</v>
      </c>
      <c r="Z24" s="45">
        <v>95.661738692057028</v>
      </c>
      <c r="AA24" s="45">
        <v>31.166738754325259</v>
      </c>
      <c r="AB24" s="45">
        <v>0.35365853658536583</v>
      </c>
      <c r="AC24" s="45">
        <v>5.7</v>
      </c>
      <c r="AD24" s="45">
        <v>94.8</v>
      </c>
      <c r="AE24" s="45">
        <v>3.84</v>
      </c>
      <c r="AF24" s="45">
        <v>50.2</v>
      </c>
      <c r="AG24" s="128">
        <v>1</v>
      </c>
      <c r="AH24" s="49">
        <v>5</v>
      </c>
      <c r="AI24" s="49">
        <v>0</v>
      </c>
      <c r="AJ24" s="49">
        <v>3</v>
      </c>
      <c r="AK24" s="49">
        <v>9</v>
      </c>
      <c r="AL24" s="49">
        <v>3</v>
      </c>
      <c r="AM24" s="49">
        <v>3</v>
      </c>
      <c r="AN24" s="49">
        <v>3</v>
      </c>
      <c r="AO24" s="49">
        <v>0</v>
      </c>
      <c r="AP24" s="50">
        <v>0</v>
      </c>
      <c r="AQ24" s="56">
        <v>0</v>
      </c>
      <c r="AR24" s="57">
        <v>4247</v>
      </c>
      <c r="AS24" s="57">
        <v>0</v>
      </c>
      <c r="AT24" s="57">
        <v>41</v>
      </c>
      <c r="AU24" s="57">
        <v>0</v>
      </c>
      <c r="AV24" s="57">
        <v>0</v>
      </c>
      <c r="AW24" s="58">
        <v>0</v>
      </c>
      <c r="AX24" s="58">
        <v>0</v>
      </c>
      <c r="AY24" s="58">
        <v>0</v>
      </c>
      <c r="AZ24" s="58">
        <v>0</v>
      </c>
      <c r="BA24" s="57">
        <v>0</v>
      </c>
      <c r="BB24" s="57">
        <v>3764</v>
      </c>
      <c r="BC24" s="57">
        <v>0</v>
      </c>
      <c r="BD24" s="57"/>
      <c r="BE24" s="59">
        <v>44</v>
      </c>
      <c r="BF24" s="56">
        <v>621</v>
      </c>
      <c r="BG24" s="57">
        <v>3143</v>
      </c>
      <c r="BH24" s="57">
        <v>3</v>
      </c>
      <c r="BI24" s="57">
        <v>25</v>
      </c>
      <c r="BJ24" s="57">
        <v>119</v>
      </c>
      <c r="BK24" s="57">
        <v>21</v>
      </c>
      <c r="BL24" s="58">
        <v>5.2</v>
      </c>
      <c r="BM24" s="58">
        <v>41.2</v>
      </c>
      <c r="BN24" s="58">
        <v>2.39</v>
      </c>
      <c r="BO24" s="58">
        <v>28.7</v>
      </c>
      <c r="BP24" s="57">
        <v>26</v>
      </c>
      <c r="BQ24" s="57">
        <v>3652</v>
      </c>
      <c r="BR24" s="57">
        <v>3</v>
      </c>
      <c r="BS24" s="57"/>
      <c r="BT24" s="59">
        <v>33</v>
      </c>
      <c r="BU24" s="56">
        <v>314</v>
      </c>
      <c r="BV24" s="57">
        <v>1407</v>
      </c>
      <c r="BW24" s="57">
        <v>1</v>
      </c>
      <c r="BX24" s="57">
        <v>10</v>
      </c>
      <c r="BY24" s="57">
        <v>76</v>
      </c>
      <c r="BZ24" s="57">
        <v>11</v>
      </c>
      <c r="CA24" s="58">
        <v>4.0999999999999996</v>
      </c>
      <c r="CB24" s="58">
        <v>50</v>
      </c>
      <c r="CC24" s="58">
        <v>2.66</v>
      </c>
      <c r="CD24" s="58">
        <v>29</v>
      </c>
      <c r="CE24" s="57">
        <v>105</v>
      </c>
      <c r="CF24" s="57">
        <v>2452</v>
      </c>
      <c r="CG24" s="57">
        <v>25</v>
      </c>
      <c r="CH24" s="57"/>
      <c r="CI24" s="59">
        <v>23</v>
      </c>
      <c r="CJ24" s="56">
        <v>441</v>
      </c>
      <c r="CK24" s="57">
        <v>2198</v>
      </c>
      <c r="CL24" s="57">
        <v>4</v>
      </c>
      <c r="CM24" s="57">
        <v>25</v>
      </c>
      <c r="CN24" s="57">
        <v>82</v>
      </c>
      <c r="CO24" s="57">
        <v>29</v>
      </c>
      <c r="CP24" s="58">
        <v>5.4</v>
      </c>
      <c r="CQ24" s="58">
        <v>94.8</v>
      </c>
      <c r="CR24" s="58">
        <v>2.77</v>
      </c>
      <c r="CS24" s="58">
        <v>39.5</v>
      </c>
      <c r="CT24" s="57">
        <v>170</v>
      </c>
      <c r="CU24" s="57">
        <v>3770</v>
      </c>
      <c r="CV24" s="57">
        <v>8</v>
      </c>
      <c r="CW24" s="57"/>
      <c r="CX24" s="59">
        <v>22</v>
      </c>
      <c r="CY24" s="56">
        <v>616</v>
      </c>
      <c r="CZ24" s="57">
        <v>2330</v>
      </c>
      <c r="DA24" s="57">
        <v>7</v>
      </c>
      <c r="DB24" s="57">
        <v>35</v>
      </c>
      <c r="DC24" s="57">
        <v>109</v>
      </c>
      <c r="DD24" s="57">
        <v>22</v>
      </c>
      <c r="DE24" s="58">
        <v>5.7</v>
      </c>
      <c r="DF24" s="58">
        <v>80.3</v>
      </c>
      <c r="DG24" s="58">
        <v>3.84</v>
      </c>
      <c r="DH24" s="58">
        <v>50.2</v>
      </c>
      <c r="DI24" s="57">
        <v>184</v>
      </c>
      <c r="DJ24" s="57">
        <v>3571</v>
      </c>
      <c r="DK24" s="57">
        <v>25</v>
      </c>
      <c r="DL24" s="57"/>
      <c r="DM24" s="59">
        <v>24</v>
      </c>
    </row>
    <row r="25" spans="1:117" ht="15.75" customHeight="1" thickBot="1" x14ac:dyDescent="0.25">
      <c r="A25" s="60">
        <v>23</v>
      </c>
      <c r="B25" s="62" t="s">
        <v>138</v>
      </c>
      <c r="C25" s="134">
        <v>2.2888888888888883</v>
      </c>
      <c r="D25" s="135" t="s">
        <v>503</v>
      </c>
      <c r="E25" s="66">
        <v>6</v>
      </c>
      <c r="F25" s="136">
        <v>35887</v>
      </c>
      <c r="G25" s="137">
        <v>27.506849315068493</v>
      </c>
      <c r="H25" s="68" t="s">
        <v>389</v>
      </c>
      <c r="I25" s="137">
        <v>22.073972602739726</v>
      </c>
      <c r="J25" s="138">
        <v>67</v>
      </c>
      <c r="K25" s="138">
        <v>188</v>
      </c>
      <c r="L25" s="138">
        <v>4.42</v>
      </c>
      <c r="M25" s="69">
        <v>7</v>
      </c>
      <c r="N25" s="140">
        <v>0</v>
      </c>
      <c r="O25" s="141">
        <v>2.5248165731549418E-2</v>
      </c>
      <c r="P25" s="141">
        <v>2.1120869928900041E-2</v>
      </c>
      <c r="Q25" s="141">
        <v>0.13720538720538722</v>
      </c>
      <c r="R25" s="141">
        <v>0.13876843018213356</v>
      </c>
      <c r="S25" s="71">
        <v>0.13876843018213356</v>
      </c>
      <c r="T25" s="71">
        <v>0.10407632263660016</v>
      </c>
      <c r="U25" s="71">
        <v>2.5017373175816541E-2</v>
      </c>
      <c r="V25" s="71">
        <v>2.4743512371756187E-2</v>
      </c>
      <c r="W25" s="71">
        <v>2.4880442773786364E-2</v>
      </c>
      <c r="X25" s="72">
        <v>1.8660332080339771E-2</v>
      </c>
      <c r="Y25" s="73" t="s">
        <v>645</v>
      </c>
      <c r="Z25" s="74">
        <v>98.514184710141507</v>
      </c>
      <c r="AA25" s="74">
        <v>29.44174649142348</v>
      </c>
      <c r="AB25" s="74">
        <v>0.19469026548672566</v>
      </c>
      <c r="AC25" s="74">
        <v>9.3000000000000007</v>
      </c>
      <c r="AD25" s="74">
        <v>80.900000000000006</v>
      </c>
      <c r="AE25" s="74">
        <v>5.03</v>
      </c>
      <c r="AF25" s="75">
        <v>62.4</v>
      </c>
      <c r="AG25" s="142">
        <v>0</v>
      </c>
      <c r="AH25" s="78">
        <v>1</v>
      </c>
      <c r="AI25" s="78">
        <v>0</v>
      </c>
      <c r="AJ25" s="78">
        <v>4</v>
      </c>
      <c r="AK25" s="78">
        <v>3</v>
      </c>
      <c r="AL25" s="215">
        <v>10</v>
      </c>
      <c r="AM25" s="78">
        <v>2</v>
      </c>
      <c r="AN25" s="78">
        <v>8</v>
      </c>
      <c r="AO25" s="78">
        <v>1</v>
      </c>
      <c r="AP25" s="79">
        <v>0</v>
      </c>
      <c r="AQ25" s="80">
        <v>0</v>
      </c>
      <c r="AR25" s="81">
        <v>2704</v>
      </c>
      <c r="AS25" s="81">
        <v>0</v>
      </c>
      <c r="AT25" s="81">
        <v>25</v>
      </c>
      <c r="AU25" s="81">
        <v>0</v>
      </c>
      <c r="AV25" s="81">
        <v>0</v>
      </c>
      <c r="AW25" s="82">
        <v>0</v>
      </c>
      <c r="AX25" s="82">
        <v>0</v>
      </c>
      <c r="AY25" s="82">
        <v>0</v>
      </c>
      <c r="AZ25" s="82">
        <v>0</v>
      </c>
      <c r="BA25" s="81">
        <v>0</v>
      </c>
      <c r="BB25" s="81">
        <v>2491</v>
      </c>
      <c r="BC25" s="81">
        <v>0</v>
      </c>
      <c r="BD25" s="81"/>
      <c r="BE25" s="83">
        <v>13</v>
      </c>
      <c r="BF25" s="80">
        <v>117</v>
      </c>
      <c r="BG25" s="81">
        <v>2326</v>
      </c>
      <c r="BH25" s="81">
        <v>1</v>
      </c>
      <c r="BI25" s="81">
        <v>21</v>
      </c>
      <c r="BJ25" s="81">
        <v>23</v>
      </c>
      <c r="BK25" s="81">
        <v>4</v>
      </c>
      <c r="BL25" s="82">
        <v>5.0999999999999996</v>
      </c>
      <c r="BM25" s="82">
        <v>49.9</v>
      </c>
      <c r="BN25" s="82">
        <v>2.87</v>
      </c>
      <c r="BO25" s="82">
        <v>47</v>
      </c>
      <c r="BP25" s="81">
        <v>0</v>
      </c>
      <c r="BQ25" s="81">
        <v>2308</v>
      </c>
      <c r="BR25" s="81">
        <v>0</v>
      </c>
      <c r="BS25" s="81"/>
      <c r="BT25" s="83">
        <v>12</v>
      </c>
      <c r="BU25" s="80">
        <v>92</v>
      </c>
      <c r="BV25" s="81">
        <v>2204</v>
      </c>
      <c r="BW25" s="81">
        <v>1</v>
      </c>
      <c r="BX25" s="81">
        <v>27</v>
      </c>
      <c r="BY25" s="81">
        <v>16</v>
      </c>
      <c r="BZ25" s="81">
        <v>3</v>
      </c>
      <c r="CA25" s="82">
        <v>5.8</v>
      </c>
      <c r="CB25" s="82">
        <v>60.7</v>
      </c>
      <c r="CC25" s="82">
        <v>3.44</v>
      </c>
      <c r="CD25" s="82">
        <v>51.1</v>
      </c>
      <c r="CE25" s="81">
        <v>9</v>
      </c>
      <c r="CF25" s="81">
        <v>2578</v>
      </c>
      <c r="CG25" s="81">
        <v>1</v>
      </c>
      <c r="CH25" s="81"/>
      <c r="CI25" s="83">
        <v>16</v>
      </c>
      <c r="CJ25" s="80">
        <v>743</v>
      </c>
      <c r="CK25" s="81">
        <v>3062</v>
      </c>
      <c r="CL25" s="81">
        <v>7</v>
      </c>
      <c r="CM25" s="81">
        <v>31</v>
      </c>
      <c r="CN25" s="81">
        <v>80</v>
      </c>
      <c r="CO25" s="81">
        <v>11</v>
      </c>
      <c r="CP25" s="82">
        <v>9.3000000000000007</v>
      </c>
      <c r="CQ25" s="82">
        <v>80.900000000000006</v>
      </c>
      <c r="CR25" s="82">
        <v>5.03</v>
      </c>
      <c r="CS25" s="82">
        <v>62.4</v>
      </c>
      <c r="CT25" s="81">
        <v>72</v>
      </c>
      <c r="CU25" s="81">
        <v>2878</v>
      </c>
      <c r="CV25" s="81">
        <v>3</v>
      </c>
      <c r="CW25" s="81"/>
      <c r="CX25" s="83">
        <v>27</v>
      </c>
      <c r="CY25" s="80">
        <v>878</v>
      </c>
      <c r="CZ25" s="81">
        <v>3604</v>
      </c>
      <c r="DA25" s="81">
        <v>6</v>
      </c>
      <c r="DB25" s="81">
        <v>42</v>
      </c>
      <c r="DC25" s="81">
        <v>113</v>
      </c>
      <c r="DD25" s="81">
        <v>22</v>
      </c>
      <c r="DE25" s="82">
        <v>7.8</v>
      </c>
      <c r="DF25" s="82">
        <v>64.7</v>
      </c>
      <c r="DG25" s="82">
        <v>3.37</v>
      </c>
      <c r="DH25" s="82">
        <v>51.7</v>
      </c>
      <c r="DI25" s="81">
        <v>82</v>
      </c>
      <c r="DJ25" s="81">
        <v>3314</v>
      </c>
      <c r="DK25" s="81">
        <v>12</v>
      </c>
      <c r="DL25" s="81"/>
      <c r="DM25" s="83">
        <v>27</v>
      </c>
    </row>
    <row r="26" spans="1:117" ht="15.75" customHeight="1" x14ac:dyDescent="0.2"/>
    <row r="27" spans="1:117" ht="15.75" customHeight="1" x14ac:dyDescent="0.2"/>
    <row r="28" spans="1:117" ht="15.75" customHeight="1" x14ac:dyDescent="0.2"/>
    <row r="29" spans="1:117" ht="15.75" customHeight="1" x14ac:dyDescent="0.2"/>
    <row r="30" spans="1:117" ht="15.75" customHeight="1" x14ac:dyDescent="0.2"/>
    <row r="31" spans="1:117" ht="15.75" customHeight="1" x14ac:dyDescent="0.2"/>
    <row r="32" spans="1:117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2:DM2" xr:uid="{00000000-0009-0000-0000-00000A000000}">
    <sortState xmlns:xlrd2="http://schemas.microsoft.com/office/spreadsheetml/2017/richdata2" ref="A3:DM25">
      <sortCondition ref="A2"/>
    </sortState>
  </autoFilter>
  <mergeCells count="10">
    <mergeCell ref="BU1:CI1"/>
    <mergeCell ref="CJ1:CX1"/>
    <mergeCell ref="CY1:DM1"/>
    <mergeCell ref="A1:C1"/>
    <mergeCell ref="D1:M1"/>
    <mergeCell ref="N1:X1"/>
    <mergeCell ref="Y1:AF1"/>
    <mergeCell ref="AG1:AP1"/>
    <mergeCell ref="AQ1:BE1"/>
    <mergeCell ref="BF1:BT1"/>
  </mergeCells>
  <conditionalFormatting sqref="B3:B25">
    <cfRule type="expression" dxfId="104" priority="1" stopIfTrue="1">
      <formula>C3&gt;=13</formula>
    </cfRule>
    <cfRule type="expression" dxfId="103" priority="2">
      <formula>AND(C3&gt;=12,C3&lt;13)</formula>
    </cfRule>
    <cfRule type="expression" dxfId="102" priority="3" stopIfTrue="1">
      <formula>AND(C3&gt;=11,C3&lt;12)</formula>
    </cfRule>
    <cfRule type="expression" dxfId="101" priority="4">
      <formula>AND(C3&gt;=9,C3&lt;11)</formula>
    </cfRule>
    <cfRule type="expression" dxfId="100" priority="5">
      <formula>AND(C3&gt;=7,C3&lt;9)</formula>
    </cfRule>
    <cfRule type="expression" dxfId="99" priority="6" stopIfTrue="1">
      <formula>AND(C3&gt;=6,C3&lt;7)</formula>
    </cfRule>
    <cfRule type="expression" dxfId="98" priority="7" stopIfTrue="1">
      <formula>AND(C3&gt;=5,C3&lt;6)</formula>
    </cfRule>
    <cfRule type="expression" dxfId="97" priority="8">
      <formula>C3&lt;5</formula>
    </cfRule>
  </conditionalFormatting>
  <conditionalFormatting sqref="C3:C2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H25">
    <cfRule type="containsText" dxfId="96" priority="10" operator="containsText" text="SR">
      <formula>NOT(ISERROR(SEARCH(("SR"),(H3))))</formula>
    </cfRule>
  </conditionalFormatting>
  <conditionalFormatting sqref="N3:R25">
    <cfRule type="cellIs" dxfId="95" priority="11" stopIfTrue="1" operator="between">
      <formula>0.15</formula>
      <formula>0.199</formula>
    </cfRule>
    <cfRule type="cellIs" dxfId="94" priority="12" stopIfTrue="1" operator="equal">
      <formula>0</formula>
    </cfRule>
    <cfRule type="colorScale" priority="13">
      <colorScale>
        <cfvo type="formula" val="0.14999"/>
        <cfvo type="formula" val="0.15"/>
        <cfvo type="formula" val="0.4"/>
        <color rgb="FFFACACA"/>
        <color rgb="FFC0E399"/>
        <color rgb="FF63BE7B"/>
      </colorScale>
    </cfRule>
  </conditionalFormatting>
  <conditionalFormatting sqref="S3:T25">
    <cfRule type="colorScale" priority="14">
      <colorScale>
        <cfvo type="formula" val="0.1499"/>
        <cfvo type="formula" val="0.15"/>
        <cfvo type="formula" val="0.4"/>
        <color rgb="FFFACACA"/>
        <color rgb="FFCEF9B9"/>
        <color rgb="FF00B050"/>
      </colorScale>
    </cfRule>
  </conditionalFormatting>
  <conditionalFormatting sqref="U3:V2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:W2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:X2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S1000"/>
  <sheetViews>
    <sheetView zoomScale="80" zoomScaleNormal="80" workbookViewId="0">
      <selection sqref="A1:XFD1048576"/>
    </sheetView>
  </sheetViews>
  <sheetFormatPr baseColWidth="10" defaultColWidth="14.5" defaultRowHeight="15" customHeight="1" x14ac:dyDescent="0.2"/>
  <cols>
    <col min="1" max="1" width="8.5" customWidth="1"/>
    <col min="2" max="2" width="23.5" customWidth="1"/>
    <col min="3" max="3" width="12" customWidth="1"/>
    <col min="4" max="4" width="18.5" customWidth="1"/>
    <col min="5" max="5" width="10.83203125" customWidth="1"/>
    <col min="6" max="6" width="11.5" customWidth="1"/>
    <col min="7" max="7" width="7.5" customWidth="1"/>
    <col min="8" max="8" width="8" customWidth="1"/>
    <col min="9" max="9" width="12.6640625" customWidth="1"/>
    <col min="10" max="10" width="10" customWidth="1"/>
    <col min="11" max="11" width="10.5" customWidth="1"/>
    <col min="12" max="12" width="11.33203125" customWidth="1"/>
    <col min="13" max="13" width="12.5" customWidth="1"/>
    <col min="14" max="20" width="9.83203125" customWidth="1"/>
    <col min="21" max="22" width="11" customWidth="1"/>
    <col min="23" max="23" width="10" customWidth="1"/>
    <col min="24" max="24" width="11" customWidth="1"/>
    <col min="25" max="25" width="9.33203125" customWidth="1"/>
    <col min="26" max="26" width="9.5" customWidth="1"/>
    <col min="27" max="27" width="7.6640625" customWidth="1"/>
    <col min="28" max="28" width="10.1640625" customWidth="1"/>
    <col min="29" max="29" width="7.33203125" customWidth="1"/>
    <col min="30" max="30" width="7.5" customWidth="1"/>
    <col min="31" max="31" width="9.83203125" customWidth="1"/>
    <col min="32" max="32" width="11.5" customWidth="1"/>
    <col min="33" max="33" width="10.83203125" customWidth="1"/>
    <col min="34" max="34" width="11" customWidth="1"/>
    <col min="35" max="35" width="10.33203125" customWidth="1"/>
    <col min="36" max="36" width="10.5" customWidth="1"/>
    <col min="37" max="37" width="10.1640625" customWidth="1"/>
    <col min="38" max="39" width="8.5" customWidth="1"/>
    <col min="40" max="40" width="10.83203125" customWidth="1"/>
    <col min="41" max="41" width="7.6640625" customWidth="1"/>
    <col min="42" max="42" width="9.5" customWidth="1"/>
    <col min="43" max="43" width="12" customWidth="1"/>
    <col min="44" max="44" width="12.6640625" customWidth="1"/>
    <col min="45" max="45" width="12.33203125" customWidth="1"/>
    <col min="46" max="46" width="12.1640625" customWidth="1"/>
    <col min="47" max="47" width="6.6640625" customWidth="1"/>
    <col min="48" max="48" width="8" customWidth="1"/>
    <col min="49" max="49" width="7.33203125" customWidth="1"/>
    <col min="50" max="50" width="7.5" customWidth="1"/>
    <col min="51" max="51" width="9.83203125" customWidth="1"/>
    <col min="52" max="52" width="11.5" customWidth="1"/>
    <col min="53" max="53" width="10.83203125" customWidth="1"/>
    <col min="54" max="54" width="12.6640625" customWidth="1"/>
    <col min="55" max="55" width="8.1640625" customWidth="1"/>
    <col min="56" max="56" width="11.33203125" customWidth="1"/>
    <col min="57" max="57" width="13" customWidth="1"/>
    <col min="58" max="58" width="12" customWidth="1"/>
    <col min="59" max="59" width="12.6640625" customWidth="1"/>
    <col min="60" max="60" width="12.33203125" customWidth="1"/>
    <col min="61" max="61" width="12.1640625" customWidth="1"/>
    <col min="62" max="62" width="6.6640625" customWidth="1"/>
    <col min="63" max="63" width="8" customWidth="1"/>
    <col min="64" max="64" width="7.33203125" customWidth="1"/>
    <col min="65" max="65" width="7.5" customWidth="1"/>
    <col min="66" max="66" width="9.83203125" customWidth="1"/>
    <col min="67" max="67" width="11.5" customWidth="1"/>
    <col min="68" max="68" width="10.83203125" customWidth="1"/>
    <col min="69" max="69" width="12.6640625" customWidth="1"/>
    <col min="70" max="70" width="8.1640625" customWidth="1"/>
    <col min="71" max="71" width="11.33203125" customWidth="1"/>
    <col min="72" max="72" width="13" customWidth="1"/>
    <col min="73" max="73" width="12" customWidth="1"/>
    <col min="74" max="74" width="12.6640625" customWidth="1"/>
    <col min="75" max="75" width="12.33203125" customWidth="1"/>
    <col min="76" max="76" width="12.1640625" customWidth="1"/>
    <col min="77" max="77" width="6.6640625" customWidth="1"/>
    <col min="78" max="78" width="8" customWidth="1"/>
    <col min="79" max="79" width="7.33203125" customWidth="1"/>
    <col min="80" max="80" width="7.5" customWidth="1"/>
    <col min="81" max="81" width="9.83203125" customWidth="1"/>
    <col min="82" max="82" width="11.5" customWidth="1"/>
    <col min="83" max="83" width="10.83203125" customWidth="1"/>
    <col min="84" max="84" width="12.6640625" customWidth="1"/>
    <col min="85" max="85" width="8.1640625" customWidth="1"/>
    <col min="86" max="86" width="11.33203125" customWidth="1"/>
    <col min="87" max="87" width="13" customWidth="1"/>
    <col min="88" max="88" width="12" customWidth="1"/>
    <col min="89" max="89" width="12.6640625" customWidth="1"/>
    <col min="90" max="90" width="12.33203125" customWidth="1"/>
    <col min="91" max="91" width="12.1640625" customWidth="1"/>
    <col min="92" max="92" width="6.6640625" customWidth="1"/>
    <col min="93" max="93" width="8" customWidth="1"/>
    <col min="94" max="94" width="7.33203125" customWidth="1"/>
    <col min="95" max="95" width="7.5" customWidth="1"/>
    <col min="96" max="96" width="9.83203125" customWidth="1"/>
    <col min="97" max="97" width="11.5" customWidth="1"/>
    <col min="98" max="98" width="10.83203125" customWidth="1"/>
    <col min="99" max="99" width="12.6640625" customWidth="1"/>
    <col min="100" max="100" width="8.1640625" customWidth="1"/>
    <col min="101" max="101" width="11.33203125" customWidth="1"/>
    <col min="102" max="102" width="13" customWidth="1"/>
    <col min="103" max="103" width="12" customWidth="1"/>
    <col min="104" max="104" width="12.6640625" customWidth="1"/>
    <col min="105" max="105" width="12.33203125" customWidth="1"/>
    <col min="106" max="106" width="12.1640625" customWidth="1"/>
    <col min="107" max="107" width="6.6640625" customWidth="1"/>
    <col min="108" max="108" width="8" customWidth="1"/>
    <col min="109" max="109" width="7.33203125" customWidth="1"/>
    <col min="110" max="110" width="7.5" customWidth="1"/>
    <col min="111" max="111" width="9.83203125" customWidth="1"/>
    <col min="112" max="112" width="11.5" customWidth="1"/>
    <col min="113" max="113" width="10.83203125" customWidth="1"/>
    <col min="114" max="114" width="12.6640625" customWidth="1"/>
    <col min="115" max="115" width="8.1640625" customWidth="1"/>
    <col min="116" max="116" width="11.33203125" customWidth="1"/>
    <col min="117" max="117" width="13" customWidth="1"/>
    <col min="118" max="118" width="5.83203125" customWidth="1"/>
    <col min="119" max="119" width="3.5" customWidth="1"/>
    <col min="120" max="120" width="16.5" customWidth="1"/>
    <col min="121" max="121" width="9.83203125" customWidth="1"/>
    <col min="122" max="122" width="13.1640625" customWidth="1"/>
    <col min="123" max="123" width="10.1640625" customWidth="1"/>
  </cols>
  <sheetData>
    <row r="1" spans="1:123" x14ac:dyDescent="0.2">
      <c r="A1" s="250"/>
      <c r="B1" s="251"/>
      <c r="C1" s="253"/>
      <c r="D1" s="254" t="s">
        <v>156</v>
      </c>
      <c r="E1" s="251"/>
      <c r="F1" s="251"/>
      <c r="G1" s="251"/>
      <c r="H1" s="251"/>
      <c r="I1" s="251"/>
      <c r="J1" s="251"/>
      <c r="K1" s="251"/>
      <c r="L1" s="251"/>
      <c r="M1" s="253"/>
      <c r="N1" s="255" t="s">
        <v>157</v>
      </c>
      <c r="O1" s="251"/>
      <c r="P1" s="251"/>
      <c r="Q1" s="251"/>
      <c r="R1" s="251"/>
      <c r="S1" s="251"/>
      <c r="T1" s="251"/>
      <c r="U1" s="251"/>
      <c r="V1" s="251"/>
      <c r="W1" s="251"/>
      <c r="X1" s="253"/>
      <c r="Y1" s="256" t="s">
        <v>158</v>
      </c>
      <c r="Z1" s="251"/>
      <c r="AA1" s="251"/>
      <c r="AB1" s="251"/>
      <c r="AC1" s="251"/>
      <c r="AD1" s="251"/>
      <c r="AE1" s="251"/>
      <c r="AF1" s="253"/>
      <c r="AG1" s="257" t="s">
        <v>159</v>
      </c>
      <c r="AH1" s="251"/>
      <c r="AI1" s="251"/>
      <c r="AJ1" s="251"/>
      <c r="AK1" s="251"/>
      <c r="AL1" s="251"/>
      <c r="AM1" s="251"/>
      <c r="AN1" s="251"/>
      <c r="AO1" s="251"/>
      <c r="AP1" s="253"/>
      <c r="AQ1" s="247" t="s">
        <v>491</v>
      </c>
      <c r="AR1" s="248"/>
      <c r="AS1" s="248"/>
      <c r="AT1" s="248"/>
      <c r="AU1" s="248"/>
      <c r="AV1" s="248"/>
      <c r="AW1" s="248"/>
      <c r="AX1" s="248"/>
      <c r="AY1" s="248"/>
      <c r="AZ1" s="248"/>
      <c r="BA1" s="248"/>
      <c r="BB1" s="248"/>
      <c r="BC1" s="248"/>
      <c r="BD1" s="248"/>
      <c r="BE1" s="249"/>
      <c r="BF1" s="247" t="s">
        <v>512</v>
      </c>
      <c r="BG1" s="248"/>
      <c r="BH1" s="248"/>
      <c r="BI1" s="248"/>
      <c r="BJ1" s="248"/>
      <c r="BK1" s="248"/>
      <c r="BL1" s="248"/>
      <c r="BM1" s="248"/>
      <c r="BN1" s="248"/>
      <c r="BO1" s="248"/>
      <c r="BP1" s="248"/>
      <c r="BQ1" s="248"/>
      <c r="BR1" s="248"/>
      <c r="BS1" s="248"/>
      <c r="BT1" s="249"/>
      <c r="BU1" s="247" t="s">
        <v>524</v>
      </c>
      <c r="BV1" s="248"/>
      <c r="BW1" s="248"/>
      <c r="BX1" s="248"/>
      <c r="BY1" s="248"/>
      <c r="BZ1" s="248"/>
      <c r="CA1" s="248"/>
      <c r="CB1" s="248"/>
      <c r="CC1" s="248"/>
      <c r="CD1" s="248"/>
      <c r="CE1" s="248"/>
      <c r="CF1" s="248"/>
      <c r="CG1" s="248"/>
      <c r="CH1" s="248"/>
      <c r="CI1" s="249"/>
      <c r="CJ1" s="247" t="s">
        <v>533</v>
      </c>
      <c r="CK1" s="248"/>
      <c r="CL1" s="248"/>
      <c r="CM1" s="248"/>
      <c r="CN1" s="248"/>
      <c r="CO1" s="248"/>
      <c r="CP1" s="248"/>
      <c r="CQ1" s="248"/>
      <c r="CR1" s="248"/>
      <c r="CS1" s="248"/>
      <c r="CT1" s="248"/>
      <c r="CU1" s="248"/>
      <c r="CV1" s="248"/>
      <c r="CW1" s="248"/>
      <c r="CX1" s="249"/>
      <c r="CY1" s="247" t="s">
        <v>541</v>
      </c>
      <c r="CZ1" s="248"/>
      <c r="DA1" s="248"/>
      <c r="DB1" s="248"/>
      <c r="DC1" s="248"/>
      <c r="DD1" s="248"/>
      <c r="DE1" s="248"/>
      <c r="DF1" s="248"/>
      <c r="DG1" s="248"/>
      <c r="DH1" s="248"/>
      <c r="DI1" s="248"/>
      <c r="DJ1" s="248"/>
      <c r="DK1" s="248"/>
      <c r="DL1" s="248"/>
      <c r="DM1" s="249"/>
      <c r="DN1" s="114"/>
      <c r="DO1" s="11"/>
      <c r="DP1" s="7"/>
    </row>
    <row r="2" spans="1:123" ht="16" thickBot="1" x14ac:dyDescent="0.25">
      <c r="A2" s="151" t="s">
        <v>56</v>
      </c>
      <c r="B2" s="152" t="s">
        <v>58</v>
      </c>
      <c r="C2" s="153" t="s">
        <v>2</v>
      </c>
      <c r="D2" s="154" t="s">
        <v>168</v>
      </c>
      <c r="E2" s="155" t="s">
        <v>24</v>
      </c>
      <c r="F2" s="155" t="s">
        <v>28</v>
      </c>
      <c r="G2" s="155" t="s">
        <v>30</v>
      </c>
      <c r="H2" s="155" t="s">
        <v>57</v>
      </c>
      <c r="I2" s="155" t="s">
        <v>34</v>
      </c>
      <c r="J2" s="155" t="s">
        <v>170</v>
      </c>
      <c r="K2" s="155" t="s">
        <v>171</v>
      </c>
      <c r="L2" s="155" t="s">
        <v>172</v>
      </c>
      <c r="M2" s="156" t="s">
        <v>22</v>
      </c>
      <c r="N2" s="157" t="s">
        <v>36</v>
      </c>
      <c r="O2" s="158" t="s">
        <v>38</v>
      </c>
      <c r="P2" s="158" t="s">
        <v>40</v>
      </c>
      <c r="Q2" s="158" t="s">
        <v>42</v>
      </c>
      <c r="R2" s="158" t="s">
        <v>44</v>
      </c>
      <c r="S2" s="158" t="s">
        <v>18</v>
      </c>
      <c r="T2" s="158" t="s">
        <v>20</v>
      </c>
      <c r="U2" s="158" t="s">
        <v>173</v>
      </c>
      <c r="V2" s="158" t="s">
        <v>174</v>
      </c>
      <c r="W2" s="158" t="s">
        <v>175</v>
      </c>
      <c r="X2" s="159" t="s">
        <v>176</v>
      </c>
      <c r="Y2" s="160" t="s">
        <v>177</v>
      </c>
      <c r="Z2" s="161" t="s">
        <v>178</v>
      </c>
      <c r="AA2" s="161" t="s">
        <v>179</v>
      </c>
      <c r="AB2" s="161" t="s">
        <v>180</v>
      </c>
      <c r="AC2" s="161" t="s">
        <v>8</v>
      </c>
      <c r="AD2" s="161" t="s">
        <v>12</v>
      </c>
      <c r="AE2" s="161" t="s">
        <v>10</v>
      </c>
      <c r="AF2" s="162" t="s">
        <v>14</v>
      </c>
      <c r="AG2" s="163" t="s">
        <v>183</v>
      </c>
      <c r="AH2" s="164" t="s">
        <v>176</v>
      </c>
      <c r="AI2" s="164" t="s">
        <v>185</v>
      </c>
      <c r="AJ2" s="164" t="s">
        <v>186</v>
      </c>
      <c r="AK2" s="164" t="s">
        <v>180</v>
      </c>
      <c r="AL2" s="164" t="s">
        <v>187</v>
      </c>
      <c r="AM2" s="164" t="s">
        <v>188</v>
      </c>
      <c r="AN2" s="164" t="s">
        <v>189</v>
      </c>
      <c r="AO2" s="164" t="s">
        <v>26</v>
      </c>
      <c r="AP2" s="165" t="s">
        <v>16</v>
      </c>
      <c r="AQ2" s="166" t="s">
        <v>190</v>
      </c>
      <c r="AR2" s="167" t="s">
        <v>191</v>
      </c>
      <c r="AS2" s="167" t="s">
        <v>192</v>
      </c>
      <c r="AT2" s="167" t="s">
        <v>193</v>
      </c>
      <c r="AU2" s="167" t="s">
        <v>194</v>
      </c>
      <c r="AV2" s="167" t="s">
        <v>195</v>
      </c>
      <c r="AW2" s="167" t="s">
        <v>8</v>
      </c>
      <c r="AX2" s="167" t="s">
        <v>12</v>
      </c>
      <c r="AY2" s="167" t="s">
        <v>10</v>
      </c>
      <c r="AZ2" s="167" t="s">
        <v>14</v>
      </c>
      <c r="BA2" s="167" t="s">
        <v>196</v>
      </c>
      <c r="BB2" s="167" t="s">
        <v>191</v>
      </c>
      <c r="BC2" s="167" t="s">
        <v>197</v>
      </c>
      <c r="BD2" s="167" t="s">
        <v>198</v>
      </c>
      <c r="BE2" s="168" t="s">
        <v>199</v>
      </c>
      <c r="BF2" s="166" t="s">
        <v>190</v>
      </c>
      <c r="BG2" s="167" t="s">
        <v>191</v>
      </c>
      <c r="BH2" s="167" t="s">
        <v>192</v>
      </c>
      <c r="BI2" s="167" t="s">
        <v>193</v>
      </c>
      <c r="BJ2" s="167" t="s">
        <v>194</v>
      </c>
      <c r="BK2" s="167" t="s">
        <v>195</v>
      </c>
      <c r="BL2" s="167" t="s">
        <v>8</v>
      </c>
      <c r="BM2" s="167" t="s">
        <v>12</v>
      </c>
      <c r="BN2" s="167" t="s">
        <v>10</v>
      </c>
      <c r="BO2" s="167" t="s">
        <v>14</v>
      </c>
      <c r="BP2" s="167" t="s">
        <v>196</v>
      </c>
      <c r="BQ2" s="167" t="s">
        <v>191</v>
      </c>
      <c r="BR2" s="167" t="s">
        <v>197</v>
      </c>
      <c r="BS2" s="167" t="s">
        <v>198</v>
      </c>
      <c r="BT2" s="168" t="s">
        <v>199</v>
      </c>
      <c r="BU2" s="166" t="s">
        <v>190</v>
      </c>
      <c r="BV2" s="167" t="s">
        <v>191</v>
      </c>
      <c r="BW2" s="167" t="s">
        <v>192</v>
      </c>
      <c r="BX2" s="167" t="s">
        <v>193</v>
      </c>
      <c r="BY2" s="167" t="s">
        <v>194</v>
      </c>
      <c r="BZ2" s="167" t="s">
        <v>195</v>
      </c>
      <c r="CA2" s="167" t="s">
        <v>8</v>
      </c>
      <c r="CB2" s="167" t="s">
        <v>12</v>
      </c>
      <c r="CC2" s="167" t="s">
        <v>10</v>
      </c>
      <c r="CD2" s="167" t="s">
        <v>14</v>
      </c>
      <c r="CE2" s="167" t="s">
        <v>196</v>
      </c>
      <c r="CF2" s="167" t="s">
        <v>191</v>
      </c>
      <c r="CG2" s="167" t="s">
        <v>197</v>
      </c>
      <c r="CH2" s="167" t="s">
        <v>198</v>
      </c>
      <c r="CI2" s="168" t="s">
        <v>199</v>
      </c>
      <c r="CJ2" s="166" t="s">
        <v>190</v>
      </c>
      <c r="CK2" s="167" t="s">
        <v>191</v>
      </c>
      <c r="CL2" s="167" t="s">
        <v>192</v>
      </c>
      <c r="CM2" s="167" t="s">
        <v>193</v>
      </c>
      <c r="CN2" s="167" t="s">
        <v>194</v>
      </c>
      <c r="CO2" s="167" t="s">
        <v>195</v>
      </c>
      <c r="CP2" s="167" t="s">
        <v>8</v>
      </c>
      <c r="CQ2" s="167" t="s">
        <v>12</v>
      </c>
      <c r="CR2" s="167" t="s">
        <v>10</v>
      </c>
      <c r="CS2" s="167" t="s">
        <v>14</v>
      </c>
      <c r="CT2" s="167" t="s">
        <v>196</v>
      </c>
      <c r="CU2" s="167" t="s">
        <v>191</v>
      </c>
      <c r="CV2" s="167" t="s">
        <v>197</v>
      </c>
      <c r="CW2" s="167" t="s">
        <v>198</v>
      </c>
      <c r="CX2" s="168" t="s">
        <v>199</v>
      </c>
      <c r="CY2" s="166" t="s">
        <v>190</v>
      </c>
      <c r="CZ2" s="167" t="s">
        <v>191</v>
      </c>
      <c r="DA2" s="167" t="s">
        <v>192</v>
      </c>
      <c r="DB2" s="167" t="s">
        <v>193</v>
      </c>
      <c r="DC2" s="167" t="s">
        <v>194</v>
      </c>
      <c r="DD2" s="167" t="s">
        <v>195</v>
      </c>
      <c r="DE2" s="167" t="s">
        <v>8</v>
      </c>
      <c r="DF2" s="167" t="s">
        <v>12</v>
      </c>
      <c r="DG2" s="167" t="s">
        <v>10</v>
      </c>
      <c r="DH2" s="167" t="s">
        <v>14</v>
      </c>
      <c r="DI2" s="167" t="s">
        <v>196</v>
      </c>
      <c r="DJ2" s="167" t="s">
        <v>191</v>
      </c>
      <c r="DK2" s="167" t="s">
        <v>197</v>
      </c>
      <c r="DL2" s="167" t="s">
        <v>198</v>
      </c>
      <c r="DM2" s="168" t="s">
        <v>199</v>
      </c>
      <c r="DN2" s="169"/>
      <c r="DO2" s="169"/>
      <c r="DP2" s="169" t="s">
        <v>379</v>
      </c>
      <c r="DQ2" s="169" t="s">
        <v>380</v>
      </c>
      <c r="DR2" s="169" t="s">
        <v>381</v>
      </c>
      <c r="DS2" s="169" t="s">
        <v>382</v>
      </c>
    </row>
    <row r="3" spans="1:123" x14ac:dyDescent="0.2">
      <c r="A3" s="33">
        <v>1</v>
      </c>
      <c r="B3" s="34" t="s">
        <v>217</v>
      </c>
      <c r="C3" s="116">
        <v>12.722222222222221</v>
      </c>
      <c r="D3" s="117" t="s">
        <v>490</v>
      </c>
      <c r="E3" s="37">
        <v>4</v>
      </c>
      <c r="F3" s="118">
        <v>36186</v>
      </c>
      <c r="G3" s="119">
        <v>26.687671232876713</v>
      </c>
      <c r="H3" s="39" t="s">
        <v>389</v>
      </c>
      <c r="I3" s="119">
        <v>22.271232876712329</v>
      </c>
      <c r="J3" s="120">
        <v>70</v>
      </c>
      <c r="K3" s="120">
        <v>215</v>
      </c>
      <c r="L3" s="120">
        <v>4.45</v>
      </c>
      <c r="M3" s="40">
        <v>1</v>
      </c>
      <c r="N3" s="121">
        <v>0</v>
      </c>
      <c r="O3" s="122">
        <v>0.13651479880279349</v>
      </c>
      <c r="P3" s="122">
        <v>0.21914516944865958</v>
      </c>
      <c r="Q3" s="122">
        <v>0.25810112217879211</v>
      </c>
      <c r="R3" s="122">
        <v>0.25066357000663569</v>
      </c>
      <c r="S3" s="42">
        <v>0.25438234609271393</v>
      </c>
      <c r="T3" s="42">
        <v>0.22894411148344254</v>
      </c>
      <c r="U3" s="42">
        <v>0.10011560693641619</v>
      </c>
      <c r="V3" s="42">
        <v>0.14060258249641319</v>
      </c>
      <c r="W3" s="42">
        <v>0.14060258249641319</v>
      </c>
      <c r="X3" s="43">
        <v>0.12654232424677186</v>
      </c>
      <c r="Y3" s="44">
        <v>19.610958904109587</v>
      </c>
      <c r="Z3" s="45">
        <v>109.65499303730637</v>
      </c>
      <c r="AA3" s="45">
        <v>30.845918367346936</v>
      </c>
      <c r="AB3" s="45">
        <v>0.43961352657004832</v>
      </c>
      <c r="AC3" s="45">
        <v>7.8</v>
      </c>
      <c r="AD3" s="45">
        <v>213.9</v>
      </c>
      <c r="AE3" s="45">
        <v>5.07</v>
      </c>
      <c r="AF3" s="45">
        <v>59.3</v>
      </c>
      <c r="AG3" s="128">
        <v>4</v>
      </c>
      <c r="AH3" s="49">
        <v>9</v>
      </c>
      <c r="AI3" s="49">
        <v>6</v>
      </c>
      <c r="AJ3" s="49">
        <v>9</v>
      </c>
      <c r="AK3" s="49">
        <v>10</v>
      </c>
      <c r="AL3" s="124">
        <v>9</v>
      </c>
      <c r="AM3" s="49">
        <v>9</v>
      </c>
      <c r="AN3" s="49">
        <v>8</v>
      </c>
      <c r="AO3" s="49">
        <v>10</v>
      </c>
      <c r="AP3" s="50">
        <v>0</v>
      </c>
      <c r="AQ3" s="51">
        <v>0</v>
      </c>
      <c r="AR3" s="52">
        <v>2546</v>
      </c>
      <c r="AS3" s="52">
        <v>0</v>
      </c>
      <c r="AT3" s="52">
        <v>30</v>
      </c>
      <c r="AU3" s="52">
        <v>0</v>
      </c>
      <c r="AV3" s="52">
        <v>0</v>
      </c>
      <c r="AW3" s="53">
        <v>0</v>
      </c>
      <c r="AX3" s="53">
        <v>0</v>
      </c>
      <c r="AY3" s="53">
        <v>0</v>
      </c>
      <c r="AZ3" s="53">
        <v>0</v>
      </c>
      <c r="BA3" s="52">
        <v>0</v>
      </c>
      <c r="BB3" s="52">
        <v>5009</v>
      </c>
      <c r="BC3" s="52">
        <v>0</v>
      </c>
      <c r="BD3" s="52"/>
      <c r="BE3" s="54">
        <v>45</v>
      </c>
      <c r="BF3" s="51">
        <v>764</v>
      </c>
      <c r="BG3" s="52">
        <v>2717</v>
      </c>
      <c r="BH3" s="52">
        <v>13</v>
      </c>
      <c r="BI3" s="52">
        <v>40</v>
      </c>
      <c r="BJ3" s="52">
        <v>107</v>
      </c>
      <c r="BK3" s="52">
        <v>30</v>
      </c>
      <c r="BL3" s="53">
        <v>7.1</v>
      </c>
      <c r="BM3" s="53">
        <v>129.19999999999999</v>
      </c>
      <c r="BN3" s="53">
        <v>4.82</v>
      </c>
      <c r="BO3" s="53">
        <v>50</v>
      </c>
      <c r="BP3" s="52">
        <v>57</v>
      </c>
      <c r="BQ3" s="52">
        <v>3297</v>
      </c>
      <c r="BR3" s="52">
        <v>5</v>
      </c>
      <c r="BS3" s="52"/>
      <c r="BT3" s="54">
        <v>17</v>
      </c>
      <c r="BU3" s="51">
        <v>1655</v>
      </c>
      <c r="BV3" s="52">
        <v>3723</v>
      </c>
      <c r="BW3" s="52">
        <v>24</v>
      </c>
      <c r="BX3" s="52">
        <v>49</v>
      </c>
      <c r="BY3" s="52">
        <v>204</v>
      </c>
      <c r="BZ3" s="52">
        <v>52</v>
      </c>
      <c r="CA3" s="53">
        <v>8.1</v>
      </c>
      <c r="CB3" s="53">
        <v>112.3</v>
      </c>
      <c r="CC3" s="53">
        <v>4.33</v>
      </c>
      <c r="CD3" s="53">
        <v>59.3</v>
      </c>
      <c r="CE3" s="52">
        <v>78</v>
      </c>
      <c r="CF3" s="52">
        <v>4185</v>
      </c>
      <c r="CG3" s="52">
        <v>4</v>
      </c>
      <c r="CH3" s="52"/>
      <c r="CI3" s="54">
        <v>37</v>
      </c>
      <c r="CJ3" s="51">
        <v>1614</v>
      </c>
      <c r="CK3" s="52">
        <v>3606</v>
      </c>
      <c r="CL3" s="52">
        <v>19</v>
      </c>
      <c r="CM3" s="52">
        <v>45</v>
      </c>
      <c r="CN3" s="52">
        <v>207</v>
      </c>
      <c r="CO3" s="52">
        <v>91</v>
      </c>
      <c r="CP3" s="53">
        <v>7.8</v>
      </c>
      <c r="CQ3" s="53">
        <v>213.9</v>
      </c>
      <c r="CR3" s="53">
        <v>5.07</v>
      </c>
      <c r="CS3" s="53">
        <v>51.2</v>
      </c>
      <c r="CT3" s="52">
        <v>433</v>
      </c>
      <c r="CU3" s="52">
        <v>4325</v>
      </c>
      <c r="CV3" s="52">
        <v>37</v>
      </c>
      <c r="CW3" s="52"/>
      <c r="CX3" s="54">
        <v>40</v>
      </c>
      <c r="CY3" s="51">
        <v>923</v>
      </c>
      <c r="CZ3" s="52">
        <v>1846</v>
      </c>
      <c r="DA3" s="52">
        <v>14</v>
      </c>
      <c r="DB3" s="52">
        <v>33</v>
      </c>
      <c r="DC3" s="52">
        <v>166</v>
      </c>
      <c r="DD3" s="52">
        <v>44</v>
      </c>
      <c r="DE3" s="53">
        <v>5.6</v>
      </c>
      <c r="DF3" s="53">
        <v>102.4</v>
      </c>
      <c r="DG3" s="53">
        <v>3.84</v>
      </c>
      <c r="DH3" s="53">
        <v>40.200000000000003</v>
      </c>
      <c r="DI3" s="52">
        <v>588</v>
      </c>
      <c r="DJ3" s="52">
        <v>4182</v>
      </c>
      <c r="DK3" s="52">
        <v>48</v>
      </c>
      <c r="DL3" s="52"/>
      <c r="DM3" s="54">
        <v>31</v>
      </c>
      <c r="DN3" s="126"/>
      <c r="DO3" s="11">
        <v>1</v>
      </c>
      <c r="DP3" s="42" t="s">
        <v>386</v>
      </c>
      <c r="DQ3" s="7">
        <v>1</v>
      </c>
      <c r="DR3" s="127">
        <v>42613</v>
      </c>
      <c r="DS3" s="130">
        <v>44315</v>
      </c>
    </row>
    <row r="4" spans="1:123" x14ac:dyDescent="0.2">
      <c r="A4" s="33">
        <v>2</v>
      </c>
      <c r="B4" s="34" t="s">
        <v>141</v>
      </c>
      <c r="C4" s="116">
        <v>11.777777777777779</v>
      </c>
      <c r="D4" s="117" t="s">
        <v>502</v>
      </c>
      <c r="E4" s="37">
        <v>4</v>
      </c>
      <c r="F4" s="118">
        <v>36641</v>
      </c>
      <c r="G4" s="119">
        <v>25.44109589041096</v>
      </c>
      <c r="H4" s="39" t="s">
        <v>385</v>
      </c>
      <c r="I4" s="119">
        <v>21.024657534246575</v>
      </c>
      <c r="J4" s="120">
        <v>70</v>
      </c>
      <c r="K4" s="120">
        <v>212</v>
      </c>
      <c r="L4" s="120">
        <v>4.57</v>
      </c>
      <c r="M4" s="40">
        <v>2</v>
      </c>
      <c r="N4" s="121">
        <v>0</v>
      </c>
      <c r="O4" s="122">
        <v>0</v>
      </c>
      <c r="P4" s="122">
        <v>5.7988895743368289E-2</v>
      </c>
      <c r="Q4" s="122">
        <v>0.18062317429406036</v>
      </c>
      <c r="R4" s="122">
        <v>0.22398014580425005</v>
      </c>
      <c r="S4" s="42">
        <v>0.22398014580425005</v>
      </c>
      <c r="T4" s="42">
        <v>0.20158213122382504</v>
      </c>
      <c r="U4" s="42">
        <v>4.7362755651237889E-2</v>
      </c>
      <c r="V4" s="42">
        <v>7.6306331213713025E-2</v>
      </c>
      <c r="W4" s="42">
        <v>7.6306331213713025E-2</v>
      </c>
      <c r="X4" s="43">
        <v>6.8675698092341725E-2</v>
      </c>
      <c r="Y4" s="44">
        <v>19.361643835616437</v>
      </c>
      <c r="Z4" s="45">
        <v>97.20778701646374</v>
      </c>
      <c r="AA4" s="45">
        <v>30.415510204081631</v>
      </c>
      <c r="AB4" s="45">
        <v>0.48407643312101911</v>
      </c>
      <c r="AC4" s="45">
        <v>7.4</v>
      </c>
      <c r="AD4" s="45">
        <v>215.4</v>
      </c>
      <c r="AE4" s="45">
        <v>4.59</v>
      </c>
      <c r="AF4" s="45">
        <v>56.5</v>
      </c>
      <c r="AG4" s="128">
        <v>4</v>
      </c>
      <c r="AH4" s="49">
        <v>7</v>
      </c>
      <c r="AI4" s="49">
        <v>7</v>
      </c>
      <c r="AJ4" s="49">
        <v>4</v>
      </c>
      <c r="AK4" s="49">
        <v>10</v>
      </c>
      <c r="AL4" s="49">
        <v>8</v>
      </c>
      <c r="AM4" s="49">
        <v>9</v>
      </c>
      <c r="AN4" s="49">
        <v>7</v>
      </c>
      <c r="AO4" s="49">
        <v>7</v>
      </c>
      <c r="AP4" s="50">
        <v>1</v>
      </c>
      <c r="AQ4" s="56">
        <v>0</v>
      </c>
      <c r="AR4" s="57">
        <v>1896</v>
      </c>
      <c r="AS4" s="57">
        <v>0</v>
      </c>
      <c r="AT4" s="57">
        <v>21</v>
      </c>
      <c r="AU4" s="57">
        <v>0</v>
      </c>
      <c r="AV4" s="57">
        <v>0</v>
      </c>
      <c r="AW4" s="58">
        <v>0</v>
      </c>
      <c r="AX4" s="58">
        <v>0</v>
      </c>
      <c r="AY4" s="58">
        <v>0</v>
      </c>
      <c r="AZ4" s="58">
        <v>0</v>
      </c>
      <c r="BA4" s="57">
        <v>0</v>
      </c>
      <c r="BB4" s="57">
        <v>3811</v>
      </c>
      <c r="BC4" s="57">
        <v>0</v>
      </c>
      <c r="BD4" s="57"/>
      <c r="BE4" s="59">
        <v>30</v>
      </c>
      <c r="BF4" s="56">
        <v>0</v>
      </c>
      <c r="BG4" s="57">
        <v>1730</v>
      </c>
      <c r="BH4" s="57">
        <v>0</v>
      </c>
      <c r="BI4" s="57">
        <v>17</v>
      </c>
      <c r="BJ4" s="57">
        <v>0</v>
      </c>
      <c r="BK4" s="57">
        <v>0</v>
      </c>
      <c r="BL4" s="58">
        <v>0</v>
      </c>
      <c r="BM4" s="58">
        <v>0</v>
      </c>
      <c r="BN4" s="58">
        <v>0</v>
      </c>
      <c r="BO4" s="58">
        <v>0</v>
      </c>
      <c r="BP4" s="57">
        <v>0</v>
      </c>
      <c r="BQ4" s="57">
        <v>2705</v>
      </c>
      <c r="BR4" s="57">
        <v>0</v>
      </c>
      <c r="BS4" s="57"/>
      <c r="BT4" s="59">
        <v>21</v>
      </c>
      <c r="BU4" s="56">
        <v>224</v>
      </c>
      <c r="BV4" s="57">
        <v>2123</v>
      </c>
      <c r="BW4" s="57">
        <v>5</v>
      </c>
      <c r="BX4" s="57">
        <v>19</v>
      </c>
      <c r="BY4" s="57">
        <v>43</v>
      </c>
      <c r="BZ4" s="57">
        <v>10</v>
      </c>
      <c r="CA4" s="58">
        <v>5.2</v>
      </c>
      <c r="CB4" s="58">
        <v>98.5</v>
      </c>
      <c r="CC4" s="58">
        <v>3.35</v>
      </c>
      <c r="CD4" s="58">
        <v>17</v>
      </c>
      <c r="CE4" s="57">
        <v>58</v>
      </c>
      <c r="CF4" s="57">
        <v>2740</v>
      </c>
      <c r="CG4" s="57">
        <v>5</v>
      </c>
      <c r="CH4" s="57"/>
      <c r="CI4" s="59">
        <v>14</v>
      </c>
      <c r="CJ4" s="56">
        <v>937</v>
      </c>
      <c r="CK4" s="57">
        <v>2446</v>
      </c>
      <c r="CL4" s="57">
        <v>5</v>
      </c>
      <c r="CM4" s="57">
        <v>13</v>
      </c>
      <c r="CN4" s="57">
        <v>165</v>
      </c>
      <c r="CO4" s="57">
        <v>56</v>
      </c>
      <c r="CP4" s="58">
        <v>5.7</v>
      </c>
      <c r="CQ4" s="58">
        <v>140.6</v>
      </c>
      <c r="CR4" s="58">
        <v>4.1900000000000004</v>
      </c>
      <c r="CS4" s="58">
        <v>33.9</v>
      </c>
      <c r="CT4" s="57">
        <v>176</v>
      </c>
      <c r="CU4" s="57">
        <v>3716</v>
      </c>
      <c r="CV4" s="57">
        <v>17</v>
      </c>
      <c r="CW4" s="57"/>
      <c r="CX4" s="59">
        <v>39</v>
      </c>
      <c r="CY4" s="56">
        <v>1168</v>
      </c>
      <c r="CZ4" s="57">
        <v>2830</v>
      </c>
      <c r="DA4" s="57">
        <v>19</v>
      </c>
      <c r="DB4" s="57">
        <v>35</v>
      </c>
      <c r="DC4" s="57">
        <v>157</v>
      </c>
      <c r="DD4" s="57">
        <v>76</v>
      </c>
      <c r="DE4" s="58">
        <v>7.4</v>
      </c>
      <c r="DF4" s="58">
        <v>215.4</v>
      </c>
      <c r="DG4" s="58">
        <v>4.59</v>
      </c>
      <c r="DH4" s="58">
        <v>56.5</v>
      </c>
      <c r="DI4" s="57">
        <v>276</v>
      </c>
      <c r="DJ4" s="57">
        <v>3617</v>
      </c>
      <c r="DK4" s="57">
        <v>24</v>
      </c>
      <c r="DL4" s="57"/>
      <c r="DM4" s="59">
        <v>31</v>
      </c>
      <c r="DN4" s="126"/>
      <c r="DO4" s="11">
        <v>2</v>
      </c>
      <c r="DP4" s="42" t="s">
        <v>390</v>
      </c>
      <c r="DQ4" s="7">
        <v>1</v>
      </c>
      <c r="DR4" s="130">
        <v>42978</v>
      </c>
      <c r="DS4" s="131"/>
    </row>
    <row r="5" spans="1:123" x14ac:dyDescent="0.2">
      <c r="A5" s="33">
        <v>3</v>
      </c>
      <c r="B5" s="34" t="s">
        <v>139</v>
      </c>
      <c r="C5" s="116">
        <v>10.805555555555555</v>
      </c>
      <c r="D5" s="117" t="s">
        <v>398</v>
      </c>
      <c r="E5" s="37">
        <v>1</v>
      </c>
      <c r="F5" s="118">
        <v>35863</v>
      </c>
      <c r="G5" s="119">
        <v>27.572602739726026</v>
      </c>
      <c r="H5" s="39" t="s">
        <v>389</v>
      </c>
      <c r="I5" s="119">
        <v>23.156164383561645</v>
      </c>
      <c r="J5" s="120">
        <v>73</v>
      </c>
      <c r="K5" s="120">
        <v>232</v>
      </c>
      <c r="L5" s="120">
        <v>4.66</v>
      </c>
      <c r="M5" s="40">
        <v>1</v>
      </c>
      <c r="N5" s="121">
        <v>0</v>
      </c>
      <c r="O5" s="122">
        <v>6.6752452951584371E-2</v>
      </c>
      <c r="P5" s="122">
        <v>0.10089399744572158</v>
      </c>
      <c r="Q5" s="122">
        <v>0.23012048192771084</v>
      </c>
      <c r="R5" s="122">
        <v>0.26828575486436584</v>
      </c>
      <c r="S5" s="42">
        <v>0.26828575486436584</v>
      </c>
      <c r="T5" s="42">
        <v>0.26828575486436584</v>
      </c>
      <c r="U5" s="42">
        <v>6.8329961789166102E-2</v>
      </c>
      <c r="V5" s="42">
        <v>9.1280068728522332E-2</v>
      </c>
      <c r="W5" s="42">
        <v>9.1280068728522332E-2</v>
      </c>
      <c r="X5" s="43">
        <v>9.1280068728522332E-2</v>
      </c>
      <c r="Y5" s="44">
        <v>21.493150684931507</v>
      </c>
      <c r="Z5" s="45">
        <v>98.395290846709756</v>
      </c>
      <c r="AA5" s="45">
        <v>30.605366860574215</v>
      </c>
      <c r="AB5" s="45">
        <v>0.28229665071770332</v>
      </c>
      <c r="AC5" s="45">
        <v>5.9</v>
      </c>
      <c r="AD5" s="45">
        <v>106</v>
      </c>
      <c r="AE5" s="45">
        <v>3.57</v>
      </c>
      <c r="AF5" s="45">
        <v>31.8</v>
      </c>
      <c r="AG5" s="128">
        <v>7</v>
      </c>
      <c r="AH5" s="49">
        <v>9</v>
      </c>
      <c r="AI5" s="49">
        <v>2</v>
      </c>
      <c r="AJ5" s="49">
        <v>4</v>
      </c>
      <c r="AK5" s="49">
        <v>8</v>
      </c>
      <c r="AL5" s="49">
        <v>4</v>
      </c>
      <c r="AM5" s="49">
        <v>4</v>
      </c>
      <c r="AN5" s="49">
        <v>2</v>
      </c>
      <c r="AO5" s="49">
        <v>10</v>
      </c>
      <c r="AP5" s="50">
        <v>1</v>
      </c>
      <c r="AQ5" s="56">
        <v>0</v>
      </c>
      <c r="AR5" s="57">
        <v>3675</v>
      </c>
      <c r="AS5" s="57">
        <v>0</v>
      </c>
      <c r="AT5" s="57">
        <v>33</v>
      </c>
      <c r="AU5" s="57">
        <v>0</v>
      </c>
      <c r="AV5" s="57">
        <v>0</v>
      </c>
      <c r="AW5" s="58">
        <v>0</v>
      </c>
      <c r="AX5" s="58">
        <v>0</v>
      </c>
      <c r="AY5" s="58">
        <v>0</v>
      </c>
      <c r="AZ5" s="58">
        <v>0</v>
      </c>
      <c r="BA5" s="57">
        <v>0</v>
      </c>
      <c r="BB5" s="57">
        <v>3154</v>
      </c>
      <c r="BC5" s="57">
        <v>0</v>
      </c>
      <c r="BD5" s="57"/>
      <c r="BE5" s="59">
        <v>26</v>
      </c>
      <c r="BF5" s="56">
        <v>370</v>
      </c>
      <c r="BG5" s="57">
        <v>3509</v>
      </c>
      <c r="BH5" s="57">
        <v>3</v>
      </c>
      <c r="BI5" s="57">
        <v>36</v>
      </c>
      <c r="BJ5" s="57">
        <v>61</v>
      </c>
      <c r="BK5" s="57">
        <v>16</v>
      </c>
      <c r="BL5" s="58">
        <v>6.1</v>
      </c>
      <c r="BM5" s="58">
        <v>123.3</v>
      </c>
      <c r="BN5" s="58">
        <v>4.59</v>
      </c>
      <c r="BO5" s="58">
        <v>33.799999999999997</v>
      </c>
      <c r="BP5" s="57">
        <v>45</v>
      </c>
      <c r="BQ5" s="57">
        <v>2708</v>
      </c>
      <c r="BR5" s="57">
        <v>6</v>
      </c>
      <c r="BS5" s="57"/>
      <c r="BT5" s="59">
        <v>28</v>
      </c>
      <c r="BU5" s="56">
        <v>783</v>
      </c>
      <c r="BV5" s="57">
        <v>2976</v>
      </c>
      <c r="BW5" s="57">
        <v>4</v>
      </c>
      <c r="BX5" s="57">
        <v>33</v>
      </c>
      <c r="BY5" s="57">
        <v>117</v>
      </c>
      <c r="BZ5" s="57">
        <v>37</v>
      </c>
      <c r="CA5" s="58">
        <v>6.7</v>
      </c>
      <c r="CB5" s="58">
        <v>133.80000000000001</v>
      </c>
      <c r="CC5" s="58">
        <v>4.38</v>
      </c>
      <c r="CD5" s="58">
        <v>37.4</v>
      </c>
      <c r="CE5" s="57">
        <v>7</v>
      </c>
      <c r="CF5" s="57">
        <v>4854</v>
      </c>
      <c r="CG5" s="57">
        <v>0</v>
      </c>
      <c r="CH5" s="57"/>
      <c r="CI5" s="59">
        <v>52</v>
      </c>
      <c r="CJ5" s="56">
        <v>1224</v>
      </c>
      <c r="CK5" s="57">
        <v>2191</v>
      </c>
      <c r="CL5" s="57">
        <v>13</v>
      </c>
      <c r="CM5" s="57">
        <v>27</v>
      </c>
      <c r="CN5" s="57">
        <v>209</v>
      </c>
      <c r="CO5" s="57">
        <v>59</v>
      </c>
      <c r="CP5" s="58">
        <v>5.9</v>
      </c>
      <c r="CQ5" s="58">
        <v>106</v>
      </c>
      <c r="CR5" s="58">
        <v>3.57</v>
      </c>
      <c r="CS5" s="58">
        <v>28.3</v>
      </c>
      <c r="CT5" s="57">
        <v>304</v>
      </c>
      <c r="CU5" s="57">
        <v>4449</v>
      </c>
      <c r="CV5" s="57">
        <v>27</v>
      </c>
      <c r="CW5" s="57"/>
      <c r="CX5" s="59">
        <v>49</v>
      </c>
      <c r="CY5" s="56">
        <v>1464</v>
      </c>
      <c r="CZ5" s="57">
        <v>2385</v>
      </c>
      <c r="DA5" s="57">
        <v>26</v>
      </c>
      <c r="DB5" s="57">
        <v>37</v>
      </c>
      <c r="DC5" s="57">
        <v>252</v>
      </c>
      <c r="DD5" s="57">
        <v>71</v>
      </c>
      <c r="DE5" s="58">
        <v>5.8</v>
      </c>
      <c r="DF5" s="58">
        <v>102.7</v>
      </c>
      <c r="DG5" s="58">
        <v>3.26</v>
      </c>
      <c r="DH5" s="58">
        <v>31.8</v>
      </c>
      <c r="DI5" s="57">
        <v>425</v>
      </c>
      <c r="DJ5" s="57">
        <v>4656</v>
      </c>
      <c r="DK5" s="57">
        <v>43</v>
      </c>
      <c r="DL5" s="57"/>
      <c r="DM5" s="59">
        <v>42</v>
      </c>
      <c r="DN5" s="126"/>
      <c r="DO5" s="5">
        <v>3</v>
      </c>
      <c r="DP5" s="42" t="s">
        <v>393</v>
      </c>
      <c r="DQ5" s="7">
        <v>0.9</v>
      </c>
      <c r="DR5" s="130">
        <v>43344</v>
      </c>
      <c r="DS5" s="131"/>
    </row>
    <row r="6" spans="1:123" x14ac:dyDescent="0.2">
      <c r="A6" s="33">
        <v>4</v>
      </c>
      <c r="B6" s="34" t="s">
        <v>143</v>
      </c>
      <c r="C6" s="116">
        <v>9.2666666666666675</v>
      </c>
      <c r="D6" s="117" t="s">
        <v>493</v>
      </c>
      <c r="E6" s="37">
        <v>3</v>
      </c>
      <c r="F6" s="118">
        <v>35849</v>
      </c>
      <c r="G6" s="119">
        <v>27.610958904109587</v>
      </c>
      <c r="H6" s="39" t="s">
        <v>389</v>
      </c>
      <c r="I6" s="119">
        <v>23.194520547945206</v>
      </c>
      <c r="J6" s="120">
        <v>72</v>
      </c>
      <c r="K6" s="120">
        <v>231</v>
      </c>
      <c r="L6" s="120">
        <v>4.6399999999999997</v>
      </c>
      <c r="M6" s="40">
        <v>4</v>
      </c>
      <c r="N6" s="121">
        <v>0</v>
      </c>
      <c r="O6" s="122">
        <v>0.16274154589371981</v>
      </c>
      <c r="P6" s="122">
        <v>0.22500000000000001</v>
      </c>
      <c r="Q6" s="122">
        <v>7.9978743191178425E-2</v>
      </c>
      <c r="R6" s="122">
        <v>0.16097023153252479</v>
      </c>
      <c r="S6" s="42">
        <v>0.1929851157662624</v>
      </c>
      <c r="T6" s="42">
        <v>0.17368660418963616</v>
      </c>
      <c r="U6" s="42">
        <v>2.0893371757925071E-2</v>
      </c>
      <c r="V6" s="42">
        <v>6.0894660894660897E-2</v>
      </c>
      <c r="W6" s="42">
        <v>6.0894660894660897E-2</v>
      </c>
      <c r="X6" s="43">
        <v>5.4805194805194808E-2</v>
      </c>
      <c r="Y6" s="44">
        <v>19.531506849315068</v>
      </c>
      <c r="Z6" s="45">
        <v>99.671284070616935</v>
      </c>
      <c r="AA6" s="45">
        <v>31.325810185185183</v>
      </c>
      <c r="AB6" s="45">
        <v>0.35643564356435642</v>
      </c>
      <c r="AC6" s="45">
        <v>8</v>
      </c>
      <c r="AD6" s="45">
        <v>140.6</v>
      </c>
      <c r="AE6" s="45">
        <v>5.86</v>
      </c>
      <c r="AF6" s="45">
        <v>67.2</v>
      </c>
      <c r="AG6" s="128">
        <v>3</v>
      </c>
      <c r="AH6" s="49">
        <v>6</v>
      </c>
      <c r="AI6" s="49">
        <v>6</v>
      </c>
      <c r="AJ6" s="49">
        <v>5</v>
      </c>
      <c r="AK6" s="49">
        <v>9</v>
      </c>
      <c r="AL6" s="49">
        <v>9</v>
      </c>
      <c r="AM6" s="49">
        <v>7</v>
      </c>
      <c r="AN6" s="49">
        <v>9</v>
      </c>
      <c r="AO6" s="49">
        <v>4</v>
      </c>
      <c r="AP6" s="50">
        <v>0.75</v>
      </c>
      <c r="AQ6" s="56">
        <v>0</v>
      </c>
      <c r="AR6" s="57">
        <v>3078</v>
      </c>
      <c r="AS6" s="57">
        <v>0</v>
      </c>
      <c r="AT6" s="57">
        <v>30</v>
      </c>
      <c r="AU6" s="57">
        <v>0</v>
      </c>
      <c r="AV6" s="57">
        <v>0</v>
      </c>
      <c r="AW6" s="58">
        <v>0</v>
      </c>
      <c r="AX6" s="58">
        <v>0</v>
      </c>
      <c r="AY6" s="58">
        <v>0</v>
      </c>
      <c r="AZ6" s="58">
        <v>0</v>
      </c>
      <c r="BA6" s="57">
        <v>0</v>
      </c>
      <c r="BB6" s="57">
        <v>4134</v>
      </c>
      <c r="BC6" s="57">
        <v>0</v>
      </c>
      <c r="BD6" s="57"/>
      <c r="BE6" s="59">
        <v>43</v>
      </c>
      <c r="BF6" s="56">
        <v>501</v>
      </c>
      <c r="BG6" s="57">
        <v>1521</v>
      </c>
      <c r="BH6" s="57">
        <v>0</v>
      </c>
      <c r="BI6" s="57">
        <v>33</v>
      </c>
      <c r="BJ6" s="57">
        <v>0</v>
      </c>
      <c r="BK6" s="57">
        <v>0</v>
      </c>
      <c r="BL6" s="58">
        <v>0</v>
      </c>
      <c r="BM6" s="58">
        <v>0</v>
      </c>
      <c r="BN6" s="58">
        <v>0</v>
      </c>
      <c r="BO6" s="58">
        <v>0</v>
      </c>
      <c r="BP6" s="57">
        <v>38</v>
      </c>
      <c r="BQ6" s="57">
        <v>1791</v>
      </c>
      <c r="BR6" s="57">
        <v>5</v>
      </c>
      <c r="BS6" s="57"/>
      <c r="BT6" s="59">
        <v>47</v>
      </c>
      <c r="BU6" s="56">
        <v>2111</v>
      </c>
      <c r="BV6" s="57">
        <v>2856</v>
      </c>
      <c r="BW6" s="57">
        <v>0</v>
      </c>
      <c r="BX6" s="57">
        <v>42</v>
      </c>
      <c r="BY6" s="57">
        <v>0</v>
      </c>
      <c r="BZ6" s="57">
        <v>0</v>
      </c>
      <c r="CA6" s="58">
        <v>0</v>
      </c>
      <c r="CB6" s="58">
        <v>0</v>
      </c>
      <c r="CC6" s="58">
        <v>0</v>
      </c>
      <c r="CD6" s="58">
        <v>0</v>
      </c>
      <c r="CE6" s="57">
        <v>175</v>
      </c>
      <c r="CF6" s="57">
        <v>2224</v>
      </c>
      <c r="CG6" s="57">
        <v>13</v>
      </c>
      <c r="CH6" s="57"/>
      <c r="CI6" s="59">
        <v>43</v>
      </c>
      <c r="CJ6" s="56">
        <v>515</v>
      </c>
      <c r="CK6" s="57">
        <v>3363</v>
      </c>
      <c r="CL6" s="57">
        <v>6</v>
      </c>
      <c r="CM6" s="57">
        <v>38</v>
      </c>
      <c r="CN6" s="57">
        <v>64</v>
      </c>
      <c r="CO6" s="57">
        <v>15</v>
      </c>
      <c r="CP6" s="58">
        <v>8</v>
      </c>
      <c r="CQ6" s="58">
        <v>134.6</v>
      </c>
      <c r="CR6" s="58">
        <v>5.86</v>
      </c>
      <c r="CS6" s="58">
        <v>67.2</v>
      </c>
      <c r="CT6" s="57">
        <v>87</v>
      </c>
      <c r="CU6" s="57">
        <v>4164</v>
      </c>
      <c r="CV6" s="57">
        <v>10</v>
      </c>
      <c r="CW6" s="57"/>
      <c r="CX6" s="59">
        <v>36</v>
      </c>
      <c r="CY6" s="56">
        <v>665</v>
      </c>
      <c r="CZ6" s="57">
        <v>1977</v>
      </c>
      <c r="DA6" s="57">
        <v>7</v>
      </c>
      <c r="DB6" s="57">
        <v>27</v>
      </c>
      <c r="DC6" s="57">
        <v>101</v>
      </c>
      <c r="DD6" s="57">
        <v>36</v>
      </c>
      <c r="DE6" s="58">
        <v>6.6</v>
      </c>
      <c r="DF6" s="58">
        <v>140.6</v>
      </c>
      <c r="DG6" s="58">
        <v>3.89</v>
      </c>
      <c r="DH6" s="58">
        <v>42.1</v>
      </c>
      <c r="DI6" s="57">
        <v>211</v>
      </c>
      <c r="DJ6" s="57">
        <v>3465</v>
      </c>
      <c r="DK6" s="57">
        <v>18</v>
      </c>
      <c r="DL6" s="57"/>
      <c r="DM6" s="59">
        <v>30</v>
      </c>
      <c r="DN6" s="126"/>
      <c r="DO6" s="5">
        <v>4</v>
      </c>
      <c r="DP6" s="42" t="s">
        <v>396</v>
      </c>
      <c r="DQ6" s="7">
        <v>0.9</v>
      </c>
      <c r="DR6" s="130">
        <v>43708</v>
      </c>
      <c r="DS6" s="131"/>
    </row>
    <row r="7" spans="1:123" x14ac:dyDescent="0.2">
      <c r="A7" s="33">
        <v>5</v>
      </c>
      <c r="B7" s="34" t="s">
        <v>142</v>
      </c>
      <c r="C7" s="116">
        <v>8.9222222222222225</v>
      </c>
      <c r="D7" s="117" t="s">
        <v>502</v>
      </c>
      <c r="E7" s="37">
        <v>4</v>
      </c>
      <c r="F7" s="118">
        <v>36287</v>
      </c>
      <c r="G7" s="119">
        <v>26.410958904109588</v>
      </c>
      <c r="H7" s="39" t="s">
        <v>389</v>
      </c>
      <c r="I7" s="119">
        <v>21.994520547945207</v>
      </c>
      <c r="J7" s="120">
        <v>68</v>
      </c>
      <c r="K7" s="120">
        <v>201</v>
      </c>
      <c r="L7" s="120">
        <v>4.54</v>
      </c>
      <c r="M7" s="40">
        <v>4</v>
      </c>
      <c r="N7" s="121">
        <v>0</v>
      </c>
      <c r="O7" s="122">
        <v>0.14859075535512964</v>
      </c>
      <c r="P7" s="122">
        <v>0.14990746452806911</v>
      </c>
      <c r="Q7" s="122">
        <v>0.18776371308016879</v>
      </c>
      <c r="R7" s="122">
        <v>0.23452768729641693</v>
      </c>
      <c r="S7" s="42">
        <v>0.23452768729641693</v>
      </c>
      <c r="T7" s="42">
        <v>0.21107491856677524</v>
      </c>
      <c r="U7" s="42">
        <v>4.1442411194833155E-2</v>
      </c>
      <c r="V7" s="42">
        <v>7.3818081282831072E-2</v>
      </c>
      <c r="W7" s="42">
        <v>7.3818081282831072E-2</v>
      </c>
      <c r="X7" s="43">
        <v>6.6436273154547962E-2</v>
      </c>
      <c r="Y7" s="44">
        <v>20.331506849315069</v>
      </c>
      <c r="Z7" s="45">
        <v>94.624291700127216</v>
      </c>
      <c r="AA7" s="45">
        <v>30.558607266435985</v>
      </c>
      <c r="AB7" s="45">
        <v>0.29936305732484075</v>
      </c>
      <c r="AC7" s="45">
        <v>7.9</v>
      </c>
      <c r="AD7" s="45">
        <v>135.1</v>
      </c>
      <c r="AE7" s="45">
        <v>4.47</v>
      </c>
      <c r="AF7" s="45">
        <v>62.7</v>
      </c>
      <c r="AG7" s="128">
        <v>4</v>
      </c>
      <c r="AH7" s="49">
        <v>7</v>
      </c>
      <c r="AI7" s="49">
        <v>4</v>
      </c>
      <c r="AJ7" s="49">
        <v>3</v>
      </c>
      <c r="AK7" s="49">
        <v>8</v>
      </c>
      <c r="AL7" s="49">
        <v>9</v>
      </c>
      <c r="AM7" s="49">
        <v>7</v>
      </c>
      <c r="AN7" s="49">
        <v>7</v>
      </c>
      <c r="AO7" s="49">
        <v>4</v>
      </c>
      <c r="AP7" s="50">
        <v>1</v>
      </c>
      <c r="AQ7" s="56">
        <v>0</v>
      </c>
      <c r="AR7" s="57">
        <v>1896</v>
      </c>
      <c r="AS7" s="57">
        <v>0</v>
      </c>
      <c r="AT7" s="57">
        <v>21</v>
      </c>
      <c r="AU7" s="57">
        <v>0</v>
      </c>
      <c r="AV7" s="57">
        <v>0</v>
      </c>
      <c r="AW7" s="58">
        <v>0</v>
      </c>
      <c r="AX7" s="58">
        <v>0</v>
      </c>
      <c r="AY7" s="58">
        <v>0</v>
      </c>
      <c r="AZ7" s="58">
        <v>0</v>
      </c>
      <c r="BA7" s="57">
        <v>0</v>
      </c>
      <c r="BB7" s="57">
        <v>3811</v>
      </c>
      <c r="BC7" s="57">
        <v>0</v>
      </c>
      <c r="BD7" s="57"/>
      <c r="BE7" s="59">
        <v>30</v>
      </c>
      <c r="BF7" s="56">
        <v>559</v>
      </c>
      <c r="BG7" s="57">
        <v>1730</v>
      </c>
      <c r="BH7" s="57">
        <v>8</v>
      </c>
      <c r="BI7" s="57">
        <v>17</v>
      </c>
      <c r="BJ7" s="57">
        <v>97</v>
      </c>
      <c r="BK7" s="57">
        <v>27</v>
      </c>
      <c r="BL7" s="58">
        <v>5.8</v>
      </c>
      <c r="BM7" s="58">
        <v>86.9</v>
      </c>
      <c r="BN7" s="58">
        <v>3.24</v>
      </c>
      <c r="BO7" s="58">
        <v>34.299999999999997</v>
      </c>
      <c r="BP7" s="57">
        <v>100</v>
      </c>
      <c r="BQ7" s="57">
        <v>2705</v>
      </c>
      <c r="BR7" s="57">
        <v>11</v>
      </c>
      <c r="BS7" s="57"/>
      <c r="BT7" s="59">
        <v>21</v>
      </c>
      <c r="BU7" s="56">
        <v>609</v>
      </c>
      <c r="BV7" s="57">
        <v>2123</v>
      </c>
      <c r="BW7" s="57">
        <v>2</v>
      </c>
      <c r="BX7" s="57">
        <v>19</v>
      </c>
      <c r="BY7" s="57">
        <v>86</v>
      </c>
      <c r="BZ7" s="57">
        <v>23</v>
      </c>
      <c r="CA7" s="58">
        <v>7.1</v>
      </c>
      <c r="CB7" s="58">
        <v>100.2</v>
      </c>
      <c r="CC7" s="58">
        <v>3.52</v>
      </c>
      <c r="CD7" s="58">
        <v>59.4</v>
      </c>
      <c r="CE7" s="57">
        <v>120</v>
      </c>
      <c r="CF7" s="57">
        <v>2740</v>
      </c>
      <c r="CG7" s="57">
        <v>8</v>
      </c>
      <c r="CH7" s="57"/>
      <c r="CI7" s="59">
        <v>14</v>
      </c>
      <c r="CJ7" s="56">
        <v>1003</v>
      </c>
      <c r="CK7" s="57">
        <v>2446</v>
      </c>
      <c r="CL7" s="57">
        <v>3</v>
      </c>
      <c r="CM7" s="57">
        <v>13</v>
      </c>
      <c r="CN7" s="57">
        <v>177</v>
      </c>
      <c r="CO7" s="57">
        <v>49</v>
      </c>
      <c r="CP7" s="58">
        <v>5.7</v>
      </c>
      <c r="CQ7" s="58">
        <v>103.4</v>
      </c>
      <c r="CR7" s="58">
        <v>3.79</v>
      </c>
      <c r="CS7" s="58">
        <v>49.2</v>
      </c>
      <c r="CT7" s="57">
        <v>154</v>
      </c>
      <c r="CU7" s="57">
        <v>3716</v>
      </c>
      <c r="CV7" s="57">
        <v>21</v>
      </c>
      <c r="CW7" s="57"/>
      <c r="CX7" s="59">
        <v>39</v>
      </c>
      <c r="CY7" s="56">
        <v>1245</v>
      </c>
      <c r="CZ7" s="57">
        <v>2830</v>
      </c>
      <c r="DA7" s="57">
        <v>9</v>
      </c>
      <c r="DB7" s="57">
        <v>35</v>
      </c>
      <c r="DC7" s="57">
        <v>157</v>
      </c>
      <c r="DD7" s="57">
        <v>47</v>
      </c>
      <c r="DE7" s="58">
        <v>7.9</v>
      </c>
      <c r="DF7" s="58">
        <v>135.1</v>
      </c>
      <c r="DG7" s="58">
        <v>4.47</v>
      </c>
      <c r="DH7" s="58">
        <v>62.7</v>
      </c>
      <c r="DI7" s="57">
        <v>267</v>
      </c>
      <c r="DJ7" s="57">
        <v>3617</v>
      </c>
      <c r="DK7" s="57">
        <v>25</v>
      </c>
      <c r="DL7" s="57"/>
      <c r="DM7" s="59">
        <v>31</v>
      </c>
      <c r="DN7" s="126"/>
      <c r="DO7" s="5">
        <v>5</v>
      </c>
      <c r="DP7" s="42" t="s">
        <v>399</v>
      </c>
      <c r="DQ7" s="7">
        <v>0.85</v>
      </c>
      <c r="DR7" s="130">
        <v>44079</v>
      </c>
      <c r="DS7" s="131"/>
    </row>
    <row r="8" spans="1:123" x14ac:dyDescent="0.2">
      <c r="A8" s="33">
        <v>6</v>
      </c>
      <c r="B8" s="34" t="s">
        <v>144</v>
      </c>
      <c r="C8" s="116">
        <v>8.6499999999999986</v>
      </c>
      <c r="D8" s="117" t="s">
        <v>531</v>
      </c>
      <c r="E8" s="37">
        <v>3</v>
      </c>
      <c r="F8" s="118">
        <v>36322</v>
      </c>
      <c r="G8" s="119">
        <v>26.315068493150687</v>
      </c>
      <c r="H8" s="39" t="s">
        <v>385</v>
      </c>
      <c r="I8" s="119">
        <v>21.898630136986302</v>
      </c>
      <c r="J8" s="120">
        <v>72</v>
      </c>
      <c r="K8" s="120">
        <v>210</v>
      </c>
      <c r="L8" s="120">
        <v>4.51</v>
      </c>
      <c r="M8" s="40">
        <v>4</v>
      </c>
      <c r="N8" s="121">
        <v>0</v>
      </c>
      <c r="O8" s="122">
        <v>0</v>
      </c>
      <c r="P8" s="122">
        <v>0.1511842509996924</v>
      </c>
      <c r="Q8" s="122">
        <v>0.38671411625148278</v>
      </c>
      <c r="R8" s="122">
        <v>0.14462193823216188</v>
      </c>
      <c r="S8" s="42">
        <v>0.26566802724182231</v>
      </c>
      <c r="T8" s="42">
        <v>0.2391012245176401</v>
      </c>
      <c r="U8" s="42">
        <v>6.584362139917696E-2</v>
      </c>
      <c r="V8" s="42">
        <v>1.9734345351043642E-2</v>
      </c>
      <c r="W8" s="42">
        <v>4.27889833751103E-2</v>
      </c>
      <c r="X8" s="43">
        <v>3.851008503759927E-2</v>
      </c>
      <c r="Y8" s="44">
        <v>19.238356164383561</v>
      </c>
      <c r="Z8" s="45">
        <v>101.51801629838111</v>
      </c>
      <c r="AA8" s="45">
        <v>28.47800925925926</v>
      </c>
      <c r="AB8" s="45">
        <v>0.2347560975609756</v>
      </c>
      <c r="AC8" s="45">
        <v>6.4</v>
      </c>
      <c r="AD8" s="45">
        <v>96</v>
      </c>
      <c r="AE8" s="45">
        <v>3.96</v>
      </c>
      <c r="AF8" s="45">
        <v>49.2</v>
      </c>
      <c r="AG8" s="128">
        <v>5</v>
      </c>
      <c r="AH8" s="49">
        <v>4</v>
      </c>
      <c r="AI8" s="49">
        <v>7</v>
      </c>
      <c r="AJ8" s="49">
        <v>6</v>
      </c>
      <c r="AK8" s="49">
        <v>5</v>
      </c>
      <c r="AL8" s="49">
        <v>6</v>
      </c>
      <c r="AM8" s="49">
        <v>4</v>
      </c>
      <c r="AN8" s="49">
        <v>4</v>
      </c>
      <c r="AO8" s="49">
        <v>4</v>
      </c>
      <c r="AP8" s="50">
        <v>1</v>
      </c>
      <c r="AQ8" s="56">
        <v>0</v>
      </c>
      <c r="AR8" s="57">
        <v>2221</v>
      </c>
      <c r="AS8" s="57">
        <v>0</v>
      </c>
      <c r="AT8" s="57">
        <v>32</v>
      </c>
      <c r="AU8" s="57">
        <v>0</v>
      </c>
      <c r="AV8" s="57">
        <v>0</v>
      </c>
      <c r="AW8" s="58">
        <v>0</v>
      </c>
      <c r="AX8" s="58">
        <v>0</v>
      </c>
      <c r="AY8" s="58">
        <v>0</v>
      </c>
      <c r="AZ8" s="58">
        <v>0</v>
      </c>
      <c r="BA8" s="57">
        <v>0</v>
      </c>
      <c r="BB8" s="57">
        <v>4211</v>
      </c>
      <c r="BC8" s="57">
        <v>0</v>
      </c>
      <c r="BD8" s="57"/>
      <c r="BE8" s="59">
        <v>29</v>
      </c>
      <c r="BF8" s="56">
        <v>0</v>
      </c>
      <c r="BG8" s="57">
        <v>2337</v>
      </c>
      <c r="BH8" s="57">
        <v>0</v>
      </c>
      <c r="BI8" s="57">
        <v>34</v>
      </c>
      <c r="BJ8" s="57">
        <v>0</v>
      </c>
      <c r="BK8" s="57">
        <v>0</v>
      </c>
      <c r="BL8" s="58">
        <v>0</v>
      </c>
      <c r="BM8" s="58">
        <v>0</v>
      </c>
      <c r="BN8" s="58">
        <v>0</v>
      </c>
      <c r="BO8" s="58">
        <v>0</v>
      </c>
      <c r="BP8" s="57">
        <v>0</v>
      </c>
      <c r="BQ8" s="57">
        <v>5059</v>
      </c>
      <c r="BR8" s="57">
        <v>0</v>
      </c>
      <c r="BS8" s="57"/>
      <c r="BT8" s="59">
        <v>37</v>
      </c>
      <c r="BU8" s="56">
        <v>754</v>
      </c>
      <c r="BV8" s="57">
        <v>2474</v>
      </c>
      <c r="BW8" s="57">
        <v>7</v>
      </c>
      <c r="BX8" s="57">
        <v>30</v>
      </c>
      <c r="BY8" s="57">
        <v>122</v>
      </c>
      <c r="BZ8" s="57">
        <v>27</v>
      </c>
      <c r="CA8" s="58">
        <v>6.2</v>
      </c>
      <c r="CB8" s="58">
        <v>94</v>
      </c>
      <c r="CC8" s="58">
        <v>3.87</v>
      </c>
      <c r="CD8" s="58">
        <v>31.4</v>
      </c>
      <c r="CE8" s="57">
        <v>229</v>
      </c>
      <c r="CF8" s="57">
        <v>4028</v>
      </c>
      <c r="CG8" s="57">
        <v>8</v>
      </c>
      <c r="CH8" s="57"/>
      <c r="CI8" s="59">
        <v>33</v>
      </c>
      <c r="CJ8" s="56">
        <v>2090</v>
      </c>
      <c r="CK8" s="57">
        <v>2985</v>
      </c>
      <c r="CL8" s="57">
        <v>21</v>
      </c>
      <c r="CM8" s="57">
        <v>27</v>
      </c>
      <c r="CN8" s="57">
        <v>328</v>
      </c>
      <c r="CO8" s="57">
        <v>77</v>
      </c>
      <c r="CP8" s="58">
        <v>6.4</v>
      </c>
      <c r="CQ8" s="58">
        <v>96</v>
      </c>
      <c r="CR8" s="58">
        <v>3.96</v>
      </c>
      <c r="CS8" s="58">
        <v>49.2</v>
      </c>
      <c r="CT8" s="57">
        <v>192</v>
      </c>
      <c r="CU8" s="57">
        <v>2916</v>
      </c>
      <c r="CV8" s="57">
        <v>23</v>
      </c>
      <c r="CW8" s="57"/>
      <c r="CX8" s="59">
        <v>23</v>
      </c>
      <c r="CY8" s="56">
        <v>627</v>
      </c>
      <c r="CZ8" s="57">
        <v>2060</v>
      </c>
      <c r="DA8" s="57">
        <v>5</v>
      </c>
      <c r="DB8" s="57">
        <v>17</v>
      </c>
      <c r="DC8" s="57">
        <v>133</v>
      </c>
      <c r="DD8" s="57">
        <v>22</v>
      </c>
      <c r="DE8" s="58">
        <v>4.7</v>
      </c>
      <c r="DF8" s="58">
        <v>44.3</v>
      </c>
      <c r="DG8" s="58">
        <v>2.5</v>
      </c>
      <c r="DH8" s="58">
        <v>32.700000000000003</v>
      </c>
      <c r="DI8" s="57">
        <v>52</v>
      </c>
      <c r="DJ8" s="57">
        <v>2635</v>
      </c>
      <c r="DK8" s="57">
        <v>8</v>
      </c>
      <c r="DL8" s="57"/>
      <c r="DM8" s="59">
        <v>18</v>
      </c>
      <c r="DN8" s="126"/>
      <c r="DO8" s="5">
        <v>6</v>
      </c>
      <c r="DP8" s="42" t="s">
        <v>402</v>
      </c>
      <c r="DQ8" s="7">
        <v>0.75</v>
      </c>
      <c r="DR8" s="130"/>
      <c r="DS8" s="131"/>
    </row>
    <row r="9" spans="1:123" x14ac:dyDescent="0.2">
      <c r="A9" s="33">
        <v>7</v>
      </c>
      <c r="B9" s="34" t="s">
        <v>148</v>
      </c>
      <c r="C9" s="116">
        <v>8.06111111111111</v>
      </c>
      <c r="D9" s="117" t="s">
        <v>542</v>
      </c>
      <c r="E9" s="37">
        <v>4</v>
      </c>
      <c r="F9" s="118">
        <v>35906</v>
      </c>
      <c r="G9" s="119">
        <v>27.454794520547946</v>
      </c>
      <c r="H9" s="39" t="s">
        <v>469</v>
      </c>
      <c r="I9" s="119">
        <v>23.038356164383561</v>
      </c>
      <c r="J9" s="120">
        <v>69</v>
      </c>
      <c r="K9" s="120">
        <v>210</v>
      </c>
      <c r="L9" s="120">
        <v>4.5</v>
      </c>
      <c r="M9" s="40">
        <v>6</v>
      </c>
      <c r="N9" s="121">
        <v>4.2951541850220265E-2</v>
      </c>
      <c r="O9" s="122">
        <v>0.14101790384228524</v>
      </c>
      <c r="P9" s="122">
        <v>0.11655368467089439</v>
      </c>
      <c r="Q9" s="122">
        <v>7.6421800947867297E-2</v>
      </c>
      <c r="R9" s="122">
        <v>0.27867161716171618</v>
      </c>
      <c r="S9" s="42">
        <v>0.27867161716171618</v>
      </c>
      <c r="T9" s="42">
        <v>0.25080445544554458</v>
      </c>
      <c r="U9" s="42">
        <v>-3.6036036036036037E-4</v>
      </c>
      <c r="V9" s="42">
        <v>8.1105573176257356E-2</v>
      </c>
      <c r="W9" s="42">
        <v>8.1105573176257356E-2</v>
      </c>
      <c r="X9" s="43">
        <v>7.2995015858631621E-2</v>
      </c>
      <c r="Y9" s="44">
        <v>22.391780821917809</v>
      </c>
      <c r="Z9" s="45">
        <v>102.42341106538638</v>
      </c>
      <c r="AA9" s="45">
        <v>31.008191556395715</v>
      </c>
      <c r="AB9" s="45">
        <v>0.42857142857142855</v>
      </c>
      <c r="AC9" s="45">
        <v>9.1999999999999993</v>
      </c>
      <c r="AD9" s="45">
        <v>218.3</v>
      </c>
      <c r="AE9" s="45">
        <v>5.21</v>
      </c>
      <c r="AF9" s="45">
        <v>72.7</v>
      </c>
      <c r="AG9" s="128">
        <v>6</v>
      </c>
      <c r="AH9" s="49">
        <v>7</v>
      </c>
      <c r="AI9" s="49">
        <v>1</v>
      </c>
      <c r="AJ9" s="49">
        <v>6</v>
      </c>
      <c r="AK9" s="49">
        <v>10</v>
      </c>
      <c r="AL9" s="49">
        <v>10</v>
      </c>
      <c r="AM9" s="49">
        <v>10</v>
      </c>
      <c r="AN9" s="49">
        <v>9</v>
      </c>
      <c r="AO9" s="49">
        <v>2</v>
      </c>
      <c r="AP9" s="50">
        <v>0</v>
      </c>
      <c r="AQ9" s="56">
        <v>189</v>
      </c>
      <c r="AR9" s="57">
        <v>2563</v>
      </c>
      <c r="AS9" s="57">
        <v>3</v>
      </c>
      <c r="AT9" s="57">
        <v>27</v>
      </c>
      <c r="AU9" s="57">
        <v>44</v>
      </c>
      <c r="AV9" s="57">
        <v>4</v>
      </c>
      <c r="AW9" s="58">
        <v>4.3</v>
      </c>
      <c r="AX9" s="58">
        <v>19.600000000000001</v>
      </c>
      <c r="AY9" s="58">
        <v>2.5</v>
      </c>
      <c r="AZ9" s="58">
        <v>42.9</v>
      </c>
      <c r="BA9" s="57">
        <v>45</v>
      </c>
      <c r="BB9" s="57">
        <v>2885</v>
      </c>
      <c r="BC9" s="57">
        <v>7</v>
      </c>
      <c r="BD9" s="57"/>
      <c r="BE9" s="59">
        <v>16</v>
      </c>
      <c r="BF9" s="56">
        <v>663</v>
      </c>
      <c r="BG9" s="57">
        <v>2254</v>
      </c>
      <c r="BH9" s="57">
        <v>4</v>
      </c>
      <c r="BI9" s="57">
        <v>19</v>
      </c>
      <c r="BJ9" s="57">
        <v>120</v>
      </c>
      <c r="BK9" s="57">
        <v>21</v>
      </c>
      <c r="BL9" s="58">
        <v>5.5</v>
      </c>
      <c r="BM9" s="58">
        <v>51</v>
      </c>
      <c r="BN9" s="58">
        <v>2.97</v>
      </c>
      <c r="BO9" s="58">
        <v>52.8</v>
      </c>
      <c r="BP9" s="57">
        <v>38</v>
      </c>
      <c r="BQ9" s="57">
        <v>2717</v>
      </c>
      <c r="BR9" s="57">
        <v>8</v>
      </c>
      <c r="BS9" s="57"/>
      <c r="BT9" s="59">
        <v>14</v>
      </c>
      <c r="BU9" s="56">
        <v>494</v>
      </c>
      <c r="BV9" s="57">
        <v>2266</v>
      </c>
      <c r="BW9" s="57">
        <v>5</v>
      </c>
      <c r="BX9" s="57">
        <v>19</v>
      </c>
      <c r="BY9" s="57">
        <v>113</v>
      </c>
      <c r="BZ9" s="57">
        <v>25</v>
      </c>
      <c r="CA9" s="58">
        <v>4.4000000000000004</v>
      </c>
      <c r="CB9" s="58">
        <v>69.900000000000006</v>
      </c>
      <c r="CC9" s="58">
        <v>3.16</v>
      </c>
      <c r="CD9" s="58">
        <v>44.9</v>
      </c>
      <c r="CE9" s="57">
        <v>39</v>
      </c>
      <c r="CF9" s="57">
        <v>2307</v>
      </c>
      <c r="CG9" s="57">
        <v>2</v>
      </c>
      <c r="CH9" s="57"/>
      <c r="CI9" s="59">
        <v>18</v>
      </c>
      <c r="CJ9" s="56">
        <v>388</v>
      </c>
      <c r="CK9" s="57">
        <v>2289</v>
      </c>
      <c r="CL9" s="57">
        <v>2</v>
      </c>
      <c r="CM9" s="57">
        <v>22</v>
      </c>
      <c r="CN9" s="57">
        <v>42</v>
      </c>
      <c r="CO9" s="57">
        <v>18</v>
      </c>
      <c r="CP9" s="58">
        <v>9.1999999999999993</v>
      </c>
      <c r="CQ9" s="58">
        <v>218.3</v>
      </c>
      <c r="CR9" s="58">
        <v>5.21</v>
      </c>
      <c r="CS9" s="58">
        <v>72.7</v>
      </c>
      <c r="CT9" s="57">
        <v>-1</v>
      </c>
      <c r="CU9" s="57">
        <v>2775</v>
      </c>
      <c r="CV9" s="57">
        <v>1</v>
      </c>
      <c r="CW9" s="57"/>
      <c r="CX9" s="59">
        <v>25</v>
      </c>
      <c r="CY9" s="56">
        <v>1172</v>
      </c>
      <c r="CZ9" s="57">
        <v>2641</v>
      </c>
      <c r="DA9" s="57">
        <v>8</v>
      </c>
      <c r="DB9" s="57">
        <v>27</v>
      </c>
      <c r="DC9" s="57">
        <v>155</v>
      </c>
      <c r="DD9" s="57">
        <v>42</v>
      </c>
      <c r="DE9" s="58">
        <v>7.6</v>
      </c>
      <c r="DF9" s="58">
        <v>126.3</v>
      </c>
      <c r="DG9" s="58">
        <v>4.74</v>
      </c>
      <c r="DH9" s="58">
        <v>55.3</v>
      </c>
      <c r="DI9" s="57">
        <v>179</v>
      </c>
      <c r="DJ9" s="57">
        <v>2207</v>
      </c>
      <c r="DK9" s="57">
        <v>10</v>
      </c>
      <c r="DL9" s="57"/>
      <c r="DM9" s="59">
        <v>13</v>
      </c>
      <c r="DN9" s="126"/>
      <c r="DO9" s="5">
        <v>7</v>
      </c>
      <c r="DP9" s="42" t="s">
        <v>405</v>
      </c>
      <c r="DQ9" s="7">
        <v>0.75</v>
      </c>
      <c r="DS9" s="131"/>
    </row>
    <row r="10" spans="1:123" x14ac:dyDescent="0.2">
      <c r="A10" s="33">
        <v>8</v>
      </c>
      <c r="B10" s="34" t="s">
        <v>146</v>
      </c>
      <c r="C10" s="116">
        <v>7.7388888888888889</v>
      </c>
      <c r="D10" s="117" t="s">
        <v>445</v>
      </c>
      <c r="E10" s="37">
        <v>2</v>
      </c>
      <c r="F10" s="118">
        <v>36190</v>
      </c>
      <c r="G10" s="119">
        <v>26.676712328767124</v>
      </c>
      <c r="H10" s="39" t="s">
        <v>389</v>
      </c>
      <c r="I10" s="119">
        <v>22.260273972602739</v>
      </c>
      <c r="J10" s="120">
        <v>72</v>
      </c>
      <c r="K10" s="120">
        <v>215</v>
      </c>
      <c r="L10" s="120">
        <v>4.6100000000000003</v>
      </c>
      <c r="M10" s="40">
        <v>3</v>
      </c>
      <c r="N10" s="121">
        <v>0</v>
      </c>
      <c r="O10" s="122">
        <v>0.10436835891381346</v>
      </c>
      <c r="P10" s="122">
        <v>0.1406563126252505</v>
      </c>
      <c r="Q10" s="122">
        <v>6.0581905141490637E-2</v>
      </c>
      <c r="R10" s="122">
        <v>0.23225030084235859</v>
      </c>
      <c r="S10" s="42">
        <v>0.23225030084235859</v>
      </c>
      <c r="T10" s="42">
        <v>0.23225030084235859</v>
      </c>
      <c r="U10" s="42">
        <v>1.7050912584053793E-2</v>
      </c>
      <c r="V10" s="42">
        <v>4.5238095238095237E-2</v>
      </c>
      <c r="W10" s="42">
        <v>4.5238095238095237E-2</v>
      </c>
      <c r="X10" s="43">
        <v>4.5238095238095237E-2</v>
      </c>
      <c r="Y10" s="44">
        <v>21.613698630136987</v>
      </c>
      <c r="Z10" s="45">
        <v>95.206095360288344</v>
      </c>
      <c r="AA10" s="45">
        <v>29.15605709876543</v>
      </c>
      <c r="AB10" s="45">
        <v>0.31481481481481483</v>
      </c>
      <c r="AC10" s="45">
        <v>7.5</v>
      </c>
      <c r="AD10" s="45">
        <v>116.9</v>
      </c>
      <c r="AE10" s="45">
        <v>4.04</v>
      </c>
      <c r="AF10" s="45">
        <v>53.1</v>
      </c>
      <c r="AG10" s="128">
        <v>5</v>
      </c>
      <c r="AH10" s="49">
        <v>5</v>
      </c>
      <c r="AI10" s="49">
        <v>2</v>
      </c>
      <c r="AJ10" s="49">
        <v>3</v>
      </c>
      <c r="AK10" s="49">
        <v>8</v>
      </c>
      <c r="AL10" s="49">
        <v>8</v>
      </c>
      <c r="AM10" s="49">
        <v>5</v>
      </c>
      <c r="AN10" s="49">
        <v>5</v>
      </c>
      <c r="AO10" s="49">
        <v>6</v>
      </c>
      <c r="AP10" s="50">
        <v>0</v>
      </c>
      <c r="AQ10" s="56">
        <v>0</v>
      </c>
      <c r="AR10" s="57">
        <v>3188</v>
      </c>
      <c r="AS10" s="57">
        <v>0</v>
      </c>
      <c r="AT10" s="57">
        <v>33</v>
      </c>
      <c r="AU10" s="57">
        <v>0</v>
      </c>
      <c r="AV10" s="57">
        <v>0</v>
      </c>
      <c r="AW10" s="58">
        <v>0</v>
      </c>
      <c r="AX10" s="58">
        <v>0</v>
      </c>
      <c r="AY10" s="58">
        <v>0</v>
      </c>
      <c r="AZ10" s="58">
        <v>0</v>
      </c>
      <c r="BA10" s="57">
        <v>0</v>
      </c>
      <c r="BB10" s="57">
        <v>4134</v>
      </c>
      <c r="BC10" s="57">
        <v>0</v>
      </c>
      <c r="BD10" s="57"/>
      <c r="BE10" s="59">
        <v>43</v>
      </c>
      <c r="BF10" s="56">
        <v>745</v>
      </c>
      <c r="BG10" s="57">
        <v>3405</v>
      </c>
      <c r="BH10" s="57">
        <v>5</v>
      </c>
      <c r="BI10" s="57">
        <v>34</v>
      </c>
      <c r="BJ10" s="57">
        <v>120</v>
      </c>
      <c r="BK10" s="57">
        <v>39</v>
      </c>
      <c r="BL10" s="58">
        <v>6.2</v>
      </c>
      <c r="BM10" s="58">
        <v>125.1</v>
      </c>
      <c r="BN10" s="58">
        <v>4.1500000000000004</v>
      </c>
      <c r="BO10" s="58">
        <v>34.799999999999997</v>
      </c>
      <c r="BP10" s="57">
        <v>139</v>
      </c>
      <c r="BQ10" s="57">
        <v>5065</v>
      </c>
      <c r="BR10" s="57">
        <v>16</v>
      </c>
      <c r="BS10" s="57"/>
      <c r="BT10" s="59">
        <v>47</v>
      </c>
      <c r="BU10" s="56">
        <v>947</v>
      </c>
      <c r="BV10" s="57">
        <v>3464</v>
      </c>
      <c r="BW10" s="57">
        <v>13</v>
      </c>
      <c r="BX10" s="57">
        <v>42</v>
      </c>
      <c r="BY10" s="57">
        <v>162</v>
      </c>
      <c r="BZ10" s="57">
        <v>56</v>
      </c>
      <c r="CA10" s="58">
        <v>5.8</v>
      </c>
      <c r="CB10" s="58">
        <v>116.2</v>
      </c>
      <c r="CC10" s="58">
        <v>3.42</v>
      </c>
      <c r="CD10" s="58">
        <v>36.6</v>
      </c>
      <c r="CE10" s="57">
        <v>176</v>
      </c>
      <c r="CF10" s="57">
        <v>4520</v>
      </c>
      <c r="CG10" s="57">
        <v>4</v>
      </c>
      <c r="CH10" s="57"/>
      <c r="CI10" s="59">
        <v>43</v>
      </c>
      <c r="CJ10" s="56">
        <v>385</v>
      </c>
      <c r="CK10" s="57">
        <v>3363</v>
      </c>
      <c r="CL10" s="57">
        <v>4</v>
      </c>
      <c r="CM10" s="57">
        <v>38</v>
      </c>
      <c r="CN10" s="57">
        <v>54</v>
      </c>
      <c r="CO10" s="57">
        <v>17</v>
      </c>
      <c r="CP10" s="58">
        <v>7.1</v>
      </c>
      <c r="CQ10" s="58">
        <v>94.6</v>
      </c>
      <c r="CR10" s="58">
        <v>3.26</v>
      </c>
      <c r="CS10" s="58">
        <v>52.5</v>
      </c>
      <c r="CT10" s="57">
        <v>71</v>
      </c>
      <c r="CU10" s="57">
        <v>4164</v>
      </c>
      <c r="CV10" s="57">
        <v>8</v>
      </c>
      <c r="CW10" s="57"/>
      <c r="CX10" s="59">
        <v>36</v>
      </c>
      <c r="CY10" s="56">
        <v>870</v>
      </c>
      <c r="CZ10" s="57">
        <v>2055</v>
      </c>
      <c r="DA10" s="57">
        <v>4</v>
      </c>
      <c r="DB10" s="57">
        <v>19</v>
      </c>
      <c r="DC10" s="57">
        <v>116</v>
      </c>
      <c r="DD10" s="57">
        <v>33</v>
      </c>
      <c r="DE10" s="58">
        <v>7.5</v>
      </c>
      <c r="DF10" s="58">
        <v>116.9</v>
      </c>
      <c r="DG10" s="58">
        <v>4.04</v>
      </c>
      <c r="DH10" s="58">
        <v>53.1</v>
      </c>
      <c r="DI10" s="57">
        <v>95</v>
      </c>
      <c r="DJ10" s="57">
        <v>2100</v>
      </c>
      <c r="DK10" s="57">
        <v>12</v>
      </c>
      <c r="DL10" s="57"/>
      <c r="DM10" s="59">
        <v>22</v>
      </c>
      <c r="DN10" s="126"/>
      <c r="DO10" s="5">
        <v>8</v>
      </c>
      <c r="DP10" s="42" t="s">
        <v>408</v>
      </c>
      <c r="DQ10" s="7">
        <v>0.65</v>
      </c>
      <c r="DR10" s="131"/>
      <c r="DS10" s="131"/>
    </row>
    <row r="11" spans="1:123" x14ac:dyDescent="0.2">
      <c r="A11" s="33">
        <v>9</v>
      </c>
      <c r="B11" s="34" t="s">
        <v>147</v>
      </c>
      <c r="C11" s="116">
        <v>7.2111111111111112</v>
      </c>
      <c r="D11" s="117" t="s">
        <v>526</v>
      </c>
      <c r="E11" s="37">
        <v>6</v>
      </c>
      <c r="F11" s="118">
        <v>36233</v>
      </c>
      <c r="G11" s="119">
        <v>26.55890410958904</v>
      </c>
      <c r="H11" s="39" t="s">
        <v>385</v>
      </c>
      <c r="I11" s="119">
        <v>22.142465753424659</v>
      </c>
      <c r="J11" s="120">
        <v>68</v>
      </c>
      <c r="K11" s="120">
        <v>201</v>
      </c>
      <c r="L11" s="120">
        <v>4.47</v>
      </c>
      <c r="M11" s="40">
        <v>5</v>
      </c>
      <c r="N11" s="121">
        <v>0</v>
      </c>
      <c r="O11" s="122">
        <v>0</v>
      </c>
      <c r="P11" s="122">
        <v>1.9524849808847625E-2</v>
      </c>
      <c r="Q11" s="122">
        <v>0.30569871889265204</v>
      </c>
      <c r="R11" s="122">
        <v>0</v>
      </c>
      <c r="S11" s="42">
        <v>0.15284935944632602</v>
      </c>
      <c r="T11" s="42">
        <v>0.11463701958474451</v>
      </c>
      <c r="U11" s="42">
        <v>0.14603782619104622</v>
      </c>
      <c r="V11" s="42">
        <v>0</v>
      </c>
      <c r="W11" s="42">
        <v>0.14603782619104622</v>
      </c>
      <c r="X11" s="43">
        <v>0.10952836964328466</v>
      </c>
      <c r="Y11" s="44">
        <v>20.479452054794521</v>
      </c>
      <c r="Z11" s="45">
        <v>100.69223032609149</v>
      </c>
      <c r="AA11" s="45">
        <v>30.558607266435985</v>
      </c>
      <c r="AB11" s="45">
        <v>0.24454148471615719</v>
      </c>
      <c r="AC11" s="45">
        <v>6.4</v>
      </c>
      <c r="AD11" s="45">
        <v>93.8</v>
      </c>
      <c r="AE11" s="45">
        <v>3.45</v>
      </c>
      <c r="AF11" s="45">
        <v>50.9</v>
      </c>
      <c r="AG11" s="128">
        <v>0</v>
      </c>
      <c r="AH11" s="49">
        <v>9</v>
      </c>
      <c r="AI11" s="49">
        <v>4</v>
      </c>
      <c r="AJ11" s="49">
        <v>6</v>
      </c>
      <c r="AK11" s="49">
        <v>6</v>
      </c>
      <c r="AL11" s="49">
        <v>6</v>
      </c>
      <c r="AM11" s="49">
        <v>3</v>
      </c>
      <c r="AN11" s="49">
        <v>1</v>
      </c>
      <c r="AO11" s="49">
        <v>3</v>
      </c>
      <c r="AP11" s="50">
        <v>1</v>
      </c>
      <c r="AQ11" s="56">
        <v>0</v>
      </c>
      <c r="AR11" s="57">
        <v>2071</v>
      </c>
      <c r="AS11" s="57">
        <v>0</v>
      </c>
      <c r="AT11" s="57">
        <v>23</v>
      </c>
      <c r="AU11" s="57">
        <v>0</v>
      </c>
      <c r="AV11" s="57">
        <v>0</v>
      </c>
      <c r="AW11" s="58">
        <v>0</v>
      </c>
      <c r="AX11" s="58">
        <v>0</v>
      </c>
      <c r="AY11" s="58">
        <v>0</v>
      </c>
      <c r="AZ11" s="58">
        <v>0</v>
      </c>
      <c r="BA11" s="57">
        <v>0</v>
      </c>
      <c r="BB11" s="57">
        <v>3957</v>
      </c>
      <c r="BC11" s="57">
        <v>0</v>
      </c>
      <c r="BD11" s="57"/>
      <c r="BE11" s="59">
        <v>34</v>
      </c>
      <c r="BF11" s="56">
        <v>0</v>
      </c>
      <c r="BG11" s="57">
        <v>2562</v>
      </c>
      <c r="BH11" s="57">
        <v>0</v>
      </c>
      <c r="BI11" s="57">
        <v>33</v>
      </c>
      <c r="BJ11" s="57">
        <v>0</v>
      </c>
      <c r="BK11" s="57">
        <v>0</v>
      </c>
      <c r="BL11" s="58">
        <v>0</v>
      </c>
      <c r="BM11" s="58">
        <v>0</v>
      </c>
      <c r="BN11" s="58">
        <v>0</v>
      </c>
      <c r="BO11" s="58">
        <v>0</v>
      </c>
      <c r="BP11" s="57">
        <v>0</v>
      </c>
      <c r="BQ11" s="57">
        <v>4355</v>
      </c>
      <c r="BR11" s="57">
        <v>0</v>
      </c>
      <c r="BS11" s="57"/>
      <c r="BT11" s="59">
        <v>39</v>
      </c>
      <c r="BU11" s="56">
        <v>91</v>
      </c>
      <c r="BV11" s="57">
        <v>3919</v>
      </c>
      <c r="BW11" s="57">
        <v>1</v>
      </c>
      <c r="BX11" s="57">
        <v>48</v>
      </c>
      <c r="BY11" s="57">
        <v>4</v>
      </c>
      <c r="BZ11" s="57">
        <v>1</v>
      </c>
      <c r="CA11" s="58">
        <v>22.8</v>
      </c>
      <c r="CB11" s="58">
        <v>200</v>
      </c>
      <c r="CC11" s="58">
        <v>20</v>
      </c>
      <c r="CD11" s="58">
        <v>79.099999999999994</v>
      </c>
      <c r="CE11" s="57">
        <v>52</v>
      </c>
      <c r="CF11" s="57">
        <v>3405</v>
      </c>
      <c r="CG11" s="57">
        <v>0</v>
      </c>
      <c r="CH11" s="57"/>
      <c r="CI11" s="59">
        <v>28</v>
      </c>
      <c r="CJ11" s="56">
        <v>1466</v>
      </c>
      <c r="CK11" s="57">
        <v>2614</v>
      </c>
      <c r="CL11" s="57">
        <v>13</v>
      </c>
      <c r="CM11" s="57">
        <v>32</v>
      </c>
      <c r="CN11" s="57">
        <v>229</v>
      </c>
      <c r="CO11" s="57">
        <v>56</v>
      </c>
      <c r="CP11" s="58">
        <v>6.4</v>
      </c>
      <c r="CQ11" s="58">
        <v>93.8</v>
      </c>
      <c r="CR11" s="58">
        <v>3.45</v>
      </c>
      <c r="CS11" s="58">
        <v>50.9</v>
      </c>
      <c r="CT11" s="57">
        <v>610</v>
      </c>
      <c r="CU11" s="57">
        <v>4177</v>
      </c>
      <c r="CV11" s="57">
        <v>51</v>
      </c>
      <c r="CW11" s="57"/>
      <c r="CX11" s="59">
        <v>33</v>
      </c>
      <c r="CY11" s="56">
        <v>0</v>
      </c>
      <c r="CZ11" s="57">
        <v>1597</v>
      </c>
      <c r="DA11" s="57">
        <v>0</v>
      </c>
      <c r="DB11" s="57">
        <v>9</v>
      </c>
      <c r="DC11" s="57">
        <v>0</v>
      </c>
      <c r="DD11" s="57">
        <v>0</v>
      </c>
      <c r="DE11" s="58">
        <v>0</v>
      </c>
      <c r="DF11" s="58">
        <v>0</v>
      </c>
      <c r="DG11" s="58">
        <v>0</v>
      </c>
      <c r="DH11" s="58">
        <v>0</v>
      </c>
      <c r="DI11" s="57">
        <v>0</v>
      </c>
      <c r="DJ11" s="57">
        <v>3387</v>
      </c>
      <c r="DK11" s="57">
        <v>0</v>
      </c>
      <c r="DL11" s="57"/>
      <c r="DM11" s="59">
        <v>31</v>
      </c>
      <c r="DN11" s="126"/>
      <c r="DO11" s="5">
        <v>9</v>
      </c>
      <c r="DP11" s="42" t="s">
        <v>411</v>
      </c>
      <c r="DQ11" s="7">
        <v>0.65</v>
      </c>
      <c r="DR11" s="131"/>
    </row>
    <row r="12" spans="1:123" x14ac:dyDescent="0.2">
      <c r="A12" s="33">
        <v>10</v>
      </c>
      <c r="B12" s="34" t="s">
        <v>145</v>
      </c>
      <c r="C12" s="116">
        <v>6.8500000000000005</v>
      </c>
      <c r="D12" s="117" t="s">
        <v>543</v>
      </c>
      <c r="E12" s="37">
        <v>5</v>
      </c>
      <c r="F12" s="118">
        <v>36631</v>
      </c>
      <c r="G12" s="119">
        <v>25.468493150684932</v>
      </c>
      <c r="H12" s="39" t="s">
        <v>385</v>
      </c>
      <c r="I12" s="119">
        <v>21.052054794520547</v>
      </c>
      <c r="J12" s="120">
        <v>70</v>
      </c>
      <c r="K12" s="120">
        <v>216</v>
      </c>
      <c r="L12" s="120">
        <v>4.4400000000000004</v>
      </c>
      <c r="M12" s="40">
        <v>7</v>
      </c>
      <c r="N12" s="121">
        <v>0</v>
      </c>
      <c r="O12" s="122">
        <v>0</v>
      </c>
      <c r="P12" s="122">
        <v>0.31315626930203827</v>
      </c>
      <c r="Q12" s="122">
        <v>0.15604128718882818</v>
      </c>
      <c r="R12" s="122">
        <v>0.32320055904961564</v>
      </c>
      <c r="S12" s="42">
        <v>0.32320055904961564</v>
      </c>
      <c r="T12" s="42">
        <v>0.2747204751921733</v>
      </c>
      <c r="U12" s="42">
        <v>2.7115321790264619E-2</v>
      </c>
      <c r="V12" s="42">
        <v>4.5300878972278566E-2</v>
      </c>
      <c r="W12" s="42">
        <v>4.5300878972278566E-2</v>
      </c>
      <c r="X12" s="43">
        <v>3.8505747126436778E-2</v>
      </c>
      <c r="Y12" s="44">
        <v>18.391780821917809</v>
      </c>
      <c r="Z12" s="45">
        <v>111.16085188696877</v>
      </c>
      <c r="AA12" s="45">
        <v>30.98938775510204</v>
      </c>
      <c r="AB12" s="45">
        <v>0.20300751879699247</v>
      </c>
      <c r="AC12" s="45">
        <v>6.5</v>
      </c>
      <c r="AD12" s="45">
        <v>74.900000000000006</v>
      </c>
      <c r="AE12" s="45">
        <v>3.67</v>
      </c>
      <c r="AF12" s="45">
        <v>44.2</v>
      </c>
      <c r="AG12" s="128">
        <v>7</v>
      </c>
      <c r="AH12" s="49">
        <v>4</v>
      </c>
      <c r="AI12" s="49">
        <v>9</v>
      </c>
      <c r="AJ12" s="49">
        <v>9</v>
      </c>
      <c r="AK12" s="49">
        <v>4</v>
      </c>
      <c r="AL12" s="49">
        <v>6</v>
      </c>
      <c r="AM12" s="49">
        <v>1</v>
      </c>
      <c r="AN12" s="49">
        <v>3</v>
      </c>
      <c r="AO12" s="49">
        <v>1</v>
      </c>
      <c r="AP12" s="50">
        <v>0</v>
      </c>
      <c r="AQ12" s="56">
        <v>0</v>
      </c>
      <c r="AR12" s="57">
        <v>2300</v>
      </c>
      <c r="AS12" s="57">
        <v>0</v>
      </c>
      <c r="AT12" s="57">
        <v>24</v>
      </c>
      <c r="AU12" s="57">
        <v>0</v>
      </c>
      <c r="AV12" s="57">
        <v>0</v>
      </c>
      <c r="AW12" s="58">
        <v>0</v>
      </c>
      <c r="AX12" s="58">
        <v>0</v>
      </c>
      <c r="AY12" s="58">
        <v>0</v>
      </c>
      <c r="AZ12" s="58">
        <v>0</v>
      </c>
      <c r="BA12" s="57">
        <v>0</v>
      </c>
      <c r="BB12" s="57">
        <v>2086</v>
      </c>
      <c r="BC12" s="57">
        <v>0</v>
      </c>
      <c r="BD12" s="57"/>
      <c r="BE12" s="59">
        <v>13</v>
      </c>
      <c r="BF12" s="56">
        <v>0</v>
      </c>
      <c r="BG12" s="57">
        <v>1650</v>
      </c>
      <c r="BH12" s="57">
        <v>0</v>
      </c>
      <c r="BI12" s="57">
        <v>18</v>
      </c>
      <c r="BJ12" s="57">
        <v>0</v>
      </c>
      <c r="BK12" s="57">
        <v>0</v>
      </c>
      <c r="BL12" s="58">
        <v>0</v>
      </c>
      <c r="BM12" s="58">
        <v>0</v>
      </c>
      <c r="BN12" s="58">
        <v>0</v>
      </c>
      <c r="BO12" s="58">
        <v>0</v>
      </c>
      <c r="BP12" s="57">
        <v>0</v>
      </c>
      <c r="BQ12" s="57">
        <v>2355</v>
      </c>
      <c r="BR12" s="57">
        <v>0</v>
      </c>
      <c r="BS12" s="57"/>
      <c r="BT12" s="59">
        <v>11</v>
      </c>
      <c r="BU12" s="56">
        <v>1374</v>
      </c>
      <c r="BV12" s="57">
        <v>1867</v>
      </c>
      <c r="BW12" s="57">
        <v>12</v>
      </c>
      <c r="BX12" s="57">
        <v>23</v>
      </c>
      <c r="BY12" s="57">
        <v>239</v>
      </c>
      <c r="BZ12" s="57">
        <v>48</v>
      </c>
      <c r="CA12" s="58">
        <v>5.7</v>
      </c>
      <c r="CB12" s="58">
        <v>63.5</v>
      </c>
      <c r="CC12" s="58">
        <v>3.05</v>
      </c>
      <c r="CD12" s="58">
        <v>44</v>
      </c>
      <c r="CE12" s="57">
        <v>147</v>
      </c>
      <c r="CF12" s="57">
        <v>2990</v>
      </c>
      <c r="CG12" s="57">
        <v>7</v>
      </c>
      <c r="CH12" s="57"/>
      <c r="CI12" s="59">
        <v>17</v>
      </c>
      <c r="CJ12" s="56">
        <v>688</v>
      </c>
      <c r="CK12" s="57">
        <v>1880</v>
      </c>
      <c r="CL12" s="57">
        <v>8</v>
      </c>
      <c r="CM12" s="57">
        <v>21</v>
      </c>
      <c r="CN12" s="57">
        <v>143</v>
      </c>
      <c r="CO12" s="57">
        <v>25</v>
      </c>
      <c r="CP12" s="58">
        <v>4.8</v>
      </c>
      <c r="CQ12" s="58">
        <v>53.5</v>
      </c>
      <c r="CR12" s="58">
        <v>2.8</v>
      </c>
      <c r="CS12" s="58">
        <v>30.1</v>
      </c>
      <c r="CT12" s="57">
        <v>83</v>
      </c>
      <c r="CU12" s="57">
        <v>3061</v>
      </c>
      <c r="CV12" s="57">
        <v>9</v>
      </c>
      <c r="CW12" s="57"/>
      <c r="CX12" s="59">
        <v>30</v>
      </c>
      <c r="CY12" s="56">
        <v>858</v>
      </c>
      <c r="CZ12" s="57">
        <v>1383</v>
      </c>
      <c r="DA12" s="57">
        <v>7</v>
      </c>
      <c r="DB12" s="57">
        <v>15</v>
      </c>
      <c r="DC12" s="57">
        <v>133</v>
      </c>
      <c r="DD12" s="57">
        <v>27</v>
      </c>
      <c r="DE12" s="58">
        <v>6.5</v>
      </c>
      <c r="DF12" s="58">
        <v>74.900000000000006</v>
      </c>
      <c r="DG12" s="58">
        <v>3.67</v>
      </c>
      <c r="DH12" s="58">
        <v>44.2</v>
      </c>
      <c r="DI12" s="57">
        <v>67</v>
      </c>
      <c r="DJ12" s="57">
        <v>1479</v>
      </c>
      <c r="DK12" s="57">
        <v>9</v>
      </c>
      <c r="DL12" s="57"/>
      <c r="DM12" s="59">
        <v>11</v>
      </c>
      <c r="DN12" s="126"/>
      <c r="DO12" s="5">
        <v>10</v>
      </c>
      <c r="DP12" s="42" t="s">
        <v>414</v>
      </c>
      <c r="DQ12" s="7">
        <v>0.6</v>
      </c>
    </row>
    <row r="13" spans="1:123" x14ac:dyDescent="0.2">
      <c r="A13" s="33">
        <v>11</v>
      </c>
      <c r="B13" s="34" t="s">
        <v>285</v>
      </c>
      <c r="C13" s="116">
        <v>6.6611111111111114</v>
      </c>
      <c r="D13" s="117" t="s">
        <v>544</v>
      </c>
      <c r="E13" s="37">
        <v>7</v>
      </c>
      <c r="F13" s="118">
        <v>36517</v>
      </c>
      <c r="G13" s="119">
        <v>25.780821917808218</v>
      </c>
      <c r="H13" s="39" t="s">
        <v>385</v>
      </c>
      <c r="I13" s="119">
        <v>21.364383561643837</v>
      </c>
      <c r="J13" s="120">
        <v>69</v>
      </c>
      <c r="K13" s="120">
        <v>194</v>
      </c>
      <c r="L13" s="120">
        <v>4.51</v>
      </c>
      <c r="M13" s="40">
        <v>0</v>
      </c>
      <c r="N13" s="121">
        <v>0</v>
      </c>
      <c r="O13" s="122">
        <v>0</v>
      </c>
      <c r="P13" s="122">
        <v>0.18507668447354816</v>
      </c>
      <c r="Q13" s="122">
        <v>0.39754504058602258</v>
      </c>
      <c r="R13" s="122">
        <v>0.32088437406632808</v>
      </c>
      <c r="S13" s="42">
        <v>0.35921470732617533</v>
      </c>
      <c r="T13" s="42">
        <v>0.2694110304946315</v>
      </c>
      <c r="U13" s="42">
        <v>0.11364902506963788</v>
      </c>
      <c r="V13" s="42">
        <v>0</v>
      </c>
      <c r="W13" s="42">
        <v>5.682451253481894E-2</v>
      </c>
      <c r="X13" s="43">
        <v>4.2618384401114207E-2</v>
      </c>
      <c r="Y13" s="44">
        <v>18.704109589041096</v>
      </c>
      <c r="Z13" s="45">
        <v>93.783310294694928</v>
      </c>
      <c r="AA13" s="45">
        <v>28.645662675908419</v>
      </c>
      <c r="AB13" s="45">
        <v>0.33571428571428569</v>
      </c>
      <c r="AC13" s="45">
        <v>7.7</v>
      </c>
      <c r="AD13" s="45">
        <v>159.19999999999999</v>
      </c>
      <c r="AE13" s="45">
        <v>4.74</v>
      </c>
      <c r="AF13" s="45">
        <v>55.4</v>
      </c>
      <c r="AG13" s="128">
        <v>7</v>
      </c>
      <c r="AH13" s="49">
        <v>4</v>
      </c>
      <c r="AI13" s="49">
        <v>9</v>
      </c>
      <c r="AJ13" s="49">
        <v>2</v>
      </c>
      <c r="AK13" s="49">
        <v>9</v>
      </c>
      <c r="AL13" s="49">
        <v>9</v>
      </c>
      <c r="AM13" s="49">
        <v>8</v>
      </c>
      <c r="AN13" s="49">
        <v>7</v>
      </c>
      <c r="AO13" s="49">
        <v>0</v>
      </c>
      <c r="AP13" s="50">
        <v>0</v>
      </c>
      <c r="AQ13" s="56">
        <v>0</v>
      </c>
      <c r="AR13" s="57">
        <v>1839</v>
      </c>
      <c r="AS13" s="57">
        <v>0</v>
      </c>
      <c r="AT13" s="57">
        <v>12</v>
      </c>
      <c r="AU13" s="57">
        <v>0</v>
      </c>
      <c r="AV13" s="57">
        <v>0</v>
      </c>
      <c r="AW13" s="58">
        <v>0</v>
      </c>
      <c r="AX13" s="58">
        <v>0</v>
      </c>
      <c r="AY13" s="58">
        <v>0</v>
      </c>
      <c r="AZ13" s="58">
        <v>0</v>
      </c>
      <c r="BA13" s="57">
        <v>0</v>
      </c>
      <c r="BB13" s="57">
        <v>2406</v>
      </c>
      <c r="BC13" s="57">
        <v>0</v>
      </c>
      <c r="BD13" s="57"/>
      <c r="BE13" s="59">
        <v>11</v>
      </c>
      <c r="BF13" s="56">
        <v>0</v>
      </c>
      <c r="BG13" s="57">
        <v>1693</v>
      </c>
      <c r="BH13" s="57">
        <v>0</v>
      </c>
      <c r="BI13" s="57">
        <v>18</v>
      </c>
      <c r="BJ13" s="57">
        <v>0</v>
      </c>
      <c r="BK13" s="57">
        <v>0</v>
      </c>
      <c r="BL13" s="58">
        <v>0</v>
      </c>
      <c r="BM13" s="58">
        <v>0</v>
      </c>
      <c r="BN13" s="58">
        <v>0</v>
      </c>
      <c r="BO13" s="58">
        <v>0</v>
      </c>
      <c r="BP13" s="57">
        <v>0</v>
      </c>
      <c r="BQ13" s="57">
        <v>3490</v>
      </c>
      <c r="BR13" s="57">
        <v>0</v>
      </c>
      <c r="BS13" s="57"/>
      <c r="BT13" s="59">
        <v>24</v>
      </c>
      <c r="BU13" s="56">
        <v>1012</v>
      </c>
      <c r="BV13" s="57">
        <v>2648</v>
      </c>
      <c r="BW13" s="57">
        <v>14</v>
      </c>
      <c r="BX13" s="57">
        <v>36</v>
      </c>
      <c r="BY13" s="57">
        <v>182</v>
      </c>
      <c r="BZ13" s="57">
        <v>48</v>
      </c>
      <c r="CA13" s="58">
        <v>5.6</v>
      </c>
      <c r="CB13" s="58">
        <v>104.2</v>
      </c>
      <c r="CC13" s="58">
        <v>3.86</v>
      </c>
      <c r="CD13" s="58">
        <v>38.299999999999997</v>
      </c>
      <c r="CE13" s="57">
        <v>62</v>
      </c>
      <c r="CF13" s="57">
        <v>3155</v>
      </c>
      <c r="CG13" s="57">
        <v>3</v>
      </c>
      <c r="CH13" s="57"/>
      <c r="CI13" s="59">
        <v>28</v>
      </c>
      <c r="CJ13" s="56">
        <v>1804</v>
      </c>
      <c r="CK13" s="57">
        <v>3256</v>
      </c>
      <c r="CL13" s="57">
        <v>19</v>
      </c>
      <c r="CM13" s="57">
        <v>36</v>
      </c>
      <c r="CN13" s="57">
        <v>313</v>
      </c>
      <c r="CO13" s="57">
        <v>86</v>
      </c>
      <c r="CP13" s="58">
        <v>5.8</v>
      </c>
      <c r="CQ13" s="58">
        <v>108.4</v>
      </c>
      <c r="CR13" s="58">
        <v>3.59</v>
      </c>
      <c r="CS13" s="58">
        <v>35.6</v>
      </c>
      <c r="CT13" s="57">
        <v>204</v>
      </c>
      <c r="CU13" s="57">
        <v>1795</v>
      </c>
      <c r="CV13" s="57">
        <v>12</v>
      </c>
      <c r="CW13" s="57"/>
      <c r="CX13" s="59">
        <v>14</v>
      </c>
      <c r="CY13" s="56">
        <v>1074</v>
      </c>
      <c r="CZ13" s="57">
        <v>2010</v>
      </c>
      <c r="DA13" s="57">
        <v>19</v>
      </c>
      <c r="DB13" s="57">
        <v>32</v>
      </c>
      <c r="DC13" s="57">
        <v>140</v>
      </c>
      <c r="DD13" s="57">
        <v>47</v>
      </c>
      <c r="DE13" s="58">
        <v>7.7</v>
      </c>
      <c r="DF13" s="58">
        <v>159.19999999999999</v>
      </c>
      <c r="DG13" s="58">
        <v>4.74</v>
      </c>
      <c r="DH13" s="58">
        <v>55.4</v>
      </c>
      <c r="DI13" s="57">
        <v>0</v>
      </c>
      <c r="DJ13" s="57">
        <v>1337</v>
      </c>
      <c r="DK13" s="57">
        <v>0</v>
      </c>
      <c r="DL13" s="57"/>
      <c r="DM13" s="59">
        <v>7</v>
      </c>
      <c r="DN13" s="126"/>
      <c r="DO13" s="11">
        <v>11</v>
      </c>
      <c r="DP13" s="42" t="s">
        <v>417</v>
      </c>
      <c r="DQ13" s="7">
        <v>0.55000000000000004</v>
      </c>
    </row>
    <row r="14" spans="1:123" x14ac:dyDescent="0.2">
      <c r="A14" s="33">
        <v>12</v>
      </c>
      <c r="B14" s="34" t="s">
        <v>140</v>
      </c>
      <c r="C14" s="116">
        <v>5.4055555555555559</v>
      </c>
      <c r="D14" s="117" t="s">
        <v>503</v>
      </c>
      <c r="E14" s="37">
        <v>8</v>
      </c>
      <c r="F14" s="118">
        <v>35917</v>
      </c>
      <c r="G14" s="119">
        <v>27.424657534246574</v>
      </c>
      <c r="H14" s="39" t="s">
        <v>389</v>
      </c>
      <c r="I14" s="119">
        <v>23.008219178082193</v>
      </c>
      <c r="J14" s="120">
        <v>70</v>
      </c>
      <c r="K14" s="120">
        <v>201</v>
      </c>
      <c r="L14" s="120">
        <v>4.3499999999999996</v>
      </c>
      <c r="M14" s="40">
        <v>6</v>
      </c>
      <c r="N14" s="121">
        <v>0</v>
      </c>
      <c r="O14" s="122">
        <v>5.8971141781681308E-2</v>
      </c>
      <c r="P14" s="122">
        <v>0.22255892255892257</v>
      </c>
      <c r="Q14" s="122">
        <v>0.17591789534547558</v>
      </c>
      <c r="R14" s="122">
        <v>0.22040112141470777</v>
      </c>
      <c r="S14" s="42">
        <v>0.22148002198681516</v>
      </c>
      <c r="T14" s="42">
        <v>0.14396201429142985</v>
      </c>
      <c r="U14" s="42">
        <v>2.1122510561255279E-2</v>
      </c>
      <c r="V14" s="42">
        <v>6.6695727986050571E-2</v>
      </c>
      <c r="W14" s="42">
        <v>6.6695727986050571E-2</v>
      </c>
      <c r="X14" s="43">
        <v>4.3352223190932876E-2</v>
      </c>
      <c r="Y14" s="44">
        <v>20.347945205479451</v>
      </c>
      <c r="Z14" s="45">
        <v>112.27137079521074</v>
      </c>
      <c r="AA14" s="45">
        <v>28.837346938775511</v>
      </c>
      <c r="AB14" s="45">
        <v>0.29078014184397161</v>
      </c>
      <c r="AC14" s="45">
        <v>6.2</v>
      </c>
      <c r="AD14" s="45">
        <v>125.1</v>
      </c>
      <c r="AE14" s="45">
        <v>4.59</v>
      </c>
      <c r="AF14" s="45">
        <v>50.1</v>
      </c>
      <c r="AG14" s="128">
        <v>1</v>
      </c>
      <c r="AH14" s="49">
        <v>5</v>
      </c>
      <c r="AI14" s="49">
        <v>4</v>
      </c>
      <c r="AJ14" s="49">
        <v>9</v>
      </c>
      <c r="AK14" s="49">
        <v>8</v>
      </c>
      <c r="AL14" s="49">
        <v>5</v>
      </c>
      <c r="AM14" s="49">
        <v>6</v>
      </c>
      <c r="AN14" s="49">
        <v>7</v>
      </c>
      <c r="AO14" s="49">
        <v>2</v>
      </c>
      <c r="AP14" s="50">
        <v>0</v>
      </c>
      <c r="AQ14" s="56">
        <v>0</v>
      </c>
      <c r="AR14" s="57">
        <v>2326</v>
      </c>
      <c r="AS14" s="57">
        <v>0</v>
      </c>
      <c r="AT14" s="57">
        <v>21</v>
      </c>
      <c r="AU14" s="57">
        <v>0</v>
      </c>
      <c r="AV14" s="57">
        <v>0</v>
      </c>
      <c r="AW14" s="58">
        <v>0</v>
      </c>
      <c r="AX14" s="58">
        <v>0</v>
      </c>
      <c r="AY14" s="58">
        <v>0</v>
      </c>
      <c r="AZ14" s="58">
        <v>0</v>
      </c>
      <c r="BA14" s="57">
        <v>0</v>
      </c>
      <c r="BB14" s="57">
        <v>2308</v>
      </c>
      <c r="BC14" s="57">
        <v>0</v>
      </c>
      <c r="BD14" s="57"/>
      <c r="BE14" s="59">
        <v>12</v>
      </c>
      <c r="BF14" s="56">
        <v>257</v>
      </c>
      <c r="BG14" s="57">
        <v>2204</v>
      </c>
      <c r="BH14" s="57">
        <v>4</v>
      </c>
      <c r="BI14" s="57">
        <v>27</v>
      </c>
      <c r="BJ14" s="57">
        <v>42</v>
      </c>
      <c r="BK14" s="57">
        <v>9</v>
      </c>
      <c r="BL14" s="58">
        <v>6.1</v>
      </c>
      <c r="BM14" s="58">
        <v>92.4</v>
      </c>
      <c r="BN14" s="58">
        <v>4.62</v>
      </c>
      <c r="BO14" s="58">
        <v>49</v>
      </c>
      <c r="BP14" s="57">
        <v>25</v>
      </c>
      <c r="BQ14" s="57">
        <v>2578</v>
      </c>
      <c r="BR14" s="57">
        <v>3</v>
      </c>
      <c r="BS14" s="57"/>
      <c r="BT14" s="59">
        <v>16</v>
      </c>
      <c r="BU14" s="56">
        <v>973</v>
      </c>
      <c r="BV14" s="57">
        <v>3062</v>
      </c>
      <c r="BW14" s="57">
        <v>13</v>
      </c>
      <c r="BX14" s="57">
        <v>31</v>
      </c>
      <c r="BY14" s="57">
        <v>145</v>
      </c>
      <c r="BZ14" s="57">
        <v>37</v>
      </c>
      <c r="CA14" s="58">
        <v>6.7</v>
      </c>
      <c r="CB14" s="58">
        <v>125.1</v>
      </c>
      <c r="CC14" s="58">
        <v>4.59</v>
      </c>
      <c r="CD14" s="58">
        <v>50.1</v>
      </c>
      <c r="CE14" s="57">
        <v>349</v>
      </c>
      <c r="CF14" s="57">
        <v>2878</v>
      </c>
      <c r="CG14" s="57">
        <v>8</v>
      </c>
      <c r="CH14" s="57"/>
      <c r="CI14" s="59">
        <v>27</v>
      </c>
      <c r="CJ14" s="56">
        <v>1147</v>
      </c>
      <c r="CK14" s="57">
        <v>3604</v>
      </c>
      <c r="CL14" s="57">
        <v>16</v>
      </c>
      <c r="CM14" s="57">
        <v>42</v>
      </c>
      <c r="CN14" s="57">
        <v>198</v>
      </c>
      <c r="CO14" s="57">
        <v>56</v>
      </c>
      <c r="CP14" s="58">
        <v>5.8</v>
      </c>
      <c r="CQ14" s="58">
        <v>115</v>
      </c>
      <c r="CR14" s="58">
        <v>3.8</v>
      </c>
      <c r="CS14" s="58">
        <v>28.3</v>
      </c>
      <c r="CT14" s="57">
        <v>70</v>
      </c>
      <c r="CU14" s="57">
        <v>3314</v>
      </c>
      <c r="CV14" s="57">
        <v>10</v>
      </c>
      <c r="CW14" s="57"/>
      <c r="CX14" s="59">
        <v>27</v>
      </c>
      <c r="CY14" s="56">
        <v>869</v>
      </c>
      <c r="CZ14" s="57">
        <v>2343</v>
      </c>
      <c r="DA14" s="57">
        <v>8</v>
      </c>
      <c r="DB14" s="57">
        <v>25</v>
      </c>
      <c r="DC14" s="57">
        <v>141</v>
      </c>
      <c r="DD14" s="57">
        <v>41</v>
      </c>
      <c r="DE14" s="58">
        <v>6.2</v>
      </c>
      <c r="DF14" s="58">
        <v>120.8</v>
      </c>
      <c r="DG14" s="58">
        <v>4.04</v>
      </c>
      <c r="DH14" s="58">
        <v>43.4</v>
      </c>
      <c r="DI14" s="57">
        <v>153</v>
      </c>
      <c r="DJ14" s="57">
        <v>2294</v>
      </c>
      <c r="DK14" s="57">
        <v>16</v>
      </c>
      <c r="DL14" s="57"/>
      <c r="DM14" s="59">
        <v>20</v>
      </c>
      <c r="DN14" s="126"/>
      <c r="DO14" s="11">
        <v>12</v>
      </c>
      <c r="DP14" s="42" t="s">
        <v>420</v>
      </c>
      <c r="DQ14" s="7">
        <v>0.5</v>
      </c>
    </row>
    <row r="15" spans="1:123" x14ac:dyDescent="0.2">
      <c r="A15" s="33">
        <v>13</v>
      </c>
      <c r="B15" s="34" t="s">
        <v>153</v>
      </c>
      <c r="C15" s="116">
        <v>5.3611111111111107</v>
      </c>
      <c r="D15" s="117" t="s">
        <v>530</v>
      </c>
      <c r="E15" s="37">
        <v>2</v>
      </c>
      <c r="F15" s="118">
        <v>35806</v>
      </c>
      <c r="G15" s="119">
        <v>27.728767123287671</v>
      </c>
      <c r="H15" s="39" t="s">
        <v>469</v>
      </c>
      <c r="I15" s="119">
        <v>23.312328767123287</v>
      </c>
      <c r="J15" s="120">
        <v>70</v>
      </c>
      <c r="K15" s="120">
        <v>204</v>
      </c>
      <c r="L15" s="120">
        <v>4.49</v>
      </c>
      <c r="M15" s="40">
        <v>7</v>
      </c>
      <c r="N15" s="121">
        <v>3.6245163917735697E-2</v>
      </c>
      <c r="O15" s="122">
        <v>3.8402061855670105E-2</v>
      </c>
      <c r="P15" s="122">
        <v>4.4873233116446041E-4</v>
      </c>
      <c r="Q15" s="122">
        <v>4.5862654695462267E-2</v>
      </c>
      <c r="R15" s="122">
        <v>0.28312958435207825</v>
      </c>
      <c r="S15" s="42">
        <v>0.28312958435207825</v>
      </c>
      <c r="T15" s="42">
        <v>0.28312958435207825</v>
      </c>
      <c r="U15" s="42">
        <v>7.6628352490421452E-3</v>
      </c>
      <c r="V15" s="42">
        <v>4.8484848484848485E-2</v>
      </c>
      <c r="W15" s="42">
        <v>4.8484848484848485E-2</v>
      </c>
      <c r="X15" s="43">
        <v>4.8484848484848485E-2</v>
      </c>
      <c r="Y15" s="44">
        <v>22.665753424657535</v>
      </c>
      <c r="Z15" s="45">
        <v>100.38638127398181</v>
      </c>
      <c r="AA15" s="45">
        <v>29.267755102040816</v>
      </c>
      <c r="AB15" s="45">
        <v>0.22950819672131148</v>
      </c>
      <c r="AC15" s="45">
        <v>10.199999999999999</v>
      </c>
      <c r="AD15" s="45">
        <v>60.7</v>
      </c>
      <c r="AE15" s="45">
        <v>4.82</v>
      </c>
      <c r="AF15" s="45">
        <v>89.6</v>
      </c>
      <c r="AG15" s="128">
        <v>8</v>
      </c>
      <c r="AH15" s="49">
        <v>5</v>
      </c>
      <c r="AI15" s="49">
        <v>0</v>
      </c>
      <c r="AJ15" s="49">
        <v>5</v>
      </c>
      <c r="AK15" s="49">
        <v>5</v>
      </c>
      <c r="AL15" s="49">
        <v>10</v>
      </c>
      <c r="AM15" s="49">
        <v>0</v>
      </c>
      <c r="AN15" s="49">
        <v>8</v>
      </c>
      <c r="AO15" s="49">
        <v>1</v>
      </c>
      <c r="AP15" s="50">
        <v>0</v>
      </c>
      <c r="AQ15" s="56">
        <v>136</v>
      </c>
      <c r="AR15" s="57">
        <v>2594</v>
      </c>
      <c r="AS15" s="57">
        <v>1</v>
      </c>
      <c r="AT15" s="57">
        <v>26</v>
      </c>
      <c r="AU15" s="57">
        <v>29</v>
      </c>
      <c r="AV15" s="57">
        <v>5</v>
      </c>
      <c r="AW15" s="58">
        <v>4.7</v>
      </c>
      <c r="AX15" s="58">
        <v>67.7</v>
      </c>
      <c r="AY15" s="58">
        <v>3.48</v>
      </c>
      <c r="AZ15" s="58">
        <v>32.4</v>
      </c>
      <c r="BA15" s="57">
        <v>42</v>
      </c>
      <c r="BB15" s="57">
        <v>2317</v>
      </c>
      <c r="BC15" s="57">
        <v>7</v>
      </c>
      <c r="BD15" s="57"/>
      <c r="BE15" s="59">
        <v>15</v>
      </c>
      <c r="BF15" s="56">
        <v>145</v>
      </c>
      <c r="BG15" s="57">
        <v>1940</v>
      </c>
      <c r="BH15" s="57">
        <v>4</v>
      </c>
      <c r="BI15" s="57">
        <v>19</v>
      </c>
      <c r="BJ15" s="57">
        <v>27</v>
      </c>
      <c r="BK15" s="57">
        <v>3</v>
      </c>
      <c r="BL15" s="58">
        <v>5.4</v>
      </c>
      <c r="BM15" s="58">
        <v>23</v>
      </c>
      <c r="BN15" s="58">
        <v>2.15</v>
      </c>
      <c r="BO15" s="58">
        <v>53.8</v>
      </c>
      <c r="BP15" s="57">
        <v>4</v>
      </c>
      <c r="BQ15" s="57">
        <v>1940</v>
      </c>
      <c r="BR15" s="57">
        <v>1</v>
      </c>
      <c r="BS15" s="57"/>
      <c r="BT15" s="59">
        <v>15</v>
      </c>
      <c r="BU15" s="56">
        <v>-2</v>
      </c>
      <c r="BV15" s="57">
        <v>2762</v>
      </c>
      <c r="BW15" s="57">
        <v>0</v>
      </c>
      <c r="BX15" s="57">
        <v>26</v>
      </c>
      <c r="BY15" s="57">
        <v>2</v>
      </c>
      <c r="BZ15" s="57">
        <v>1</v>
      </c>
      <c r="CA15" s="58">
        <v>-1</v>
      </c>
      <c r="CB15" s="58">
        <v>50</v>
      </c>
      <c r="CC15" s="58">
        <v>1.5</v>
      </c>
      <c r="CD15" s="58">
        <v>0</v>
      </c>
      <c r="CE15" s="57">
        <v>4</v>
      </c>
      <c r="CF15" s="57">
        <v>1695</v>
      </c>
      <c r="CG15" s="57">
        <v>0</v>
      </c>
      <c r="CH15" s="57"/>
      <c r="CI15" s="59">
        <v>12</v>
      </c>
      <c r="CJ15" s="56">
        <v>173</v>
      </c>
      <c r="CK15" s="57">
        <v>2033</v>
      </c>
      <c r="CL15" s="57">
        <v>2</v>
      </c>
      <c r="CM15" s="57">
        <v>23</v>
      </c>
      <c r="CN15" s="57">
        <v>17</v>
      </c>
      <c r="CO15" s="57">
        <v>2</v>
      </c>
      <c r="CP15" s="58">
        <v>10.199999999999999</v>
      </c>
      <c r="CQ15" s="58">
        <v>45.9</v>
      </c>
      <c r="CR15" s="58">
        <v>4.82</v>
      </c>
      <c r="CS15" s="58">
        <v>89.6</v>
      </c>
      <c r="CT15" s="57">
        <v>16</v>
      </c>
      <c r="CU15" s="57">
        <v>2088</v>
      </c>
      <c r="CV15" s="57">
        <v>4</v>
      </c>
      <c r="CW15" s="57"/>
      <c r="CX15" s="59">
        <v>16</v>
      </c>
      <c r="CY15" s="56">
        <v>515</v>
      </c>
      <c r="CZ15" s="57">
        <v>725</v>
      </c>
      <c r="DA15" s="57">
        <v>3</v>
      </c>
      <c r="DB15" s="57">
        <v>5</v>
      </c>
      <c r="DC15" s="57">
        <v>61</v>
      </c>
      <c r="DD15" s="57">
        <v>14</v>
      </c>
      <c r="DE15" s="58">
        <v>8.4</v>
      </c>
      <c r="DF15" s="58">
        <v>60.7</v>
      </c>
      <c r="DG15" s="58">
        <v>3.03</v>
      </c>
      <c r="DH15" s="58">
        <v>66</v>
      </c>
      <c r="DI15" s="57">
        <v>64</v>
      </c>
      <c r="DJ15" s="57">
        <v>1320</v>
      </c>
      <c r="DK15" s="57">
        <v>9</v>
      </c>
      <c r="DL15" s="57"/>
      <c r="DM15" s="59">
        <v>9</v>
      </c>
      <c r="DN15" s="126"/>
      <c r="DO15" s="11"/>
      <c r="DP15" s="42"/>
    </row>
    <row r="16" spans="1:123" x14ac:dyDescent="0.2">
      <c r="A16" s="33">
        <v>14</v>
      </c>
      <c r="B16" s="34" t="s">
        <v>152</v>
      </c>
      <c r="C16" s="116">
        <v>5.3444444444444441</v>
      </c>
      <c r="D16" s="117" t="s">
        <v>538</v>
      </c>
      <c r="E16" s="37">
        <v>5</v>
      </c>
      <c r="F16" s="118">
        <v>35854</v>
      </c>
      <c r="G16" s="119">
        <v>27.597260273972601</v>
      </c>
      <c r="H16" s="39" t="s">
        <v>389</v>
      </c>
      <c r="I16" s="119">
        <v>23.18082191780822</v>
      </c>
      <c r="J16" s="120">
        <v>71</v>
      </c>
      <c r="K16" s="120">
        <v>218</v>
      </c>
      <c r="L16" s="120">
        <v>4.62</v>
      </c>
      <c r="M16" s="40">
        <v>6</v>
      </c>
      <c r="N16" s="121">
        <v>0</v>
      </c>
      <c r="O16" s="122">
        <v>0</v>
      </c>
      <c r="P16" s="122">
        <v>9.8689002184996363E-2</v>
      </c>
      <c r="Q16" s="122">
        <v>8.5021776178754019E-2</v>
      </c>
      <c r="R16" s="122">
        <v>0.24742826204656199</v>
      </c>
      <c r="S16" s="42">
        <v>0.24742826204656199</v>
      </c>
      <c r="T16" s="42">
        <v>0.21031402273957769</v>
      </c>
      <c r="U16" s="42">
        <v>1.8477920450986535E-2</v>
      </c>
      <c r="V16" s="42">
        <v>5.3521126760563378E-2</v>
      </c>
      <c r="W16" s="42">
        <v>5.3521126760563378E-2</v>
      </c>
      <c r="X16" s="43">
        <v>4.5492957746478872E-2</v>
      </c>
      <c r="Y16" s="44">
        <v>22.534246575342465</v>
      </c>
      <c r="Z16" s="45">
        <v>95.701465226413774</v>
      </c>
      <c r="AA16" s="45">
        <v>30.401507637373538</v>
      </c>
      <c r="AB16" s="45">
        <v>0.32183908045977011</v>
      </c>
      <c r="AC16" s="45">
        <v>5.9</v>
      </c>
      <c r="AD16" s="45">
        <v>124.2</v>
      </c>
      <c r="AE16" s="45">
        <v>4.3499999999999996</v>
      </c>
      <c r="AF16" s="45">
        <v>39.5</v>
      </c>
      <c r="AG16" s="128">
        <v>4</v>
      </c>
      <c r="AH16" s="49">
        <v>5</v>
      </c>
      <c r="AI16" s="49">
        <v>0</v>
      </c>
      <c r="AJ16" s="49">
        <v>3</v>
      </c>
      <c r="AK16" s="49">
        <v>9</v>
      </c>
      <c r="AL16" s="49">
        <v>4</v>
      </c>
      <c r="AM16" s="49">
        <v>6</v>
      </c>
      <c r="AN16" s="49">
        <v>6</v>
      </c>
      <c r="AO16" s="49">
        <v>2</v>
      </c>
      <c r="AP16" s="50">
        <v>0</v>
      </c>
      <c r="AQ16" s="56">
        <v>0</v>
      </c>
      <c r="AR16" s="57">
        <v>2820</v>
      </c>
      <c r="AS16" s="57">
        <v>0</v>
      </c>
      <c r="AT16" s="57">
        <v>26</v>
      </c>
      <c r="AU16" s="57">
        <v>0</v>
      </c>
      <c r="AV16" s="57">
        <v>0</v>
      </c>
      <c r="AW16" s="58">
        <v>0</v>
      </c>
      <c r="AX16" s="58">
        <v>0</v>
      </c>
      <c r="AY16" s="58">
        <v>0</v>
      </c>
      <c r="AZ16" s="58">
        <v>0</v>
      </c>
      <c r="BA16" s="57">
        <v>0</v>
      </c>
      <c r="BB16" s="57">
        <v>2137</v>
      </c>
      <c r="BC16" s="57">
        <v>0</v>
      </c>
      <c r="BD16" s="57"/>
      <c r="BE16" s="59">
        <v>13</v>
      </c>
      <c r="BF16" s="56">
        <v>0</v>
      </c>
      <c r="BG16" s="57">
        <v>3056</v>
      </c>
      <c r="BH16" s="57">
        <v>0</v>
      </c>
      <c r="BI16" s="57">
        <v>34</v>
      </c>
      <c r="BJ16" s="57">
        <v>0</v>
      </c>
      <c r="BK16" s="57">
        <v>0</v>
      </c>
      <c r="BL16" s="58">
        <v>0</v>
      </c>
      <c r="BM16" s="58">
        <v>0</v>
      </c>
      <c r="BN16" s="58">
        <v>0</v>
      </c>
      <c r="BO16" s="58">
        <v>0</v>
      </c>
      <c r="BP16" s="57">
        <v>0</v>
      </c>
      <c r="BQ16" s="57">
        <v>2343</v>
      </c>
      <c r="BR16" s="57">
        <v>0</v>
      </c>
      <c r="BS16" s="57"/>
      <c r="BT16" s="59">
        <v>19</v>
      </c>
      <c r="BU16" s="56">
        <v>533</v>
      </c>
      <c r="BV16" s="57">
        <v>2429</v>
      </c>
      <c r="BW16" s="57">
        <v>3</v>
      </c>
      <c r="BX16" s="57">
        <v>14</v>
      </c>
      <c r="BY16" s="57">
        <v>89</v>
      </c>
      <c r="BZ16" s="57">
        <v>14</v>
      </c>
      <c r="CA16" s="58">
        <v>6</v>
      </c>
      <c r="CB16" s="58">
        <v>42</v>
      </c>
      <c r="CC16" s="58">
        <v>2.73</v>
      </c>
      <c r="CD16" s="58">
        <v>37.5</v>
      </c>
      <c r="CE16" s="57">
        <v>9</v>
      </c>
      <c r="CF16" s="57">
        <v>3063</v>
      </c>
      <c r="CG16" s="57">
        <v>0</v>
      </c>
      <c r="CH16" s="57"/>
      <c r="CI16" s="59">
        <v>29</v>
      </c>
      <c r="CJ16" s="56">
        <v>390</v>
      </c>
      <c r="CK16" s="57">
        <v>2088</v>
      </c>
      <c r="CL16" s="57">
        <v>5</v>
      </c>
      <c r="CM16" s="57">
        <v>19</v>
      </c>
      <c r="CN16" s="57">
        <v>66</v>
      </c>
      <c r="CO16" s="57">
        <v>18</v>
      </c>
      <c r="CP16" s="58">
        <v>5.9</v>
      </c>
      <c r="CQ16" s="58">
        <v>124.2</v>
      </c>
      <c r="CR16" s="58">
        <v>4.3499999999999996</v>
      </c>
      <c r="CS16" s="58">
        <v>39.5</v>
      </c>
      <c r="CT16" s="57">
        <v>59</v>
      </c>
      <c r="CU16" s="57">
        <v>3193</v>
      </c>
      <c r="CV16" s="57">
        <v>4</v>
      </c>
      <c r="CW16" s="57"/>
      <c r="CX16" s="59">
        <v>23</v>
      </c>
      <c r="CY16" s="56">
        <v>400</v>
      </c>
      <c r="CZ16" s="57">
        <v>782</v>
      </c>
      <c r="DA16" s="57">
        <v>1</v>
      </c>
      <c r="DB16" s="57">
        <v>4</v>
      </c>
      <c r="DC16" s="57">
        <v>87</v>
      </c>
      <c r="DD16" s="57">
        <v>28</v>
      </c>
      <c r="DE16" s="58">
        <v>4.5999999999999996</v>
      </c>
      <c r="DF16" s="58">
        <v>108.7</v>
      </c>
      <c r="DG16" s="58">
        <v>3.59</v>
      </c>
      <c r="DH16" s="58">
        <v>39.5</v>
      </c>
      <c r="DI16" s="57">
        <v>57</v>
      </c>
      <c r="DJ16" s="57">
        <v>1065</v>
      </c>
      <c r="DK16" s="57">
        <v>12</v>
      </c>
      <c r="DL16" s="57"/>
      <c r="DM16" s="59">
        <v>6</v>
      </c>
      <c r="DN16" s="126"/>
      <c r="DO16" s="11"/>
      <c r="DP16" s="42"/>
    </row>
    <row r="17" spans="1:117" x14ac:dyDescent="0.2">
      <c r="A17" s="33">
        <v>15</v>
      </c>
      <c r="B17" s="34" t="s">
        <v>151</v>
      </c>
      <c r="C17" s="116">
        <v>5.2722222222222221</v>
      </c>
      <c r="D17" s="117" t="s">
        <v>419</v>
      </c>
      <c r="E17" s="37">
        <v>1</v>
      </c>
      <c r="F17" s="118">
        <v>36025</v>
      </c>
      <c r="G17" s="119">
        <v>27.12876712328767</v>
      </c>
      <c r="H17" s="39" t="s">
        <v>389</v>
      </c>
      <c r="I17" s="119">
        <v>22.712328767123289</v>
      </c>
      <c r="J17" s="120">
        <v>71</v>
      </c>
      <c r="K17" s="120">
        <v>214</v>
      </c>
      <c r="L17" s="120">
        <v>4.57</v>
      </c>
      <c r="M17" s="40">
        <v>7</v>
      </c>
      <c r="N17" s="121">
        <v>0</v>
      </c>
      <c r="O17" s="122">
        <v>7.9198823961778755E-2</v>
      </c>
      <c r="P17" s="122">
        <v>0.17615176151761516</v>
      </c>
      <c r="Q17" s="122">
        <v>0.29378965583541627</v>
      </c>
      <c r="R17" s="122">
        <v>7.8033137359700688E-2</v>
      </c>
      <c r="S17" s="42">
        <v>0.18591139659755848</v>
      </c>
      <c r="T17" s="42">
        <v>0.18591139659755848</v>
      </c>
      <c r="U17" s="42">
        <v>7.7153879125589367E-2</v>
      </c>
      <c r="V17" s="42">
        <v>7.1801166001841055E-2</v>
      </c>
      <c r="W17" s="42">
        <v>7.4477522563715204E-2</v>
      </c>
      <c r="X17" s="43">
        <v>7.4477522563715204E-2</v>
      </c>
      <c r="Y17" s="44">
        <v>20.052054794520547</v>
      </c>
      <c r="Z17" s="45">
        <v>98.124841610958683</v>
      </c>
      <c r="AA17" s="45">
        <v>29.843681809164849</v>
      </c>
      <c r="AB17" s="45">
        <v>0.26495726495726496</v>
      </c>
      <c r="AC17" s="45">
        <v>5.5</v>
      </c>
      <c r="AD17" s="45">
        <v>116.1</v>
      </c>
      <c r="AE17" s="45">
        <v>4.03</v>
      </c>
      <c r="AF17" s="45">
        <v>45.1</v>
      </c>
      <c r="AG17" s="128">
        <v>3</v>
      </c>
      <c r="AH17" s="49">
        <v>7</v>
      </c>
      <c r="AI17" s="49">
        <v>4</v>
      </c>
      <c r="AJ17" s="49">
        <v>4</v>
      </c>
      <c r="AK17" s="49">
        <v>7</v>
      </c>
      <c r="AL17" s="49">
        <v>3</v>
      </c>
      <c r="AM17" s="49">
        <v>5</v>
      </c>
      <c r="AN17" s="49">
        <v>5</v>
      </c>
      <c r="AO17" s="49">
        <v>1</v>
      </c>
      <c r="AP17" s="50">
        <v>0</v>
      </c>
      <c r="AQ17" s="56">
        <v>0</v>
      </c>
      <c r="AR17" s="57">
        <v>2997</v>
      </c>
      <c r="AS17" s="57">
        <v>0</v>
      </c>
      <c r="AT17" s="57">
        <v>24</v>
      </c>
      <c r="AU17" s="57">
        <v>0</v>
      </c>
      <c r="AV17" s="57">
        <v>0</v>
      </c>
      <c r="AW17" s="58">
        <v>0</v>
      </c>
      <c r="AX17" s="58">
        <v>0</v>
      </c>
      <c r="AY17" s="58">
        <v>0</v>
      </c>
      <c r="AZ17" s="58">
        <v>0</v>
      </c>
      <c r="BA17" s="57">
        <v>0</v>
      </c>
      <c r="BB17" s="57">
        <v>2726</v>
      </c>
      <c r="BC17" s="57">
        <v>0</v>
      </c>
      <c r="BD17" s="57"/>
      <c r="BE17" s="59">
        <v>24</v>
      </c>
      <c r="BF17" s="56">
        <v>393</v>
      </c>
      <c r="BG17" s="57">
        <v>3272</v>
      </c>
      <c r="BH17" s="57">
        <v>2</v>
      </c>
      <c r="BI17" s="57">
        <v>30</v>
      </c>
      <c r="BJ17" s="57">
        <v>78</v>
      </c>
      <c r="BK17" s="57">
        <v>21</v>
      </c>
      <c r="BL17" s="58">
        <v>5</v>
      </c>
      <c r="BM17" s="58">
        <v>103.6</v>
      </c>
      <c r="BN17" s="58">
        <v>3.4</v>
      </c>
      <c r="BO17" s="58">
        <v>16.5</v>
      </c>
      <c r="BP17" s="57">
        <v>38</v>
      </c>
      <c r="BQ17" s="57">
        <v>2170</v>
      </c>
      <c r="BR17" s="57">
        <v>4</v>
      </c>
      <c r="BS17" s="57"/>
      <c r="BT17" s="59">
        <v>17</v>
      </c>
      <c r="BU17" s="56">
        <v>734</v>
      </c>
      <c r="BV17" s="57">
        <v>2907</v>
      </c>
      <c r="BW17" s="57">
        <v>4</v>
      </c>
      <c r="BX17" s="57">
        <v>26</v>
      </c>
      <c r="BY17" s="57">
        <v>117</v>
      </c>
      <c r="BZ17" s="57">
        <v>31</v>
      </c>
      <c r="CA17" s="58">
        <v>6.3</v>
      </c>
      <c r="CB17" s="58">
        <v>116.1</v>
      </c>
      <c r="CC17" s="58">
        <v>4.03</v>
      </c>
      <c r="CD17" s="58">
        <v>45.1</v>
      </c>
      <c r="CE17" s="57">
        <v>176</v>
      </c>
      <c r="CF17" s="57">
        <v>2259</v>
      </c>
      <c r="CG17" s="57">
        <v>9</v>
      </c>
      <c r="CH17" s="57"/>
      <c r="CI17" s="59">
        <v>22</v>
      </c>
      <c r="CJ17" s="56">
        <v>1348</v>
      </c>
      <c r="CK17" s="57">
        <v>2868</v>
      </c>
      <c r="CL17" s="57">
        <v>10</v>
      </c>
      <c r="CM17" s="57">
        <v>27</v>
      </c>
      <c r="CN17" s="57">
        <v>243</v>
      </c>
      <c r="CO17" s="57">
        <v>61</v>
      </c>
      <c r="CP17" s="58">
        <v>5.5</v>
      </c>
      <c r="CQ17" s="58">
        <v>74.8</v>
      </c>
      <c r="CR17" s="58">
        <v>3.05</v>
      </c>
      <c r="CS17" s="58">
        <v>42.7</v>
      </c>
      <c r="CT17" s="57">
        <v>180</v>
      </c>
      <c r="CU17" s="57">
        <v>2333</v>
      </c>
      <c r="CV17" s="57">
        <v>18</v>
      </c>
      <c r="CW17" s="57"/>
      <c r="CX17" s="59">
        <v>19</v>
      </c>
      <c r="CY17" s="56">
        <v>58</v>
      </c>
      <c r="CZ17" s="57">
        <v>483</v>
      </c>
      <c r="DA17" s="57">
        <v>0</v>
      </c>
      <c r="DB17" s="57">
        <v>8</v>
      </c>
      <c r="DC17" s="57">
        <v>15</v>
      </c>
      <c r="DD17" s="57">
        <v>3</v>
      </c>
      <c r="DE17" s="58">
        <v>3.9</v>
      </c>
      <c r="DF17" s="58">
        <v>77.900000000000006</v>
      </c>
      <c r="DG17" s="58">
        <v>2.4700000000000002</v>
      </c>
      <c r="DH17" s="58">
        <v>0</v>
      </c>
      <c r="DI17" s="57">
        <v>234</v>
      </c>
      <c r="DJ17" s="57">
        <v>3259</v>
      </c>
      <c r="DK17" s="57">
        <v>23</v>
      </c>
      <c r="DL17" s="57"/>
      <c r="DM17" s="59">
        <v>17</v>
      </c>
    </row>
    <row r="18" spans="1:117" x14ac:dyDescent="0.2">
      <c r="A18" s="33">
        <v>16</v>
      </c>
      <c r="B18" s="34" t="s">
        <v>154</v>
      </c>
      <c r="C18" s="116">
        <v>4.9444444444444446</v>
      </c>
      <c r="D18" s="117" t="s">
        <v>527</v>
      </c>
      <c r="E18" s="37">
        <v>3</v>
      </c>
      <c r="F18" s="118">
        <v>35835</v>
      </c>
      <c r="G18" s="119">
        <v>27.649315068493152</v>
      </c>
      <c r="H18" s="39" t="s">
        <v>389</v>
      </c>
      <c r="I18" s="119">
        <v>23.232876712328768</v>
      </c>
      <c r="J18" s="120">
        <v>71</v>
      </c>
      <c r="K18" s="120">
        <v>209</v>
      </c>
      <c r="L18" s="120">
        <v>4.32</v>
      </c>
      <c r="M18" s="40">
        <v>4</v>
      </c>
      <c r="N18" s="121">
        <v>2.9452460960664163E-2</v>
      </c>
      <c r="O18" s="122">
        <v>0</v>
      </c>
      <c r="P18" s="122">
        <v>3.483309143686502E-2</v>
      </c>
      <c r="Q18" s="122">
        <v>2.1295013850415514E-2</v>
      </c>
      <c r="R18" s="122">
        <v>6.8945760122230706E-2</v>
      </c>
      <c r="S18" s="42">
        <v>6.8945760122230706E-2</v>
      </c>
      <c r="T18" s="42">
        <v>6.2051184110007637E-2</v>
      </c>
      <c r="U18" s="42">
        <v>1.9767729182110206E-3</v>
      </c>
      <c r="V18" s="42">
        <v>7.5966850828729279E-3</v>
      </c>
      <c r="W18" s="42">
        <v>7.5966850828729279E-3</v>
      </c>
      <c r="X18" s="43">
        <v>6.8370165745856356E-3</v>
      </c>
      <c r="Y18" s="44" t="s">
        <v>645</v>
      </c>
      <c r="Z18" s="45">
        <v>120.01659315192089</v>
      </c>
      <c r="AA18" s="45">
        <v>29.146399523903987</v>
      </c>
      <c r="AB18" s="45">
        <v>0.1875</v>
      </c>
      <c r="AC18" s="45">
        <v>7.2</v>
      </c>
      <c r="AD18" s="45">
        <v>51.7</v>
      </c>
      <c r="AE18" s="45">
        <v>3.31</v>
      </c>
      <c r="AF18" s="45">
        <v>49</v>
      </c>
      <c r="AG18" s="128">
        <v>0</v>
      </c>
      <c r="AH18" s="49">
        <v>0</v>
      </c>
      <c r="AI18" s="49">
        <v>0</v>
      </c>
      <c r="AJ18" s="49">
        <v>10</v>
      </c>
      <c r="AK18" s="49">
        <v>2</v>
      </c>
      <c r="AL18" s="49">
        <v>8</v>
      </c>
      <c r="AM18" s="49">
        <v>0</v>
      </c>
      <c r="AN18" s="49">
        <v>1</v>
      </c>
      <c r="AO18" s="49">
        <v>4</v>
      </c>
      <c r="AP18" s="50">
        <v>1</v>
      </c>
      <c r="AQ18" s="56">
        <v>133</v>
      </c>
      <c r="AR18" s="57">
        <v>1953</v>
      </c>
      <c r="AS18" s="57">
        <v>0</v>
      </c>
      <c r="AT18" s="57">
        <v>18</v>
      </c>
      <c r="AU18" s="57">
        <v>27</v>
      </c>
      <c r="AV18" s="57">
        <v>6</v>
      </c>
      <c r="AW18" s="58">
        <v>4.9000000000000004</v>
      </c>
      <c r="AX18" s="58">
        <v>59.5</v>
      </c>
      <c r="AY18" s="58">
        <v>2.78</v>
      </c>
      <c r="AZ18" s="58">
        <v>0</v>
      </c>
      <c r="BA18" s="57">
        <v>16</v>
      </c>
      <c r="BB18" s="57">
        <v>3106</v>
      </c>
      <c r="BC18" s="57">
        <v>1</v>
      </c>
      <c r="BD18" s="57"/>
      <c r="BE18" s="59">
        <v>21</v>
      </c>
      <c r="BF18" s="56">
        <v>0</v>
      </c>
      <c r="BG18" s="57">
        <v>1470</v>
      </c>
      <c r="BH18" s="57">
        <v>0</v>
      </c>
      <c r="BI18" s="57">
        <v>16</v>
      </c>
      <c r="BJ18" s="57">
        <v>0</v>
      </c>
      <c r="BK18" s="57">
        <v>0</v>
      </c>
      <c r="BL18" s="58">
        <v>0</v>
      </c>
      <c r="BM18" s="58">
        <v>0</v>
      </c>
      <c r="BN18" s="58">
        <v>0</v>
      </c>
      <c r="BO18" s="58">
        <v>0</v>
      </c>
      <c r="BP18" s="57">
        <v>0</v>
      </c>
      <c r="BQ18" s="57">
        <v>3548</v>
      </c>
      <c r="BR18" s="57">
        <v>0</v>
      </c>
      <c r="BS18" s="57"/>
      <c r="BT18" s="59">
        <v>27</v>
      </c>
      <c r="BU18" s="56">
        <v>157</v>
      </c>
      <c r="BV18" s="57">
        <v>1691</v>
      </c>
      <c r="BW18" s="57">
        <v>0</v>
      </c>
      <c r="BX18" s="57">
        <v>20</v>
      </c>
      <c r="BY18" s="57">
        <v>39</v>
      </c>
      <c r="BZ18" s="57">
        <v>16</v>
      </c>
      <c r="CA18" s="58">
        <v>4</v>
      </c>
      <c r="CB18" s="58">
        <v>137.1</v>
      </c>
      <c r="CC18" s="58">
        <v>3.31</v>
      </c>
      <c r="CD18" s="58">
        <v>15.3</v>
      </c>
      <c r="CE18" s="57">
        <v>11</v>
      </c>
      <c r="CF18" s="57">
        <v>3132</v>
      </c>
      <c r="CG18" s="57">
        <v>1</v>
      </c>
      <c r="CH18" s="57"/>
      <c r="CI18" s="59">
        <v>20</v>
      </c>
      <c r="CJ18" s="56">
        <v>115</v>
      </c>
      <c r="CK18" s="57">
        <v>1729</v>
      </c>
      <c r="CL18" s="57">
        <v>0</v>
      </c>
      <c r="CM18" s="57">
        <v>22</v>
      </c>
      <c r="CN18" s="57">
        <v>16</v>
      </c>
      <c r="CO18" s="57">
        <v>3</v>
      </c>
      <c r="CP18" s="58">
        <v>7.2</v>
      </c>
      <c r="CQ18" s="58">
        <v>47.4</v>
      </c>
      <c r="CR18" s="58">
        <v>2.69</v>
      </c>
      <c r="CS18" s="58">
        <v>32.200000000000003</v>
      </c>
      <c r="CT18" s="57">
        <v>8</v>
      </c>
      <c r="CU18" s="57">
        <v>4047</v>
      </c>
      <c r="CV18" s="57">
        <v>1</v>
      </c>
      <c r="CW18" s="57"/>
      <c r="CX18" s="59">
        <v>29</v>
      </c>
      <c r="CY18" s="56">
        <v>339</v>
      </c>
      <c r="CZ18" s="57">
        <v>2340</v>
      </c>
      <c r="DA18" s="57">
        <v>4</v>
      </c>
      <c r="DB18" s="57">
        <v>31</v>
      </c>
      <c r="DC18" s="57">
        <v>61</v>
      </c>
      <c r="DD18" s="57">
        <v>9</v>
      </c>
      <c r="DE18" s="58">
        <v>5.6</v>
      </c>
      <c r="DF18" s="58">
        <v>51.7</v>
      </c>
      <c r="DG18" s="58">
        <v>3.31</v>
      </c>
      <c r="DH18" s="58">
        <v>49</v>
      </c>
      <c r="DI18" s="57">
        <v>22</v>
      </c>
      <c r="DJ18" s="57">
        <v>2896</v>
      </c>
      <c r="DK18" s="57">
        <v>3</v>
      </c>
      <c r="DL18" s="57"/>
      <c r="DM18" s="59">
        <v>20</v>
      </c>
    </row>
    <row r="19" spans="1:117" x14ac:dyDescent="0.2">
      <c r="A19" s="33">
        <v>17</v>
      </c>
      <c r="B19" s="34" t="s">
        <v>329</v>
      </c>
      <c r="C19" s="116">
        <v>4.7111111111111112</v>
      </c>
      <c r="D19" s="117" t="s">
        <v>452</v>
      </c>
      <c r="E19" s="37">
        <v>5</v>
      </c>
      <c r="F19" s="118">
        <v>35992</v>
      </c>
      <c r="G19" s="119">
        <v>27.219178082191782</v>
      </c>
      <c r="H19" s="39" t="s">
        <v>389</v>
      </c>
      <c r="I19" s="119">
        <v>22.802739726027397</v>
      </c>
      <c r="J19" s="120">
        <v>69</v>
      </c>
      <c r="K19" s="120">
        <v>189</v>
      </c>
      <c r="L19" s="120">
        <v>4.59</v>
      </c>
      <c r="M19" s="40">
        <v>6</v>
      </c>
      <c r="N19" s="121">
        <v>0</v>
      </c>
      <c r="O19" s="122">
        <v>1.2264784946236559E-2</v>
      </c>
      <c r="P19" s="122">
        <v>4.9670982806198256E-2</v>
      </c>
      <c r="Q19" s="122">
        <v>0.1900164338537387</v>
      </c>
      <c r="R19" s="122">
        <v>0.25965463108320253</v>
      </c>
      <c r="S19" s="42">
        <v>0.25965463108320253</v>
      </c>
      <c r="T19" s="42">
        <v>0.22070643642072213</v>
      </c>
      <c r="U19" s="42">
        <v>0.19373776908023482</v>
      </c>
      <c r="V19" s="42">
        <v>0.10120942075111394</v>
      </c>
      <c r="W19" s="42">
        <v>0.14747359491567438</v>
      </c>
      <c r="X19" s="43">
        <v>0.12535255567832324</v>
      </c>
      <c r="Y19" s="44">
        <v>21.139726027397259</v>
      </c>
      <c r="Z19" s="45">
        <v>85.161059847711627</v>
      </c>
      <c r="AA19" s="45">
        <v>27.907372400756142</v>
      </c>
      <c r="AB19" s="45">
        <v>0.27272727272727271</v>
      </c>
      <c r="AC19" s="45">
        <v>5.0999999999999996</v>
      </c>
      <c r="AD19" s="45">
        <v>91.5</v>
      </c>
      <c r="AE19" s="45">
        <v>3.36</v>
      </c>
      <c r="AF19" s="45">
        <v>47.4</v>
      </c>
      <c r="AG19" s="128">
        <v>4</v>
      </c>
      <c r="AH19" s="49">
        <v>9</v>
      </c>
      <c r="AI19" s="49">
        <v>3</v>
      </c>
      <c r="AJ19" s="49">
        <v>1</v>
      </c>
      <c r="AK19" s="49">
        <v>7</v>
      </c>
      <c r="AL19" s="49">
        <v>1</v>
      </c>
      <c r="AM19" s="49">
        <v>3</v>
      </c>
      <c r="AN19" s="49">
        <v>1</v>
      </c>
      <c r="AO19" s="49">
        <v>2</v>
      </c>
      <c r="AP19" s="50">
        <v>0</v>
      </c>
      <c r="AQ19" s="56">
        <v>0</v>
      </c>
      <c r="AR19" s="57">
        <v>1011</v>
      </c>
      <c r="AS19" s="57">
        <v>0</v>
      </c>
      <c r="AT19" s="57">
        <v>13</v>
      </c>
      <c r="AU19" s="57">
        <v>0</v>
      </c>
      <c r="AV19" s="57">
        <v>0</v>
      </c>
      <c r="AW19" s="58">
        <v>0</v>
      </c>
      <c r="AX19" s="58">
        <v>0</v>
      </c>
      <c r="AY19" s="58">
        <v>0</v>
      </c>
      <c r="AZ19" s="58">
        <v>0</v>
      </c>
      <c r="BA19" s="57">
        <v>0</v>
      </c>
      <c r="BB19" s="57">
        <v>3547</v>
      </c>
      <c r="BC19" s="57">
        <v>0</v>
      </c>
      <c r="BD19" s="57"/>
      <c r="BE19" s="59">
        <v>22</v>
      </c>
      <c r="BF19" s="56">
        <v>75</v>
      </c>
      <c r="BG19" s="57">
        <v>1474</v>
      </c>
      <c r="BH19" s="57">
        <v>1</v>
      </c>
      <c r="BI19" s="57">
        <v>19</v>
      </c>
      <c r="BJ19" s="57">
        <v>10</v>
      </c>
      <c r="BK19" s="57">
        <v>6</v>
      </c>
      <c r="BL19" s="58">
        <v>7.5</v>
      </c>
      <c r="BM19" s="58">
        <v>220</v>
      </c>
      <c r="BN19" s="58">
        <v>4.4000000000000004</v>
      </c>
      <c r="BO19" s="58">
        <v>60</v>
      </c>
      <c r="BP19" s="57">
        <v>-2</v>
      </c>
      <c r="BQ19" s="57">
        <v>4478</v>
      </c>
      <c r="BR19" s="57">
        <v>2</v>
      </c>
      <c r="BS19" s="57"/>
      <c r="BT19" s="59">
        <v>31</v>
      </c>
      <c r="BU19" s="56">
        <v>27</v>
      </c>
      <c r="BV19" s="57">
        <v>1858</v>
      </c>
      <c r="BW19" s="57">
        <v>0</v>
      </c>
      <c r="BX19" s="57">
        <v>20</v>
      </c>
      <c r="BY19" s="57">
        <v>5</v>
      </c>
      <c r="BZ19" s="57">
        <v>0</v>
      </c>
      <c r="CA19" s="58">
        <v>5.4</v>
      </c>
      <c r="CB19" s="58">
        <v>19.2</v>
      </c>
      <c r="CC19" s="58">
        <v>1.2</v>
      </c>
      <c r="CD19" s="58">
        <v>0</v>
      </c>
      <c r="CE19" s="57">
        <v>207</v>
      </c>
      <c r="CF19" s="57">
        <v>2853</v>
      </c>
      <c r="CG19" s="57">
        <v>4</v>
      </c>
      <c r="CH19" s="57"/>
      <c r="CI19" s="59">
        <v>13</v>
      </c>
      <c r="CJ19" s="56">
        <v>331</v>
      </c>
      <c r="CK19" s="57">
        <v>1802</v>
      </c>
      <c r="CL19" s="57">
        <v>1</v>
      </c>
      <c r="CM19" s="57">
        <v>18</v>
      </c>
      <c r="CN19" s="57">
        <v>87</v>
      </c>
      <c r="CO19" s="57">
        <v>21</v>
      </c>
      <c r="CP19" s="58">
        <v>3.8</v>
      </c>
      <c r="CQ19" s="58">
        <v>86.2</v>
      </c>
      <c r="CR19" s="58">
        <v>3.11</v>
      </c>
      <c r="CS19" s="58">
        <v>47.4</v>
      </c>
      <c r="CT19" s="57">
        <v>594</v>
      </c>
      <c r="CU19" s="57">
        <v>3066</v>
      </c>
      <c r="CV19" s="57">
        <v>54</v>
      </c>
      <c r="CW19" s="57"/>
      <c r="CX19" s="59">
        <v>22</v>
      </c>
      <c r="CY19" s="56">
        <v>668</v>
      </c>
      <c r="CZ19" s="57">
        <v>1614</v>
      </c>
      <c r="DA19" s="57">
        <v>5</v>
      </c>
      <c r="DB19" s="57">
        <v>13</v>
      </c>
      <c r="DC19" s="57">
        <v>132</v>
      </c>
      <c r="DD19" s="57">
        <v>36</v>
      </c>
      <c r="DE19" s="58">
        <v>5.0999999999999996</v>
      </c>
      <c r="DF19" s="58">
        <v>91.5</v>
      </c>
      <c r="DG19" s="58">
        <v>3.36</v>
      </c>
      <c r="DH19" s="58">
        <v>26.3</v>
      </c>
      <c r="DI19" s="57">
        <v>159</v>
      </c>
      <c r="DJ19" s="57">
        <v>1571</v>
      </c>
      <c r="DK19" s="57">
        <v>22</v>
      </c>
      <c r="DL19" s="57"/>
      <c r="DM19" s="59">
        <v>18</v>
      </c>
    </row>
    <row r="20" spans="1:117" x14ac:dyDescent="0.2">
      <c r="A20" s="33">
        <v>18</v>
      </c>
      <c r="B20" s="34" t="s">
        <v>336</v>
      </c>
      <c r="C20" s="116">
        <v>4.4388888888888891</v>
      </c>
      <c r="D20" s="117" t="s">
        <v>545</v>
      </c>
      <c r="E20" s="37">
        <v>4</v>
      </c>
      <c r="F20" s="118">
        <v>36209</v>
      </c>
      <c r="G20" s="119">
        <v>26.624657534246577</v>
      </c>
      <c r="H20" s="39" t="s">
        <v>389</v>
      </c>
      <c r="I20" s="119">
        <v>22.208219178082192</v>
      </c>
      <c r="J20" s="120">
        <v>71</v>
      </c>
      <c r="K20" s="120">
        <v>218</v>
      </c>
      <c r="L20" s="120">
        <v>4.42</v>
      </c>
      <c r="M20" s="40">
        <v>0</v>
      </c>
      <c r="N20" s="121">
        <v>0</v>
      </c>
      <c r="O20" s="122">
        <v>2.0191923230707717E-2</v>
      </c>
      <c r="P20" s="122">
        <v>0.20743268866135761</v>
      </c>
      <c r="Q20" s="122">
        <v>0.21284125379170879</v>
      </c>
      <c r="R20" s="122">
        <v>0.18092499400910617</v>
      </c>
      <c r="S20" s="42">
        <v>0.19688312390040746</v>
      </c>
      <c r="T20" s="42">
        <v>0.17719481151036673</v>
      </c>
      <c r="U20" s="42">
        <v>9.0148698884758363E-2</v>
      </c>
      <c r="V20" s="42">
        <v>3.3074724377296853E-2</v>
      </c>
      <c r="W20" s="42">
        <v>6.1611711631027605E-2</v>
      </c>
      <c r="X20" s="43">
        <v>5.5450540467924844E-2</v>
      </c>
      <c r="Y20" s="44">
        <v>19.547945205479451</v>
      </c>
      <c r="Z20" s="45">
        <v>114.23453333410025</v>
      </c>
      <c r="AA20" s="45">
        <v>30.401507637373538</v>
      </c>
      <c r="AB20" s="45">
        <v>0.21604938271604937</v>
      </c>
      <c r="AC20" s="45">
        <v>4.2</v>
      </c>
      <c r="AD20" s="45">
        <v>72.8</v>
      </c>
      <c r="AE20" s="45">
        <v>3.7</v>
      </c>
      <c r="AF20" s="45">
        <v>42</v>
      </c>
      <c r="AG20" s="128">
        <v>3</v>
      </c>
      <c r="AH20" s="49">
        <v>6</v>
      </c>
      <c r="AI20" s="49">
        <v>6</v>
      </c>
      <c r="AJ20" s="49">
        <v>10</v>
      </c>
      <c r="AK20" s="49">
        <v>4</v>
      </c>
      <c r="AL20" s="49">
        <v>0</v>
      </c>
      <c r="AM20" s="49">
        <v>1</v>
      </c>
      <c r="AN20" s="49">
        <v>3</v>
      </c>
      <c r="AO20" s="49">
        <v>0</v>
      </c>
      <c r="AP20" s="50">
        <v>0</v>
      </c>
      <c r="AQ20" s="56">
        <v>0</v>
      </c>
      <c r="AR20" s="57">
        <v>1843</v>
      </c>
      <c r="AS20" s="57">
        <v>0</v>
      </c>
      <c r="AT20" s="57">
        <v>19</v>
      </c>
      <c r="AU20" s="57">
        <v>0</v>
      </c>
      <c r="AV20" s="57">
        <v>0</v>
      </c>
      <c r="AW20" s="58">
        <v>0</v>
      </c>
      <c r="AX20" s="58">
        <v>0</v>
      </c>
      <c r="AY20" s="58">
        <v>0</v>
      </c>
      <c r="AZ20" s="58">
        <v>0</v>
      </c>
      <c r="BA20" s="57">
        <v>0</v>
      </c>
      <c r="BB20" s="57">
        <v>2877</v>
      </c>
      <c r="BC20" s="57">
        <v>0</v>
      </c>
      <c r="BD20" s="57"/>
      <c r="BE20" s="59">
        <v>18</v>
      </c>
      <c r="BF20" s="56">
        <v>97</v>
      </c>
      <c r="BG20" s="57">
        <v>2228</v>
      </c>
      <c r="BH20" s="57">
        <v>0</v>
      </c>
      <c r="BI20" s="57">
        <v>22</v>
      </c>
      <c r="BJ20" s="57">
        <v>32</v>
      </c>
      <c r="BK20" s="57">
        <v>4</v>
      </c>
      <c r="BL20" s="58">
        <v>3</v>
      </c>
      <c r="BM20" s="58">
        <v>24.3</v>
      </c>
      <c r="BN20" s="58">
        <v>2.19</v>
      </c>
      <c r="BO20" s="58">
        <v>0</v>
      </c>
      <c r="BP20" s="57">
        <v>4</v>
      </c>
      <c r="BQ20" s="57">
        <v>2774</v>
      </c>
      <c r="BR20" s="57">
        <v>4</v>
      </c>
      <c r="BS20" s="57"/>
      <c r="BT20" s="59">
        <v>16</v>
      </c>
      <c r="BU20" s="56">
        <v>845</v>
      </c>
      <c r="BV20" s="57">
        <v>2075</v>
      </c>
      <c r="BW20" s="57">
        <v>7</v>
      </c>
      <c r="BX20" s="57">
        <v>19</v>
      </c>
      <c r="BY20" s="57">
        <v>160</v>
      </c>
      <c r="BZ20" s="57">
        <v>28</v>
      </c>
      <c r="CA20" s="58">
        <v>5.3</v>
      </c>
      <c r="CB20" s="58">
        <v>66</v>
      </c>
      <c r="CC20" s="58">
        <v>3.7</v>
      </c>
      <c r="CD20" s="58">
        <v>42</v>
      </c>
      <c r="CE20" s="57">
        <v>249</v>
      </c>
      <c r="CF20" s="57">
        <v>3199</v>
      </c>
      <c r="CG20" s="57">
        <v>5</v>
      </c>
      <c r="CH20" s="57"/>
      <c r="CI20" s="59">
        <v>31</v>
      </c>
      <c r="CJ20" s="56">
        <v>648</v>
      </c>
      <c r="CK20" s="57">
        <v>1804</v>
      </c>
      <c r="CL20" s="57">
        <v>6</v>
      </c>
      <c r="CM20" s="57">
        <v>16</v>
      </c>
      <c r="CN20" s="57">
        <v>170</v>
      </c>
      <c r="CO20" s="57">
        <v>32</v>
      </c>
      <c r="CP20" s="58">
        <v>3.8</v>
      </c>
      <c r="CQ20" s="58">
        <v>52</v>
      </c>
      <c r="CR20" s="58">
        <v>2.84</v>
      </c>
      <c r="CS20" s="58">
        <v>15</v>
      </c>
      <c r="CT20" s="57">
        <v>194</v>
      </c>
      <c r="CU20" s="57">
        <v>2152</v>
      </c>
      <c r="CV20" s="57">
        <v>21</v>
      </c>
      <c r="CW20" s="57"/>
      <c r="CX20" s="59">
        <v>18</v>
      </c>
      <c r="CY20" s="56">
        <v>674</v>
      </c>
      <c r="CZ20" s="57">
        <v>1724</v>
      </c>
      <c r="DA20" s="57">
        <v>5</v>
      </c>
      <c r="DB20" s="57">
        <v>19</v>
      </c>
      <c r="DC20" s="57">
        <v>162</v>
      </c>
      <c r="DD20" s="57">
        <v>35</v>
      </c>
      <c r="DE20" s="58">
        <v>4.2</v>
      </c>
      <c r="DF20" s="58">
        <v>72.8</v>
      </c>
      <c r="DG20" s="58">
        <v>3.28</v>
      </c>
      <c r="DH20" s="58">
        <v>41.1</v>
      </c>
      <c r="DI20" s="57">
        <v>81</v>
      </c>
      <c r="DJ20" s="57">
        <v>2449</v>
      </c>
      <c r="DK20" s="57">
        <v>9</v>
      </c>
      <c r="DL20" s="57"/>
      <c r="DM20" s="59">
        <v>11</v>
      </c>
    </row>
    <row r="21" spans="1:117" ht="15.75" customHeight="1" x14ac:dyDescent="0.2">
      <c r="A21" s="33">
        <v>19</v>
      </c>
      <c r="B21" s="34" t="s">
        <v>149</v>
      </c>
      <c r="C21" s="116">
        <v>4.3055555555555554</v>
      </c>
      <c r="D21" s="117" t="s">
        <v>511</v>
      </c>
      <c r="E21" s="37">
        <v>2</v>
      </c>
      <c r="F21" s="118">
        <v>35708</v>
      </c>
      <c r="G21" s="119">
        <v>27.997260273972604</v>
      </c>
      <c r="H21" s="39" t="s">
        <v>389</v>
      </c>
      <c r="I21" s="119">
        <v>23.580821917808219</v>
      </c>
      <c r="J21" s="120">
        <v>71</v>
      </c>
      <c r="K21" s="120">
        <v>211</v>
      </c>
      <c r="L21" s="120">
        <v>4.5199999999999996</v>
      </c>
      <c r="M21" s="40">
        <v>6</v>
      </c>
      <c r="N21" s="121">
        <v>0.12690079652425779</v>
      </c>
      <c r="O21" s="122">
        <v>0.17522974101921471</v>
      </c>
      <c r="P21" s="122">
        <v>0.10471300201723822</v>
      </c>
      <c r="Q21" s="122">
        <v>0</v>
      </c>
      <c r="R21" s="122">
        <v>6.9838498472282851E-2</v>
      </c>
      <c r="S21" s="42">
        <v>0.12253411974574878</v>
      </c>
      <c r="T21" s="42">
        <v>0.12253411974574878</v>
      </c>
      <c r="U21" s="42">
        <v>0</v>
      </c>
      <c r="V21" s="42">
        <v>5.7922769640479363E-2</v>
      </c>
      <c r="W21" s="42">
        <v>5.7922769640479363E-2</v>
      </c>
      <c r="X21" s="43">
        <v>5.7922769640479363E-2</v>
      </c>
      <c r="Y21" s="44">
        <v>19.917808219178081</v>
      </c>
      <c r="Z21" s="45">
        <v>101.10175901589727</v>
      </c>
      <c r="AA21" s="45">
        <v>29.425312438008334</v>
      </c>
      <c r="AB21" s="45">
        <v>0.3125</v>
      </c>
      <c r="AC21" s="45">
        <v>4.5999999999999996</v>
      </c>
      <c r="AD21" s="45">
        <v>68.3</v>
      </c>
      <c r="AE21" s="45">
        <v>2.44</v>
      </c>
      <c r="AF21" s="45">
        <v>21.9</v>
      </c>
      <c r="AG21" s="128">
        <v>1</v>
      </c>
      <c r="AH21" s="49">
        <v>6</v>
      </c>
      <c r="AI21" s="49">
        <v>5</v>
      </c>
      <c r="AJ21" s="49">
        <v>6</v>
      </c>
      <c r="AK21" s="49">
        <v>8</v>
      </c>
      <c r="AL21" s="49">
        <v>0</v>
      </c>
      <c r="AM21" s="49">
        <v>1</v>
      </c>
      <c r="AN21" s="49">
        <v>0</v>
      </c>
      <c r="AO21" s="49">
        <v>2</v>
      </c>
      <c r="AP21" s="50">
        <v>0</v>
      </c>
      <c r="AQ21" s="56">
        <v>614</v>
      </c>
      <c r="AR21" s="57">
        <v>2768</v>
      </c>
      <c r="AS21" s="57">
        <v>4</v>
      </c>
      <c r="AT21" s="57">
        <v>41</v>
      </c>
      <c r="AU21" s="57">
        <v>88</v>
      </c>
      <c r="AV21" s="57">
        <v>28</v>
      </c>
      <c r="AW21" s="58">
        <v>7</v>
      </c>
      <c r="AX21" s="58">
        <v>132.4</v>
      </c>
      <c r="AY21" s="58">
        <v>4.1500000000000004</v>
      </c>
      <c r="AZ21" s="58">
        <v>52.1</v>
      </c>
      <c r="BA21" s="57">
        <v>87</v>
      </c>
      <c r="BB21" s="57">
        <v>2756</v>
      </c>
      <c r="BC21" s="57">
        <v>6</v>
      </c>
      <c r="BD21" s="57"/>
      <c r="BE21" s="59">
        <v>20</v>
      </c>
      <c r="BF21" s="56">
        <v>682</v>
      </c>
      <c r="BG21" s="57">
        <v>2562</v>
      </c>
      <c r="BH21" s="57">
        <v>6</v>
      </c>
      <c r="BI21" s="57">
        <v>33</v>
      </c>
      <c r="BJ21" s="57">
        <v>135</v>
      </c>
      <c r="BK21" s="57">
        <v>34</v>
      </c>
      <c r="BL21" s="58">
        <v>5.0999999999999996</v>
      </c>
      <c r="BM21" s="58">
        <v>92.2</v>
      </c>
      <c r="BN21" s="58">
        <v>3.57</v>
      </c>
      <c r="BO21" s="58">
        <v>43.7</v>
      </c>
      <c r="BP21" s="57">
        <v>157</v>
      </c>
      <c r="BQ21" s="57">
        <v>2226</v>
      </c>
      <c r="BR21" s="57">
        <v>16</v>
      </c>
      <c r="BS21" s="57"/>
      <c r="BT21" s="59">
        <v>9</v>
      </c>
      <c r="BU21" s="56">
        <v>423</v>
      </c>
      <c r="BV21" s="57">
        <v>2649</v>
      </c>
      <c r="BW21" s="57">
        <v>4</v>
      </c>
      <c r="BX21" s="57">
        <v>26</v>
      </c>
      <c r="BY21" s="57">
        <v>81</v>
      </c>
      <c r="BZ21" s="57">
        <v>15</v>
      </c>
      <c r="CA21" s="58">
        <v>5.2</v>
      </c>
      <c r="CB21" s="58">
        <v>85.6</v>
      </c>
      <c r="CC21" s="58">
        <v>3.85</v>
      </c>
      <c r="CD21" s="58">
        <v>47.3</v>
      </c>
      <c r="CE21" s="57">
        <v>148</v>
      </c>
      <c r="CF21" s="57">
        <v>2804</v>
      </c>
      <c r="CG21" s="57">
        <v>7</v>
      </c>
      <c r="CH21" s="57"/>
      <c r="CI21" s="59">
        <v>24</v>
      </c>
      <c r="CJ21" s="56">
        <v>0</v>
      </c>
      <c r="CK21" s="57">
        <v>1959</v>
      </c>
      <c r="CL21" s="57">
        <v>0</v>
      </c>
      <c r="CM21" s="57">
        <v>26</v>
      </c>
      <c r="CN21" s="57">
        <v>0</v>
      </c>
      <c r="CO21" s="57">
        <v>0</v>
      </c>
      <c r="CP21" s="58">
        <v>0</v>
      </c>
      <c r="CQ21" s="58">
        <v>0</v>
      </c>
      <c r="CR21" s="58">
        <v>0</v>
      </c>
      <c r="CS21" s="58">
        <v>0</v>
      </c>
      <c r="CT21" s="57">
        <v>0</v>
      </c>
      <c r="CU21" s="57">
        <v>3261</v>
      </c>
      <c r="CV21" s="57">
        <v>0</v>
      </c>
      <c r="CW21" s="57"/>
      <c r="CX21" s="59">
        <v>25</v>
      </c>
      <c r="CY21" s="56">
        <v>73</v>
      </c>
      <c r="CZ21" s="57">
        <v>789</v>
      </c>
      <c r="DA21" s="57">
        <v>1</v>
      </c>
      <c r="DB21" s="57">
        <v>12</v>
      </c>
      <c r="DC21" s="57">
        <v>16</v>
      </c>
      <c r="DD21" s="57">
        <v>5</v>
      </c>
      <c r="DE21" s="58">
        <v>4.5999999999999996</v>
      </c>
      <c r="DF21" s="58">
        <v>68.3</v>
      </c>
      <c r="DG21" s="58">
        <v>2.44</v>
      </c>
      <c r="DH21" s="58">
        <v>21.9</v>
      </c>
      <c r="DI21" s="57">
        <v>87</v>
      </c>
      <c r="DJ21" s="57">
        <v>1502</v>
      </c>
      <c r="DK21" s="57">
        <v>9</v>
      </c>
      <c r="DL21" s="57"/>
      <c r="DM21" s="59">
        <v>9</v>
      </c>
    </row>
    <row r="22" spans="1:117" ht="15.75" customHeight="1" x14ac:dyDescent="0.2">
      <c r="A22" s="33">
        <v>20</v>
      </c>
      <c r="B22" s="34" t="s">
        <v>150</v>
      </c>
      <c r="C22" s="116">
        <v>4.0055555555555555</v>
      </c>
      <c r="D22" s="117" t="s">
        <v>434</v>
      </c>
      <c r="E22" s="37">
        <v>1</v>
      </c>
      <c r="F22" s="118">
        <v>36204</v>
      </c>
      <c r="G22" s="119">
        <v>26.638356164383563</v>
      </c>
      <c r="H22" s="39" t="s">
        <v>389</v>
      </c>
      <c r="I22" s="119">
        <v>22.221917808219178</v>
      </c>
      <c r="J22" s="120">
        <v>71</v>
      </c>
      <c r="K22" s="120">
        <v>211</v>
      </c>
      <c r="L22" s="120">
        <v>4.7</v>
      </c>
      <c r="M22" s="40">
        <v>6</v>
      </c>
      <c r="N22" s="121">
        <v>0</v>
      </c>
      <c r="O22" s="122">
        <v>0.11642156862745098</v>
      </c>
      <c r="P22" s="122">
        <v>0.20405556442599393</v>
      </c>
      <c r="Q22" s="122">
        <v>0.20218214206190158</v>
      </c>
      <c r="R22" s="122">
        <v>0.2708955223880597</v>
      </c>
      <c r="S22" s="42">
        <v>0.2708955223880597</v>
      </c>
      <c r="T22" s="42">
        <v>0.2708955223880597</v>
      </c>
      <c r="U22" s="42">
        <v>2.6207412953949832E-2</v>
      </c>
      <c r="V22" s="42">
        <v>3.7481259370314844E-2</v>
      </c>
      <c r="W22" s="42">
        <v>3.7481259370314844E-2</v>
      </c>
      <c r="X22" s="43">
        <v>3.7481259370314844E-2</v>
      </c>
      <c r="Y22" s="44">
        <v>19.561643835616437</v>
      </c>
      <c r="Z22" s="45">
        <v>86.481063003913548</v>
      </c>
      <c r="AA22" s="45">
        <v>29.425312438008334</v>
      </c>
      <c r="AB22" s="45">
        <v>0.19431279620853081</v>
      </c>
      <c r="AC22" s="45">
        <v>4.7</v>
      </c>
      <c r="AD22" s="45">
        <v>59.5</v>
      </c>
      <c r="AE22" s="45">
        <v>3.39</v>
      </c>
      <c r="AF22" s="45">
        <v>38.200000000000003</v>
      </c>
      <c r="AG22" s="128">
        <v>7</v>
      </c>
      <c r="AH22" s="49">
        <v>4</v>
      </c>
      <c r="AI22" s="49">
        <v>6</v>
      </c>
      <c r="AJ22" s="49">
        <v>1</v>
      </c>
      <c r="AK22" s="49">
        <v>3</v>
      </c>
      <c r="AL22" s="49">
        <v>0</v>
      </c>
      <c r="AM22" s="49">
        <v>0</v>
      </c>
      <c r="AN22" s="49">
        <v>1</v>
      </c>
      <c r="AO22" s="49">
        <v>2</v>
      </c>
      <c r="AP22" s="50">
        <v>0</v>
      </c>
      <c r="AQ22" s="56">
        <v>0</v>
      </c>
      <c r="AR22" s="57">
        <v>2461</v>
      </c>
      <c r="AS22" s="57">
        <v>0</v>
      </c>
      <c r="AT22" s="57">
        <v>24</v>
      </c>
      <c r="AU22" s="57">
        <v>0</v>
      </c>
      <c r="AV22" s="57">
        <v>0</v>
      </c>
      <c r="AW22" s="58">
        <v>0</v>
      </c>
      <c r="AX22" s="58">
        <v>0</v>
      </c>
      <c r="AY22" s="58">
        <v>0</v>
      </c>
      <c r="AZ22" s="58">
        <v>0</v>
      </c>
      <c r="BA22" s="57">
        <v>0</v>
      </c>
      <c r="BB22" s="57">
        <v>3545</v>
      </c>
      <c r="BC22" s="57">
        <v>0</v>
      </c>
      <c r="BD22" s="57"/>
      <c r="BE22" s="59">
        <v>25</v>
      </c>
      <c r="BF22" s="56">
        <v>703</v>
      </c>
      <c r="BG22" s="57">
        <v>2516</v>
      </c>
      <c r="BH22" s="57">
        <v>6</v>
      </c>
      <c r="BI22" s="57">
        <v>16</v>
      </c>
      <c r="BJ22" s="57">
        <v>126</v>
      </c>
      <c r="BK22" s="57">
        <v>14</v>
      </c>
      <c r="BL22" s="58">
        <v>5.6</v>
      </c>
      <c r="BM22" s="58">
        <v>31.3</v>
      </c>
      <c r="BN22" s="58">
        <v>2.73</v>
      </c>
      <c r="BO22" s="58">
        <v>39.5</v>
      </c>
      <c r="BP22" s="57">
        <v>57</v>
      </c>
      <c r="BQ22" s="57">
        <v>4012</v>
      </c>
      <c r="BR22" s="57">
        <v>5</v>
      </c>
      <c r="BS22" s="57"/>
      <c r="BT22" s="59">
        <v>44</v>
      </c>
      <c r="BU22" s="56">
        <v>1216</v>
      </c>
      <c r="BV22" s="57">
        <v>2631</v>
      </c>
      <c r="BW22" s="57">
        <v>11</v>
      </c>
      <c r="BX22" s="57">
        <v>27</v>
      </c>
      <c r="BY22" s="57">
        <v>225</v>
      </c>
      <c r="BZ22" s="57">
        <v>41</v>
      </c>
      <c r="CA22" s="58">
        <v>5.4</v>
      </c>
      <c r="CB22" s="58">
        <v>59.5</v>
      </c>
      <c r="CC22" s="58">
        <v>3.39</v>
      </c>
      <c r="CD22" s="58">
        <v>38.200000000000003</v>
      </c>
      <c r="CE22" s="57">
        <v>62</v>
      </c>
      <c r="CF22" s="57">
        <v>3632</v>
      </c>
      <c r="CG22" s="57">
        <v>1</v>
      </c>
      <c r="CH22" s="57"/>
      <c r="CI22" s="59">
        <v>28</v>
      </c>
      <c r="CJ22" s="56">
        <v>838</v>
      </c>
      <c r="CK22" s="57">
        <v>1820</v>
      </c>
      <c r="CL22" s="57">
        <v>9</v>
      </c>
      <c r="CM22" s="57">
        <v>14</v>
      </c>
      <c r="CN22" s="57">
        <v>187</v>
      </c>
      <c r="CO22" s="57">
        <v>36</v>
      </c>
      <c r="CP22" s="58">
        <v>4.5</v>
      </c>
      <c r="CQ22" s="58">
        <v>55.3</v>
      </c>
      <c r="CR22" s="58">
        <v>2.91</v>
      </c>
      <c r="CS22" s="58">
        <v>22.7</v>
      </c>
      <c r="CT22" s="57">
        <v>70</v>
      </c>
      <c r="CU22" s="57">
        <v>2671</v>
      </c>
      <c r="CV22" s="57">
        <v>13</v>
      </c>
      <c r="CW22" s="57"/>
      <c r="CX22" s="59">
        <v>17</v>
      </c>
      <c r="CY22" s="56">
        <v>989</v>
      </c>
      <c r="CZ22" s="57">
        <v>1352</v>
      </c>
      <c r="DA22" s="57">
        <v>14</v>
      </c>
      <c r="DB22" s="57">
        <v>21</v>
      </c>
      <c r="DC22" s="57">
        <v>211</v>
      </c>
      <c r="DD22" s="57">
        <v>41</v>
      </c>
      <c r="DE22" s="58">
        <v>4.7</v>
      </c>
      <c r="DF22" s="58">
        <v>46.2</v>
      </c>
      <c r="DG22" s="58">
        <v>2.37</v>
      </c>
      <c r="DH22" s="58">
        <v>28.4</v>
      </c>
      <c r="DI22" s="57">
        <v>100</v>
      </c>
      <c r="DJ22" s="57">
        <v>2668</v>
      </c>
      <c r="DK22" s="57">
        <v>15</v>
      </c>
      <c r="DL22" s="57"/>
      <c r="DM22" s="59">
        <v>9</v>
      </c>
    </row>
    <row r="23" spans="1:117" ht="15.75" customHeight="1" x14ac:dyDescent="0.2">
      <c r="A23" s="33">
        <v>21</v>
      </c>
      <c r="B23" s="34" t="s">
        <v>155</v>
      </c>
      <c r="C23" s="116">
        <v>3.1500000000000004</v>
      </c>
      <c r="D23" s="117" t="s">
        <v>546</v>
      </c>
      <c r="E23" s="37">
        <v>6</v>
      </c>
      <c r="F23" s="118">
        <v>35955</v>
      </c>
      <c r="G23" s="119">
        <v>27.32054794520548</v>
      </c>
      <c r="H23" s="39" t="s">
        <v>389</v>
      </c>
      <c r="I23" s="119">
        <v>22.904109589041095</v>
      </c>
      <c r="J23" s="120">
        <v>71</v>
      </c>
      <c r="K23" s="120">
        <v>228</v>
      </c>
      <c r="L23" s="120">
        <v>4.58</v>
      </c>
      <c r="M23" s="40">
        <v>7</v>
      </c>
      <c r="N23" s="121">
        <v>0</v>
      </c>
      <c r="O23" s="122">
        <v>0.15351812366737741</v>
      </c>
      <c r="P23" s="122">
        <v>0</v>
      </c>
      <c r="Q23" s="122">
        <v>0.10889458272327965</v>
      </c>
      <c r="R23" s="122">
        <v>0.19401330376940132</v>
      </c>
      <c r="S23" s="42">
        <v>0.19401330376940132</v>
      </c>
      <c r="T23" s="42">
        <v>0.145509977827051</v>
      </c>
      <c r="U23" s="42">
        <v>2.7429467084639499E-2</v>
      </c>
      <c r="V23" s="42">
        <v>8.4660519698239733E-2</v>
      </c>
      <c r="W23" s="42">
        <v>8.4660519698239733E-2</v>
      </c>
      <c r="X23" s="43">
        <v>6.34953897736798E-2</v>
      </c>
      <c r="Y23" s="44">
        <v>19.241095890410961</v>
      </c>
      <c r="Z23" s="45">
        <v>103.63415977116451</v>
      </c>
      <c r="AA23" s="45">
        <v>31.796072207895257</v>
      </c>
      <c r="AB23" s="45">
        <v>0.1736111111111111</v>
      </c>
      <c r="AC23" s="45">
        <v>5.3</v>
      </c>
      <c r="AD23" s="45">
        <v>44.5</v>
      </c>
      <c r="AE23" s="45">
        <v>3.57</v>
      </c>
      <c r="AF23" s="45">
        <v>36.1</v>
      </c>
      <c r="AG23" s="128">
        <v>1</v>
      </c>
      <c r="AH23" s="49">
        <v>7</v>
      </c>
      <c r="AI23" s="49">
        <v>7</v>
      </c>
      <c r="AJ23" s="49">
        <v>7</v>
      </c>
      <c r="AK23" s="49">
        <v>2</v>
      </c>
      <c r="AL23" s="49">
        <v>2</v>
      </c>
      <c r="AM23" s="49">
        <v>0</v>
      </c>
      <c r="AN23" s="49">
        <v>2</v>
      </c>
      <c r="AO23" s="49">
        <v>1</v>
      </c>
      <c r="AP23" s="50">
        <v>0</v>
      </c>
      <c r="AQ23" s="56">
        <v>0</v>
      </c>
      <c r="AR23" s="57">
        <v>1418</v>
      </c>
      <c r="AS23" s="57">
        <v>0</v>
      </c>
      <c r="AT23" s="57">
        <v>8</v>
      </c>
      <c r="AU23" s="57">
        <v>0</v>
      </c>
      <c r="AV23" s="57">
        <v>0</v>
      </c>
      <c r="AW23" s="58">
        <v>0</v>
      </c>
      <c r="AX23" s="58">
        <v>0</v>
      </c>
      <c r="AY23" s="58">
        <v>0</v>
      </c>
      <c r="AZ23" s="58">
        <v>0</v>
      </c>
      <c r="BA23" s="57">
        <v>0</v>
      </c>
      <c r="BB23" s="57">
        <v>3071</v>
      </c>
      <c r="BC23" s="57">
        <v>0</v>
      </c>
      <c r="BD23" s="57"/>
      <c r="BE23" s="59">
        <v>19</v>
      </c>
      <c r="BF23" s="56">
        <v>513</v>
      </c>
      <c r="BG23" s="57">
        <v>1624</v>
      </c>
      <c r="BH23" s="57">
        <v>2</v>
      </c>
      <c r="BI23" s="57">
        <v>11</v>
      </c>
      <c r="BJ23" s="57">
        <v>87</v>
      </c>
      <c r="BK23" s="57">
        <v>17</v>
      </c>
      <c r="BL23" s="58">
        <v>5.9</v>
      </c>
      <c r="BM23" s="58">
        <v>83.3</v>
      </c>
      <c r="BN23" s="58">
        <v>4.21</v>
      </c>
      <c r="BO23" s="58">
        <v>44.4</v>
      </c>
      <c r="BP23" s="57">
        <v>135</v>
      </c>
      <c r="BQ23" s="57">
        <v>2597</v>
      </c>
      <c r="BR23" s="57">
        <v>14</v>
      </c>
      <c r="BS23" s="57"/>
      <c r="BT23" s="59">
        <v>20</v>
      </c>
      <c r="BU23" s="56">
        <v>0</v>
      </c>
      <c r="BV23" s="57">
        <v>3113</v>
      </c>
      <c r="BW23" s="57">
        <v>0</v>
      </c>
      <c r="BX23" s="57">
        <v>38</v>
      </c>
      <c r="BY23" s="57">
        <v>0</v>
      </c>
      <c r="BZ23" s="57">
        <v>0</v>
      </c>
      <c r="CA23" s="58">
        <v>0</v>
      </c>
      <c r="CB23" s="58">
        <v>0</v>
      </c>
      <c r="CC23" s="58">
        <v>0</v>
      </c>
      <c r="CD23" s="58">
        <v>0</v>
      </c>
      <c r="CE23" s="57">
        <v>0</v>
      </c>
      <c r="CF23" s="57">
        <v>2847</v>
      </c>
      <c r="CG23" s="57">
        <v>0</v>
      </c>
      <c r="CH23" s="57"/>
      <c r="CI23" s="59">
        <v>22</v>
      </c>
      <c r="CJ23" s="56">
        <v>525</v>
      </c>
      <c r="CK23" s="57">
        <v>2912</v>
      </c>
      <c r="CL23" s="57">
        <v>5</v>
      </c>
      <c r="CM23" s="57">
        <v>30</v>
      </c>
      <c r="CN23" s="57">
        <v>100</v>
      </c>
      <c r="CO23" s="57">
        <v>11</v>
      </c>
      <c r="CP23" s="58">
        <v>5.3</v>
      </c>
      <c r="CQ23" s="58">
        <v>43</v>
      </c>
      <c r="CR23" s="58">
        <v>3.57</v>
      </c>
      <c r="CS23" s="58">
        <v>18.3</v>
      </c>
      <c r="CT23" s="57">
        <v>70</v>
      </c>
      <c r="CU23" s="57">
        <v>2552</v>
      </c>
      <c r="CV23" s="57">
        <v>8</v>
      </c>
      <c r="CW23" s="57"/>
      <c r="CX23" s="59">
        <v>19</v>
      </c>
      <c r="CY23" s="56">
        <v>673</v>
      </c>
      <c r="CZ23" s="57">
        <v>2124</v>
      </c>
      <c r="DA23" s="57">
        <v>7</v>
      </c>
      <c r="DB23" s="57">
        <v>29</v>
      </c>
      <c r="DC23" s="57">
        <v>144</v>
      </c>
      <c r="DD23" s="57">
        <v>25</v>
      </c>
      <c r="DE23" s="58">
        <v>4.7</v>
      </c>
      <c r="DF23" s="58">
        <v>44.5</v>
      </c>
      <c r="DG23" s="58">
        <v>2.7</v>
      </c>
      <c r="DH23" s="58">
        <v>36.1</v>
      </c>
      <c r="DI23" s="57">
        <v>202</v>
      </c>
      <c r="DJ23" s="57">
        <v>2386</v>
      </c>
      <c r="DK23" s="57">
        <v>14</v>
      </c>
      <c r="DL23" s="57"/>
      <c r="DM23" s="59">
        <v>20</v>
      </c>
    </row>
    <row r="24" spans="1:117" ht="15.75" customHeight="1" thickBot="1" x14ac:dyDescent="0.25">
      <c r="A24" s="60">
        <v>22</v>
      </c>
      <c r="B24" s="62" t="s">
        <v>370</v>
      </c>
      <c r="C24" s="134">
        <v>1.8055555555555554</v>
      </c>
      <c r="D24" s="135" t="s">
        <v>547</v>
      </c>
      <c r="E24" s="66">
        <v>7</v>
      </c>
      <c r="F24" s="136">
        <v>36053</v>
      </c>
      <c r="G24" s="137">
        <v>27.052054794520547</v>
      </c>
      <c r="H24" s="68" t="s">
        <v>389</v>
      </c>
      <c r="I24" s="137">
        <v>22.635616438356163</v>
      </c>
      <c r="J24" s="138">
        <v>70</v>
      </c>
      <c r="K24" s="138">
        <v>229</v>
      </c>
      <c r="L24" s="138">
        <v>4.7699999999999996</v>
      </c>
      <c r="M24" s="69">
        <v>0</v>
      </c>
      <c r="N24" s="140">
        <v>0</v>
      </c>
      <c r="O24" s="141">
        <v>0.25459970164097462</v>
      </c>
      <c r="P24" s="141">
        <v>4.1607179277993067E-2</v>
      </c>
      <c r="Q24" s="141">
        <v>0.2320014398848092</v>
      </c>
      <c r="R24" s="141">
        <v>0.12576858580212411</v>
      </c>
      <c r="S24" s="71">
        <v>0.19018414372154935</v>
      </c>
      <c r="T24" s="71">
        <v>0.14263810779116201</v>
      </c>
      <c r="U24" s="71">
        <v>8.5528566541224777E-3</v>
      </c>
      <c r="V24" s="71">
        <v>6.0352831940575676E-3</v>
      </c>
      <c r="W24" s="71">
        <v>7.2940699240900226E-3</v>
      </c>
      <c r="X24" s="72">
        <v>5.4705524430675168E-3</v>
      </c>
      <c r="Y24" s="73">
        <v>18.972602739726028</v>
      </c>
      <c r="Z24" s="74">
        <v>88.469171836735512</v>
      </c>
      <c r="AA24" s="74">
        <v>32.854489795918369</v>
      </c>
      <c r="AB24" s="74">
        <v>0.21249999999999999</v>
      </c>
      <c r="AC24" s="74">
        <v>5.5</v>
      </c>
      <c r="AD24" s="74">
        <v>78.5</v>
      </c>
      <c r="AE24" s="74">
        <v>3.89</v>
      </c>
      <c r="AF24" s="75">
        <v>33.5</v>
      </c>
      <c r="AG24" s="142">
        <v>1</v>
      </c>
      <c r="AH24" s="78">
        <v>0</v>
      </c>
      <c r="AI24" s="78">
        <v>8</v>
      </c>
      <c r="AJ24" s="78">
        <v>2</v>
      </c>
      <c r="AK24" s="78">
        <v>4</v>
      </c>
      <c r="AL24" s="215">
        <v>3</v>
      </c>
      <c r="AM24" s="78">
        <v>2</v>
      </c>
      <c r="AN24" s="78">
        <v>4</v>
      </c>
      <c r="AO24" s="78">
        <v>0</v>
      </c>
      <c r="AP24" s="79">
        <v>0</v>
      </c>
      <c r="AQ24" s="80">
        <v>0</v>
      </c>
      <c r="AR24" s="81">
        <v>2640</v>
      </c>
      <c r="AS24" s="81">
        <v>0</v>
      </c>
      <c r="AT24" s="81">
        <v>25</v>
      </c>
      <c r="AU24" s="81">
        <v>0</v>
      </c>
      <c r="AV24" s="81">
        <v>0</v>
      </c>
      <c r="AW24" s="82">
        <v>0</v>
      </c>
      <c r="AX24" s="82">
        <v>0</v>
      </c>
      <c r="AY24" s="82">
        <v>0</v>
      </c>
      <c r="AZ24" s="82">
        <v>0</v>
      </c>
      <c r="BA24" s="81">
        <v>0</v>
      </c>
      <c r="BB24" s="81">
        <v>2750</v>
      </c>
      <c r="BC24" s="81">
        <v>0</v>
      </c>
      <c r="BD24" s="81"/>
      <c r="BE24" s="83">
        <v>14</v>
      </c>
      <c r="BF24" s="80">
        <v>998</v>
      </c>
      <c r="BG24" s="81">
        <v>1896</v>
      </c>
      <c r="BH24" s="81">
        <v>3</v>
      </c>
      <c r="BI24" s="81">
        <v>15</v>
      </c>
      <c r="BJ24" s="81">
        <v>210</v>
      </c>
      <c r="BK24" s="81">
        <v>21</v>
      </c>
      <c r="BL24" s="82">
        <v>4.8</v>
      </c>
      <c r="BM24" s="82">
        <v>35.700000000000003</v>
      </c>
      <c r="BN24" s="82">
        <v>3.21</v>
      </c>
      <c r="BO24" s="82">
        <v>26.4</v>
      </c>
      <c r="BP24" s="81">
        <v>26</v>
      </c>
      <c r="BQ24" s="81">
        <v>2126</v>
      </c>
      <c r="BR24" s="81">
        <v>6</v>
      </c>
      <c r="BS24" s="81"/>
      <c r="BT24" s="83">
        <v>11</v>
      </c>
      <c r="BU24" s="80">
        <v>187</v>
      </c>
      <c r="BV24" s="81">
        <v>1868</v>
      </c>
      <c r="BW24" s="81">
        <v>0</v>
      </c>
      <c r="BX24" s="81">
        <v>20</v>
      </c>
      <c r="BY24" s="81">
        <v>38</v>
      </c>
      <c r="BZ24" s="81">
        <v>6</v>
      </c>
      <c r="CA24" s="82">
        <v>4.9000000000000004</v>
      </c>
      <c r="CB24" s="82">
        <v>58.7</v>
      </c>
      <c r="CC24" s="82">
        <v>3.61</v>
      </c>
      <c r="CD24" s="82">
        <v>32.1</v>
      </c>
      <c r="CE24" s="81">
        <v>17</v>
      </c>
      <c r="CF24" s="81">
        <v>3035</v>
      </c>
      <c r="CG24" s="81">
        <v>1</v>
      </c>
      <c r="CH24" s="81"/>
      <c r="CI24" s="83">
        <v>17</v>
      </c>
      <c r="CJ24" s="80">
        <v>1264</v>
      </c>
      <c r="CK24" s="81">
        <v>2633</v>
      </c>
      <c r="CL24" s="81">
        <v>12</v>
      </c>
      <c r="CM24" s="81">
        <v>27</v>
      </c>
      <c r="CN24" s="81">
        <v>246</v>
      </c>
      <c r="CO24" s="81">
        <v>49</v>
      </c>
      <c r="CP24" s="82">
        <v>5.0999999999999996</v>
      </c>
      <c r="CQ24" s="82">
        <v>78.5</v>
      </c>
      <c r="CR24" s="82">
        <v>3.89</v>
      </c>
      <c r="CS24" s="82">
        <v>33.5</v>
      </c>
      <c r="CT24" s="81">
        <v>25</v>
      </c>
      <c r="CU24" s="81">
        <v>2923</v>
      </c>
      <c r="CV24" s="81">
        <v>7</v>
      </c>
      <c r="CW24" s="81"/>
      <c r="CX24" s="83">
        <v>24</v>
      </c>
      <c r="CY24" s="80">
        <v>437</v>
      </c>
      <c r="CZ24" s="81">
        <v>1424</v>
      </c>
      <c r="DA24" s="81">
        <v>6</v>
      </c>
      <c r="DB24" s="81">
        <v>15</v>
      </c>
      <c r="DC24" s="81">
        <v>80</v>
      </c>
      <c r="DD24" s="81">
        <v>17</v>
      </c>
      <c r="DE24" s="82">
        <v>5.5</v>
      </c>
      <c r="DF24" s="82">
        <v>73.3</v>
      </c>
      <c r="DG24" s="82">
        <v>3.3</v>
      </c>
      <c r="DH24" s="82">
        <v>30.4</v>
      </c>
      <c r="DI24" s="81">
        <v>13</v>
      </c>
      <c r="DJ24" s="81">
        <v>2154</v>
      </c>
      <c r="DK24" s="81">
        <v>1</v>
      </c>
      <c r="DL24" s="81"/>
      <c r="DM24" s="83">
        <v>17</v>
      </c>
    </row>
    <row r="25" spans="1:117" ht="15.75" customHeight="1" x14ac:dyDescent="0.2"/>
    <row r="26" spans="1:117" ht="15.75" customHeight="1" x14ac:dyDescent="0.2"/>
    <row r="27" spans="1:117" ht="15.75" customHeight="1" x14ac:dyDescent="0.2"/>
    <row r="28" spans="1:117" ht="15.75" customHeight="1" x14ac:dyDescent="0.2"/>
    <row r="29" spans="1:117" ht="15.75" customHeight="1" x14ac:dyDescent="0.2"/>
    <row r="30" spans="1:117" ht="15.75" customHeight="1" x14ac:dyDescent="0.2"/>
    <row r="31" spans="1:117" ht="15.75" customHeight="1" x14ac:dyDescent="0.2"/>
    <row r="32" spans="1:117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2:DM2" xr:uid="{00000000-0009-0000-0000-00000B000000}">
    <sortState xmlns:xlrd2="http://schemas.microsoft.com/office/spreadsheetml/2017/richdata2" ref="A3:DM24">
      <sortCondition ref="A2"/>
    </sortState>
  </autoFilter>
  <mergeCells count="10">
    <mergeCell ref="BU1:CI1"/>
    <mergeCell ref="CJ1:CX1"/>
    <mergeCell ref="CY1:DM1"/>
    <mergeCell ref="A1:C1"/>
    <mergeCell ref="D1:M1"/>
    <mergeCell ref="N1:X1"/>
    <mergeCell ref="Y1:AF1"/>
    <mergeCell ref="AG1:AP1"/>
    <mergeCell ref="AQ1:BE1"/>
    <mergeCell ref="BF1:BT1"/>
  </mergeCells>
  <conditionalFormatting sqref="B3:B24">
    <cfRule type="expression" dxfId="93" priority="1" stopIfTrue="1">
      <formula>C3&gt;=13</formula>
    </cfRule>
    <cfRule type="expression" dxfId="92" priority="2">
      <formula>AND(C3&gt;=12,C3&lt;13)</formula>
    </cfRule>
    <cfRule type="expression" dxfId="91" priority="3" stopIfTrue="1">
      <formula>AND(C3&gt;=11,C3&lt;12)</formula>
    </cfRule>
    <cfRule type="expression" dxfId="90" priority="4">
      <formula>AND(C3&gt;=9,C3&lt;11)</formula>
    </cfRule>
    <cfRule type="expression" dxfId="89" priority="5">
      <formula>AND(C3&gt;=7,C3&lt;9)</formula>
    </cfRule>
    <cfRule type="expression" dxfId="88" priority="6" stopIfTrue="1">
      <formula>AND(C3&gt;=6,C3&lt;7)</formula>
    </cfRule>
    <cfRule type="expression" dxfId="87" priority="7" stopIfTrue="1">
      <formula>AND(C3&gt;=5,C3&lt;6)</formula>
    </cfRule>
    <cfRule type="expression" dxfId="86" priority="8">
      <formula>C3&lt;5</formula>
    </cfRule>
  </conditionalFormatting>
  <conditionalFormatting sqref="C3:C2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H24">
    <cfRule type="containsText" dxfId="85" priority="10" operator="containsText" text="SR">
      <formula>NOT(ISERROR(SEARCH(("SR"),(H3))))</formula>
    </cfRule>
  </conditionalFormatting>
  <conditionalFormatting sqref="N3:R24">
    <cfRule type="cellIs" dxfId="84" priority="11" stopIfTrue="1" operator="between">
      <formula>0.15</formula>
      <formula>0.199</formula>
    </cfRule>
    <cfRule type="cellIs" dxfId="83" priority="12" stopIfTrue="1" operator="equal">
      <formula>0</formula>
    </cfRule>
    <cfRule type="colorScale" priority="13">
      <colorScale>
        <cfvo type="formula" val="0.14999"/>
        <cfvo type="formula" val="0.15"/>
        <cfvo type="formula" val="0.4"/>
        <color rgb="FFFACACA"/>
        <color rgb="FFC0E399"/>
        <color rgb="FF63BE7B"/>
      </colorScale>
    </cfRule>
  </conditionalFormatting>
  <conditionalFormatting sqref="S3:S24">
    <cfRule type="colorScale" priority="14">
      <colorScale>
        <cfvo type="formula" val="0.1499"/>
        <cfvo type="formula" val="0.15"/>
        <cfvo type="formula" val="0.4"/>
        <color rgb="FFFACACA"/>
        <color rgb="FFCEF9B9"/>
        <color rgb="FF00B050"/>
      </colorScale>
    </cfRule>
  </conditionalFormatting>
  <conditionalFormatting sqref="T3:T24">
    <cfRule type="colorScale" priority="15">
      <colorScale>
        <cfvo type="formula" val="0.1499"/>
        <cfvo type="formula" val="0.15"/>
        <cfvo type="formula" val="0.4"/>
        <color rgb="FFFACACA"/>
        <color rgb="FFCEF9B9"/>
        <color rgb="FF00B050"/>
      </colorScale>
    </cfRule>
  </conditionalFormatting>
  <conditionalFormatting sqref="U3:V2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:W2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:X2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S1000"/>
  <sheetViews>
    <sheetView zoomScale="80" zoomScaleNormal="80" workbookViewId="0">
      <selection sqref="A1:XFD1048576"/>
    </sheetView>
  </sheetViews>
  <sheetFormatPr baseColWidth="10" defaultColWidth="14.5" defaultRowHeight="15" customHeight="1" x14ac:dyDescent="0.2"/>
  <cols>
    <col min="1" max="1" width="8.5" customWidth="1"/>
    <col min="2" max="2" width="19.83203125" customWidth="1"/>
    <col min="3" max="3" width="12" customWidth="1"/>
    <col min="4" max="4" width="20.1640625" customWidth="1"/>
    <col min="5" max="5" width="10.83203125" customWidth="1"/>
    <col min="6" max="6" width="11.5" customWidth="1"/>
    <col min="7" max="7" width="7.5" customWidth="1"/>
    <col min="8" max="8" width="8" customWidth="1"/>
    <col min="9" max="9" width="12.6640625" customWidth="1"/>
    <col min="10" max="10" width="10" customWidth="1"/>
    <col min="11" max="11" width="10.5" customWidth="1"/>
    <col min="12" max="12" width="11.33203125" customWidth="1"/>
    <col min="13" max="13" width="12.5" customWidth="1"/>
    <col min="14" max="20" width="9.83203125" customWidth="1"/>
    <col min="21" max="22" width="11" customWidth="1"/>
    <col min="23" max="23" width="10" customWidth="1"/>
    <col min="24" max="24" width="11" customWidth="1"/>
    <col min="25" max="25" width="9.33203125" customWidth="1"/>
    <col min="26" max="26" width="9.5" customWidth="1"/>
    <col min="27" max="27" width="7.6640625" customWidth="1"/>
    <col min="28" max="28" width="10.1640625" customWidth="1"/>
    <col min="29" max="29" width="7.33203125" customWidth="1"/>
    <col min="30" max="30" width="7.5" customWidth="1"/>
    <col min="31" max="31" width="9.83203125" customWidth="1"/>
    <col min="32" max="32" width="11.5" customWidth="1"/>
    <col min="33" max="33" width="10.83203125" customWidth="1"/>
    <col min="34" max="34" width="11" customWidth="1"/>
    <col min="35" max="35" width="10.33203125" customWidth="1"/>
    <col min="36" max="36" width="10.5" customWidth="1"/>
    <col min="37" max="37" width="10.1640625" customWidth="1"/>
    <col min="38" max="39" width="8.5" customWidth="1"/>
    <col min="40" max="40" width="10.83203125" customWidth="1"/>
    <col min="41" max="41" width="7.6640625" customWidth="1"/>
    <col min="42" max="42" width="9.5" customWidth="1"/>
    <col min="43" max="43" width="12" customWidth="1"/>
    <col min="44" max="44" width="12.6640625" customWidth="1"/>
    <col min="45" max="45" width="12.33203125" customWidth="1"/>
    <col min="46" max="46" width="12.1640625" customWidth="1"/>
    <col min="47" max="47" width="6.6640625" customWidth="1"/>
    <col min="48" max="48" width="8" customWidth="1"/>
    <col min="49" max="49" width="7.33203125" customWidth="1"/>
    <col min="50" max="50" width="7.5" customWidth="1"/>
    <col min="51" max="51" width="9.83203125" customWidth="1"/>
    <col min="52" max="52" width="11.5" customWidth="1"/>
    <col min="53" max="53" width="10.83203125" customWidth="1"/>
    <col min="54" max="54" width="12.6640625" customWidth="1"/>
    <col min="55" max="55" width="8.1640625" customWidth="1"/>
    <col min="56" max="56" width="11.33203125" customWidth="1"/>
    <col min="57" max="57" width="13" customWidth="1"/>
    <col min="58" max="58" width="12" customWidth="1"/>
    <col min="59" max="59" width="12.6640625" customWidth="1"/>
    <col min="60" max="60" width="12.33203125" customWidth="1"/>
    <col min="61" max="61" width="12.1640625" customWidth="1"/>
    <col min="62" max="62" width="6.6640625" customWidth="1"/>
    <col min="63" max="63" width="8" customWidth="1"/>
    <col min="64" max="64" width="7.33203125" customWidth="1"/>
    <col min="65" max="65" width="7.5" customWidth="1"/>
    <col min="66" max="66" width="9.83203125" customWidth="1"/>
    <col min="67" max="67" width="11.5" customWidth="1"/>
    <col min="68" max="68" width="10.83203125" customWidth="1"/>
    <col min="69" max="69" width="12.6640625" customWidth="1"/>
    <col min="70" max="70" width="8.1640625" customWidth="1"/>
    <col min="71" max="71" width="11.33203125" customWidth="1"/>
    <col min="72" max="72" width="13" customWidth="1"/>
    <col min="73" max="73" width="12" customWidth="1"/>
    <col min="74" max="74" width="12.6640625" customWidth="1"/>
    <col min="75" max="75" width="12.33203125" customWidth="1"/>
    <col min="76" max="76" width="12.1640625" customWidth="1"/>
    <col min="77" max="77" width="6.6640625" customWidth="1"/>
    <col min="78" max="78" width="8" customWidth="1"/>
    <col min="79" max="79" width="7.33203125" customWidth="1"/>
    <col min="80" max="80" width="7.5" customWidth="1"/>
    <col min="81" max="81" width="9.83203125" customWidth="1"/>
    <col min="82" max="82" width="11.5" customWidth="1"/>
    <col min="83" max="83" width="10.83203125" customWidth="1"/>
    <col min="84" max="84" width="12.6640625" customWidth="1"/>
    <col min="85" max="85" width="8.1640625" customWidth="1"/>
    <col min="86" max="86" width="11.33203125" customWidth="1"/>
    <col min="87" max="87" width="13" customWidth="1"/>
    <col min="88" max="88" width="12" customWidth="1"/>
    <col min="89" max="89" width="12.6640625" customWidth="1"/>
    <col min="90" max="90" width="12.33203125" customWidth="1"/>
    <col min="91" max="91" width="12.1640625" customWidth="1"/>
    <col min="92" max="92" width="6.6640625" customWidth="1"/>
    <col min="93" max="93" width="8" customWidth="1"/>
    <col min="94" max="94" width="7.33203125" customWidth="1"/>
    <col min="95" max="95" width="7.5" customWidth="1"/>
    <col min="96" max="96" width="9.83203125" customWidth="1"/>
    <col min="97" max="97" width="11.5" customWidth="1"/>
    <col min="98" max="98" width="10.83203125" customWidth="1"/>
    <col min="99" max="99" width="12.6640625" customWidth="1"/>
    <col min="100" max="100" width="8.1640625" customWidth="1"/>
    <col min="101" max="101" width="11.33203125" customWidth="1"/>
    <col min="102" max="102" width="13" customWidth="1"/>
    <col min="103" max="103" width="12" customWidth="1"/>
    <col min="104" max="104" width="12.6640625" customWidth="1"/>
    <col min="105" max="105" width="12.33203125" customWidth="1"/>
    <col min="106" max="106" width="12.1640625" customWidth="1"/>
    <col min="107" max="107" width="6.6640625" customWidth="1"/>
    <col min="108" max="108" width="8" customWidth="1"/>
    <col min="109" max="109" width="7.33203125" customWidth="1"/>
    <col min="110" max="110" width="7.5" customWidth="1"/>
    <col min="111" max="111" width="9.83203125" customWidth="1"/>
    <col min="112" max="112" width="11.5" customWidth="1"/>
    <col min="113" max="113" width="10.83203125" customWidth="1"/>
    <col min="114" max="114" width="12.6640625" customWidth="1"/>
    <col min="115" max="115" width="8.1640625" customWidth="1"/>
    <col min="116" max="116" width="11.33203125" customWidth="1"/>
    <col min="117" max="117" width="13" customWidth="1"/>
    <col min="118" max="118" width="4.5" customWidth="1"/>
    <col min="119" max="119" width="3.5" customWidth="1"/>
    <col min="120" max="120" width="16.5" customWidth="1"/>
    <col min="121" max="121" width="11" customWidth="1"/>
    <col min="122" max="122" width="14.5" customWidth="1"/>
    <col min="123" max="123" width="10.5" customWidth="1"/>
  </cols>
  <sheetData>
    <row r="1" spans="1:123" x14ac:dyDescent="0.2">
      <c r="A1" s="261"/>
      <c r="B1" s="251"/>
      <c r="C1" s="253"/>
      <c r="D1" s="254" t="s">
        <v>156</v>
      </c>
      <c r="E1" s="251"/>
      <c r="F1" s="251"/>
      <c r="G1" s="251"/>
      <c r="H1" s="251"/>
      <c r="I1" s="251"/>
      <c r="J1" s="251"/>
      <c r="K1" s="251"/>
      <c r="L1" s="251"/>
      <c r="M1" s="253"/>
      <c r="N1" s="255" t="s">
        <v>157</v>
      </c>
      <c r="O1" s="251"/>
      <c r="P1" s="251"/>
      <c r="Q1" s="251"/>
      <c r="R1" s="251"/>
      <c r="S1" s="251"/>
      <c r="T1" s="251"/>
      <c r="U1" s="251"/>
      <c r="V1" s="251"/>
      <c r="W1" s="251"/>
      <c r="X1" s="253"/>
      <c r="Y1" s="256" t="s">
        <v>158</v>
      </c>
      <c r="Z1" s="251"/>
      <c r="AA1" s="251"/>
      <c r="AB1" s="251"/>
      <c r="AC1" s="251"/>
      <c r="AD1" s="251"/>
      <c r="AE1" s="251"/>
      <c r="AF1" s="253"/>
      <c r="AG1" s="257" t="s">
        <v>159</v>
      </c>
      <c r="AH1" s="251"/>
      <c r="AI1" s="251"/>
      <c r="AJ1" s="251"/>
      <c r="AK1" s="251"/>
      <c r="AL1" s="251"/>
      <c r="AM1" s="251"/>
      <c r="AN1" s="251"/>
      <c r="AO1" s="251"/>
      <c r="AP1" s="253"/>
      <c r="AQ1" s="247" t="s">
        <v>512</v>
      </c>
      <c r="AR1" s="248"/>
      <c r="AS1" s="248"/>
      <c r="AT1" s="248"/>
      <c r="AU1" s="248"/>
      <c r="AV1" s="248"/>
      <c r="AW1" s="248"/>
      <c r="AX1" s="248"/>
      <c r="AY1" s="248"/>
      <c r="AZ1" s="248"/>
      <c r="BA1" s="248"/>
      <c r="BB1" s="248"/>
      <c r="BC1" s="248"/>
      <c r="BD1" s="248"/>
      <c r="BE1" s="249"/>
      <c r="BF1" s="247" t="s">
        <v>524</v>
      </c>
      <c r="BG1" s="248"/>
      <c r="BH1" s="248"/>
      <c r="BI1" s="248"/>
      <c r="BJ1" s="248"/>
      <c r="BK1" s="248"/>
      <c r="BL1" s="248"/>
      <c r="BM1" s="248"/>
      <c r="BN1" s="248"/>
      <c r="BO1" s="248"/>
      <c r="BP1" s="248"/>
      <c r="BQ1" s="248"/>
      <c r="BR1" s="248"/>
      <c r="BS1" s="248"/>
      <c r="BT1" s="249"/>
      <c r="BU1" s="247" t="s">
        <v>533</v>
      </c>
      <c r="BV1" s="248"/>
      <c r="BW1" s="248"/>
      <c r="BX1" s="248"/>
      <c r="BY1" s="248"/>
      <c r="BZ1" s="248"/>
      <c r="CA1" s="248"/>
      <c r="CB1" s="248"/>
      <c r="CC1" s="248"/>
      <c r="CD1" s="248"/>
      <c r="CE1" s="248"/>
      <c r="CF1" s="248"/>
      <c r="CG1" s="248"/>
      <c r="CH1" s="248"/>
      <c r="CI1" s="249"/>
      <c r="CJ1" s="247" t="s">
        <v>541</v>
      </c>
      <c r="CK1" s="248"/>
      <c r="CL1" s="248"/>
      <c r="CM1" s="248"/>
      <c r="CN1" s="248"/>
      <c r="CO1" s="248"/>
      <c r="CP1" s="248"/>
      <c r="CQ1" s="248"/>
      <c r="CR1" s="248"/>
      <c r="CS1" s="248"/>
      <c r="CT1" s="248"/>
      <c r="CU1" s="248"/>
      <c r="CV1" s="248"/>
      <c r="CW1" s="248"/>
      <c r="CX1" s="249"/>
      <c r="CY1" s="247" t="s">
        <v>548</v>
      </c>
      <c r="CZ1" s="248"/>
      <c r="DA1" s="248"/>
      <c r="DB1" s="248"/>
      <c r="DC1" s="248"/>
      <c r="DD1" s="248"/>
      <c r="DE1" s="248"/>
      <c r="DF1" s="248"/>
      <c r="DG1" s="248"/>
      <c r="DH1" s="248"/>
      <c r="DI1" s="248"/>
      <c r="DJ1" s="248"/>
      <c r="DK1" s="248"/>
      <c r="DL1" s="248"/>
      <c r="DM1" s="249"/>
    </row>
    <row r="2" spans="1:123" ht="16" thickBot="1" x14ac:dyDescent="0.25">
      <c r="A2" s="15" t="s">
        <v>56</v>
      </c>
      <c r="B2" s="16" t="s">
        <v>58</v>
      </c>
      <c r="C2" s="17" t="s">
        <v>2</v>
      </c>
      <c r="D2" s="115" t="s">
        <v>168</v>
      </c>
      <c r="E2" s="19" t="s">
        <v>24</v>
      </c>
      <c r="F2" s="19" t="s">
        <v>28</v>
      </c>
      <c r="G2" s="19" t="s">
        <v>30</v>
      </c>
      <c r="H2" s="19" t="s">
        <v>57</v>
      </c>
      <c r="I2" s="19" t="s">
        <v>34</v>
      </c>
      <c r="J2" s="19" t="s">
        <v>170</v>
      </c>
      <c r="K2" s="19" t="s">
        <v>171</v>
      </c>
      <c r="L2" s="19" t="s">
        <v>172</v>
      </c>
      <c r="M2" s="20" t="s">
        <v>22</v>
      </c>
      <c r="N2" s="21" t="s">
        <v>36</v>
      </c>
      <c r="O2" s="22" t="s">
        <v>38</v>
      </c>
      <c r="P2" s="22" t="s">
        <v>40</v>
      </c>
      <c r="Q2" s="22" t="s">
        <v>42</v>
      </c>
      <c r="R2" s="22" t="s">
        <v>44</v>
      </c>
      <c r="S2" s="22" t="s">
        <v>18</v>
      </c>
      <c r="T2" s="22" t="s">
        <v>20</v>
      </c>
      <c r="U2" s="22" t="s">
        <v>173</v>
      </c>
      <c r="V2" s="22" t="s">
        <v>174</v>
      </c>
      <c r="W2" s="22" t="s">
        <v>175</v>
      </c>
      <c r="X2" s="23" t="s">
        <v>176</v>
      </c>
      <c r="Y2" s="24" t="s">
        <v>177</v>
      </c>
      <c r="Z2" s="25" t="s">
        <v>178</v>
      </c>
      <c r="AA2" s="25" t="s">
        <v>179</v>
      </c>
      <c r="AB2" s="25" t="s">
        <v>180</v>
      </c>
      <c r="AC2" s="25" t="s">
        <v>8</v>
      </c>
      <c r="AD2" s="25" t="s">
        <v>12</v>
      </c>
      <c r="AE2" s="25" t="s">
        <v>10</v>
      </c>
      <c r="AF2" s="26" t="s">
        <v>14</v>
      </c>
      <c r="AG2" s="27" t="s">
        <v>183</v>
      </c>
      <c r="AH2" s="28" t="s">
        <v>176</v>
      </c>
      <c r="AI2" s="28" t="s">
        <v>185</v>
      </c>
      <c r="AJ2" s="28" t="s">
        <v>186</v>
      </c>
      <c r="AK2" s="28" t="s">
        <v>180</v>
      </c>
      <c r="AL2" s="28" t="s">
        <v>187</v>
      </c>
      <c r="AM2" s="28" t="s">
        <v>188</v>
      </c>
      <c r="AN2" s="28" t="s">
        <v>189</v>
      </c>
      <c r="AO2" s="28" t="s">
        <v>26</v>
      </c>
      <c r="AP2" s="29" t="s">
        <v>16</v>
      </c>
      <c r="AQ2" s="30" t="s">
        <v>190</v>
      </c>
      <c r="AR2" s="31" t="s">
        <v>191</v>
      </c>
      <c r="AS2" s="31" t="s">
        <v>192</v>
      </c>
      <c r="AT2" s="31" t="s">
        <v>193</v>
      </c>
      <c r="AU2" s="31" t="s">
        <v>194</v>
      </c>
      <c r="AV2" s="31" t="s">
        <v>195</v>
      </c>
      <c r="AW2" s="31" t="s">
        <v>8</v>
      </c>
      <c r="AX2" s="31" t="s">
        <v>12</v>
      </c>
      <c r="AY2" s="31" t="s">
        <v>10</v>
      </c>
      <c r="AZ2" s="31" t="s">
        <v>14</v>
      </c>
      <c r="BA2" s="31" t="s">
        <v>196</v>
      </c>
      <c r="BB2" s="31" t="s">
        <v>191</v>
      </c>
      <c r="BC2" s="31" t="s">
        <v>197</v>
      </c>
      <c r="BD2" s="31" t="s">
        <v>198</v>
      </c>
      <c r="BE2" s="32" t="s">
        <v>199</v>
      </c>
      <c r="BF2" s="30" t="s">
        <v>190</v>
      </c>
      <c r="BG2" s="31" t="s">
        <v>191</v>
      </c>
      <c r="BH2" s="31" t="s">
        <v>192</v>
      </c>
      <c r="BI2" s="31" t="s">
        <v>193</v>
      </c>
      <c r="BJ2" s="31" t="s">
        <v>194</v>
      </c>
      <c r="BK2" s="31" t="s">
        <v>195</v>
      </c>
      <c r="BL2" s="31" t="s">
        <v>8</v>
      </c>
      <c r="BM2" s="31" t="s">
        <v>12</v>
      </c>
      <c r="BN2" s="31" t="s">
        <v>10</v>
      </c>
      <c r="BO2" s="31" t="s">
        <v>14</v>
      </c>
      <c r="BP2" s="31" t="s">
        <v>196</v>
      </c>
      <c r="BQ2" s="31" t="s">
        <v>191</v>
      </c>
      <c r="BR2" s="31" t="s">
        <v>197</v>
      </c>
      <c r="BS2" s="31" t="s">
        <v>198</v>
      </c>
      <c r="BT2" s="32" t="s">
        <v>199</v>
      </c>
      <c r="BU2" s="30" t="s">
        <v>190</v>
      </c>
      <c r="BV2" s="31" t="s">
        <v>191</v>
      </c>
      <c r="BW2" s="31" t="s">
        <v>192</v>
      </c>
      <c r="BX2" s="31" t="s">
        <v>193</v>
      </c>
      <c r="BY2" s="31" t="s">
        <v>194</v>
      </c>
      <c r="BZ2" s="31" t="s">
        <v>195</v>
      </c>
      <c r="CA2" s="31" t="s">
        <v>8</v>
      </c>
      <c r="CB2" s="31" t="s">
        <v>12</v>
      </c>
      <c r="CC2" s="31" t="s">
        <v>10</v>
      </c>
      <c r="CD2" s="31" t="s">
        <v>14</v>
      </c>
      <c r="CE2" s="31" t="s">
        <v>196</v>
      </c>
      <c r="CF2" s="31" t="s">
        <v>191</v>
      </c>
      <c r="CG2" s="31" t="s">
        <v>197</v>
      </c>
      <c r="CH2" s="31" t="s">
        <v>198</v>
      </c>
      <c r="CI2" s="32" t="s">
        <v>199</v>
      </c>
      <c r="CJ2" s="30" t="s">
        <v>190</v>
      </c>
      <c r="CK2" s="31" t="s">
        <v>191</v>
      </c>
      <c r="CL2" s="31" t="s">
        <v>192</v>
      </c>
      <c r="CM2" s="31" t="s">
        <v>193</v>
      </c>
      <c r="CN2" s="31" t="s">
        <v>194</v>
      </c>
      <c r="CO2" s="31" t="s">
        <v>195</v>
      </c>
      <c r="CP2" s="31" t="s">
        <v>8</v>
      </c>
      <c r="CQ2" s="31" t="s">
        <v>12</v>
      </c>
      <c r="CR2" s="31" t="s">
        <v>10</v>
      </c>
      <c r="CS2" s="31" t="s">
        <v>14</v>
      </c>
      <c r="CT2" s="31" t="s">
        <v>196</v>
      </c>
      <c r="CU2" s="31" t="s">
        <v>191</v>
      </c>
      <c r="CV2" s="31" t="s">
        <v>197</v>
      </c>
      <c r="CW2" s="31" t="s">
        <v>198</v>
      </c>
      <c r="CX2" s="32" t="s">
        <v>199</v>
      </c>
      <c r="CY2" s="30" t="s">
        <v>190</v>
      </c>
      <c r="CZ2" s="31" t="s">
        <v>191</v>
      </c>
      <c r="DA2" s="31" t="s">
        <v>192</v>
      </c>
      <c r="DB2" s="31" t="s">
        <v>193</v>
      </c>
      <c r="DC2" s="31" t="s">
        <v>194</v>
      </c>
      <c r="DD2" s="31" t="s">
        <v>195</v>
      </c>
      <c r="DE2" s="31" t="s">
        <v>8</v>
      </c>
      <c r="DF2" s="31" t="s">
        <v>12</v>
      </c>
      <c r="DG2" s="31" t="s">
        <v>10</v>
      </c>
      <c r="DH2" s="31" t="s">
        <v>14</v>
      </c>
      <c r="DI2" s="31" t="s">
        <v>196</v>
      </c>
      <c r="DJ2" s="31" t="s">
        <v>191</v>
      </c>
      <c r="DK2" s="31" t="s">
        <v>197</v>
      </c>
      <c r="DL2" s="31" t="s">
        <v>198</v>
      </c>
      <c r="DM2" s="32" t="s">
        <v>199</v>
      </c>
      <c r="DN2" s="11"/>
      <c r="DO2" s="11"/>
      <c r="DP2" s="11" t="s">
        <v>379</v>
      </c>
      <c r="DQ2" s="11" t="s">
        <v>380</v>
      </c>
      <c r="DR2" s="7" t="s">
        <v>381</v>
      </c>
      <c r="DS2" s="11" t="s">
        <v>382</v>
      </c>
    </row>
    <row r="3" spans="1:123" x14ac:dyDescent="0.2">
      <c r="A3" s="33">
        <v>1</v>
      </c>
      <c r="B3" s="34" t="s">
        <v>222</v>
      </c>
      <c r="C3" s="116">
        <v>12.31111111111111</v>
      </c>
      <c r="D3" s="117" t="s">
        <v>527</v>
      </c>
      <c r="E3" s="37">
        <v>3</v>
      </c>
      <c r="F3" s="118">
        <v>37042</v>
      </c>
      <c r="G3" s="119">
        <v>24.342465753424658</v>
      </c>
      <c r="H3" s="39" t="s">
        <v>385</v>
      </c>
      <c r="I3" s="119">
        <v>20.923287671232877</v>
      </c>
      <c r="J3" s="120">
        <v>71</v>
      </c>
      <c r="K3" s="120">
        <v>217</v>
      </c>
      <c r="L3" s="120">
        <v>4.3899999999999997</v>
      </c>
      <c r="M3" s="40">
        <v>2</v>
      </c>
      <c r="N3" s="121">
        <v>0</v>
      </c>
      <c r="O3" s="122">
        <v>0</v>
      </c>
      <c r="P3" s="122">
        <v>0.19909972299168974</v>
      </c>
      <c r="Q3" s="122">
        <v>0.33288770053475936</v>
      </c>
      <c r="R3" s="122">
        <v>0.32071027360028992</v>
      </c>
      <c r="S3" s="42">
        <v>0.32679898706752464</v>
      </c>
      <c r="T3" s="42">
        <v>0.29411908836077216</v>
      </c>
      <c r="U3" s="42">
        <v>6.25E-2</v>
      </c>
      <c r="V3" s="42">
        <v>9.0379008746355682E-2</v>
      </c>
      <c r="W3" s="42">
        <v>9.0379008746355682E-2</v>
      </c>
      <c r="X3" s="43">
        <v>8.1341107871720122E-2</v>
      </c>
      <c r="Y3" s="44">
        <v>18.263013698630136</v>
      </c>
      <c r="Z3" s="170">
        <v>116.85078882842051</v>
      </c>
      <c r="AA3" s="45">
        <v>30.262051180321365</v>
      </c>
      <c r="AB3" s="45">
        <v>0.30434782608695654</v>
      </c>
      <c r="AC3" s="45">
        <v>5.8</v>
      </c>
      <c r="AD3" s="45">
        <v>103.8</v>
      </c>
      <c r="AE3" s="45">
        <v>3.58</v>
      </c>
      <c r="AF3" s="45">
        <v>53.3</v>
      </c>
      <c r="AG3" s="128">
        <v>8</v>
      </c>
      <c r="AH3" s="49">
        <v>8</v>
      </c>
      <c r="AI3" s="49">
        <v>10</v>
      </c>
      <c r="AJ3" s="49">
        <v>10</v>
      </c>
      <c r="AK3" s="49">
        <v>8</v>
      </c>
      <c r="AL3" s="124">
        <v>4</v>
      </c>
      <c r="AM3" s="49">
        <v>4</v>
      </c>
      <c r="AN3" s="49">
        <v>3</v>
      </c>
      <c r="AO3" s="49">
        <v>7</v>
      </c>
      <c r="AP3" s="50">
        <v>1</v>
      </c>
      <c r="AQ3" s="51">
        <v>0</v>
      </c>
      <c r="AR3" s="52">
        <v>1470</v>
      </c>
      <c r="AS3" s="52">
        <v>0</v>
      </c>
      <c r="AT3" s="52">
        <v>16</v>
      </c>
      <c r="AU3" s="52">
        <v>0</v>
      </c>
      <c r="AV3" s="52">
        <v>0</v>
      </c>
      <c r="AW3" s="53">
        <v>0</v>
      </c>
      <c r="AX3" s="53">
        <v>0</v>
      </c>
      <c r="AY3" s="53">
        <v>0</v>
      </c>
      <c r="AZ3" s="53">
        <v>0</v>
      </c>
      <c r="BA3" s="52">
        <v>0</v>
      </c>
      <c r="BB3" s="52">
        <v>3548</v>
      </c>
      <c r="BC3" s="52">
        <v>0</v>
      </c>
      <c r="BD3" s="52"/>
      <c r="BE3" s="54">
        <v>27</v>
      </c>
      <c r="BF3" s="51">
        <v>0</v>
      </c>
      <c r="BG3" s="52">
        <v>1691</v>
      </c>
      <c r="BH3" s="52">
        <v>0</v>
      </c>
      <c r="BI3" s="52">
        <v>20</v>
      </c>
      <c r="BJ3" s="52">
        <v>0</v>
      </c>
      <c r="BK3" s="52">
        <v>0</v>
      </c>
      <c r="BL3" s="53">
        <v>0</v>
      </c>
      <c r="BM3" s="53">
        <v>0</v>
      </c>
      <c r="BN3" s="53">
        <v>0</v>
      </c>
      <c r="BO3" s="53">
        <v>0</v>
      </c>
      <c r="BP3" s="52">
        <v>0</v>
      </c>
      <c r="BQ3" s="52">
        <v>3132</v>
      </c>
      <c r="BR3" s="52">
        <v>0</v>
      </c>
      <c r="BS3" s="52"/>
      <c r="BT3" s="54">
        <v>20</v>
      </c>
      <c r="BU3" s="51">
        <v>898</v>
      </c>
      <c r="BV3" s="52">
        <v>1729</v>
      </c>
      <c r="BW3" s="52">
        <v>9</v>
      </c>
      <c r="BX3" s="52">
        <v>22</v>
      </c>
      <c r="BY3" s="52">
        <v>184</v>
      </c>
      <c r="BZ3" s="52">
        <v>56</v>
      </c>
      <c r="CA3" s="53">
        <v>4.9000000000000004</v>
      </c>
      <c r="CB3" s="53">
        <v>103.8</v>
      </c>
      <c r="CC3" s="53">
        <v>3.58</v>
      </c>
      <c r="CD3" s="53">
        <v>34.9</v>
      </c>
      <c r="CE3" s="52">
        <v>252</v>
      </c>
      <c r="CF3" s="52">
        <v>4047</v>
      </c>
      <c r="CG3" s="52">
        <v>23</v>
      </c>
      <c r="CH3" s="52"/>
      <c r="CI3" s="54">
        <v>29</v>
      </c>
      <c r="CJ3" s="51">
        <v>1562</v>
      </c>
      <c r="CK3" s="52">
        <v>2340</v>
      </c>
      <c r="CL3" s="52">
        <v>21</v>
      </c>
      <c r="CM3" s="52">
        <v>31</v>
      </c>
      <c r="CN3" s="52">
        <v>280</v>
      </c>
      <c r="CO3" s="52">
        <v>63</v>
      </c>
      <c r="CP3" s="53">
        <v>5.6</v>
      </c>
      <c r="CQ3" s="53">
        <v>81.8</v>
      </c>
      <c r="CR3" s="53">
        <v>3.34</v>
      </c>
      <c r="CS3" s="53">
        <v>46.4</v>
      </c>
      <c r="CT3" s="52">
        <v>181</v>
      </c>
      <c r="CU3" s="52">
        <v>2896</v>
      </c>
      <c r="CV3" s="52">
        <v>22</v>
      </c>
      <c r="CW3" s="52"/>
      <c r="CX3" s="54">
        <v>20</v>
      </c>
      <c r="CY3" s="51">
        <v>1460</v>
      </c>
      <c r="CZ3" s="52">
        <v>2089</v>
      </c>
      <c r="DA3" s="52">
        <v>20</v>
      </c>
      <c r="DB3" s="52">
        <v>25</v>
      </c>
      <c r="DC3" s="52">
        <v>251</v>
      </c>
      <c r="DD3" s="52">
        <v>76</v>
      </c>
      <c r="DE3" s="53">
        <v>5.8</v>
      </c>
      <c r="DF3" s="53">
        <v>88.8</v>
      </c>
      <c r="DG3" s="53">
        <v>2.83</v>
      </c>
      <c r="DH3" s="53">
        <v>53.3</v>
      </c>
      <c r="DI3" s="52">
        <v>310</v>
      </c>
      <c r="DJ3" s="52">
        <v>3430</v>
      </c>
      <c r="DK3" s="52">
        <v>37</v>
      </c>
      <c r="DL3" s="52"/>
      <c r="DM3" s="54">
        <v>22</v>
      </c>
      <c r="DO3" s="11">
        <v>1</v>
      </c>
      <c r="DP3" s="42" t="s">
        <v>386</v>
      </c>
      <c r="DQ3" s="7">
        <v>1</v>
      </c>
      <c r="DR3" s="130">
        <v>42978</v>
      </c>
      <c r="DS3" s="127">
        <v>44679</v>
      </c>
    </row>
    <row r="4" spans="1:123" x14ac:dyDescent="0.2">
      <c r="A4" s="33">
        <v>2</v>
      </c>
      <c r="B4" s="34" t="s">
        <v>224</v>
      </c>
      <c r="C4" s="116">
        <v>11.211111111111112</v>
      </c>
      <c r="D4" s="117" t="s">
        <v>428</v>
      </c>
      <c r="E4" s="37">
        <v>2</v>
      </c>
      <c r="F4" s="118">
        <v>36819</v>
      </c>
      <c r="G4" s="119">
        <v>24.953424657534246</v>
      </c>
      <c r="H4" s="39" t="s">
        <v>385</v>
      </c>
      <c r="I4" s="119">
        <v>21.534246575342465</v>
      </c>
      <c r="J4" s="120">
        <v>69</v>
      </c>
      <c r="K4" s="120">
        <v>211</v>
      </c>
      <c r="L4" s="120">
        <v>4.38</v>
      </c>
      <c r="M4" s="40">
        <v>2</v>
      </c>
      <c r="N4" s="121">
        <v>0</v>
      </c>
      <c r="O4" s="122">
        <v>0</v>
      </c>
      <c r="P4" s="122">
        <v>9.8806366047745356E-2</v>
      </c>
      <c r="Q4" s="122">
        <v>0.19347581552305962</v>
      </c>
      <c r="R4" s="122">
        <v>0.30872603476079558</v>
      </c>
      <c r="S4" s="42">
        <v>0.30872603476079558</v>
      </c>
      <c r="T4" s="42">
        <v>0.30872603476079558</v>
      </c>
      <c r="U4" s="42">
        <v>1.1676312315971165E-2</v>
      </c>
      <c r="V4" s="42">
        <v>2.6986052152819892E-2</v>
      </c>
      <c r="W4" s="42">
        <v>2.6986052152819892E-2</v>
      </c>
      <c r="X4" s="43">
        <v>2.6986052152819892E-2</v>
      </c>
      <c r="Y4" s="44">
        <v>19.890410958904109</v>
      </c>
      <c r="Z4" s="170">
        <v>114.66107494144349</v>
      </c>
      <c r="AA4" s="45">
        <v>31.15584961142617</v>
      </c>
      <c r="AB4" s="45">
        <v>0.33587786259541985</v>
      </c>
      <c r="AC4" s="45">
        <v>6.2</v>
      </c>
      <c r="AD4" s="45">
        <v>145.9</v>
      </c>
      <c r="AE4" s="45">
        <v>4.46</v>
      </c>
      <c r="AF4" s="45">
        <v>53.9</v>
      </c>
      <c r="AG4" s="128">
        <v>8</v>
      </c>
      <c r="AH4" s="49">
        <v>3</v>
      </c>
      <c r="AI4" s="49">
        <v>5</v>
      </c>
      <c r="AJ4" s="49">
        <v>10</v>
      </c>
      <c r="AK4" s="49">
        <v>9</v>
      </c>
      <c r="AL4" s="49">
        <v>5</v>
      </c>
      <c r="AM4" s="49">
        <v>7</v>
      </c>
      <c r="AN4" s="49">
        <v>7</v>
      </c>
      <c r="AO4" s="49">
        <v>7</v>
      </c>
      <c r="AP4" s="50">
        <v>0.5</v>
      </c>
      <c r="AQ4" s="56">
        <v>0</v>
      </c>
      <c r="AR4" s="57">
        <v>2182</v>
      </c>
      <c r="AS4" s="57">
        <v>0</v>
      </c>
      <c r="AT4" s="57">
        <v>18</v>
      </c>
      <c r="AU4" s="57">
        <v>0</v>
      </c>
      <c r="AV4" s="57">
        <v>0</v>
      </c>
      <c r="AW4" s="58">
        <v>0</v>
      </c>
      <c r="AX4" s="58">
        <v>0</v>
      </c>
      <c r="AY4" s="58">
        <v>0</v>
      </c>
      <c r="AZ4" s="58">
        <v>0</v>
      </c>
      <c r="BA4" s="57">
        <v>0</v>
      </c>
      <c r="BB4" s="57">
        <v>3599</v>
      </c>
      <c r="BC4" s="57">
        <v>0</v>
      </c>
      <c r="BD4" s="57"/>
      <c r="BE4" s="59">
        <v>33</v>
      </c>
      <c r="BF4" s="56">
        <v>0</v>
      </c>
      <c r="BG4" s="57">
        <v>2778</v>
      </c>
      <c r="BH4" s="57">
        <v>0</v>
      </c>
      <c r="BI4" s="57">
        <v>21</v>
      </c>
      <c r="BJ4" s="57">
        <v>0</v>
      </c>
      <c r="BK4" s="57">
        <v>0</v>
      </c>
      <c r="BL4" s="58">
        <v>0</v>
      </c>
      <c r="BM4" s="58">
        <v>0</v>
      </c>
      <c r="BN4" s="58">
        <v>0</v>
      </c>
      <c r="BO4" s="58">
        <v>0</v>
      </c>
      <c r="BP4" s="57">
        <v>0</v>
      </c>
      <c r="BQ4" s="57">
        <v>3069</v>
      </c>
      <c r="BR4" s="57">
        <v>0</v>
      </c>
      <c r="BS4" s="57"/>
      <c r="BT4" s="59">
        <v>25</v>
      </c>
      <c r="BU4" s="56">
        <v>579</v>
      </c>
      <c r="BV4" s="57">
        <v>2284</v>
      </c>
      <c r="BW4" s="57">
        <v>4</v>
      </c>
      <c r="BX4" s="57">
        <v>18</v>
      </c>
      <c r="BY4" s="57">
        <v>98</v>
      </c>
      <c r="BZ4" s="57">
        <v>36</v>
      </c>
      <c r="CA4" s="58">
        <v>5.9</v>
      </c>
      <c r="CB4" s="58">
        <v>162.4</v>
      </c>
      <c r="CC4" s="58">
        <v>4.32</v>
      </c>
      <c r="CD4" s="58">
        <v>46.3</v>
      </c>
      <c r="CE4" s="57">
        <v>17</v>
      </c>
      <c r="CF4" s="57">
        <v>3748</v>
      </c>
      <c r="CG4" s="57">
        <v>3</v>
      </c>
      <c r="CH4" s="57"/>
      <c r="CI4" s="59">
        <v>31</v>
      </c>
      <c r="CJ4" s="56">
        <v>579</v>
      </c>
      <c r="CK4" s="57">
        <v>1141.7</v>
      </c>
      <c r="CL4" s="57">
        <v>13</v>
      </c>
      <c r="CM4" s="57">
        <v>22</v>
      </c>
      <c r="CN4" s="57">
        <v>119</v>
      </c>
      <c r="CO4" s="57">
        <v>34</v>
      </c>
      <c r="CP4" s="58">
        <v>4.9000000000000004</v>
      </c>
      <c r="CQ4" s="58">
        <v>107.7</v>
      </c>
      <c r="CR4" s="58">
        <v>3.83</v>
      </c>
      <c r="CS4" s="58">
        <v>24.9</v>
      </c>
      <c r="CT4" s="57">
        <v>23</v>
      </c>
      <c r="CU4" s="57">
        <v>1969.7999999999997</v>
      </c>
      <c r="CV4" s="57">
        <v>2</v>
      </c>
      <c r="CW4" s="57"/>
      <c r="CX4" s="59">
        <v>14</v>
      </c>
      <c r="CY4" s="56">
        <v>1634</v>
      </c>
      <c r="CZ4" s="57">
        <v>2283</v>
      </c>
      <c r="DA4" s="57">
        <v>18</v>
      </c>
      <c r="DB4" s="57">
        <v>23</v>
      </c>
      <c r="DC4" s="57">
        <v>262</v>
      </c>
      <c r="DD4" s="57">
        <v>88</v>
      </c>
      <c r="DE4" s="58">
        <v>6.2</v>
      </c>
      <c r="DF4" s="58">
        <v>145.9</v>
      </c>
      <c r="DG4" s="58">
        <v>4.46</v>
      </c>
      <c r="DH4" s="58">
        <v>53.9</v>
      </c>
      <c r="DI4" s="57">
        <v>89</v>
      </c>
      <c r="DJ4" s="57">
        <v>3298</v>
      </c>
      <c r="DK4" s="57">
        <v>13</v>
      </c>
      <c r="DL4" s="57"/>
      <c r="DM4" s="59">
        <v>27</v>
      </c>
      <c r="DO4" s="11">
        <v>2</v>
      </c>
      <c r="DP4" s="42" t="s">
        <v>390</v>
      </c>
      <c r="DQ4" s="7">
        <v>1</v>
      </c>
      <c r="DR4" s="130">
        <v>43344</v>
      </c>
    </row>
    <row r="5" spans="1:123" x14ac:dyDescent="0.2">
      <c r="A5" s="33">
        <v>3</v>
      </c>
      <c r="B5" s="34" t="s">
        <v>238</v>
      </c>
      <c r="C5" s="116">
        <v>9.466666666666665</v>
      </c>
      <c r="D5" s="117" t="s">
        <v>473</v>
      </c>
      <c r="E5" s="37">
        <v>5</v>
      </c>
      <c r="F5" s="118">
        <v>36172</v>
      </c>
      <c r="G5" s="119">
        <v>26.726027397260275</v>
      </c>
      <c r="H5" s="39" t="s">
        <v>389</v>
      </c>
      <c r="I5" s="119">
        <v>23.306849315068494</v>
      </c>
      <c r="J5" s="120">
        <v>72</v>
      </c>
      <c r="K5" s="120">
        <v>214</v>
      </c>
      <c r="L5" s="120">
        <v>4.4800000000000004</v>
      </c>
      <c r="M5" s="40">
        <v>3</v>
      </c>
      <c r="N5" s="121">
        <v>0</v>
      </c>
      <c r="O5" s="122">
        <v>0</v>
      </c>
      <c r="P5" s="122">
        <v>0</v>
      </c>
      <c r="Q5" s="122">
        <v>0.31134133042529988</v>
      </c>
      <c r="R5" s="122">
        <v>0.28865979381443296</v>
      </c>
      <c r="S5" s="42">
        <v>0.30000056211986642</v>
      </c>
      <c r="T5" s="42">
        <v>0.25500047780188645</v>
      </c>
      <c r="U5" s="42">
        <v>0.19433719433719435</v>
      </c>
      <c r="V5" s="42">
        <v>0.18023715415019761</v>
      </c>
      <c r="W5" s="42">
        <v>0.18728717424369598</v>
      </c>
      <c r="X5" s="43">
        <v>0.15919409810714158</v>
      </c>
      <c r="Y5" s="44">
        <v>21.663013698630138</v>
      </c>
      <c r="Z5" s="170">
        <v>106.25067873330771</v>
      </c>
      <c r="AA5" s="45">
        <v>29.0204475308642</v>
      </c>
      <c r="AB5" s="45">
        <v>0.24043715846994534</v>
      </c>
      <c r="AC5" s="45">
        <v>10</v>
      </c>
      <c r="AD5" s="45">
        <v>100</v>
      </c>
      <c r="AE5" s="45">
        <v>4.17</v>
      </c>
      <c r="AF5" s="45">
        <v>60.7</v>
      </c>
      <c r="AG5" s="128">
        <v>6</v>
      </c>
      <c r="AH5" s="49">
        <v>10</v>
      </c>
      <c r="AI5" s="49">
        <v>2</v>
      </c>
      <c r="AJ5" s="49">
        <v>8</v>
      </c>
      <c r="AK5" s="49">
        <v>6</v>
      </c>
      <c r="AL5" s="49">
        <v>10</v>
      </c>
      <c r="AM5" s="49">
        <v>4</v>
      </c>
      <c r="AN5" s="49">
        <v>6</v>
      </c>
      <c r="AO5" s="49">
        <v>6</v>
      </c>
      <c r="AP5" s="50">
        <v>0</v>
      </c>
      <c r="AQ5" s="56">
        <v>0</v>
      </c>
      <c r="AR5" s="57">
        <v>2276</v>
      </c>
      <c r="AS5" s="57">
        <v>0</v>
      </c>
      <c r="AT5" s="57">
        <v>27</v>
      </c>
      <c r="AU5" s="57">
        <v>0</v>
      </c>
      <c r="AV5" s="57">
        <v>0</v>
      </c>
      <c r="AW5" s="58">
        <v>0</v>
      </c>
      <c r="AX5" s="58">
        <v>0</v>
      </c>
      <c r="AY5" s="58">
        <v>0</v>
      </c>
      <c r="AZ5" s="58">
        <v>0</v>
      </c>
      <c r="BA5" s="57">
        <v>0</v>
      </c>
      <c r="BB5" s="57">
        <v>3324</v>
      </c>
      <c r="BC5" s="57">
        <v>0</v>
      </c>
      <c r="BD5" s="57"/>
      <c r="BE5" s="59">
        <v>21</v>
      </c>
      <c r="BF5" s="56">
        <v>0</v>
      </c>
      <c r="BG5" s="57">
        <v>2392</v>
      </c>
      <c r="BH5" s="57">
        <v>0</v>
      </c>
      <c r="BI5" s="57">
        <v>26</v>
      </c>
      <c r="BJ5" s="57">
        <v>0</v>
      </c>
      <c r="BK5" s="57">
        <v>0</v>
      </c>
      <c r="BL5" s="58">
        <v>0</v>
      </c>
      <c r="BM5" s="58">
        <v>0</v>
      </c>
      <c r="BN5" s="58">
        <v>0</v>
      </c>
      <c r="BO5" s="58">
        <v>0</v>
      </c>
      <c r="BP5" s="57">
        <v>0</v>
      </c>
      <c r="BQ5" s="57">
        <v>3025</v>
      </c>
      <c r="BR5" s="57">
        <v>0</v>
      </c>
      <c r="BS5" s="57"/>
      <c r="BT5" s="59">
        <v>20</v>
      </c>
      <c r="BU5" s="56">
        <v>0</v>
      </c>
      <c r="BV5" s="57">
        <v>1602</v>
      </c>
      <c r="BW5" s="57">
        <v>0</v>
      </c>
      <c r="BX5" s="57">
        <v>13</v>
      </c>
      <c r="BY5" s="57">
        <v>0</v>
      </c>
      <c r="BZ5" s="57">
        <v>0</v>
      </c>
      <c r="CA5" s="58">
        <v>0</v>
      </c>
      <c r="CB5" s="58">
        <v>0</v>
      </c>
      <c r="CC5" s="58">
        <v>0</v>
      </c>
      <c r="CD5" s="58">
        <v>0</v>
      </c>
      <c r="CE5" s="57">
        <v>0</v>
      </c>
      <c r="CF5" s="57">
        <v>3235</v>
      </c>
      <c r="CG5" s="57">
        <v>0</v>
      </c>
      <c r="CH5" s="57"/>
      <c r="CI5" s="59">
        <v>21</v>
      </c>
      <c r="CJ5" s="56">
        <v>420</v>
      </c>
      <c r="CK5" s="57">
        <v>1057</v>
      </c>
      <c r="CL5" s="57">
        <v>5</v>
      </c>
      <c r="CM5" s="57">
        <v>16</v>
      </c>
      <c r="CN5" s="57">
        <v>42</v>
      </c>
      <c r="CO5" s="57">
        <v>8</v>
      </c>
      <c r="CP5" s="58">
        <v>10</v>
      </c>
      <c r="CQ5" s="58">
        <v>100</v>
      </c>
      <c r="CR5" s="58">
        <v>4.17</v>
      </c>
      <c r="CS5" s="58">
        <v>60.7</v>
      </c>
      <c r="CT5" s="57">
        <v>151</v>
      </c>
      <c r="CU5" s="57">
        <v>777</v>
      </c>
      <c r="CV5" s="57">
        <v>8</v>
      </c>
      <c r="CW5" s="57"/>
      <c r="CX5" s="59">
        <v>5</v>
      </c>
      <c r="CY5" s="56">
        <v>1000</v>
      </c>
      <c r="CZ5" s="57">
        <v>2514</v>
      </c>
      <c r="DA5" s="57">
        <v>15</v>
      </c>
      <c r="DB5" s="57">
        <v>34</v>
      </c>
      <c r="DC5" s="57">
        <v>183</v>
      </c>
      <c r="DD5" s="57">
        <v>44</v>
      </c>
      <c r="DE5" s="58">
        <v>5.5</v>
      </c>
      <c r="DF5" s="58">
        <v>89.8</v>
      </c>
      <c r="DG5" s="58">
        <v>3.38</v>
      </c>
      <c r="DH5" s="58">
        <v>31.2</v>
      </c>
      <c r="DI5" s="57">
        <v>456</v>
      </c>
      <c r="DJ5" s="57">
        <v>2530</v>
      </c>
      <c r="DK5" s="57">
        <v>43</v>
      </c>
      <c r="DL5" s="57"/>
      <c r="DM5" s="59">
        <v>12</v>
      </c>
      <c r="DN5" s="171"/>
      <c r="DO5" s="5">
        <v>3</v>
      </c>
      <c r="DP5" s="42" t="s">
        <v>393</v>
      </c>
      <c r="DQ5" s="7">
        <v>0.9</v>
      </c>
      <c r="DR5" s="130">
        <v>43708</v>
      </c>
    </row>
    <row r="6" spans="1:123" x14ac:dyDescent="0.2">
      <c r="A6" s="33">
        <v>4</v>
      </c>
      <c r="B6" s="34" t="s">
        <v>248</v>
      </c>
      <c r="C6" s="116">
        <v>9.2611111111111111</v>
      </c>
      <c r="D6" s="117" t="s">
        <v>441</v>
      </c>
      <c r="E6" s="37">
        <v>1</v>
      </c>
      <c r="F6" s="118">
        <v>37112</v>
      </c>
      <c r="G6" s="119">
        <v>24.150684931506849</v>
      </c>
      <c r="H6" s="39" t="s">
        <v>385</v>
      </c>
      <c r="I6" s="119">
        <v>20.731506849315068</v>
      </c>
      <c r="J6" s="120">
        <v>72</v>
      </c>
      <c r="K6" s="120">
        <v>217</v>
      </c>
      <c r="L6" s="120">
        <v>4.63</v>
      </c>
      <c r="M6" s="40">
        <v>4</v>
      </c>
      <c r="N6" s="121">
        <v>0</v>
      </c>
      <c r="O6" s="122">
        <v>0</v>
      </c>
      <c r="P6" s="122">
        <v>0.22620904836193448</v>
      </c>
      <c r="Q6" s="122">
        <v>0.2789162112932605</v>
      </c>
      <c r="R6" s="122">
        <v>0.25643753990210683</v>
      </c>
      <c r="S6" s="42">
        <v>0.26767687559768366</v>
      </c>
      <c r="T6" s="42">
        <v>0.26767687559768366</v>
      </c>
      <c r="U6" s="42">
        <v>8.2443400256300731E-2</v>
      </c>
      <c r="V6" s="42">
        <v>7.5509388733519769E-2</v>
      </c>
      <c r="W6" s="42">
        <v>7.8976394494910257E-2</v>
      </c>
      <c r="X6" s="43">
        <v>7.8976394494910257E-2</v>
      </c>
      <c r="Y6" s="44">
        <v>18.07123287671233</v>
      </c>
      <c r="Z6" s="170">
        <v>94.442128274581009</v>
      </c>
      <c r="AA6" s="45">
        <v>29.427276234567902</v>
      </c>
      <c r="AB6" s="45">
        <v>0.3146067415730337</v>
      </c>
      <c r="AC6" s="45">
        <v>5.7</v>
      </c>
      <c r="AD6" s="45">
        <v>120</v>
      </c>
      <c r="AE6" s="45">
        <v>4.1900000000000004</v>
      </c>
      <c r="AF6" s="45">
        <v>45.6</v>
      </c>
      <c r="AG6" s="128">
        <v>7</v>
      </c>
      <c r="AH6" s="49">
        <v>8</v>
      </c>
      <c r="AI6" s="49">
        <v>10</v>
      </c>
      <c r="AJ6" s="49">
        <v>3</v>
      </c>
      <c r="AK6" s="49">
        <v>8</v>
      </c>
      <c r="AL6" s="49">
        <v>3</v>
      </c>
      <c r="AM6" s="49">
        <v>6</v>
      </c>
      <c r="AN6" s="49">
        <v>6</v>
      </c>
      <c r="AO6" s="49">
        <v>4</v>
      </c>
      <c r="AP6" s="50">
        <v>0</v>
      </c>
      <c r="AQ6" s="56">
        <v>0</v>
      </c>
      <c r="AR6" s="57">
        <v>2023</v>
      </c>
      <c r="AS6" s="57">
        <v>0</v>
      </c>
      <c r="AT6" s="57">
        <v>26</v>
      </c>
      <c r="AU6" s="57">
        <v>0</v>
      </c>
      <c r="AV6" s="57">
        <v>0</v>
      </c>
      <c r="AW6" s="58">
        <v>0</v>
      </c>
      <c r="AX6" s="58">
        <v>0</v>
      </c>
      <c r="AY6" s="58">
        <v>0</v>
      </c>
      <c r="AZ6" s="58">
        <v>0</v>
      </c>
      <c r="BA6" s="57">
        <v>0</v>
      </c>
      <c r="BB6" s="57">
        <v>3266</v>
      </c>
      <c r="BC6" s="57">
        <v>0</v>
      </c>
      <c r="BD6" s="57"/>
      <c r="BE6" s="59">
        <v>22</v>
      </c>
      <c r="BF6" s="56">
        <v>0</v>
      </c>
      <c r="BG6" s="57">
        <v>2847</v>
      </c>
      <c r="BH6" s="57">
        <v>0</v>
      </c>
      <c r="BI6" s="57">
        <v>28</v>
      </c>
      <c r="BJ6" s="57">
        <v>0</v>
      </c>
      <c r="BK6" s="57">
        <v>0</v>
      </c>
      <c r="BL6" s="58">
        <v>0</v>
      </c>
      <c r="BM6" s="58">
        <v>0</v>
      </c>
      <c r="BN6" s="58">
        <v>0</v>
      </c>
      <c r="BO6" s="58">
        <v>0</v>
      </c>
      <c r="BP6" s="57">
        <v>0</v>
      </c>
      <c r="BQ6" s="57">
        <v>3284</v>
      </c>
      <c r="BR6" s="57">
        <v>0</v>
      </c>
      <c r="BS6" s="57"/>
      <c r="BT6" s="59">
        <v>25</v>
      </c>
      <c r="BU6" s="56">
        <v>957</v>
      </c>
      <c r="BV6" s="57">
        <v>2068</v>
      </c>
      <c r="BW6" s="57">
        <v>10</v>
      </c>
      <c r="BX6" s="57">
        <v>24</v>
      </c>
      <c r="BY6" s="57">
        <v>173</v>
      </c>
      <c r="BZ6" s="57">
        <v>28</v>
      </c>
      <c r="CA6" s="58">
        <v>5.5</v>
      </c>
      <c r="CB6" s="58">
        <v>66.400000000000006</v>
      </c>
      <c r="CC6" s="58">
        <v>4.1900000000000004</v>
      </c>
      <c r="CD6" s="58">
        <v>45.4</v>
      </c>
      <c r="CE6" s="57">
        <v>203</v>
      </c>
      <c r="CF6" s="57">
        <v>3060</v>
      </c>
      <c r="CG6" s="57">
        <v>29</v>
      </c>
      <c r="CH6" s="57"/>
      <c r="CI6" s="59">
        <v>22</v>
      </c>
      <c r="CJ6" s="56">
        <v>1032</v>
      </c>
      <c r="CK6" s="57">
        <v>2051</v>
      </c>
      <c r="CL6" s="57">
        <v>9</v>
      </c>
      <c r="CM6" s="57">
        <v>21</v>
      </c>
      <c r="CN6" s="57">
        <v>188</v>
      </c>
      <c r="CO6" s="57">
        <v>44</v>
      </c>
      <c r="CP6" s="58">
        <v>5.5</v>
      </c>
      <c r="CQ6" s="58">
        <v>78.400000000000006</v>
      </c>
      <c r="CR6" s="58">
        <v>3.4</v>
      </c>
      <c r="CS6" s="58">
        <v>39.700000000000003</v>
      </c>
      <c r="CT6" s="57">
        <v>193</v>
      </c>
      <c r="CU6" s="57">
        <v>2341</v>
      </c>
      <c r="CV6" s="57">
        <v>20</v>
      </c>
      <c r="CW6" s="57"/>
      <c r="CX6" s="59">
        <v>20</v>
      </c>
      <c r="CY6" s="56">
        <v>1016</v>
      </c>
      <c r="CZ6" s="57">
        <v>2196</v>
      </c>
      <c r="DA6" s="57">
        <v>6</v>
      </c>
      <c r="DB6" s="57">
        <v>17</v>
      </c>
      <c r="DC6" s="57">
        <v>178</v>
      </c>
      <c r="DD6" s="57">
        <v>56</v>
      </c>
      <c r="DE6" s="58">
        <v>5.7</v>
      </c>
      <c r="DF6" s="58">
        <v>120</v>
      </c>
      <c r="DG6" s="58">
        <v>3.63</v>
      </c>
      <c r="DH6" s="58">
        <v>45.6</v>
      </c>
      <c r="DI6" s="57">
        <v>189</v>
      </c>
      <c r="DJ6" s="57">
        <v>2503</v>
      </c>
      <c r="DK6" s="57">
        <v>25</v>
      </c>
      <c r="DL6" s="57"/>
      <c r="DM6" s="59">
        <v>19</v>
      </c>
      <c r="DN6" s="171"/>
      <c r="DO6" s="5">
        <v>4</v>
      </c>
      <c r="DP6" s="42" t="s">
        <v>396</v>
      </c>
      <c r="DQ6" s="7">
        <v>0.9</v>
      </c>
      <c r="DR6" s="130">
        <v>44079</v>
      </c>
    </row>
    <row r="7" spans="1:123" x14ac:dyDescent="0.2">
      <c r="A7" s="33">
        <v>5</v>
      </c>
      <c r="B7" s="34" t="s">
        <v>251</v>
      </c>
      <c r="C7" s="116">
        <v>8.8333333333333339</v>
      </c>
      <c r="D7" s="117" t="s">
        <v>384</v>
      </c>
      <c r="E7" s="37">
        <v>1</v>
      </c>
      <c r="F7" s="118">
        <v>36428</v>
      </c>
      <c r="G7" s="119">
        <v>26.024657534246575</v>
      </c>
      <c r="H7" s="39" t="s">
        <v>389</v>
      </c>
      <c r="I7" s="119">
        <v>22.605479452054794</v>
      </c>
      <c r="J7" s="120">
        <v>71</v>
      </c>
      <c r="K7" s="120">
        <v>199</v>
      </c>
      <c r="L7" s="120">
        <v>4.42</v>
      </c>
      <c r="M7" s="40">
        <v>2</v>
      </c>
      <c r="N7" s="121">
        <v>0</v>
      </c>
      <c r="O7" s="122">
        <v>5.7314074984634297E-2</v>
      </c>
      <c r="P7" s="122">
        <v>5.6012602835638019E-2</v>
      </c>
      <c r="Q7" s="122">
        <v>0.12402735203961329</v>
      </c>
      <c r="R7" s="122">
        <v>0.15085817524841916</v>
      </c>
      <c r="S7" s="42">
        <v>0.15085817524841916</v>
      </c>
      <c r="T7" s="42">
        <v>0.15085817524841916</v>
      </c>
      <c r="U7" s="42">
        <v>8.9235694277711081E-2</v>
      </c>
      <c r="V7" s="42">
        <v>7.2525145579671782E-2</v>
      </c>
      <c r="W7" s="42">
        <v>8.0880419928691438E-2</v>
      </c>
      <c r="X7" s="43">
        <v>8.0880419928691438E-2</v>
      </c>
      <c r="Y7" s="44">
        <v>21.958904109589042</v>
      </c>
      <c r="Z7" s="170">
        <v>104.27831253892637</v>
      </c>
      <c r="AA7" s="45">
        <v>27.751834953382268</v>
      </c>
      <c r="AB7" s="45">
        <v>0.24444444444444444</v>
      </c>
      <c r="AC7" s="45">
        <v>6.7</v>
      </c>
      <c r="AD7" s="45">
        <v>86.6</v>
      </c>
      <c r="AE7" s="45">
        <v>3.91</v>
      </c>
      <c r="AF7" s="45">
        <v>39.799999999999997</v>
      </c>
      <c r="AG7" s="128">
        <v>2</v>
      </c>
      <c r="AH7" s="49">
        <v>8</v>
      </c>
      <c r="AI7" s="49">
        <v>2</v>
      </c>
      <c r="AJ7" s="49">
        <v>7</v>
      </c>
      <c r="AK7" s="49">
        <v>6</v>
      </c>
      <c r="AL7" s="49">
        <v>7</v>
      </c>
      <c r="AM7" s="49">
        <v>2</v>
      </c>
      <c r="AN7" s="49">
        <v>4</v>
      </c>
      <c r="AO7" s="49">
        <v>7</v>
      </c>
      <c r="AP7" s="50">
        <v>1</v>
      </c>
      <c r="AQ7" s="56">
        <v>0</v>
      </c>
      <c r="AR7" s="57">
        <v>3876</v>
      </c>
      <c r="AS7" s="57">
        <v>0</v>
      </c>
      <c r="AT7" s="57">
        <v>42</v>
      </c>
      <c r="AU7" s="57">
        <v>0</v>
      </c>
      <c r="AV7" s="57">
        <v>0</v>
      </c>
      <c r="AW7" s="58">
        <v>0</v>
      </c>
      <c r="AX7" s="58">
        <v>0</v>
      </c>
      <c r="AY7" s="58">
        <v>0</v>
      </c>
      <c r="AZ7" s="58">
        <v>0</v>
      </c>
      <c r="BA7" s="57">
        <v>0</v>
      </c>
      <c r="BB7" s="57">
        <v>2653</v>
      </c>
      <c r="BC7" s="57">
        <v>0</v>
      </c>
      <c r="BD7" s="57"/>
      <c r="BE7" s="59">
        <v>24</v>
      </c>
      <c r="BF7" s="56">
        <v>284</v>
      </c>
      <c r="BG7" s="57">
        <v>3343</v>
      </c>
      <c r="BH7" s="57">
        <v>2</v>
      </c>
      <c r="BI7" s="57">
        <v>30</v>
      </c>
      <c r="BJ7" s="57">
        <v>41</v>
      </c>
      <c r="BK7" s="57">
        <v>9</v>
      </c>
      <c r="BL7" s="58">
        <v>6.9</v>
      </c>
      <c r="BM7" s="58">
        <v>87.6</v>
      </c>
      <c r="BN7" s="58">
        <v>3.9</v>
      </c>
      <c r="BO7" s="58">
        <v>65.8</v>
      </c>
      <c r="BP7" s="57">
        <v>89</v>
      </c>
      <c r="BQ7" s="57">
        <v>3165</v>
      </c>
      <c r="BR7" s="57">
        <v>2</v>
      </c>
      <c r="BS7" s="57"/>
      <c r="BT7" s="59">
        <v>34</v>
      </c>
      <c r="BU7" s="56">
        <v>188</v>
      </c>
      <c r="BV7" s="57">
        <v>2591</v>
      </c>
      <c r="BW7" s="57">
        <v>2</v>
      </c>
      <c r="BX7" s="57">
        <v>21</v>
      </c>
      <c r="BY7" s="57">
        <v>31</v>
      </c>
      <c r="BZ7" s="57">
        <v>6</v>
      </c>
      <c r="CA7" s="58">
        <v>6.1</v>
      </c>
      <c r="CB7" s="58">
        <v>80</v>
      </c>
      <c r="CC7" s="58">
        <v>3.42</v>
      </c>
      <c r="CD7" s="58">
        <v>37.200000000000003</v>
      </c>
      <c r="CE7" s="57">
        <v>132</v>
      </c>
      <c r="CF7" s="57">
        <v>3122</v>
      </c>
      <c r="CG7" s="57">
        <v>16</v>
      </c>
      <c r="CH7" s="57"/>
      <c r="CI7" s="59">
        <v>26</v>
      </c>
      <c r="CJ7" s="56">
        <v>303</v>
      </c>
      <c r="CK7" s="57">
        <v>1742</v>
      </c>
      <c r="CL7" s="57">
        <v>3</v>
      </c>
      <c r="CM7" s="57">
        <v>18</v>
      </c>
      <c r="CN7" s="57">
        <v>45</v>
      </c>
      <c r="CO7" s="57">
        <v>11</v>
      </c>
      <c r="CP7" s="58">
        <v>6.7</v>
      </c>
      <c r="CQ7" s="58">
        <v>55.4</v>
      </c>
      <c r="CR7" s="58">
        <v>2.6</v>
      </c>
      <c r="CS7" s="58">
        <v>34.700000000000003</v>
      </c>
      <c r="CT7" s="57">
        <v>223</v>
      </c>
      <c r="CU7" s="57">
        <v>2499</v>
      </c>
      <c r="CV7" s="57">
        <v>16</v>
      </c>
      <c r="CW7" s="57"/>
      <c r="CX7" s="59">
        <v>19</v>
      </c>
      <c r="CY7" s="56">
        <v>728</v>
      </c>
      <c r="CZ7" s="57">
        <v>2864</v>
      </c>
      <c r="DA7" s="57">
        <v>7</v>
      </c>
      <c r="DB7" s="57">
        <v>29</v>
      </c>
      <c r="DC7" s="57">
        <v>113</v>
      </c>
      <c r="DD7" s="57">
        <v>25</v>
      </c>
      <c r="DE7" s="58">
        <v>6.4</v>
      </c>
      <c r="DF7" s="58">
        <v>86.6</v>
      </c>
      <c r="DG7" s="58">
        <v>3.91</v>
      </c>
      <c r="DH7" s="58">
        <v>39.799999999999997</v>
      </c>
      <c r="DI7" s="57">
        <v>274</v>
      </c>
      <c r="DJ7" s="57">
        <v>3778</v>
      </c>
      <c r="DK7" s="57">
        <v>27</v>
      </c>
      <c r="DL7" s="57"/>
      <c r="DM7" s="59">
        <v>39</v>
      </c>
      <c r="DN7" s="171"/>
      <c r="DO7" s="5">
        <v>5</v>
      </c>
      <c r="DP7" s="42" t="s">
        <v>399</v>
      </c>
      <c r="DQ7" s="7">
        <v>0.85</v>
      </c>
      <c r="DR7" s="130">
        <v>44443</v>
      </c>
    </row>
    <row r="8" spans="1:123" x14ac:dyDescent="0.2">
      <c r="A8" s="33">
        <v>6</v>
      </c>
      <c r="B8" s="34" t="s">
        <v>258</v>
      </c>
      <c r="C8" s="116">
        <v>8.216666666666665</v>
      </c>
      <c r="D8" s="117" t="s">
        <v>398</v>
      </c>
      <c r="E8" s="37">
        <v>1</v>
      </c>
      <c r="F8" s="118">
        <v>36241</v>
      </c>
      <c r="G8" s="119">
        <v>26.536986301369861</v>
      </c>
      <c r="H8" s="39" t="s">
        <v>469</v>
      </c>
      <c r="I8" s="119">
        <v>23.117808219178084</v>
      </c>
      <c r="J8" s="120">
        <v>74</v>
      </c>
      <c r="K8" s="120">
        <v>225</v>
      </c>
      <c r="L8" s="120">
        <v>4.53</v>
      </c>
      <c r="M8" s="40">
        <v>3</v>
      </c>
      <c r="N8" s="121">
        <v>2.654013189641306E-2</v>
      </c>
      <c r="O8" s="122">
        <v>3.4738186462324391E-2</v>
      </c>
      <c r="P8" s="122">
        <v>8.4939759036144577E-2</v>
      </c>
      <c r="Q8" s="122">
        <v>7.214884249396393E-2</v>
      </c>
      <c r="R8" s="122">
        <v>0.22381537621193501</v>
      </c>
      <c r="S8" s="42">
        <v>0.22381537621193501</v>
      </c>
      <c r="T8" s="42">
        <v>0.22381537621193501</v>
      </c>
      <c r="U8" s="42">
        <v>5.5841924398625431E-3</v>
      </c>
      <c r="V8" s="42">
        <v>5.8348117484723044E-2</v>
      </c>
      <c r="W8" s="42">
        <v>5.8348117484723044E-2</v>
      </c>
      <c r="X8" s="43">
        <v>5.8348117484723044E-2</v>
      </c>
      <c r="Y8" s="44">
        <v>22.471232876712328</v>
      </c>
      <c r="Z8" s="170">
        <v>106.86111607764175</v>
      </c>
      <c r="AA8" s="45">
        <v>28.885135135135133</v>
      </c>
      <c r="AB8" s="45">
        <v>0.29151291512915128</v>
      </c>
      <c r="AC8" s="45">
        <v>5.3</v>
      </c>
      <c r="AD8" s="45">
        <v>100.3</v>
      </c>
      <c r="AE8" s="45">
        <v>4.05</v>
      </c>
      <c r="AF8" s="45">
        <v>34.299999999999997</v>
      </c>
      <c r="AG8" s="128">
        <v>4</v>
      </c>
      <c r="AH8" s="49">
        <v>6</v>
      </c>
      <c r="AI8" s="49">
        <v>1</v>
      </c>
      <c r="AJ8" s="49">
        <v>8</v>
      </c>
      <c r="AK8" s="49">
        <v>8</v>
      </c>
      <c r="AL8" s="49">
        <v>2</v>
      </c>
      <c r="AM8" s="49">
        <v>4</v>
      </c>
      <c r="AN8" s="49">
        <v>5</v>
      </c>
      <c r="AO8" s="49">
        <v>6</v>
      </c>
      <c r="AP8" s="50">
        <v>1</v>
      </c>
      <c r="AQ8" s="56">
        <v>165</v>
      </c>
      <c r="AR8" s="57">
        <v>3509</v>
      </c>
      <c r="AS8" s="57">
        <v>2</v>
      </c>
      <c r="AT8" s="57">
        <v>36</v>
      </c>
      <c r="AU8" s="57">
        <v>24</v>
      </c>
      <c r="AV8" s="57">
        <v>6</v>
      </c>
      <c r="AW8" s="58">
        <v>6.9</v>
      </c>
      <c r="AX8" s="58">
        <v>111.5</v>
      </c>
      <c r="AY8" s="58">
        <v>4.46</v>
      </c>
      <c r="AZ8" s="58">
        <v>19.399999999999999</v>
      </c>
      <c r="BA8" s="57">
        <v>0</v>
      </c>
      <c r="BB8" s="57">
        <v>2708</v>
      </c>
      <c r="BC8" s="57">
        <v>0</v>
      </c>
      <c r="BD8" s="57"/>
      <c r="BE8" s="59">
        <v>28</v>
      </c>
      <c r="BF8" s="56">
        <v>272</v>
      </c>
      <c r="BG8" s="57">
        <v>2976</v>
      </c>
      <c r="BH8" s="57">
        <v>2</v>
      </c>
      <c r="BI8" s="57">
        <v>33</v>
      </c>
      <c r="BJ8" s="57">
        <v>63</v>
      </c>
      <c r="BK8" s="57">
        <v>10</v>
      </c>
      <c r="BL8" s="58">
        <v>4.3</v>
      </c>
      <c r="BM8" s="58">
        <v>48.9</v>
      </c>
      <c r="BN8" s="58">
        <v>3.08</v>
      </c>
      <c r="BO8" s="58">
        <v>13.2</v>
      </c>
      <c r="BP8" s="57">
        <v>0</v>
      </c>
      <c r="BQ8" s="57">
        <v>4854</v>
      </c>
      <c r="BR8" s="57">
        <v>0</v>
      </c>
      <c r="BS8" s="57"/>
      <c r="BT8" s="59">
        <v>52</v>
      </c>
      <c r="BU8" s="56">
        <v>440</v>
      </c>
      <c r="BV8" s="57">
        <v>2191</v>
      </c>
      <c r="BW8" s="57">
        <v>5</v>
      </c>
      <c r="BX8" s="57">
        <v>27</v>
      </c>
      <c r="BY8" s="57">
        <v>96</v>
      </c>
      <c r="BZ8" s="57">
        <v>18</v>
      </c>
      <c r="CA8" s="58">
        <v>4.5999999999999996</v>
      </c>
      <c r="CB8" s="58">
        <v>57.2</v>
      </c>
      <c r="CC8" s="58">
        <v>2.92</v>
      </c>
      <c r="CD8" s="58">
        <v>24.1</v>
      </c>
      <c r="CE8" s="57">
        <v>124</v>
      </c>
      <c r="CF8" s="57">
        <v>4449</v>
      </c>
      <c r="CG8" s="57">
        <v>11</v>
      </c>
      <c r="CH8" s="57"/>
      <c r="CI8" s="59">
        <v>49</v>
      </c>
      <c r="CJ8" s="56">
        <v>482</v>
      </c>
      <c r="CK8" s="57">
        <v>2385</v>
      </c>
      <c r="CL8" s="57">
        <v>6</v>
      </c>
      <c r="CM8" s="57">
        <v>37</v>
      </c>
      <c r="CN8" s="57">
        <v>91</v>
      </c>
      <c r="CO8" s="57">
        <v>23</v>
      </c>
      <c r="CP8" s="58">
        <v>5.3</v>
      </c>
      <c r="CQ8" s="58">
        <v>100.3</v>
      </c>
      <c r="CR8" s="58">
        <v>4.05</v>
      </c>
      <c r="CS8" s="58">
        <v>18</v>
      </c>
      <c r="CT8" s="57">
        <v>26</v>
      </c>
      <c r="CU8" s="57">
        <v>4656</v>
      </c>
      <c r="CV8" s="57">
        <v>6</v>
      </c>
      <c r="CW8" s="57"/>
      <c r="CX8" s="59">
        <v>42</v>
      </c>
      <c r="CY8" s="56">
        <v>1343</v>
      </c>
      <c r="CZ8" s="57">
        <v>2250</v>
      </c>
      <c r="DA8" s="57">
        <v>14</v>
      </c>
      <c r="DB8" s="57">
        <v>21</v>
      </c>
      <c r="DC8" s="57">
        <v>271</v>
      </c>
      <c r="DD8" s="57">
        <v>79</v>
      </c>
      <c r="DE8" s="58">
        <v>5</v>
      </c>
      <c r="DF8" s="58">
        <v>92.4</v>
      </c>
      <c r="DG8" s="58">
        <v>3.29</v>
      </c>
      <c r="DH8" s="58">
        <v>34.299999999999997</v>
      </c>
      <c r="DI8" s="57">
        <v>296</v>
      </c>
      <c r="DJ8" s="57">
        <v>5073</v>
      </c>
      <c r="DK8" s="57">
        <v>35</v>
      </c>
      <c r="DL8" s="57"/>
      <c r="DM8" s="59">
        <v>48</v>
      </c>
      <c r="DN8" s="171"/>
      <c r="DO8" s="5">
        <v>6</v>
      </c>
      <c r="DP8" s="42" t="s">
        <v>402</v>
      </c>
      <c r="DQ8" s="7">
        <v>0.75</v>
      </c>
    </row>
    <row r="9" spans="1:123" x14ac:dyDescent="0.2">
      <c r="A9" s="33">
        <v>7</v>
      </c>
      <c r="B9" s="34" t="s">
        <v>278</v>
      </c>
      <c r="C9" s="116">
        <v>7.2777777777777777</v>
      </c>
      <c r="D9" s="117" t="s">
        <v>449</v>
      </c>
      <c r="E9" s="37">
        <v>2</v>
      </c>
      <c r="F9" s="118">
        <v>36764</v>
      </c>
      <c r="G9" s="119">
        <v>25.104109589041094</v>
      </c>
      <c r="H9" s="39" t="s">
        <v>385</v>
      </c>
      <c r="I9" s="119">
        <v>21.684931506849313</v>
      </c>
      <c r="J9" s="120">
        <v>69</v>
      </c>
      <c r="K9" s="120">
        <v>194</v>
      </c>
      <c r="L9" s="120">
        <v>4.6500000000000004</v>
      </c>
      <c r="M9" s="40">
        <v>5</v>
      </c>
      <c r="N9" s="121">
        <v>0</v>
      </c>
      <c r="O9" s="122">
        <v>0</v>
      </c>
      <c r="P9" s="122">
        <v>5.1739518287243534E-3</v>
      </c>
      <c r="Q9" s="122">
        <v>0.26662950575994054</v>
      </c>
      <c r="R9" s="122">
        <v>0.24345785959213137</v>
      </c>
      <c r="S9" s="42">
        <v>0.25504368267603594</v>
      </c>
      <c r="T9" s="42">
        <v>0.25504368267603594</v>
      </c>
      <c r="U9" s="42">
        <v>0.10916110916110916</v>
      </c>
      <c r="V9" s="42">
        <v>9.7766884531590409E-2</v>
      </c>
      <c r="W9" s="42">
        <v>0.10346399684634978</v>
      </c>
      <c r="X9" s="43">
        <v>0.10346399684634978</v>
      </c>
      <c r="Y9" s="44">
        <v>20.041095890410958</v>
      </c>
      <c r="Z9" s="170">
        <v>82.988882016372074</v>
      </c>
      <c r="AA9" s="45">
        <v>28.645662675908419</v>
      </c>
      <c r="AB9" s="45">
        <v>0.28431372549019607</v>
      </c>
      <c r="AC9" s="45">
        <v>5.3</v>
      </c>
      <c r="AD9" s="45">
        <v>108.6</v>
      </c>
      <c r="AE9" s="45">
        <v>3.71</v>
      </c>
      <c r="AF9" s="45">
        <v>36.9</v>
      </c>
      <c r="AG9" s="128">
        <v>6</v>
      </c>
      <c r="AH9" s="49">
        <v>9</v>
      </c>
      <c r="AI9" s="49">
        <v>4</v>
      </c>
      <c r="AJ9" s="49">
        <v>0</v>
      </c>
      <c r="AK9" s="49">
        <v>8</v>
      </c>
      <c r="AL9" s="49">
        <v>2</v>
      </c>
      <c r="AM9" s="49">
        <v>5</v>
      </c>
      <c r="AN9" s="49">
        <v>3</v>
      </c>
      <c r="AO9" s="49">
        <v>3</v>
      </c>
      <c r="AP9" s="50">
        <v>0.5</v>
      </c>
      <c r="AQ9" s="56">
        <v>0</v>
      </c>
      <c r="AR9" s="57">
        <v>3501</v>
      </c>
      <c r="AS9" s="57">
        <v>0</v>
      </c>
      <c r="AT9" s="57">
        <v>35</v>
      </c>
      <c r="AU9" s="57">
        <v>0</v>
      </c>
      <c r="AV9" s="57">
        <v>0</v>
      </c>
      <c r="AW9" s="58">
        <v>0</v>
      </c>
      <c r="AX9" s="58">
        <v>0</v>
      </c>
      <c r="AY9" s="58">
        <v>0</v>
      </c>
      <c r="AZ9" s="58">
        <v>0</v>
      </c>
      <c r="BA9" s="57">
        <v>0</v>
      </c>
      <c r="BB9" s="57">
        <v>2326</v>
      </c>
      <c r="BC9" s="57">
        <v>0</v>
      </c>
      <c r="BD9" s="57"/>
      <c r="BE9" s="59">
        <v>20</v>
      </c>
      <c r="BF9" s="56">
        <v>0</v>
      </c>
      <c r="BG9" s="57">
        <v>2374</v>
      </c>
      <c r="BH9" s="57">
        <v>0</v>
      </c>
      <c r="BI9" s="57">
        <v>27</v>
      </c>
      <c r="BJ9" s="57">
        <v>0</v>
      </c>
      <c r="BK9" s="57">
        <v>0</v>
      </c>
      <c r="BL9" s="58">
        <v>0</v>
      </c>
      <c r="BM9" s="58">
        <v>0</v>
      </c>
      <c r="BN9" s="58">
        <v>0</v>
      </c>
      <c r="BO9" s="58">
        <v>0</v>
      </c>
      <c r="BP9" s="57">
        <v>0</v>
      </c>
      <c r="BQ9" s="57">
        <v>3347</v>
      </c>
      <c r="BR9" s="57">
        <v>0</v>
      </c>
      <c r="BS9" s="57"/>
      <c r="BT9" s="59">
        <v>23</v>
      </c>
      <c r="BU9" s="56">
        <v>26</v>
      </c>
      <c r="BV9" s="57">
        <v>2327</v>
      </c>
      <c r="BW9" s="57">
        <v>0</v>
      </c>
      <c r="BX9" s="57">
        <v>20</v>
      </c>
      <c r="BY9" s="57">
        <v>4</v>
      </c>
      <c r="BZ9" s="57">
        <v>0</v>
      </c>
      <c r="CA9" s="58">
        <v>6.5</v>
      </c>
      <c r="CB9" s="58">
        <v>0</v>
      </c>
      <c r="CC9" s="58">
        <v>2.5</v>
      </c>
      <c r="CD9" s="58">
        <v>0</v>
      </c>
      <c r="CE9" s="57">
        <v>3</v>
      </c>
      <c r="CF9" s="57">
        <v>3278</v>
      </c>
      <c r="CG9" s="57">
        <v>1</v>
      </c>
      <c r="CH9" s="57"/>
      <c r="CI9" s="59">
        <v>37</v>
      </c>
      <c r="CJ9" s="56">
        <v>1124</v>
      </c>
      <c r="CK9" s="57">
        <v>2533</v>
      </c>
      <c r="CL9" s="57">
        <v>13</v>
      </c>
      <c r="CM9" s="57">
        <v>33</v>
      </c>
      <c r="CN9" s="57">
        <v>211</v>
      </c>
      <c r="CO9" s="57">
        <v>38</v>
      </c>
      <c r="CP9" s="58">
        <v>5.3</v>
      </c>
      <c r="CQ9" s="58">
        <v>63</v>
      </c>
      <c r="CR9" s="58">
        <v>3.3</v>
      </c>
      <c r="CS9" s="58">
        <v>36.9</v>
      </c>
      <c r="CT9" s="57">
        <v>311</v>
      </c>
      <c r="CU9" s="57">
        <v>2849</v>
      </c>
      <c r="CV9" s="57">
        <v>35</v>
      </c>
      <c r="CW9" s="57"/>
      <c r="CX9" s="59">
        <v>15</v>
      </c>
      <c r="CY9" s="56">
        <v>990</v>
      </c>
      <c r="CZ9" s="57">
        <v>1869</v>
      </c>
      <c r="DA9" s="57">
        <v>14</v>
      </c>
      <c r="DB9" s="57">
        <v>23</v>
      </c>
      <c r="DC9" s="57">
        <v>204</v>
      </c>
      <c r="DD9" s="57">
        <v>58</v>
      </c>
      <c r="DE9" s="58">
        <v>4.9000000000000004</v>
      </c>
      <c r="DF9" s="58">
        <v>108.6</v>
      </c>
      <c r="DG9" s="58">
        <v>3.71</v>
      </c>
      <c r="DH9" s="58">
        <v>33</v>
      </c>
      <c r="DI9" s="57">
        <v>359</v>
      </c>
      <c r="DJ9" s="57">
        <v>3672</v>
      </c>
      <c r="DK9" s="57">
        <v>42</v>
      </c>
      <c r="DL9" s="57"/>
      <c r="DM9" s="59">
        <v>30</v>
      </c>
      <c r="DN9" s="171"/>
      <c r="DO9" s="5">
        <v>7</v>
      </c>
      <c r="DP9" s="42" t="s">
        <v>405</v>
      </c>
      <c r="DQ9" s="7">
        <v>0.75</v>
      </c>
    </row>
    <row r="10" spans="1:123" x14ac:dyDescent="0.2">
      <c r="A10" s="33">
        <v>8</v>
      </c>
      <c r="B10" s="34" t="s">
        <v>270</v>
      </c>
      <c r="C10" s="116">
        <v>7.094444444444445</v>
      </c>
      <c r="D10" s="117" t="s">
        <v>424</v>
      </c>
      <c r="E10" s="37">
        <v>1</v>
      </c>
      <c r="F10" s="118">
        <v>36575</v>
      </c>
      <c r="G10" s="119">
        <v>25.621917808219177</v>
      </c>
      <c r="H10" s="39" t="s">
        <v>389</v>
      </c>
      <c r="I10" s="119">
        <v>22.202739726027396</v>
      </c>
      <c r="J10" s="120">
        <v>70</v>
      </c>
      <c r="K10" s="120">
        <v>218</v>
      </c>
      <c r="L10" s="120">
        <v>4.59</v>
      </c>
      <c r="M10" s="40">
        <v>4</v>
      </c>
      <c r="N10" s="121">
        <v>0</v>
      </c>
      <c r="O10" s="122">
        <v>7.96827113755183E-2</v>
      </c>
      <c r="P10" s="122">
        <v>6.8689768300184542E-2</v>
      </c>
      <c r="Q10" s="122">
        <v>0.10738803530565544</v>
      </c>
      <c r="R10" s="122">
        <v>0.15221003655699569</v>
      </c>
      <c r="S10" s="42">
        <v>0.15221003655699569</v>
      </c>
      <c r="T10" s="42">
        <v>0.15221003655699569</v>
      </c>
      <c r="U10" s="42">
        <v>3.4338542813119086E-2</v>
      </c>
      <c r="V10" s="42">
        <v>6.5375302663438259E-2</v>
      </c>
      <c r="W10" s="42">
        <v>6.5375302663438259E-2</v>
      </c>
      <c r="X10" s="43">
        <v>6.5375302663438259E-2</v>
      </c>
      <c r="Y10" s="44">
        <v>21.556164383561644</v>
      </c>
      <c r="Z10" s="170">
        <v>98.228100776725569</v>
      </c>
      <c r="AA10" s="45">
        <v>31.276326530612245</v>
      </c>
      <c r="AB10" s="45">
        <v>0.39</v>
      </c>
      <c r="AC10" s="45">
        <v>5.7</v>
      </c>
      <c r="AD10" s="45">
        <v>138</v>
      </c>
      <c r="AE10" s="45">
        <v>3.65</v>
      </c>
      <c r="AF10" s="45">
        <v>31.4</v>
      </c>
      <c r="AG10" s="128">
        <v>2</v>
      </c>
      <c r="AH10" s="49">
        <v>7</v>
      </c>
      <c r="AI10" s="49">
        <v>2</v>
      </c>
      <c r="AJ10" s="49">
        <v>4</v>
      </c>
      <c r="AK10" s="49">
        <v>10</v>
      </c>
      <c r="AL10" s="49">
        <v>3</v>
      </c>
      <c r="AM10" s="49">
        <v>7</v>
      </c>
      <c r="AN10" s="49">
        <v>2</v>
      </c>
      <c r="AO10" s="49">
        <v>4</v>
      </c>
      <c r="AP10" s="50">
        <v>0.75</v>
      </c>
      <c r="AQ10" s="56">
        <v>0</v>
      </c>
      <c r="AR10" s="57">
        <v>1720</v>
      </c>
      <c r="AS10" s="57">
        <v>0</v>
      </c>
      <c r="AT10" s="57">
        <v>15</v>
      </c>
      <c r="AU10" s="57">
        <v>0</v>
      </c>
      <c r="AV10" s="57">
        <v>0</v>
      </c>
      <c r="AW10" s="58">
        <v>0</v>
      </c>
      <c r="AX10" s="58">
        <v>0</v>
      </c>
      <c r="AY10" s="58">
        <v>0</v>
      </c>
      <c r="AZ10" s="58">
        <v>0</v>
      </c>
      <c r="BA10" s="57">
        <v>0</v>
      </c>
      <c r="BB10" s="57">
        <v>1975</v>
      </c>
      <c r="BC10" s="57">
        <v>0</v>
      </c>
      <c r="BD10" s="57"/>
      <c r="BE10" s="59">
        <v>10</v>
      </c>
      <c r="BF10" s="56">
        <v>422</v>
      </c>
      <c r="BG10" s="57">
        <v>2771</v>
      </c>
      <c r="BH10" s="57">
        <v>2</v>
      </c>
      <c r="BI10" s="57">
        <v>23</v>
      </c>
      <c r="BJ10" s="57">
        <v>69</v>
      </c>
      <c r="BK10" s="57">
        <v>7</v>
      </c>
      <c r="BL10" s="58">
        <v>6.1</v>
      </c>
      <c r="BM10" s="58">
        <v>33.1</v>
      </c>
      <c r="BN10" s="58">
        <v>3.06</v>
      </c>
      <c r="BO10" s="58">
        <v>45.5</v>
      </c>
      <c r="BP10" s="57">
        <v>20</v>
      </c>
      <c r="BQ10" s="57">
        <v>2776</v>
      </c>
      <c r="BR10" s="57">
        <v>1</v>
      </c>
      <c r="BS10" s="57"/>
      <c r="BT10" s="59">
        <v>28</v>
      </c>
      <c r="BU10" s="56">
        <v>305</v>
      </c>
      <c r="BV10" s="57">
        <v>1687</v>
      </c>
      <c r="BW10" s="57">
        <v>4</v>
      </c>
      <c r="BX10" s="57">
        <v>21</v>
      </c>
      <c r="BY10" s="57">
        <v>54</v>
      </c>
      <c r="BZ10" s="57">
        <v>13</v>
      </c>
      <c r="CA10" s="58">
        <v>5.6</v>
      </c>
      <c r="CB10" s="58">
        <v>122.1</v>
      </c>
      <c r="CC10" s="58">
        <v>4.43</v>
      </c>
      <c r="CD10" s="58">
        <v>55.4</v>
      </c>
      <c r="CE10" s="57">
        <v>30</v>
      </c>
      <c r="CF10" s="57">
        <v>3190</v>
      </c>
      <c r="CG10" s="57">
        <v>4</v>
      </c>
      <c r="CH10" s="57"/>
      <c r="CI10" s="59">
        <v>33</v>
      </c>
      <c r="CJ10" s="56">
        <v>501</v>
      </c>
      <c r="CK10" s="57">
        <v>1575</v>
      </c>
      <c r="CL10" s="57">
        <v>4</v>
      </c>
      <c r="CM10" s="57">
        <v>12</v>
      </c>
      <c r="CN10" s="57">
        <v>106</v>
      </c>
      <c r="CO10" s="57">
        <v>23</v>
      </c>
      <c r="CP10" s="58">
        <v>4.7</v>
      </c>
      <c r="CQ10" s="58">
        <v>85.4</v>
      </c>
      <c r="CR10" s="58">
        <v>3</v>
      </c>
      <c r="CS10" s="58">
        <v>17.2</v>
      </c>
      <c r="CT10" s="57">
        <v>156</v>
      </c>
      <c r="CU10" s="57">
        <v>4543</v>
      </c>
      <c r="CV10" s="57">
        <v>17</v>
      </c>
      <c r="CW10" s="57"/>
      <c r="CX10" s="59">
        <v>46</v>
      </c>
      <c r="CY10" s="56">
        <v>700</v>
      </c>
      <c r="CZ10" s="57">
        <v>2714</v>
      </c>
      <c r="DA10" s="57">
        <v>13</v>
      </c>
      <c r="DB10" s="57">
        <v>26</v>
      </c>
      <c r="DC10" s="57">
        <v>100</v>
      </c>
      <c r="DD10" s="57">
        <v>39</v>
      </c>
      <c r="DE10" s="58">
        <v>5.7</v>
      </c>
      <c r="DF10" s="58">
        <v>138</v>
      </c>
      <c r="DG10" s="58">
        <v>3.65</v>
      </c>
      <c r="DH10" s="58">
        <v>31.4</v>
      </c>
      <c r="DI10" s="57">
        <v>216</v>
      </c>
      <c r="DJ10" s="57">
        <v>3304</v>
      </c>
      <c r="DK10" s="57">
        <v>19</v>
      </c>
      <c r="DL10" s="57"/>
      <c r="DM10" s="59">
        <v>27</v>
      </c>
      <c r="DN10" s="171"/>
      <c r="DO10" s="5">
        <v>8</v>
      </c>
      <c r="DP10" s="42" t="s">
        <v>408</v>
      </c>
      <c r="DQ10" s="7">
        <v>0.65</v>
      </c>
      <c r="DR10" s="131"/>
    </row>
    <row r="11" spans="1:123" x14ac:dyDescent="0.2">
      <c r="A11" s="33">
        <v>9</v>
      </c>
      <c r="B11" s="34" t="s">
        <v>286</v>
      </c>
      <c r="C11" s="116">
        <v>6.9888888888888898</v>
      </c>
      <c r="D11" s="117" t="s">
        <v>511</v>
      </c>
      <c r="E11" s="37">
        <v>2</v>
      </c>
      <c r="F11" s="118">
        <v>36490</v>
      </c>
      <c r="G11" s="119">
        <v>25.854794520547944</v>
      </c>
      <c r="H11" s="39" t="s">
        <v>389</v>
      </c>
      <c r="I11" s="119">
        <v>22.435616438356163</v>
      </c>
      <c r="J11" s="120">
        <v>74</v>
      </c>
      <c r="K11" s="120">
        <v>228</v>
      </c>
      <c r="L11" s="120">
        <v>4.58</v>
      </c>
      <c r="M11" s="40">
        <v>4</v>
      </c>
      <c r="N11" s="121">
        <v>0</v>
      </c>
      <c r="O11" s="122">
        <v>0</v>
      </c>
      <c r="P11" s="122">
        <v>0.12681992337164752</v>
      </c>
      <c r="Q11" s="122">
        <v>0.16368398079441293</v>
      </c>
      <c r="R11" s="122">
        <v>0.23504755763340318</v>
      </c>
      <c r="S11" s="42">
        <v>0.23504755763340318</v>
      </c>
      <c r="T11" s="42">
        <v>0.23504755763340318</v>
      </c>
      <c r="U11" s="42">
        <v>0</v>
      </c>
      <c r="V11" s="42">
        <v>4.091193004372267E-2</v>
      </c>
      <c r="W11" s="42">
        <v>4.091193004372267E-2</v>
      </c>
      <c r="X11" s="43">
        <v>4.091193004372267E-2</v>
      </c>
      <c r="Y11" s="44">
        <v>20.791780821917808</v>
      </c>
      <c r="Z11" s="170">
        <v>103.63415977116451</v>
      </c>
      <c r="AA11" s="45">
        <v>29.27027027027027</v>
      </c>
      <c r="AB11" s="45">
        <v>0.22950819672131148</v>
      </c>
      <c r="AC11" s="45">
        <v>6.1</v>
      </c>
      <c r="AD11" s="45">
        <v>99.7</v>
      </c>
      <c r="AE11" s="45">
        <v>4.34</v>
      </c>
      <c r="AF11" s="45">
        <v>54.1</v>
      </c>
      <c r="AG11" s="128">
        <v>5</v>
      </c>
      <c r="AH11" s="49">
        <v>4</v>
      </c>
      <c r="AI11" s="49">
        <v>3</v>
      </c>
      <c r="AJ11" s="49">
        <v>7</v>
      </c>
      <c r="AK11" s="49">
        <v>5</v>
      </c>
      <c r="AL11" s="49">
        <v>5</v>
      </c>
      <c r="AM11" s="49">
        <v>4</v>
      </c>
      <c r="AN11" s="49">
        <v>6</v>
      </c>
      <c r="AO11" s="49">
        <v>4</v>
      </c>
      <c r="AP11" s="50">
        <v>0.25</v>
      </c>
      <c r="AQ11" s="56">
        <v>0</v>
      </c>
      <c r="AR11" s="57">
        <v>2310</v>
      </c>
      <c r="AS11" s="57">
        <v>0</v>
      </c>
      <c r="AT11" s="57">
        <v>26</v>
      </c>
      <c r="AU11" s="57">
        <v>0</v>
      </c>
      <c r="AV11" s="57">
        <v>0</v>
      </c>
      <c r="AW11" s="58">
        <v>0</v>
      </c>
      <c r="AX11" s="58">
        <v>0</v>
      </c>
      <c r="AY11" s="58">
        <v>0</v>
      </c>
      <c r="AZ11" s="58">
        <v>0</v>
      </c>
      <c r="BA11" s="57">
        <v>0</v>
      </c>
      <c r="BB11" s="57">
        <v>2226</v>
      </c>
      <c r="BC11" s="57">
        <v>0</v>
      </c>
      <c r="BD11" s="57"/>
      <c r="BE11" s="59">
        <v>9</v>
      </c>
      <c r="BF11" s="56">
        <v>0</v>
      </c>
      <c r="BG11" s="57">
        <v>2649</v>
      </c>
      <c r="BH11" s="57">
        <v>0</v>
      </c>
      <c r="BI11" s="57">
        <v>26</v>
      </c>
      <c r="BJ11" s="57">
        <v>0</v>
      </c>
      <c r="BK11" s="57">
        <v>0</v>
      </c>
      <c r="BL11" s="58">
        <v>0</v>
      </c>
      <c r="BM11" s="58">
        <v>0</v>
      </c>
      <c r="BN11" s="58">
        <v>0</v>
      </c>
      <c r="BO11" s="58">
        <v>0</v>
      </c>
      <c r="BP11" s="57">
        <v>0</v>
      </c>
      <c r="BQ11" s="57">
        <v>2804</v>
      </c>
      <c r="BR11" s="57">
        <v>0</v>
      </c>
      <c r="BS11" s="57"/>
      <c r="BT11" s="59">
        <v>24</v>
      </c>
      <c r="BU11" s="56">
        <v>622</v>
      </c>
      <c r="BV11" s="57">
        <v>1959</v>
      </c>
      <c r="BW11" s="57">
        <v>4</v>
      </c>
      <c r="BX11" s="57">
        <v>26</v>
      </c>
      <c r="BY11" s="57">
        <v>121</v>
      </c>
      <c r="BZ11" s="57">
        <v>26</v>
      </c>
      <c r="CA11" s="58">
        <v>5.0999999999999996</v>
      </c>
      <c r="CB11" s="58">
        <v>74.5</v>
      </c>
      <c r="CC11" s="58">
        <v>3.5</v>
      </c>
      <c r="CD11" s="58">
        <v>38.700000000000003</v>
      </c>
      <c r="CE11" s="57">
        <v>40</v>
      </c>
      <c r="CF11" s="57">
        <v>3261</v>
      </c>
      <c r="CG11" s="57">
        <v>6</v>
      </c>
      <c r="CH11" s="57"/>
      <c r="CI11" s="59">
        <v>25</v>
      </c>
      <c r="CJ11" s="56">
        <v>375</v>
      </c>
      <c r="CK11" s="57">
        <v>789</v>
      </c>
      <c r="CL11" s="57">
        <v>6</v>
      </c>
      <c r="CM11" s="57">
        <v>12</v>
      </c>
      <c r="CN11" s="57">
        <v>61</v>
      </c>
      <c r="CO11" s="57">
        <v>14</v>
      </c>
      <c r="CP11" s="58">
        <v>6.1</v>
      </c>
      <c r="CQ11" s="58">
        <v>99.7</v>
      </c>
      <c r="CR11" s="58">
        <v>4.34</v>
      </c>
      <c r="CS11" s="58">
        <v>54.1</v>
      </c>
      <c r="CT11" s="57">
        <v>0</v>
      </c>
      <c r="CU11" s="57">
        <v>1502</v>
      </c>
      <c r="CV11" s="57">
        <v>0</v>
      </c>
      <c r="CW11" s="57"/>
      <c r="CX11" s="59">
        <v>9</v>
      </c>
      <c r="CY11" s="56">
        <v>1327</v>
      </c>
      <c r="CZ11" s="57">
        <v>3001</v>
      </c>
      <c r="DA11" s="57">
        <v>20</v>
      </c>
      <c r="DB11" s="57">
        <v>39</v>
      </c>
      <c r="DC11" s="57">
        <v>270</v>
      </c>
      <c r="DD11" s="57">
        <v>53</v>
      </c>
      <c r="DE11" s="58">
        <v>4.9000000000000004</v>
      </c>
      <c r="DF11" s="58">
        <v>60.5</v>
      </c>
      <c r="DG11" s="58">
        <v>3.06</v>
      </c>
      <c r="DH11" s="58">
        <v>29.4</v>
      </c>
      <c r="DI11" s="57">
        <v>131</v>
      </c>
      <c r="DJ11" s="57">
        <v>3202</v>
      </c>
      <c r="DK11" s="57">
        <v>18</v>
      </c>
      <c r="DL11" s="57"/>
      <c r="DM11" s="59">
        <v>21</v>
      </c>
      <c r="DO11" s="5">
        <v>9</v>
      </c>
      <c r="DP11" s="42" t="s">
        <v>411</v>
      </c>
      <c r="DQ11" s="7">
        <v>0.65</v>
      </c>
      <c r="DR11" s="131"/>
    </row>
    <row r="12" spans="1:123" x14ac:dyDescent="0.2">
      <c r="A12" s="33">
        <v>10</v>
      </c>
      <c r="B12" s="34" t="s">
        <v>281</v>
      </c>
      <c r="C12" s="116">
        <v>6.9388888888888891</v>
      </c>
      <c r="D12" s="117" t="s">
        <v>434</v>
      </c>
      <c r="E12" s="37">
        <v>1</v>
      </c>
      <c r="F12" s="118">
        <v>36563</v>
      </c>
      <c r="G12" s="119">
        <v>25.654794520547945</v>
      </c>
      <c r="H12" s="39" t="s">
        <v>389</v>
      </c>
      <c r="I12" s="119">
        <v>22.235616438356164</v>
      </c>
      <c r="J12" s="120">
        <v>68</v>
      </c>
      <c r="K12" s="120">
        <v>197</v>
      </c>
      <c r="L12" s="120">
        <v>4.45</v>
      </c>
      <c r="M12" s="40">
        <v>6</v>
      </c>
      <c r="N12" s="121">
        <v>0</v>
      </c>
      <c r="O12" s="122">
        <v>9.0531694076321251E-2</v>
      </c>
      <c r="P12" s="122">
        <v>0.18102872411489646</v>
      </c>
      <c r="Q12" s="122">
        <v>0.14303482587064675</v>
      </c>
      <c r="R12" s="122">
        <v>0.36017106731126813</v>
      </c>
      <c r="S12" s="42">
        <v>0.36017106731126813</v>
      </c>
      <c r="T12" s="42">
        <v>0.36017106731126813</v>
      </c>
      <c r="U12" s="42">
        <v>0.12481259370314843</v>
      </c>
      <c r="V12" s="42">
        <v>0.10968379446640317</v>
      </c>
      <c r="W12" s="42">
        <v>0.1172481940847758</v>
      </c>
      <c r="X12" s="43">
        <v>0.1172481940847758</v>
      </c>
      <c r="Y12" s="44">
        <v>19.575342465753426</v>
      </c>
      <c r="Z12" s="170">
        <v>100.4745750155784</v>
      </c>
      <c r="AA12" s="45">
        <v>29.950475778546714</v>
      </c>
      <c r="AB12" s="45">
        <v>0.21033210332103322</v>
      </c>
      <c r="AC12" s="45">
        <v>5.9</v>
      </c>
      <c r="AD12" s="45">
        <v>72.2</v>
      </c>
      <c r="AE12" s="45">
        <v>3.38</v>
      </c>
      <c r="AF12" s="45">
        <v>47.5</v>
      </c>
      <c r="AG12" s="128">
        <v>10</v>
      </c>
      <c r="AH12" s="49">
        <v>9</v>
      </c>
      <c r="AI12" s="49">
        <v>6</v>
      </c>
      <c r="AJ12" s="49">
        <v>5</v>
      </c>
      <c r="AK12" s="49">
        <v>4</v>
      </c>
      <c r="AL12" s="49">
        <v>4</v>
      </c>
      <c r="AM12" s="49">
        <v>1</v>
      </c>
      <c r="AN12" s="49">
        <v>1</v>
      </c>
      <c r="AO12" s="49">
        <v>2</v>
      </c>
      <c r="AP12" s="50">
        <v>0.25</v>
      </c>
      <c r="AQ12" s="56">
        <v>0</v>
      </c>
      <c r="AR12" s="57">
        <v>2516</v>
      </c>
      <c r="AS12" s="57">
        <v>0</v>
      </c>
      <c r="AT12" s="57">
        <v>16</v>
      </c>
      <c r="AU12" s="57">
        <v>0</v>
      </c>
      <c r="AV12" s="57">
        <v>0</v>
      </c>
      <c r="AW12" s="58">
        <v>0</v>
      </c>
      <c r="AX12" s="58">
        <v>0</v>
      </c>
      <c r="AY12" s="58">
        <v>0</v>
      </c>
      <c r="AZ12" s="58">
        <v>0</v>
      </c>
      <c r="BA12" s="57">
        <v>0</v>
      </c>
      <c r="BB12" s="57">
        <v>4012</v>
      </c>
      <c r="BC12" s="57">
        <v>0</v>
      </c>
      <c r="BD12" s="57"/>
      <c r="BE12" s="59">
        <v>44</v>
      </c>
      <c r="BF12" s="56">
        <v>437</v>
      </c>
      <c r="BG12" s="57">
        <v>2631</v>
      </c>
      <c r="BH12" s="57">
        <v>2</v>
      </c>
      <c r="BI12" s="57">
        <v>27</v>
      </c>
      <c r="BJ12" s="57">
        <v>89</v>
      </c>
      <c r="BK12" s="57">
        <v>10</v>
      </c>
      <c r="BL12" s="58">
        <v>4.9000000000000004</v>
      </c>
      <c r="BM12" s="58">
        <v>42.4</v>
      </c>
      <c r="BN12" s="58">
        <v>2.52</v>
      </c>
      <c r="BO12" s="58">
        <v>24.9</v>
      </c>
      <c r="BP12" s="57">
        <v>130</v>
      </c>
      <c r="BQ12" s="57">
        <v>3632</v>
      </c>
      <c r="BR12" s="57">
        <v>7</v>
      </c>
      <c r="BS12" s="57"/>
      <c r="BT12" s="59">
        <v>28</v>
      </c>
      <c r="BU12" s="56">
        <v>457</v>
      </c>
      <c r="BV12" s="57">
        <v>1820</v>
      </c>
      <c r="BW12" s="57">
        <v>3</v>
      </c>
      <c r="BX12" s="57">
        <v>14</v>
      </c>
      <c r="BY12" s="57">
        <v>108</v>
      </c>
      <c r="BZ12" s="57">
        <v>20</v>
      </c>
      <c r="CA12" s="58">
        <v>4.2</v>
      </c>
      <c r="CB12" s="58">
        <v>37.700000000000003</v>
      </c>
      <c r="CC12" s="58">
        <v>2.11</v>
      </c>
      <c r="CD12" s="58">
        <v>24.9</v>
      </c>
      <c r="CE12" s="57">
        <v>356</v>
      </c>
      <c r="CF12" s="57">
        <v>2671</v>
      </c>
      <c r="CG12" s="57">
        <v>32</v>
      </c>
      <c r="CH12" s="57"/>
      <c r="CI12" s="59">
        <v>17</v>
      </c>
      <c r="CJ12" s="56">
        <v>242</v>
      </c>
      <c r="CK12" s="57">
        <v>1352</v>
      </c>
      <c r="CL12" s="57">
        <v>4</v>
      </c>
      <c r="CM12" s="57">
        <v>21</v>
      </c>
      <c r="CN12" s="57">
        <v>48</v>
      </c>
      <c r="CO12" s="57">
        <v>5</v>
      </c>
      <c r="CP12" s="58">
        <v>5</v>
      </c>
      <c r="CQ12" s="58">
        <v>28.9</v>
      </c>
      <c r="CR12" s="58">
        <v>2.75</v>
      </c>
      <c r="CS12" s="58">
        <v>47.5</v>
      </c>
      <c r="CT12" s="57">
        <v>333</v>
      </c>
      <c r="CU12" s="57">
        <v>2668</v>
      </c>
      <c r="CV12" s="57">
        <v>28</v>
      </c>
      <c r="CW12" s="57"/>
      <c r="CX12" s="59">
        <v>9</v>
      </c>
      <c r="CY12" s="56">
        <v>1604</v>
      </c>
      <c r="CZ12" s="57">
        <v>2342</v>
      </c>
      <c r="DA12" s="57">
        <v>14</v>
      </c>
      <c r="DB12" s="57">
        <v>22</v>
      </c>
      <c r="DC12" s="57">
        <v>271</v>
      </c>
      <c r="DD12" s="57">
        <v>57</v>
      </c>
      <c r="DE12" s="58">
        <v>5.9</v>
      </c>
      <c r="DF12" s="58">
        <v>72.2</v>
      </c>
      <c r="DG12" s="58">
        <v>3.38</v>
      </c>
      <c r="DH12" s="58">
        <v>43.2</v>
      </c>
      <c r="DI12" s="57">
        <v>333</v>
      </c>
      <c r="DJ12" s="57">
        <v>3036</v>
      </c>
      <c r="DK12" s="57">
        <v>52</v>
      </c>
      <c r="DL12" s="57"/>
      <c r="DM12" s="59">
        <v>19</v>
      </c>
      <c r="DO12" s="5">
        <v>10</v>
      </c>
      <c r="DP12" s="42" t="s">
        <v>414</v>
      </c>
      <c r="DQ12" s="7">
        <v>0.6</v>
      </c>
    </row>
    <row r="13" spans="1:123" x14ac:dyDescent="0.2">
      <c r="A13" s="33">
        <v>11</v>
      </c>
      <c r="B13" s="34" t="s">
        <v>280</v>
      </c>
      <c r="C13" s="116">
        <v>6.833333333333333</v>
      </c>
      <c r="D13" s="117" t="s">
        <v>502</v>
      </c>
      <c r="E13" s="37">
        <v>4</v>
      </c>
      <c r="F13" s="118">
        <v>35927</v>
      </c>
      <c r="G13" s="119">
        <v>27.397260273972602</v>
      </c>
      <c r="H13" s="39" t="s">
        <v>469</v>
      </c>
      <c r="I13" s="119">
        <v>23.978082191780821</v>
      </c>
      <c r="J13" s="120">
        <v>71</v>
      </c>
      <c r="K13" s="120">
        <v>204</v>
      </c>
      <c r="L13" s="120">
        <v>4.38</v>
      </c>
      <c r="M13" s="40">
        <v>5</v>
      </c>
      <c r="N13" s="121">
        <v>0.10828526481384373</v>
      </c>
      <c r="O13" s="122">
        <v>0.18058035714285714</v>
      </c>
      <c r="P13" s="122">
        <v>0.1513047138047138</v>
      </c>
      <c r="Q13" s="122">
        <v>0.16377816291161179</v>
      </c>
      <c r="R13" s="122">
        <v>0.21481359829200197</v>
      </c>
      <c r="S13" s="42">
        <v>0.21481359829200197</v>
      </c>
      <c r="T13" s="42">
        <v>0.19333223846280179</v>
      </c>
      <c r="U13" s="42">
        <v>5.4225696140693697E-2</v>
      </c>
      <c r="V13" s="42">
        <v>6.3477737665463302E-2</v>
      </c>
      <c r="W13" s="42">
        <v>6.3477737665463302E-2</v>
      </c>
      <c r="X13" s="43">
        <v>5.7129963898916974E-2</v>
      </c>
      <c r="Y13" s="44">
        <v>20.32054794520548</v>
      </c>
      <c r="Z13" s="170">
        <v>110.85715302395484</v>
      </c>
      <c r="AA13" s="45">
        <v>28.449117238643126</v>
      </c>
      <c r="AB13" s="45">
        <v>0.26229508196721313</v>
      </c>
      <c r="AC13" s="45">
        <v>6</v>
      </c>
      <c r="AD13" s="45">
        <v>102</v>
      </c>
      <c r="AE13" s="45">
        <v>3.86</v>
      </c>
      <c r="AF13" s="45">
        <v>47.8</v>
      </c>
      <c r="AG13" s="128">
        <v>3</v>
      </c>
      <c r="AH13" s="49">
        <v>6</v>
      </c>
      <c r="AI13" s="49">
        <v>4</v>
      </c>
      <c r="AJ13" s="49">
        <v>9</v>
      </c>
      <c r="AK13" s="49">
        <v>7</v>
      </c>
      <c r="AL13" s="49">
        <v>4</v>
      </c>
      <c r="AM13" s="49">
        <v>4</v>
      </c>
      <c r="AN13" s="49">
        <v>4</v>
      </c>
      <c r="AO13" s="49">
        <v>3</v>
      </c>
      <c r="AP13" s="50">
        <v>0.5</v>
      </c>
      <c r="AQ13" s="56">
        <v>305</v>
      </c>
      <c r="AR13" s="57">
        <v>1730</v>
      </c>
      <c r="AS13" s="57">
        <v>2</v>
      </c>
      <c r="AT13" s="57">
        <v>17</v>
      </c>
      <c r="AU13" s="57">
        <v>71</v>
      </c>
      <c r="AV13" s="57">
        <v>7</v>
      </c>
      <c r="AW13" s="58">
        <v>4.3</v>
      </c>
      <c r="AX13" s="58">
        <v>29.5</v>
      </c>
      <c r="AY13" s="58">
        <v>2.99</v>
      </c>
      <c r="AZ13" s="58">
        <v>24.6</v>
      </c>
      <c r="BA13" s="57">
        <v>108</v>
      </c>
      <c r="BB13" s="57">
        <v>2084</v>
      </c>
      <c r="BC13" s="57">
        <v>10</v>
      </c>
      <c r="BD13" s="57"/>
      <c r="BE13" s="59">
        <v>11</v>
      </c>
      <c r="BF13" s="56">
        <v>625</v>
      </c>
      <c r="BG13" s="57">
        <v>2123</v>
      </c>
      <c r="BH13" s="57">
        <v>4</v>
      </c>
      <c r="BI13" s="57">
        <v>19</v>
      </c>
      <c r="BJ13" s="57">
        <v>113</v>
      </c>
      <c r="BK13" s="57">
        <v>13</v>
      </c>
      <c r="BL13" s="58">
        <v>5.5</v>
      </c>
      <c r="BM13" s="58">
        <v>26.6</v>
      </c>
      <c r="BN13" s="58">
        <v>2.36</v>
      </c>
      <c r="BO13" s="58">
        <v>46.6</v>
      </c>
      <c r="BP13" s="57">
        <v>184</v>
      </c>
      <c r="BQ13" s="57">
        <v>2357</v>
      </c>
      <c r="BR13" s="57">
        <v>2</v>
      </c>
      <c r="BS13" s="57"/>
      <c r="BT13" s="59">
        <v>15</v>
      </c>
      <c r="BU13" s="56">
        <v>656</v>
      </c>
      <c r="BV13" s="57">
        <v>1874</v>
      </c>
      <c r="BW13" s="57">
        <v>3</v>
      </c>
      <c r="BX13" s="57">
        <v>13</v>
      </c>
      <c r="BY13" s="57">
        <v>135</v>
      </c>
      <c r="BZ13" s="57">
        <v>24</v>
      </c>
      <c r="CA13" s="58">
        <v>4.9000000000000004</v>
      </c>
      <c r="CB13" s="58">
        <v>48.9</v>
      </c>
      <c r="CC13" s="58">
        <v>2.9</v>
      </c>
      <c r="CD13" s="58">
        <v>32.5</v>
      </c>
      <c r="CE13" s="57">
        <v>63</v>
      </c>
      <c r="CF13" s="57">
        <v>2878</v>
      </c>
      <c r="CG13" s="57">
        <v>13</v>
      </c>
      <c r="CH13" s="57"/>
      <c r="CI13" s="59">
        <v>19</v>
      </c>
      <c r="CJ13" s="56">
        <v>456</v>
      </c>
      <c r="CK13" s="57">
        <v>1415</v>
      </c>
      <c r="CL13" s="57">
        <v>4</v>
      </c>
      <c r="CM13" s="57">
        <v>12</v>
      </c>
      <c r="CN13" s="57">
        <v>100</v>
      </c>
      <c r="CO13" s="57">
        <v>15</v>
      </c>
      <c r="CP13" s="58">
        <v>4.5999999999999996</v>
      </c>
      <c r="CQ13" s="58">
        <v>41.3</v>
      </c>
      <c r="CR13" s="58">
        <v>2.66</v>
      </c>
      <c r="CS13" s="58">
        <v>21.1</v>
      </c>
      <c r="CT13" s="57">
        <v>111</v>
      </c>
      <c r="CU13" s="57">
        <v>2047</v>
      </c>
      <c r="CV13" s="57">
        <v>16</v>
      </c>
      <c r="CW13" s="57"/>
      <c r="CX13" s="59">
        <v>14</v>
      </c>
      <c r="CY13" s="56">
        <v>1097</v>
      </c>
      <c r="CZ13" s="57">
        <v>2765</v>
      </c>
      <c r="DA13" s="57">
        <v>13</v>
      </c>
      <c r="DB13" s="57">
        <v>30</v>
      </c>
      <c r="DC13" s="57">
        <v>183</v>
      </c>
      <c r="DD13" s="57">
        <v>48</v>
      </c>
      <c r="DE13" s="58">
        <v>6</v>
      </c>
      <c r="DF13" s="58">
        <v>102</v>
      </c>
      <c r="DG13" s="58">
        <v>3.86</v>
      </c>
      <c r="DH13" s="58">
        <v>47.8</v>
      </c>
      <c r="DI13" s="57">
        <v>211</v>
      </c>
      <c r="DJ13" s="57">
        <v>3324</v>
      </c>
      <c r="DK13" s="57">
        <v>14</v>
      </c>
      <c r="DL13" s="57"/>
      <c r="DM13" s="59">
        <v>26</v>
      </c>
      <c r="DO13" s="11">
        <v>11</v>
      </c>
      <c r="DP13" s="42" t="s">
        <v>417</v>
      </c>
      <c r="DQ13" s="7">
        <v>0.55000000000000004</v>
      </c>
    </row>
    <row r="14" spans="1:123" x14ac:dyDescent="0.2">
      <c r="A14" s="33">
        <v>12</v>
      </c>
      <c r="B14" s="34" t="s">
        <v>287</v>
      </c>
      <c r="C14" s="116">
        <v>6.6277777777777782</v>
      </c>
      <c r="D14" s="117" t="s">
        <v>505</v>
      </c>
      <c r="E14" s="37">
        <v>7</v>
      </c>
      <c r="F14" s="119">
        <v>36631</v>
      </c>
      <c r="G14" s="119">
        <v>25.468493150684932</v>
      </c>
      <c r="H14" s="39" t="s">
        <v>389</v>
      </c>
      <c r="I14" s="119">
        <v>22.049315068493151</v>
      </c>
      <c r="J14" s="120">
        <v>71</v>
      </c>
      <c r="K14" s="120">
        <v>224</v>
      </c>
      <c r="L14" s="120">
        <v>4.5999999999999996</v>
      </c>
      <c r="M14" s="40">
        <v>5</v>
      </c>
      <c r="N14" s="121">
        <v>0</v>
      </c>
      <c r="O14" s="122">
        <v>1.3069139966273187E-2</v>
      </c>
      <c r="P14" s="122">
        <v>3.2241289651586062E-2</v>
      </c>
      <c r="Q14" s="122">
        <v>0.2085860197893393</v>
      </c>
      <c r="R14" s="122">
        <v>0.30730050933786079</v>
      </c>
      <c r="S14" s="42">
        <v>0.30730050933786079</v>
      </c>
      <c r="T14" s="42">
        <v>0.2304753820033956</v>
      </c>
      <c r="U14" s="42">
        <v>4.3663739021329986E-2</v>
      </c>
      <c r="V14" s="42">
        <v>5.7966792892513837E-2</v>
      </c>
      <c r="W14" s="42">
        <v>5.7966792892513837E-2</v>
      </c>
      <c r="X14" s="43">
        <v>4.3475094669385379E-2</v>
      </c>
      <c r="Y14" s="44">
        <v>20.405479452054795</v>
      </c>
      <c r="Z14" s="170">
        <v>100.05681797878084</v>
      </c>
      <c r="AA14" s="45">
        <v>31.238246379686569</v>
      </c>
      <c r="AB14" s="45">
        <v>0.28859060402684567</v>
      </c>
      <c r="AC14" s="45">
        <v>7.6</v>
      </c>
      <c r="AD14" s="45">
        <v>142</v>
      </c>
      <c r="AE14" s="45">
        <v>4.72</v>
      </c>
      <c r="AF14" s="45">
        <v>50.9</v>
      </c>
      <c r="AG14" s="128">
        <v>5</v>
      </c>
      <c r="AH14" s="49">
        <v>5</v>
      </c>
      <c r="AI14" s="49">
        <v>4</v>
      </c>
      <c r="AJ14" s="49">
        <v>5</v>
      </c>
      <c r="AK14" s="49">
        <v>8</v>
      </c>
      <c r="AL14" s="49">
        <v>9</v>
      </c>
      <c r="AM14" s="49">
        <v>7</v>
      </c>
      <c r="AN14" s="49">
        <v>7</v>
      </c>
      <c r="AO14" s="49">
        <v>3</v>
      </c>
      <c r="AP14" s="50">
        <v>0</v>
      </c>
      <c r="AQ14" s="56">
        <v>0</v>
      </c>
      <c r="AR14" s="57">
        <v>1697</v>
      </c>
      <c r="AS14" s="57">
        <v>0</v>
      </c>
      <c r="AT14" s="57">
        <v>12</v>
      </c>
      <c r="AU14" s="57">
        <v>0</v>
      </c>
      <c r="AV14" s="57">
        <v>0</v>
      </c>
      <c r="AW14" s="58">
        <v>0</v>
      </c>
      <c r="AX14" s="58">
        <v>0</v>
      </c>
      <c r="AY14" s="58">
        <v>0</v>
      </c>
      <c r="AZ14" s="58">
        <v>0</v>
      </c>
      <c r="BA14" s="57">
        <v>0</v>
      </c>
      <c r="BB14" s="57">
        <v>2530</v>
      </c>
      <c r="BC14" s="57">
        <v>0</v>
      </c>
      <c r="BD14" s="57"/>
      <c r="BE14" s="59">
        <v>13</v>
      </c>
      <c r="BF14" s="56">
        <v>65</v>
      </c>
      <c r="BG14" s="57">
        <v>1991</v>
      </c>
      <c r="BH14" s="57">
        <v>0</v>
      </c>
      <c r="BI14" s="57">
        <v>27</v>
      </c>
      <c r="BJ14" s="57">
        <v>9</v>
      </c>
      <c r="BK14" s="57">
        <v>0</v>
      </c>
      <c r="BL14" s="58">
        <v>7.2</v>
      </c>
      <c r="BM14" s="58">
        <v>0</v>
      </c>
      <c r="BN14" s="58">
        <v>2.89</v>
      </c>
      <c r="BO14" s="58">
        <v>67.7</v>
      </c>
      <c r="BP14" s="57">
        <v>-3</v>
      </c>
      <c r="BQ14" s="57">
        <v>2753</v>
      </c>
      <c r="BR14" s="57">
        <v>0</v>
      </c>
      <c r="BS14" s="57"/>
      <c r="BT14" s="59">
        <v>18</v>
      </c>
      <c r="BU14" s="56">
        <v>119</v>
      </c>
      <c r="BV14" s="57">
        <v>2068</v>
      </c>
      <c r="BW14" s="57">
        <v>0</v>
      </c>
      <c r="BX14" s="57">
        <v>25</v>
      </c>
      <c r="BY14" s="57">
        <v>17</v>
      </c>
      <c r="BZ14" s="57">
        <v>10</v>
      </c>
      <c r="CA14" s="58">
        <v>7</v>
      </c>
      <c r="CB14" s="58">
        <v>412.9</v>
      </c>
      <c r="CC14" s="58">
        <v>6.35</v>
      </c>
      <c r="CD14" s="58">
        <v>58.8</v>
      </c>
      <c r="CE14" s="57">
        <v>67</v>
      </c>
      <c r="CF14" s="57">
        <v>3701</v>
      </c>
      <c r="CG14" s="57">
        <v>3</v>
      </c>
      <c r="CH14" s="57"/>
      <c r="CI14" s="59">
        <v>20</v>
      </c>
      <c r="CJ14" s="56">
        <v>1133</v>
      </c>
      <c r="CK14" s="57">
        <v>2281</v>
      </c>
      <c r="CL14" s="57">
        <v>13</v>
      </c>
      <c r="CM14" s="57">
        <v>34</v>
      </c>
      <c r="CN14" s="57">
        <v>149</v>
      </c>
      <c r="CO14" s="57">
        <v>43</v>
      </c>
      <c r="CP14" s="58">
        <v>7.6</v>
      </c>
      <c r="CQ14" s="58">
        <v>142</v>
      </c>
      <c r="CR14" s="58">
        <v>4.72</v>
      </c>
      <c r="CS14" s="58">
        <v>50.9</v>
      </c>
      <c r="CT14" s="57">
        <v>174</v>
      </c>
      <c r="CU14" s="57">
        <v>3985</v>
      </c>
      <c r="CV14" s="57">
        <v>14</v>
      </c>
      <c r="CW14" s="57"/>
      <c r="CX14" s="59">
        <v>34</v>
      </c>
      <c r="CY14" s="56">
        <v>1611</v>
      </c>
      <c r="CZ14" s="57">
        <v>2457</v>
      </c>
      <c r="DA14" s="57">
        <v>23</v>
      </c>
      <c r="DB14" s="57">
        <v>30</v>
      </c>
      <c r="DC14" s="57">
        <v>275</v>
      </c>
      <c r="DD14" s="57">
        <v>77</v>
      </c>
      <c r="DE14" s="58">
        <v>5.9</v>
      </c>
      <c r="DF14" s="58">
        <v>112.5</v>
      </c>
      <c r="DG14" s="58">
        <v>4.16</v>
      </c>
      <c r="DH14" s="58">
        <v>36.799999999999997</v>
      </c>
      <c r="DI14" s="57">
        <v>199</v>
      </c>
      <c r="DJ14" s="57">
        <v>3433</v>
      </c>
      <c r="DK14" s="57">
        <v>28</v>
      </c>
      <c r="DL14" s="57"/>
      <c r="DM14" s="59">
        <v>26</v>
      </c>
      <c r="DO14" s="11">
        <v>12</v>
      </c>
      <c r="DP14" s="42" t="s">
        <v>420</v>
      </c>
      <c r="DQ14" s="7">
        <v>0.5</v>
      </c>
    </row>
    <row r="15" spans="1:123" x14ac:dyDescent="0.2">
      <c r="A15" s="33">
        <v>13</v>
      </c>
      <c r="B15" s="34" t="s">
        <v>288</v>
      </c>
      <c r="C15" s="116">
        <v>6.5444444444444443</v>
      </c>
      <c r="D15" s="117" t="s">
        <v>384</v>
      </c>
      <c r="E15" s="37">
        <v>1</v>
      </c>
      <c r="F15" s="118">
        <v>36421</v>
      </c>
      <c r="G15" s="119">
        <v>26.043835616438358</v>
      </c>
      <c r="H15" s="39" t="s">
        <v>385</v>
      </c>
      <c r="I15" s="119">
        <v>22.624657534246577</v>
      </c>
      <c r="J15" s="120">
        <v>72</v>
      </c>
      <c r="K15" s="120">
        <v>214</v>
      </c>
      <c r="L15" s="120">
        <v>4.4000000000000004</v>
      </c>
      <c r="M15" s="40">
        <v>4</v>
      </c>
      <c r="N15" s="121">
        <v>0</v>
      </c>
      <c r="O15" s="122">
        <v>0</v>
      </c>
      <c r="P15" s="122">
        <v>7.4916856292665854E-2</v>
      </c>
      <c r="Q15" s="122">
        <v>0.19240745107286017</v>
      </c>
      <c r="R15" s="122">
        <v>0.12319703586079132</v>
      </c>
      <c r="S15" s="42">
        <v>0.15780224346682575</v>
      </c>
      <c r="T15" s="42">
        <v>0.15780224346682575</v>
      </c>
      <c r="U15" s="42">
        <v>1.4805922368947578E-2</v>
      </c>
      <c r="V15" s="42">
        <v>1.9057702488088937E-2</v>
      </c>
      <c r="W15" s="42">
        <v>1.9057702488088937E-2</v>
      </c>
      <c r="X15" s="43">
        <v>1.9057702488088937E-2</v>
      </c>
      <c r="Y15" s="44">
        <v>20.980821917808218</v>
      </c>
      <c r="Z15" s="170">
        <v>114.19131206884772</v>
      </c>
      <c r="AA15" s="45">
        <v>29.0204475308642</v>
      </c>
      <c r="AB15" s="45">
        <v>0.22981366459627328</v>
      </c>
      <c r="AC15" s="45">
        <v>5.4</v>
      </c>
      <c r="AD15" s="45">
        <v>83.1</v>
      </c>
      <c r="AE15" s="45">
        <v>3.6</v>
      </c>
      <c r="AF15" s="45">
        <v>34.9</v>
      </c>
      <c r="AG15" s="128">
        <v>2</v>
      </c>
      <c r="AH15" s="49">
        <v>1</v>
      </c>
      <c r="AI15" s="49">
        <v>3</v>
      </c>
      <c r="AJ15" s="49">
        <v>10</v>
      </c>
      <c r="AK15" s="49">
        <v>5</v>
      </c>
      <c r="AL15" s="49">
        <v>2</v>
      </c>
      <c r="AM15" s="49">
        <v>2</v>
      </c>
      <c r="AN15" s="49">
        <v>2</v>
      </c>
      <c r="AO15" s="49">
        <v>4</v>
      </c>
      <c r="AP15" s="50">
        <v>1</v>
      </c>
      <c r="AQ15" s="56">
        <v>0</v>
      </c>
      <c r="AR15" s="57">
        <v>3876</v>
      </c>
      <c r="AS15" s="57">
        <v>0</v>
      </c>
      <c r="AT15" s="57">
        <v>42</v>
      </c>
      <c r="AU15" s="57">
        <v>0</v>
      </c>
      <c r="AV15" s="57">
        <v>0</v>
      </c>
      <c r="AW15" s="58">
        <v>0</v>
      </c>
      <c r="AX15" s="58">
        <v>0</v>
      </c>
      <c r="AY15" s="58">
        <v>0</v>
      </c>
      <c r="AZ15" s="58">
        <v>0</v>
      </c>
      <c r="BA15" s="57">
        <v>0</v>
      </c>
      <c r="BB15" s="57">
        <v>2653</v>
      </c>
      <c r="BC15" s="57">
        <v>0</v>
      </c>
      <c r="BD15" s="57"/>
      <c r="BE15" s="59">
        <v>24</v>
      </c>
      <c r="BF15" s="56">
        <v>0</v>
      </c>
      <c r="BG15" s="57">
        <v>3343</v>
      </c>
      <c r="BH15" s="57">
        <v>0</v>
      </c>
      <c r="BI15" s="57">
        <v>30</v>
      </c>
      <c r="BJ15" s="57">
        <v>0</v>
      </c>
      <c r="BK15" s="57">
        <v>0</v>
      </c>
      <c r="BL15" s="58">
        <v>0</v>
      </c>
      <c r="BM15" s="58">
        <v>0</v>
      </c>
      <c r="BN15" s="58">
        <v>0</v>
      </c>
      <c r="BO15" s="58">
        <v>0</v>
      </c>
      <c r="BP15" s="57">
        <v>0</v>
      </c>
      <c r="BQ15" s="57">
        <v>3165</v>
      </c>
      <c r="BR15" s="57">
        <v>0</v>
      </c>
      <c r="BS15" s="57"/>
      <c r="BT15" s="59">
        <v>34</v>
      </c>
      <c r="BU15" s="56">
        <v>408</v>
      </c>
      <c r="BV15" s="57">
        <v>2591</v>
      </c>
      <c r="BW15" s="57">
        <v>3</v>
      </c>
      <c r="BX15" s="57">
        <v>21</v>
      </c>
      <c r="BY15" s="57">
        <v>78</v>
      </c>
      <c r="BZ15" s="57">
        <v>19</v>
      </c>
      <c r="CA15" s="58">
        <v>5.2</v>
      </c>
      <c r="CB15" s="58">
        <v>94.2</v>
      </c>
      <c r="CC15" s="58">
        <v>3.59</v>
      </c>
      <c r="CD15" s="58">
        <v>16.899999999999999</v>
      </c>
      <c r="CE15" s="57">
        <v>20</v>
      </c>
      <c r="CF15" s="57">
        <v>3122</v>
      </c>
      <c r="CG15" s="57">
        <v>2</v>
      </c>
      <c r="CH15" s="57"/>
      <c r="CI15" s="59">
        <v>26</v>
      </c>
      <c r="CJ15" s="56">
        <v>779</v>
      </c>
      <c r="CK15" s="57">
        <v>1742</v>
      </c>
      <c r="CL15" s="57">
        <v>11</v>
      </c>
      <c r="CM15" s="57">
        <v>18</v>
      </c>
      <c r="CN15" s="57">
        <v>144</v>
      </c>
      <c r="CO15" s="57">
        <v>27</v>
      </c>
      <c r="CP15" s="58">
        <v>5.4</v>
      </c>
      <c r="CQ15" s="58">
        <v>51.9</v>
      </c>
      <c r="CR15" s="58">
        <v>2.78</v>
      </c>
      <c r="CS15" s="58">
        <v>34.9</v>
      </c>
      <c r="CT15" s="57">
        <v>37</v>
      </c>
      <c r="CU15" s="57">
        <v>2499</v>
      </c>
      <c r="CV15" s="57">
        <v>6</v>
      </c>
      <c r="CW15" s="57"/>
      <c r="CX15" s="59">
        <v>19</v>
      </c>
      <c r="CY15" s="56">
        <v>859</v>
      </c>
      <c r="CZ15" s="57">
        <v>3779</v>
      </c>
      <c r="DA15" s="57">
        <v>11</v>
      </c>
      <c r="DB15" s="57">
        <v>29</v>
      </c>
      <c r="DC15" s="57">
        <v>161</v>
      </c>
      <c r="DD15" s="57">
        <v>37</v>
      </c>
      <c r="DE15" s="58">
        <v>5.3</v>
      </c>
      <c r="DF15" s="58">
        <v>83.1</v>
      </c>
      <c r="DG15" s="58">
        <v>3.6</v>
      </c>
      <c r="DH15" s="58">
        <v>25</v>
      </c>
      <c r="DI15" s="57">
        <v>72</v>
      </c>
      <c r="DJ15" s="57">
        <v>3778</v>
      </c>
      <c r="DK15" s="57">
        <v>8</v>
      </c>
      <c r="DL15" s="57"/>
      <c r="DM15" s="59">
        <v>39</v>
      </c>
      <c r="DO15" s="42"/>
    </row>
    <row r="16" spans="1:123" x14ac:dyDescent="0.2">
      <c r="A16" s="33">
        <v>14</v>
      </c>
      <c r="B16" s="34" t="s">
        <v>300</v>
      </c>
      <c r="C16" s="116">
        <v>6.4444444444444446</v>
      </c>
      <c r="D16" s="117" t="s">
        <v>549</v>
      </c>
      <c r="E16" s="37">
        <v>2</v>
      </c>
      <c r="F16" s="118">
        <v>36840</v>
      </c>
      <c r="G16" s="119">
        <v>24.895890410958906</v>
      </c>
      <c r="H16" s="39" t="s">
        <v>385</v>
      </c>
      <c r="I16" s="119">
        <v>21.476712328767125</v>
      </c>
      <c r="J16" s="120">
        <v>69</v>
      </c>
      <c r="K16" s="120">
        <v>197</v>
      </c>
      <c r="L16" s="120">
        <v>4.42</v>
      </c>
      <c r="M16" s="40">
        <v>0</v>
      </c>
      <c r="N16" s="121">
        <v>0</v>
      </c>
      <c r="O16" s="122">
        <v>0</v>
      </c>
      <c r="P16" s="122">
        <v>0.16873032528856244</v>
      </c>
      <c r="Q16" s="122">
        <v>0.31129196337741605</v>
      </c>
      <c r="R16" s="122">
        <v>0.32808090310442145</v>
      </c>
      <c r="S16" s="42">
        <v>0.32808090310442145</v>
      </c>
      <c r="T16" s="42">
        <v>0.32808090310442145</v>
      </c>
      <c r="U16" s="42">
        <v>9.2346616065781151E-2</v>
      </c>
      <c r="V16" s="42">
        <v>9.797699325664419E-2</v>
      </c>
      <c r="W16" s="42">
        <v>9.797699325664419E-2</v>
      </c>
      <c r="X16" s="43">
        <v>9.797699325664419E-2</v>
      </c>
      <c r="Y16" s="44">
        <v>18.816438356164383</v>
      </c>
      <c r="Z16" s="170">
        <v>103.23028929732912</v>
      </c>
      <c r="AA16" s="45">
        <v>29.08863684099979</v>
      </c>
      <c r="AB16" s="45">
        <v>0.22535211267605634</v>
      </c>
      <c r="AC16" s="45">
        <v>5.4</v>
      </c>
      <c r="AD16" s="45">
        <v>67</v>
      </c>
      <c r="AE16" s="45">
        <v>3.41</v>
      </c>
      <c r="AF16" s="45">
        <v>42.7</v>
      </c>
      <c r="AG16" s="128">
        <v>8</v>
      </c>
      <c r="AH16" s="49">
        <v>9</v>
      </c>
      <c r="AI16" s="49">
        <v>9</v>
      </c>
      <c r="AJ16" s="49">
        <v>6</v>
      </c>
      <c r="AK16" s="49">
        <v>5</v>
      </c>
      <c r="AL16" s="49">
        <v>2</v>
      </c>
      <c r="AM16" s="49">
        <v>1</v>
      </c>
      <c r="AN16" s="49">
        <v>1</v>
      </c>
      <c r="AO16" s="49">
        <v>0</v>
      </c>
      <c r="AP16" s="50">
        <v>0</v>
      </c>
      <c r="AQ16" s="56">
        <v>0</v>
      </c>
      <c r="AR16" s="57">
        <v>1810</v>
      </c>
      <c r="AS16" s="57">
        <v>0</v>
      </c>
      <c r="AT16" s="57">
        <v>17</v>
      </c>
      <c r="AU16" s="57">
        <v>0</v>
      </c>
      <c r="AV16" s="57">
        <v>0</v>
      </c>
      <c r="AW16" s="58">
        <v>0</v>
      </c>
      <c r="AX16" s="58">
        <v>0</v>
      </c>
      <c r="AY16" s="58">
        <v>0</v>
      </c>
      <c r="AZ16" s="58">
        <v>0</v>
      </c>
      <c r="BA16" s="57">
        <v>0</v>
      </c>
      <c r="BB16" s="57">
        <v>2473</v>
      </c>
      <c r="BC16" s="57">
        <v>0</v>
      </c>
      <c r="BD16" s="57"/>
      <c r="BE16" s="59">
        <v>27</v>
      </c>
      <c r="BF16" s="56">
        <v>0</v>
      </c>
      <c r="BG16" s="57">
        <v>1929</v>
      </c>
      <c r="BH16" s="57">
        <v>0</v>
      </c>
      <c r="BI16" s="57">
        <v>19</v>
      </c>
      <c r="BJ16" s="57">
        <v>0</v>
      </c>
      <c r="BK16" s="57">
        <v>0</v>
      </c>
      <c r="BL16" s="58">
        <v>0</v>
      </c>
      <c r="BM16" s="58">
        <v>0</v>
      </c>
      <c r="BN16" s="58">
        <v>0</v>
      </c>
      <c r="BO16" s="58">
        <v>0</v>
      </c>
      <c r="BP16" s="57">
        <v>0</v>
      </c>
      <c r="BQ16" s="57">
        <v>2946</v>
      </c>
      <c r="BR16" s="57">
        <v>0</v>
      </c>
      <c r="BS16" s="57"/>
      <c r="BT16" s="59">
        <v>27</v>
      </c>
      <c r="BU16" s="56">
        <v>640</v>
      </c>
      <c r="BV16" s="57">
        <v>1789</v>
      </c>
      <c r="BW16" s="57">
        <v>5</v>
      </c>
      <c r="BX16" s="57">
        <v>17</v>
      </c>
      <c r="BY16" s="57">
        <v>135</v>
      </c>
      <c r="BZ16" s="57">
        <v>29</v>
      </c>
      <c r="CA16" s="58">
        <v>4.7</v>
      </c>
      <c r="CB16" s="58">
        <v>67</v>
      </c>
      <c r="CC16" s="58">
        <v>3.41</v>
      </c>
      <c r="CD16" s="58">
        <v>40.9</v>
      </c>
      <c r="CE16" s="57">
        <v>164</v>
      </c>
      <c r="CF16" s="57">
        <v>2976</v>
      </c>
      <c r="CG16" s="57">
        <v>23</v>
      </c>
      <c r="CH16" s="57"/>
      <c r="CI16" s="59">
        <v>16</v>
      </c>
      <c r="CJ16" s="56">
        <v>772</v>
      </c>
      <c r="CK16" s="57">
        <v>1368</v>
      </c>
      <c r="CL16" s="57">
        <v>7</v>
      </c>
      <c r="CM16" s="57">
        <v>18</v>
      </c>
      <c r="CN16" s="57">
        <v>142</v>
      </c>
      <c r="CO16" s="57">
        <v>32</v>
      </c>
      <c r="CP16" s="58">
        <v>5.4</v>
      </c>
      <c r="CQ16" s="58">
        <v>66</v>
      </c>
      <c r="CR16" s="58">
        <v>3.26</v>
      </c>
      <c r="CS16" s="58">
        <v>42.7</v>
      </c>
      <c r="CT16" s="57">
        <v>146</v>
      </c>
      <c r="CU16" s="57">
        <v>1581</v>
      </c>
      <c r="CV16" s="57">
        <v>16</v>
      </c>
      <c r="CW16" s="57"/>
      <c r="CX16" s="59">
        <v>9</v>
      </c>
      <c r="CY16" s="56">
        <v>1148</v>
      </c>
      <c r="CZ16" s="57">
        <v>1731</v>
      </c>
      <c r="DA16" s="57">
        <v>6</v>
      </c>
      <c r="DB16" s="57">
        <v>18</v>
      </c>
      <c r="DC16" s="57">
        <v>256</v>
      </c>
      <c r="DD16" s="57">
        <v>38</v>
      </c>
      <c r="DE16" s="58">
        <v>4.5</v>
      </c>
      <c r="DF16" s="58">
        <v>33.6</v>
      </c>
      <c r="DG16" s="58">
        <v>2.2999999999999998</v>
      </c>
      <c r="DH16" s="58">
        <v>38.6</v>
      </c>
      <c r="DI16" s="57">
        <v>247</v>
      </c>
      <c r="DJ16" s="57">
        <v>2521</v>
      </c>
      <c r="DK16" s="57">
        <v>31</v>
      </c>
      <c r="DL16" s="57"/>
      <c r="DM16" s="59">
        <v>12</v>
      </c>
      <c r="DO16" s="42"/>
    </row>
    <row r="17" spans="1:117" x14ac:dyDescent="0.2">
      <c r="A17" s="33">
        <v>15</v>
      </c>
      <c r="B17" s="34" t="s">
        <v>303</v>
      </c>
      <c r="C17" s="116">
        <v>6.2944444444444443</v>
      </c>
      <c r="D17" s="117" t="s">
        <v>518</v>
      </c>
      <c r="E17" s="37">
        <v>1</v>
      </c>
      <c r="F17" s="118">
        <v>36757</v>
      </c>
      <c r="G17" s="119">
        <v>25.123287671232877</v>
      </c>
      <c r="H17" s="39" t="s">
        <v>385</v>
      </c>
      <c r="I17" s="119">
        <v>21.704109589041096</v>
      </c>
      <c r="J17" s="120">
        <v>69</v>
      </c>
      <c r="K17" s="120">
        <v>189</v>
      </c>
      <c r="L17" s="120">
        <v>4.59</v>
      </c>
      <c r="M17" s="40">
        <v>0</v>
      </c>
      <c r="N17" s="121">
        <v>0</v>
      </c>
      <c r="O17" s="122">
        <v>0</v>
      </c>
      <c r="P17" s="122">
        <v>0.16694740782332024</v>
      </c>
      <c r="Q17" s="122">
        <v>0.162016201620162</v>
      </c>
      <c r="R17" s="122">
        <v>0.15557638238050608</v>
      </c>
      <c r="S17" s="42">
        <v>0.16126189510191316</v>
      </c>
      <c r="T17" s="42">
        <v>0.16126189510191316</v>
      </c>
      <c r="U17" s="42">
        <v>4.4940562481878804E-2</v>
      </c>
      <c r="V17" s="42">
        <v>6.1013154212146654E-2</v>
      </c>
      <c r="W17" s="42">
        <v>6.1013154212146654E-2</v>
      </c>
      <c r="X17" s="43">
        <v>6.1013154212146654E-2</v>
      </c>
      <c r="Y17" s="44">
        <v>19.043835616438358</v>
      </c>
      <c r="Z17" s="170">
        <v>85.161059847711627</v>
      </c>
      <c r="AA17" s="45">
        <v>27.907372400756142</v>
      </c>
      <c r="AB17" s="45">
        <v>0.36893203883495146</v>
      </c>
      <c r="AC17" s="45">
        <v>5.9</v>
      </c>
      <c r="AD17" s="45">
        <v>152.19999999999999</v>
      </c>
      <c r="AE17" s="45">
        <v>4.3899999999999997</v>
      </c>
      <c r="AF17" s="45">
        <v>56.7</v>
      </c>
      <c r="AG17" s="128">
        <v>2</v>
      </c>
      <c r="AH17" s="49">
        <v>6</v>
      </c>
      <c r="AI17" s="49">
        <v>8</v>
      </c>
      <c r="AJ17" s="49">
        <v>1</v>
      </c>
      <c r="AK17" s="49">
        <v>9</v>
      </c>
      <c r="AL17" s="49">
        <v>4</v>
      </c>
      <c r="AM17" s="49">
        <v>8</v>
      </c>
      <c r="AN17" s="49">
        <v>6</v>
      </c>
      <c r="AO17" s="49">
        <v>0</v>
      </c>
      <c r="AP17" s="50">
        <v>0.25</v>
      </c>
      <c r="AQ17" s="56">
        <v>0</v>
      </c>
      <c r="AR17" s="57">
        <v>2293</v>
      </c>
      <c r="AS17" s="57">
        <v>0</v>
      </c>
      <c r="AT17" s="57">
        <v>35</v>
      </c>
      <c r="AU17" s="57">
        <v>0</v>
      </c>
      <c r="AV17" s="57">
        <v>0</v>
      </c>
      <c r="AW17" s="58">
        <v>0</v>
      </c>
      <c r="AX17" s="58">
        <v>0</v>
      </c>
      <c r="AY17" s="58">
        <v>0</v>
      </c>
      <c r="AZ17" s="58">
        <v>0</v>
      </c>
      <c r="BA17" s="57">
        <v>0</v>
      </c>
      <c r="BB17" s="57">
        <v>3580</v>
      </c>
      <c r="BC17" s="57">
        <v>0</v>
      </c>
      <c r="BD17" s="57"/>
      <c r="BE17" s="59">
        <v>17</v>
      </c>
      <c r="BF17" s="56">
        <v>0</v>
      </c>
      <c r="BG17" s="57">
        <v>1858</v>
      </c>
      <c r="BH17" s="57">
        <v>0</v>
      </c>
      <c r="BI17" s="57">
        <v>27</v>
      </c>
      <c r="BJ17" s="57">
        <v>0</v>
      </c>
      <c r="BK17" s="57">
        <v>0</v>
      </c>
      <c r="BL17" s="58">
        <v>0</v>
      </c>
      <c r="BM17" s="58">
        <v>0</v>
      </c>
      <c r="BN17" s="58">
        <v>0</v>
      </c>
      <c r="BO17" s="58">
        <v>0</v>
      </c>
      <c r="BP17" s="57">
        <v>0</v>
      </c>
      <c r="BQ17" s="57">
        <v>4071</v>
      </c>
      <c r="BR17" s="57">
        <v>0</v>
      </c>
      <c r="BS17" s="57"/>
      <c r="BT17" s="59">
        <v>25</v>
      </c>
      <c r="BU17" s="56">
        <v>720</v>
      </c>
      <c r="BV17" s="57">
        <v>3015</v>
      </c>
      <c r="BW17" s="57">
        <v>6</v>
      </c>
      <c r="BX17" s="57">
        <v>16</v>
      </c>
      <c r="BY17" s="57">
        <v>103</v>
      </c>
      <c r="BZ17" s="57">
        <v>38</v>
      </c>
      <c r="CA17" s="58">
        <v>7</v>
      </c>
      <c r="CB17" s="58">
        <v>152.19999999999999</v>
      </c>
      <c r="CC17" s="58">
        <v>4.3899999999999997</v>
      </c>
      <c r="CD17" s="58">
        <v>56.7</v>
      </c>
      <c r="CE17" s="57">
        <v>172</v>
      </c>
      <c r="CF17" s="57">
        <v>2328</v>
      </c>
      <c r="CG17" s="57">
        <v>21</v>
      </c>
      <c r="CH17" s="57"/>
      <c r="CI17" s="59">
        <v>16</v>
      </c>
      <c r="CJ17" s="56">
        <v>745</v>
      </c>
      <c r="CK17" s="57">
        <v>2106</v>
      </c>
      <c r="CL17" s="57">
        <v>9</v>
      </c>
      <c r="CM17" s="57">
        <v>22</v>
      </c>
      <c r="CN17" s="57">
        <v>147</v>
      </c>
      <c r="CO17" s="57">
        <v>40</v>
      </c>
      <c r="CP17" s="58">
        <v>5.0999999999999996</v>
      </c>
      <c r="CQ17" s="58">
        <v>81.3</v>
      </c>
      <c r="CR17" s="58">
        <v>3.14</v>
      </c>
      <c r="CS17" s="58">
        <v>28.7</v>
      </c>
      <c r="CT17" s="57">
        <v>155</v>
      </c>
      <c r="CU17" s="57">
        <v>3449</v>
      </c>
      <c r="CV17" s="57">
        <v>15</v>
      </c>
      <c r="CW17" s="57"/>
      <c r="CX17" s="59">
        <v>30</v>
      </c>
      <c r="CY17" s="56">
        <v>778</v>
      </c>
      <c r="CZ17" s="57">
        <v>2829</v>
      </c>
      <c r="DA17" s="57">
        <v>5</v>
      </c>
      <c r="DB17" s="57">
        <v>33</v>
      </c>
      <c r="DC17" s="57">
        <v>132</v>
      </c>
      <c r="DD17" s="57">
        <v>45</v>
      </c>
      <c r="DE17" s="58">
        <v>5.9</v>
      </c>
      <c r="DF17" s="58">
        <v>131.4</v>
      </c>
      <c r="DG17" s="58">
        <v>4.1399999999999997</v>
      </c>
      <c r="DH17" s="58">
        <v>47.2</v>
      </c>
      <c r="DI17" s="57">
        <v>218</v>
      </c>
      <c r="DJ17" s="57">
        <v>3573</v>
      </c>
      <c r="DK17" s="57">
        <v>32</v>
      </c>
      <c r="DL17" s="57"/>
      <c r="DM17" s="59">
        <v>21</v>
      </c>
    </row>
    <row r="18" spans="1:117" x14ac:dyDescent="0.2">
      <c r="A18" s="33">
        <v>16</v>
      </c>
      <c r="B18" s="34" t="s">
        <v>298</v>
      </c>
      <c r="C18" s="116">
        <v>6.2555555555555555</v>
      </c>
      <c r="D18" s="117" t="s">
        <v>546</v>
      </c>
      <c r="E18" s="37">
        <v>6</v>
      </c>
      <c r="F18" s="118">
        <v>36415</v>
      </c>
      <c r="G18" s="119">
        <v>26.06027397260274</v>
      </c>
      <c r="H18" s="39" t="s">
        <v>389</v>
      </c>
      <c r="I18" s="119">
        <v>22.641095890410959</v>
      </c>
      <c r="J18" s="120">
        <v>71</v>
      </c>
      <c r="K18" s="120">
        <v>210</v>
      </c>
      <c r="L18" s="120">
        <v>4.46</v>
      </c>
      <c r="M18" s="40">
        <v>5</v>
      </c>
      <c r="N18" s="121">
        <v>0</v>
      </c>
      <c r="O18" s="122">
        <v>4.6441571482364755E-3</v>
      </c>
      <c r="P18" s="122">
        <v>1.8674698795180723E-2</v>
      </c>
      <c r="Q18" s="122">
        <v>0.11840354767184036</v>
      </c>
      <c r="R18" s="122">
        <v>0.26404980114127613</v>
      </c>
      <c r="S18" s="42">
        <v>0.26404980114127613</v>
      </c>
      <c r="T18" s="42">
        <v>0.19803735085595708</v>
      </c>
      <c r="U18" s="42">
        <v>2.1374685666387259E-2</v>
      </c>
      <c r="V18" s="42">
        <v>6.5146579804560262E-2</v>
      </c>
      <c r="W18" s="42">
        <v>6.5146579804560262E-2</v>
      </c>
      <c r="X18" s="43">
        <v>4.8859934853420196E-2</v>
      </c>
      <c r="Y18" s="44">
        <v>21.994520547945207</v>
      </c>
      <c r="Z18" s="170">
        <v>106.14752089446317</v>
      </c>
      <c r="AA18" s="45">
        <v>29.28585598095616</v>
      </c>
      <c r="AB18" s="45">
        <v>0.30136986301369861</v>
      </c>
      <c r="AC18" s="45">
        <v>6.6</v>
      </c>
      <c r="AD18" s="45">
        <v>131.5</v>
      </c>
      <c r="AE18" s="45">
        <v>4.63</v>
      </c>
      <c r="AF18" s="45">
        <v>66.3</v>
      </c>
      <c r="AG18" s="128">
        <v>3</v>
      </c>
      <c r="AH18" s="49">
        <v>5</v>
      </c>
      <c r="AI18" s="49">
        <v>2</v>
      </c>
      <c r="AJ18" s="49">
        <v>8</v>
      </c>
      <c r="AK18" s="49">
        <v>8</v>
      </c>
      <c r="AL18" s="49">
        <v>6</v>
      </c>
      <c r="AM18" s="49">
        <v>7</v>
      </c>
      <c r="AN18" s="49">
        <v>7</v>
      </c>
      <c r="AO18" s="49">
        <v>3</v>
      </c>
      <c r="AP18" s="50">
        <v>0.25</v>
      </c>
      <c r="AQ18" s="56">
        <v>0</v>
      </c>
      <c r="AR18" s="57">
        <v>1624</v>
      </c>
      <c r="AS18" s="57">
        <v>0</v>
      </c>
      <c r="AT18" s="57">
        <v>11</v>
      </c>
      <c r="AU18" s="57">
        <v>0</v>
      </c>
      <c r="AV18" s="57">
        <v>0</v>
      </c>
      <c r="AW18" s="58">
        <v>0</v>
      </c>
      <c r="AX18" s="58">
        <v>0</v>
      </c>
      <c r="AY18" s="58">
        <v>0</v>
      </c>
      <c r="AZ18" s="58">
        <v>0</v>
      </c>
      <c r="BA18" s="57">
        <v>0</v>
      </c>
      <c r="BB18" s="57">
        <v>2597</v>
      </c>
      <c r="BC18" s="57">
        <v>0</v>
      </c>
      <c r="BD18" s="57"/>
      <c r="BE18" s="59">
        <v>20</v>
      </c>
      <c r="BF18" s="56">
        <v>37</v>
      </c>
      <c r="BG18" s="57">
        <v>3113</v>
      </c>
      <c r="BH18" s="57">
        <v>0</v>
      </c>
      <c r="BI18" s="57">
        <v>38</v>
      </c>
      <c r="BJ18" s="57">
        <v>7</v>
      </c>
      <c r="BK18" s="57">
        <v>4</v>
      </c>
      <c r="BL18" s="58">
        <v>5.3</v>
      </c>
      <c r="BM18" s="58">
        <v>163.30000000000001</v>
      </c>
      <c r="BN18" s="58">
        <v>2.86</v>
      </c>
      <c r="BO18" s="58">
        <v>40.5</v>
      </c>
      <c r="BP18" s="57">
        <v>0</v>
      </c>
      <c r="BQ18" s="57">
        <v>4854</v>
      </c>
      <c r="BR18" s="57">
        <v>0</v>
      </c>
      <c r="BS18" s="57"/>
      <c r="BT18" s="59">
        <v>52</v>
      </c>
      <c r="BU18" s="56">
        <v>113</v>
      </c>
      <c r="BV18" s="57">
        <v>2191</v>
      </c>
      <c r="BW18" s="57">
        <v>3</v>
      </c>
      <c r="BX18" s="57">
        <v>27</v>
      </c>
      <c r="BY18" s="57">
        <v>24</v>
      </c>
      <c r="BZ18" s="57">
        <v>6</v>
      </c>
      <c r="CA18" s="58">
        <v>4.7</v>
      </c>
      <c r="CB18" s="58">
        <v>92</v>
      </c>
      <c r="CC18" s="58">
        <v>3.42</v>
      </c>
      <c r="CD18" s="58">
        <v>32.700000000000003</v>
      </c>
      <c r="CE18" s="57">
        <v>11</v>
      </c>
      <c r="CF18" s="57">
        <v>4449</v>
      </c>
      <c r="CG18" s="57">
        <v>2</v>
      </c>
      <c r="CH18" s="57"/>
      <c r="CI18" s="59">
        <v>49</v>
      </c>
      <c r="CJ18" s="56">
        <v>483</v>
      </c>
      <c r="CK18" s="57">
        <v>2124</v>
      </c>
      <c r="CL18" s="57">
        <v>8</v>
      </c>
      <c r="CM18" s="57">
        <v>29</v>
      </c>
      <c r="CN18" s="57">
        <v>73</v>
      </c>
      <c r="CO18" s="57">
        <v>22</v>
      </c>
      <c r="CP18" s="58">
        <v>6.6</v>
      </c>
      <c r="CQ18" s="58">
        <v>131.5</v>
      </c>
      <c r="CR18" s="58">
        <v>4.63</v>
      </c>
      <c r="CS18" s="58">
        <v>66.3</v>
      </c>
      <c r="CT18" s="57">
        <v>51</v>
      </c>
      <c r="CU18" s="57">
        <v>2386</v>
      </c>
      <c r="CV18" s="57">
        <v>8</v>
      </c>
      <c r="CW18" s="57"/>
      <c r="CX18" s="59">
        <v>20</v>
      </c>
      <c r="CY18" s="56">
        <v>1307</v>
      </c>
      <c r="CZ18" s="57">
        <v>2406</v>
      </c>
      <c r="DA18" s="57">
        <v>19</v>
      </c>
      <c r="DB18" s="57">
        <v>34</v>
      </c>
      <c r="DC18" s="57">
        <v>214</v>
      </c>
      <c r="DD18" s="57">
        <v>52</v>
      </c>
      <c r="DE18" s="58">
        <v>6.1</v>
      </c>
      <c r="DF18" s="58">
        <v>73</v>
      </c>
      <c r="DG18" s="58">
        <v>3.07</v>
      </c>
      <c r="DH18" s="58">
        <v>41.2</v>
      </c>
      <c r="DI18" s="57">
        <v>220</v>
      </c>
      <c r="DJ18" s="57">
        <v>3377</v>
      </c>
      <c r="DK18" s="57">
        <v>21</v>
      </c>
      <c r="DL18" s="57"/>
      <c r="DM18" s="59">
        <v>33</v>
      </c>
    </row>
    <row r="19" spans="1:117" x14ac:dyDescent="0.2">
      <c r="A19" s="33">
        <v>17</v>
      </c>
      <c r="B19" s="34" t="s">
        <v>309</v>
      </c>
      <c r="C19" s="116">
        <v>6.072222222222222</v>
      </c>
      <c r="D19" s="117" t="s">
        <v>410</v>
      </c>
      <c r="E19" s="37">
        <v>5</v>
      </c>
      <c r="F19" s="118">
        <v>36459</v>
      </c>
      <c r="G19" s="119">
        <v>25.93972602739726</v>
      </c>
      <c r="H19" s="39" t="s">
        <v>389</v>
      </c>
      <c r="I19" s="119">
        <v>22.520547945205479</v>
      </c>
      <c r="J19" s="120">
        <v>72</v>
      </c>
      <c r="K19" s="120">
        <v>221</v>
      </c>
      <c r="L19" s="120">
        <v>4.53</v>
      </c>
      <c r="M19" s="40">
        <v>6</v>
      </c>
      <c r="N19" s="121">
        <v>0</v>
      </c>
      <c r="O19" s="122">
        <v>0.16810427448725321</v>
      </c>
      <c r="P19" s="122">
        <v>0.17998678996036988</v>
      </c>
      <c r="Q19" s="122">
        <v>7.2991165334455196E-2</v>
      </c>
      <c r="R19" s="122">
        <v>0.20030035667354984</v>
      </c>
      <c r="S19" s="42">
        <v>0.20030035667354984</v>
      </c>
      <c r="T19" s="42">
        <v>0.17025530317251736</v>
      </c>
      <c r="U19" s="42">
        <v>3.6772581220992501E-2</v>
      </c>
      <c r="V19" s="42">
        <v>4.357541899441341E-2</v>
      </c>
      <c r="W19" s="42">
        <v>4.357541899441341E-2</v>
      </c>
      <c r="X19" s="43">
        <v>3.7039106145251396E-2</v>
      </c>
      <c r="Y19" s="44">
        <v>18.863013698630137</v>
      </c>
      <c r="Z19" s="170">
        <v>104.96136290292813</v>
      </c>
      <c r="AA19" s="45">
        <v>29.969714506172842</v>
      </c>
      <c r="AB19" s="45">
        <v>0.26573426573426573</v>
      </c>
      <c r="AC19" s="45">
        <v>5.8</v>
      </c>
      <c r="AD19" s="45">
        <v>105.9</v>
      </c>
      <c r="AE19" s="45">
        <v>3.71</v>
      </c>
      <c r="AF19" s="45">
        <v>39.700000000000003</v>
      </c>
      <c r="AG19" s="128">
        <v>3</v>
      </c>
      <c r="AH19" s="49">
        <v>4</v>
      </c>
      <c r="AI19" s="49">
        <v>8</v>
      </c>
      <c r="AJ19" s="49">
        <v>7</v>
      </c>
      <c r="AK19" s="49">
        <v>7</v>
      </c>
      <c r="AL19" s="49">
        <v>4</v>
      </c>
      <c r="AM19" s="49">
        <v>4</v>
      </c>
      <c r="AN19" s="49">
        <v>3</v>
      </c>
      <c r="AO19" s="49">
        <v>2</v>
      </c>
      <c r="AP19" s="50">
        <v>0</v>
      </c>
      <c r="AQ19" s="56">
        <v>0</v>
      </c>
      <c r="AR19" s="57">
        <v>2591</v>
      </c>
      <c r="AS19" s="57">
        <v>0</v>
      </c>
      <c r="AT19" s="57">
        <v>29</v>
      </c>
      <c r="AU19" s="57">
        <v>0</v>
      </c>
      <c r="AV19" s="57">
        <v>0</v>
      </c>
      <c r="AW19" s="58">
        <v>2</v>
      </c>
      <c r="AX19" s="58">
        <v>0</v>
      </c>
      <c r="AY19" s="58">
        <v>0</v>
      </c>
      <c r="AZ19" s="58">
        <v>0</v>
      </c>
      <c r="BA19" s="57">
        <v>0</v>
      </c>
      <c r="BB19" s="57">
        <v>3365</v>
      </c>
      <c r="BC19" s="57">
        <v>0</v>
      </c>
      <c r="BD19" s="57"/>
      <c r="BE19" s="59">
        <v>18</v>
      </c>
      <c r="BF19" s="56">
        <v>708</v>
      </c>
      <c r="BG19" s="57">
        <v>1602</v>
      </c>
      <c r="BH19" s="57">
        <v>3</v>
      </c>
      <c r="BI19" s="57">
        <v>17</v>
      </c>
      <c r="BJ19" s="57">
        <v>142</v>
      </c>
      <c r="BK19" s="57">
        <v>29</v>
      </c>
      <c r="BL19" s="58">
        <v>5</v>
      </c>
      <c r="BM19" s="58">
        <v>66.8</v>
      </c>
      <c r="BN19" s="58">
        <v>3.05</v>
      </c>
      <c r="BO19" s="58">
        <v>28.2</v>
      </c>
      <c r="BP19" s="57">
        <v>169</v>
      </c>
      <c r="BQ19" s="57">
        <v>3615</v>
      </c>
      <c r="BR19" s="57">
        <v>8</v>
      </c>
      <c r="BS19" s="57"/>
      <c r="BT19" s="59">
        <v>28</v>
      </c>
      <c r="BU19" s="56">
        <v>853</v>
      </c>
      <c r="BV19" s="57">
        <v>2295</v>
      </c>
      <c r="BW19" s="57">
        <v>7</v>
      </c>
      <c r="BX19" s="57">
        <v>26</v>
      </c>
      <c r="BY19" s="57">
        <v>143</v>
      </c>
      <c r="BZ19" s="57">
        <v>38</v>
      </c>
      <c r="CA19" s="58">
        <v>6</v>
      </c>
      <c r="CB19" s="58">
        <v>105.9</v>
      </c>
      <c r="CC19" s="58">
        <v>3.66</v>
      </c>
      <c r="CD19" s="58">
        <v>38.299999999999997</v>
      </c>
      <c r="CE19" s="57">
        <v>237</v>
      </c>
      <c r="CF19" s="57">
        <v>3761</v>
      </c>
      <c r="CG19" s="57">
        <v>30</v>
      </c>
      <c r="CH19" s="57"/>
      <c r="CI19" s="59">
        <v>32</v>
      </c>
      <c r="CJ19" s="56">
        <v>244</v>
      </c>
      <c r="CK19" s="57">
        <v>1953</v>
      </c>
      <c r="CL19" s="57">
        <v>1</v>
      </c>
      <c r="CM19" s="57">
        <v>20</v>
      </c>
      <c r="CN19" s="57">
        <v>53</v>
      </c>
      <c r="CO19" s="57">
        <v>11</v>
      </c>
      <c r="CP19" s="58">
        <v>4.5999999999999996</v>
      </c>
      <c r="CQ19" s="58">
        <v>58.3</v>
      </c>
      <c r="CR19" s="58">
        <v>2.87</v>
      </c>
      <c r="CS19" s="58">
        <v>17.2</v>
      </c>
      <c r="CT19" s="57">
        <v>103</v>
      </c>
      <c r="CU19" s="57">
        <v>2801</v>
      </c>
      <c r="CV19" s="57">
        <v>11</v>
      </c>
      <c r="CW19" s="57"/>
      <c r="CX19" s="59">
        <v>32</v>
      </c>
      <c r="CY19" s="56">
        <v>911</v>
      </c>
      <c r="CZ19" s="57">
        <v>1747</v>
      </c>
      <c r="DA19" s="57">
        <v>5</v>
      </c>
      <c r="DB19" s="57">
        <v>16</v>
      </c>
      <c r="DC19" s="57">
        <v>156</v>
      </c>
      <c r="DD19" s="57">
        <v>35</v>
      </c>
      <c r="DE19" s="58">
        <v>5.8</v>
      </c>
      <c r="DF19" s="58">
        <v>89.5</v>
      </c>
      <c r="DG19" s="58">
        <v>3.71</v>
      </c>
      <c r="DH19" s="58">
        <v>39.700000000000003</v>
      </c>
      <c r="DI19" s="57">
        <v>156</v>
      </c>
      <c r="DJ19" s="57">
        <v>3580</v>
      </c>
      <c r="DK19" s="57">
        <v>22</v>
      </c>
      <c r="DL19" s="57"/>
      <c r="DM19" s="59">
        <v>21</v>
      </c>
    </row>
    <row r="20" spans="1:117" x14ac:dyDescent="0.2">
      <c r="A20" s="33">
        <v>18</v>
      </c>
      <c r="B20" s="34" t="s">
        <v>312</v>
      </c>
      <c r="C20" s="116">
        <v>5.9055555555555559</v>
      </c>
      <c r="D20" s="117" t="s">
        <v>407</v>
      </c>
      <c r="E20" s="37">
        <v>1</v>
      </c>
      <c r="F20" s="118">
        <v>36847</v>
      </c>
      <c r="G20" s="119">
        <v>24.876712328767123</v>
      </c>
      <c r="H20" s="39" t="s">
        <v>385</v>
      </c>
      <c r="I20" s="119">
        <v>21.457534246575342</v>
      </c>
      <c r="J20" s="120">
        <v>70</v>
      </c>
      <c r="K20" s="120">
        <v>221</v>
      </c>
      <c r="L20" s="120">
        <v>4.62</v>
      </c>
      <c r="M20" s="40">
        <v>6</v>
      </c>
      <c r="N20" s="121">
        <v>0</v>
      </c>
      <c r="O20" s="122">
        <v>0</v>
      </c>
      <c r="P20" s="122">
        <v>4.5933228769885724E-2</v>
      </c>
      <c r="Q20" s="122">
        <v>0.3652492255702619</v>
      </c>
      <c r="R20" s="122">
        <v>0.16955332725615316</v>
      </c>
      <c r="S20" s="42">
        <v>0.26740127641320754</v>
      </c>
      <c r="T20" s="42">
        <v>0.26740127641320754</v>
      </c>
      <c r="U20" s="42">
        <v>8.4935897435897439E-2</v>
      </c>
      <c r="V20" s="42">
        <v>3.4034416826003826E-2</v>
      </c>
      <c r="W20" s="42">
        <v>5.9485157130950636E-2</v>
      </c>
      <c r="X20" s="43">
        <v>5.9485157130950636E-2</v>
      </c>
      <c r="Y20" s="44">
        <v>19.813698630136987</v>
      </c>
      <c r="Z20" s="170">
        <v>97.018457867144235</v>
      </c>
      <c r="AA20" s="45">
        <v>31.70673469387755</v>
      </c>
      <c r="AB20" s="45">
        <v>0.2</v>
      </c>
      <c r="AC20" s="45">
        <v>6.2</v>
      </c>
      <c r="AD20" s="45">
        <v>70.7</v>
      </c>
      <c r="AE20" s="45">
        <v>3.31</v>
      </c>
      <c r="AF20" s="45">
        <v>47.2</v>
      </c>
      <c r="AG20" s="128">
        <v>7</v>
      </c>
      <c r="AH20" s="49">
        <v>6</v>
      </c>
      <c r="AI20" s="49">
        <v>5</v>
      </c>
      <c r="AJ20" s="49">
        <v>4</v>
      </c>
      <c r="AK20" s="49">
        <v>4</v>
      </c>
      <c r="AL20" s="49">
        <v>5</v>
      </c>
      <c r="AM20" s="49">
        <v>1</v>
      </c>
      <c r="AN20" s="49">
        <v>1</v>
      </c>
      <c r="AO20" s="49">
        <v>2</v>
      </c>
      <c r="AP20" s="50">
        <v>0</v>
      </c>
      <c r="AQ20" s="56">
        <v>0</v>
      </c>
      <c r="AR20" s="57">
        <v>1588</v>
      </c>
      <c r="AS20" s="57">
        <v>0</v>
      </c>
      <c r="AT20" s="57">
        <v>16</v>
      </c>
      <c r="AU20" s="57">
        <v>0</v>
      </c>
      <c r="AV20" s="57">
        <v>0</v>
      </c>
      <c r="AW20" s="58">
        <v>0</v>
      </c>
      <c r="AX20" s="58">
        <v>0</v>
      </c>
      <c r="AY20" s="58">
        <v>0</v>
      </c>
      <c r="AZ20" s="58">
        <v>0</v>
      </c>
      <c r="BA20" s="57">
        <v>0</v>
      </c>
      <c r="BB20" s="57">
        <v>2794</v>
      </c>
      <c r="BC20" s="57">
        <v>0</v>
      </c>
      <c r="BD20" s="57"/>
      <c r="BE20" s="59">
        <v>18</v>
      </c>
      <c r="BF20" s="56">
        <v>0</v>
      </c>
      <c r="BG20" s="57">
        <v>1986</v>
      </c>
      <c r="BH20" s="57">
        <v>0</v>
      </c>
      <c r="BI20" s="57">
        <v>15</v>
      </c>
      <c r="BJ20" s="57">
        <v>0</v>
      </c>
      <c r="BK20" s="57">
        <v>0</v>
      </c>
      <c r="BL20" s="58">
        <v>0</v>
      </c>
      <c r="BM20" s="58">
        <v>0</v>
      </c>
      <c r="BN20" s="58">
        <v>0</v>
      </c>
      <c r="BO20" s="58">
        <v>0</v>
      </c>
      <c r="BP20" s="57">
        <v>0</v>
      </c>
      <c r="BQ20" s="57">
        <v>3547</v>
      </c>
      <c r="BR20" s="57">
        <v>0</v>
      </c>
      <c r="BS20" s="57"/>
      <c r="BT20" s="59">
        <v>32</v>
      </c>
      <c r="BU20" s="56">
        <v>179</v>
      </c>
      <c r="BV20" s="57">
        <v>1796</v>
      </c>
      <c r="BW20" s="57">
        <v>4</v>
      </c>
      <c r="BX20" s="57">
        <v>18</v>
      </c>
      <c r="BY20" s="57">
        <v>21</v>
      </c>
      <c r="BZ20" s="57">
        <v>8</v>
      </c>
      <c r="CA20" s="58">
        <v>8.5</v>
      </c>
      <c r="CB20" s="58">
        <v>280.39999999999998</v>
      </c>
      <c r="CC20" s="58">
        <v>7.48</v>
      </c>
      <c r="CD20" s="58">
        <v>67</v>
      </c>
      <c r="CE20" s="57">
        <v>26</v>
      </c>
      <c r="CF20" s="57">
        <v>2667</v>
      </c>
      <c r="CG20" s="57">
        <v>3</v>
      </c>
      <c r="CH20" s="57"/>
      <c r="CI20" s="59">
        <v>12</v>
      </c>
      <c r="CJ20" s="56">
        <v>1138</v>
      </c>
      <c r="CK20" s="57">
        <v>1679</v>
      </c>
      <c r="CL20" s="57">
        <v>15</v>
      </c>
      <c r="CM20" s="57">
        <v>21</v>
      </c>
      <c r="CN20" s="57">
        <v>185</v>
      </c>
      <c r="CO20" s="57">
        <v>37</v>
      </c>
      <c r="CP20" s="58">
        <v>6.2</v>
      </c>
      <c r="CQ20" s="58">
        <v>70.7</v>
      </c>
      <c r="CR20" s="58">
        <v>3.31</v>
      </c>
      <c r="CS20" s="58">
        <v>47.2</v>
      </c>
      <c r="CT20" s="57">
        <v>159</v>
      </c>
      <c r="CU20" s="57">
        <v>1872</v>
      </c>
      <c r="CV20" s="57">
        <v>21</v>
      </c>
      <c r="CW20" s="57"/>
      <c r="CX20" s="59">
        <v>8</v>
      </c>
      <c r="CY20" s="56">
        <v>655</v>
      </c>
      <c r="CZ20" s="57">
        <v>1773</v>
      </c>
      <c r="DA20" s="57">
        <v>4</v>
      </c>
      <c r="DB20" s="57">
        <v>9</v>
      </c>
      <c r="DC20" s="57">
        <v>153</v>
      </c>
      <c r="DD20" s="57">
        <v>23</v>
      </c>
      <c r="DE20" s="58">
        <v>4.3</v>
      </c>
      <c r="DF20" s="58">
        <v>47.9</v>
      </c>
      <c r="DG20" s="58">
        <v>3.14</v>
      </c>
      <c r="DH20" s="58">
        <v>23.7</v>
      </c>
      <c r="DI20" s="57">
        <v>89</v>
      </c>
      <c r="DJ20" s="57">
        <v>2615</v>
      </c>
      <c r="DK20" s="57">
        <v>11</v>
      </c>
      <c r="DL20" s="57"/>
      <c r="DM20" s="59">
        <v>22</v>
      </c>
    </row>
    <row r="21" spans="1:117" ht="15.75" customHeight="1" x14ac:dyDescent="0.2">
      <c r="A21" s="33">
        <v>19</v>
      </c>
      <c r="B21" s="34" t="s">
        <v>302</v>
      </c>
      <c r="C21" s="116">
        <v>5.844444444444445</v>
      </c>
      <c r="D21" s="117" t="s">
        <v>432</v>
      </c>
      <c r="E21" s="37">
        <v>1</v>
      </c>
      <c r="F21" s="118">
        <v>36822</v>
      </c>
      <c r="G21" s="119">
        <v>24.945205479452056</v>
      </c>
      <c r="H21" s="39" t="s">
        <v>385</v>
      </c>
      <c r="I21" s="119">
        <v>21.526027397260275</v>
      </c>
      <c r="J21" s="132">
        <v>72</v>
      </c>
      <c r="K21" s="132">
        <v>211</v>
      </c>
      <c r="L21" s="132">
        <v>4.4800000000000004</v>
      </c>
      <c r="M21" s="40">
        <v>3</v>
      </c>
      <c r="N21" s="121">
        <v>0</v>
      </c>
      <c r="O21" s="122">
        <v>0</v>
      </c>
      <c r="P21" s="122">
        <v>4.3162092423176167E-2</v>
      </c>
      <c r="Q21" s="122">
        <v>0.11362064991933625</v>
      </c>
      <c r="R21" s="122">
        <v>0.22526096033402923</v>
      </c>
      <c r="S21" s="42">
        <v>0.22526096033402923</v>
      </c>
      <c r="T21" s="42">
        <v>0.22526096033402923</v>
      </c>
      <c r="U21" s="42">
        <v>1.5054452274183215E-2</v>
      </c>
      <c r="V21" s="42">
        <v>1.9347037484885126E-2</v>
      </c>
      <c r="W21" s="42">
        <v>1.9347037484885126E-2</v>
      </c>
      <c r="X21" s="43">
        <v>1.9347037484885126E-2</v>
      </c>
      <c r="Y21" s="44">
        <v>20.87945205479452</v>
      </c>
      <c r="Z21" s="170">
        <v>104.76118323704638</v>
      </c>
      <c r="AA21" s="45">
        <v>28.613618827160494</v>
      </c>
      <c r="AB21" s="45">
        <v>0.17535545023696683</v>
      </c>
      <c r="AC21" s="45">
        <v>4.8</v>
      </c>
      <c r="AD21" s="45">
        <v>54.5</v>
      </c>
      <c r="AE21" s="45">
        <v>3.03</v>
      </c>
      <c r="AF21" s="45">
        <v>27.3</v>
      </c>
      <c r="AG21" s="128">
        <v>4</v>
      </c>
      <c r="AH21" s="49">
        <v>1</v>
      </c>
      <c r="AI21" s="49">
        <v>3</v>
      </c>
      <c r="AJ21" s="49">
        <v>7</v>
      </c>
      <c r="AK21" s="49">
        <v>2</v>
      </c>
      <c r="AL21" s="49">
        <v>0</v>
      </c>
      <c r="AM21" s="49">
        <v>0</v>
      </c>
      <c r="AN21" s="49">
        <v>0</v>
      </c>
      <c r="AO21" s="49">
        <v>6</v>
      </c>
      <c r="AP21" s="50">
        <v>0.5</v>
      </c>
      <c r="AQ21" s="56">
        <v>0</v>
      </c>
      <c r="AR21" s="57">
        <v>2699</v>
      </c>
      <c r="AS21" s="57">
        <v>0</v>
      </c>
      <c r="AT21" s="57">
        <v>25</v>
      </c>
      <c r="AU21" s="57">
        <v>0</v>
      </c>
      <c r="AV21" s="57">
        <v>0</v>
      </c>
      <c r="AW21" s="58">
        <v>0</v>
      </c>
      <c r="AX21" s="58">
        <v>0</v>
      </c>
      <c r="AY21" s="58">
        <v>0</v>
      </c>
      <c r="AZ21" s="58">
        <v>0</v>
      </c>
      <c r="BA21" s="57">
        <v>0</v>
      </c>
      <c r="BB21" s="57">
        <v>2645</v>
      </c>
      <c r="BC21" s="57">
        <v>0</v>
      </c>
      <c r="BD21" s="57"/>
      <c r="BE21" s="59">
        <v>17</v>
      </c>
      <c r="BF21" s="56">
        <v>0</v>
      </c>
      <c r="BG21" s="57">
        <v>2257</v>
      </c>
      <c r="BH21" s="57">
        <v>0</v>
      </c>
      <c r="BI21" s="57">
        <v>29</v>
      </c>
      <c r="BJ21" s="57">
        <v>0</v>
      </c>
      <c r="BK21" s="57">
        <v>0</v>
      </c>
      <c r="BL21" s="58">
        <v>0</v>
      </c>
      <c r="BM21" s="58">
        <v>0</v>
      </c>
      <c r="BN21" s="58">
        <v>0</v>
      </c>
      <c r="BO21" s="58">
        <v>0</v>
      </c>
      <c r="BP21" s="57">
        <v>0</v>
      </c>
      <c r="BQ21" s="57">
        <v>2970</v>
      </c>
      <c r="BR21" s="57">
        <v>0</v>
      </c>
      <c r="BS21" s="57"/>
      <c r="BT21" s="59">
        <v>17</v>
      </c>
      <c r="BU21" s="56">
        <v>295</v>
      </c>
      <c r="BV21" s="57">
        <v>2502</v>
      </c>
      <c r="BW21" s="57">
        <v>6</v>
      </c>
      <c r="BX21" s="57">
        <v>32</v>
      </c>
      <c r="BY21" s="57">
        <v>64</v>
      </c>
      <c r="BZ21" s="57">
        <v>12</v>
      </c>
      <c r="CA21" s="58">
        <v>4.5999999999999996</v>
      </c>
      <c r="CB21" s="58">
        <v>48.5</v>
      </c>
      <c r="CC21" s="58">
        <v>2.56</v>
      </c>
      <c r="CD21" s="58">
        <v>22.7</v>
      </c>
      <c r="CE21" s="57">
        <v>73</v>
      </c>
      <c r="CF21" s="57">
        <v>6024</v>
      </c>
      <c r="CG21" s="57">
        <v>10</v>
      </c>
      <c r="CH21" s="57"/>
      <c r="CI21" s="59">
        <v>61</v>
      </c>
      <c r="CJ21" s="56">
        <v>446</v>
      </c>
      <c r="CK21" s="57">
        <v>1217</v>
      </c>
      <c r="CL21" s="57">
        <v>3</v>
      </c>
      <c r="CM21" s="57">
        <v>9</v>
      </c>
      <c r="CN21" s="57">
        <v>104</v>
      </c>
      <c r="CO21" s="57">
        <v>18</v>
      </c>
      <c r="CP21" s="58">
        <v>4.3</v>
      </c>
      <c r="CQ21" s="58">
        <v>54.1</v>
      </c>
      <c r="CR21" s="58">
        <v>3.03</v>
      </c>
      <c r="CS21" s="58">
        <v>23.5</v>
      </c>
      <c r="CT21" s="57">
        <v>47</v>
      </c>
      <c r="CU21" s="57">
        <v>3122</v>
      </c>
      <c r="CV21" s="57">
        <v>8</v>
      </c>
      <c r="CW21" s="57"/>
      <c r="CX21" s="59">
        <v>24</v>
      </c>
      <c r="CY21" s="56">
        <v>1015</v>
      </c>
      <c r="CZ21" s="57">
        <v>1482</v>
      </c>
      <c r="DA21" s="57">
        <v>6</v>
      </c>
      <c r="DB21" s="57">
        <v>9</v>
      </c>
      <c r="DC21" s="57">
        <v>211</v>
      </c>
      <c r="DD21" s="57">
        <v>37</v>
      </c>
      <c r="DE21" s="58">
        <v>4.8</v>
      </c>
      <c r="DF21" s="58">
        <v>54.5</v>
      </c>
      <c r="DG21" s="58">
        <v>2.8</v>
      </c>
      <c r="DH21" s="58">
        <v>27.3</v>
      </c>
      <c r="DI21" s="57">
        <v>64</v>
      </c>
      <c r="DJ21" s="57">
        <v>3308</v>
      </c>
      <c r="DK21" s="57">
        <v>10</v>
      </c>
      <c r="DL21" s="57"/>
      <c r="DM21" s="59">
        <v>32</v>
      </c>
    </row>
    <row r="22" spans="1:117" ht="15.75" customHeight="1" x14ac:dyDescent="0.2">
      <c r="A22" s="33">
        <v>20</v>
      </c>
      <c r="B22" s="34" t="s">
        <v>311</v>
      </c>
      <c r="C22" s="116">
        <v>5.6555555555555559</v>
      </c>
      <c r="D22" s="117" t="s">
        <v>550</v>
      </c>
      <c r="E22" s="37">
        <v>11</v>
      </c>
      <c r="F22" s="118">
        <v>36139</v>
      </c>
      <c r="G22" s="119">
        <v>26.816438356164383</v>
      </c>
      <c r="H22" s="39" t="s">
        <v>389</v>
      </c>
      <c r="I22" s="119">
        <v>23.397260273972602</v>
      </c>
      <c r="J22" s="120">
        <v>71</v>
      </c>
      <c r="K22" s="120">
        <v>207</v>
      </c>
      <c r="L22" s="120">
        <v>4.37</v>
      </c>
      <c r="M22" s="40">
        <v>4</v>
      </c>
      <c r="N22" s="121">
        <v>0</v>
      </c>
      <c r="O22" s="122">
        <v>0.19172391755871546</v>
      </c>
      <c r="P22" s="122">
        <v>0.23129384255650817</v>
      </c>
      <c r="Q22" s="122">
        <v>0.17244738893219017</v>
      </c>
      <c r="R22" s="122">
        <v>0.2750867662592425</v>
      </c>
      <c r="S22" s="42">
        <v>0.2750867662592425</v>
      </c>
      <c r="T22" s="42">
        <v>0.15129772144258338</v>
      </c>
      <c r="U22" s="42">
        <v>7.743710691823899E-2</v>
      </c>
      <c r="V22" s="42">
        <v>4.3680838672102505E-2</v>
      </c>
      <c r="W22" s="42">
        <v>6.0558972795170751E-2</v>
      </c>
      <c r="X22" s="43">
        <v>3.3307435037343916E-2</v>
      </c>
      <c r="Y22" s="44">
        <v>19.739726027397261</v>
      </c>
      <c r="Z22" s="170">
        <v>113.52057787862073</v>
      </c>
      <c r="AA22" s="45">
        <v>28.867486609799645</v>
      </c>
      <c r="AB22" s="45">
        <v>0.26923076923076922</v>
      </c>
      <c r="AC22" s="45">
        <v>7.1</v>
      </c>
      <c r="AD22" s="45">
        <v>81</v>
      </c>
      <c r="AE22" s="45">
        <v>3.39</v>
      </c>
      <c r="AF22" s="45">
        <v>54.3</v>
      </c>
      <c r="AG22" s="128">
        <v>2</v>
      </c>
      <c r="AH22" s="49">
        <v>3</v>
      </c>
      <c r="AI22" s="49">
        <v>6</v>
      </c>
      <c r="AJ22" s="49">
        <v>10</v>
      </c>
      <c r="AK22" s="49">
        <v>7</v>
      </c>
      <c r="AL22" s="49">
        <v>8</v>
      </c>
      <c r="AM22" s="49">
        <v>2</v>
      </c>
      <c r="AN22" s="49">
        <v>1</v>
      </c>
      <c r="AO22" s="49">
        <v>4</v>
      </c>
      <c r="AP22" s="50">
        <v>0</v>
      </c>
      <c r="AQ22" s="56">
        <v>0</v>
      </c>
      <c r="AR22" s="57">
        <v>1</v>
      </c>
      <c r="AS22" s="57">
        <v>0</v>
      </c>
      <c r="AT22" s="57">
        <v>1</v>
      </c>
      <c r="AU22" s="57">
        <v>0</v>
      </c>
      <c r="AV22" s="57">
        <v>0</v>
      </c>
      <c r="AW22" s="58">
        <v>0</v>
      </c>
      <c r="AX22" s="58">
        <v>0</v>
      </c>
      <c r="AY22" s="58">
        <v>0</v>
      </c>
      <c r="AZ22" s="58">
        <v>0</v>
      </c>
      <c r="BA22" s="57">
        <v>0</v>
      </c>
      <c r="BB22" s="57">
        <v>1</v>
      </c>
      <c r="BC22" s="57">
        <v>0</v>
      </c>
      <c r="BD22" s="57"/>
      <c r="BE22" s="59">
        <v>1</v>
      </c>
      <c r="BF22" s="56">
        <v>1116</v>
      </c>
      <c r="BG22" s="57">
        <v>3003</v>
      </c>
      <c r="BH22" s="57">
        <v>0</v>
      </c>
      <c r="BI22" s="57">
        <v>1</v>
      </c>
      <c r="BJ22" s="57">
        <v>117</v>
      </c>
      <c r="BK22" s="57">
        <v>29</v>
      </c>
      <c r="BL22" s="58">
        <v>9.5</v>
      </c>
      <c r="BM22" s="58">
        <v>125.9</v>
      </c>
      <c r="BN22" s="58">
        <v>5.16</v>
      </c>
      <c r="BO22" s="58">
        <v>67.5</v>
      </c>
      <c r="BP22" s="57">
        <v>84</v>
      </c>
      <c r="BQ22" s="57">
        <v>3256</v>
      </c>
      <c r="BR22" s="57">
        <v>6</v>
      </c>
      <c r="BS22" s="57"/>
      <c r="BT22" s="59">
        <v>1</v>
      </c>
      <c r="BU22" s="56">
        <v>1018</v>
      </c>
      <c r="BV22" s="57">
        <v>2588</v>
      </c>
      <c r="BW22" s="57">
        <v>0</v>
      </c>
      <c r="BX22" s="57">
        <v>1</v>
      </c>
      <c r="BY22" s="57">
        <v>141</v>
      </c>
      <c r="BZ22" s="57">
        <v>49</v>
      </c>
      <c r="CA22" s="58">
        <v>7.1</v>
      </c>
      <c r="CB22" s="58">
        <v>169.7</v>
      </c>
      <c r="CC22" s="58">
        <v>4.87</v>
      </c>
      <c r="CD22" s="58">
        <v>47.6</v>
      </c>
      <c r="CE22" s="57">
        <v>169</v>
      </c>
      <c r="CF22" s="57">
        <v>2544</v>
      </c>
      <c r="CG22" s="57">
        <v>14</v>
      </c>
      <c r="CH22" s="57"/>
      <c r="CI22" s="59">
        <v>1</v>
      </c>
      <c r="CJ22" s="56">
        <v>688</v>
      </c>
      <c r="CK22" s="57">
        <v>2588</v>
      </c>
      <c r="CL22" s="57">
        <v>0</v>
      </c>
      <c r="CM22" s="57">
        <v>1</v>
      </c>
      <c r="CN22" s="57">
        <v>130</v>
      </c>
      <c r="CO22" s="57">
        <v>35</v>
      </c>
      <c r="CP22" s="58">
        <v>5.4</v>
      </c>
      <c r="CQ22" s="58">
        <v>81</v>
      </c>
      <c r="CR22" s="58">
        <v>3.28</v>
      </c>
      <c r="CS22" s="58">
        <v>38.6</v>
      </c>
      <c r="CT22" s="57">
        <v>197</v>
      </c>
      <c r="CU22" s="57">
        <v>2544</v>
      </c>
      <c r="CV22" s="57">
        <v>20</v>
      </c>
      <c r="CW22" s="57"/>
      <c r="CX22" s="59">
        <v>1</v>
      </c>
      <c r="CY22" s="56">
        <v>1673</v>
      </c>
      <c r="CZ22" s="57">
        <v>3193</v>
      </c>
      <c r="DA22" s="57">
        <v>0</v>
      </c>
      <c r="DB22" s="57">
        <v>1</v>
      </c>
      <c r="DC22" s="57">
        <v>239</v>
      </c>
      <c r="DD22" s="57">
        <v>49</v>
      </c>
      <c r="DE22" s="58">
        <v>7.1</v>
      </c>
      <c r="DF22" s="58">
        <v>65</v>
      </c>
      <c r="DG22" s="58">
        <v>3.39</v>
      </c>
      <c r="DH22" s="58">
        <v>54.3</v>
      </c>
      <c r="DI22" s="57">
        <v>150</v>
      </c>
      <c r="DJ22" s="57">
        <v>3434</v>
      </c>
      <c r="DK22" s="57">
        <v>22</v>
      </c>
      <c r="DL22" s="57"/>
      <c r="DM22" s="59">
        <v>1</v>
      </c>
    </row>
    <row r="23" spans="1:117" ht="15.75" customHeight="1" x14ac:dyDescent="0.2">
      <c r="A23" s="33">
        <v>21</v>
      </c>
      <c r="B23" s="34" t="s">
        <v>313</v>
      </c>
      <c r="C23" s="116">
        <v>5.6277777777777773</v>
      </c>
      <c r="D23" s="117" t="s">
        <v>531</v>
      </c>
      <c r="E23" s="37">
        <v>3</v>
      </c>
      <c r="F23" s="118">
        <v>36100</v>
      </c>
      <c r="G23" s="119">
        <v>26.923287671232877</v>
      </c>
      <c r="H23" s="39" t="s">
        <v>469</v>
      </c>
      <c r="I23" s="119">
        <v>23.504109589041096</v>
      </c>
      <c r="J23" s="120">
        <v>68</v>
      </c>
      <c r="K23" s="120">
        <v>204</v>
      </c>
      <c r="L23" s="120">
        <v>4.55</v>
      </c>
      <c r="M23" s="40">
        <v>0</v>
      </c>
      <c r="N23" s="121">
        <v>0</v>
      </c>
      <c r="O23" s="122">
        <v>0</v>
      </c>
      <c r="P23" s="122">
        <v>0.13376136971642591</v>
      </c>
      <c r="Q23" s="122">
        <v>0.16253776435045317</v>
      </c>
      <c r="R23" s="122">
        <v>0.24696217696388842</v>
      </c>
      <c r="S23" s="42">
        <v>0.24696217696388842</v>
      </c>
      <c r="T23" s="42">
        <v>0.22226595926749959</v>
      </c>
      <c r="U23" s="42">
        <v>3.4355828220858899E-2</v>
      </c>
      <c r="V23" s="42">
        <v>6.9932224276032046E-2</v>
      </c>
      <c r="W23" s="42">
        <v>6.9932224276032046E-2</v>
      </c>
      <c r="X23" s="43">
        <v>6.2939001848428849E-2</v>
      </c>
      <c r="Y23" s="44">
        <v>21.860273972602741</v>
      </c>
      <c r="Z23" s="170">
        <v>95.195096064290894</v>
      </c>
      <c r="AA23" s="45">
        <v>31.014705882352942</v>
      </c>
      <c r="AB23" s="45">
        <v>0.33203125</v>
      </c>
      <c r="AC23" s="45">
        <v>5.9</v>
      </c>
      <c r="AD23" s="45">
        <v>106.9</v>
      </c>
      <c r="AE23" s="45">
        <v>4</v>
      </c>
      <c r="AF23" s="45">
        <v>57.7</v>
      </c>
      <c r="AG23" s="128">
        <v>4</v>
      </c>
      <c r="AH23" s="49">
        <v>7</v>
      </c>
      <c r="AI23" s="49">
        <v>2</v>
      </c>
      <c r="AJ23" s="49">
        <v>3</v>
      </c>
      <c r="AK23" s="49">
        <v>9</v>
      </c>
      <c r="AL23" s="49">
        <v>4</v>
      </c>
      <c r="AM23" s="49">
        <v>5</v>
      </c>
      <c r="AN23" s="49">
        <v>5</v>
      </c>
      <c r="AO23" s="49">
        <v>0</v>
      </c>
      <c r="AP23" s="50">
        <v>1</v>
      </c>
      <c r="AQ23" s="56">
        <v>0</v>
      </c>
      <c r="AR23" s="57">
        <v>2337</v>
      </c>
      <c r="AS23" s="57">
        <v>0</v>
      </c>
      <c r="AT23" s="57">
        <v>34</v>
      </c>
      <c r="AU23" s="57">
        <v>0</v>
      </c>
      <c r="AV23" s="57">
        <v>0</v>
      </c>
      <c r="AW23" s="58">
        <v>0</v>
      </c>
      <c r="AX23" s="58">
        <v>0</v>
      </c>
      <c r="AY23" s="58">
        <v>0</v>
      </c>
      <c r="AZ23" s="58">
        <v>0</v>
      </c>
      <c r="BA23" s="57">
        <v>0</v>
      </c>
      <c r="BB23" s="57">
        <v>2938</v>
      </c>
      <c r="BC23" s="57">
        <v>0</v>
      </c>
      <c r="BD23" s="57"/>
      <c r="BE23" s="59">
        <v>17</v>
      </c>
      <c r="BF23" s="56">
        <v>0</v>
      </c>
      <c r="BG23" s="57">
        <v>2474</v>
      </c>
      <c r="BH23" s="57">
        <v>0</v>
      </c>
      <c r="BI23" s="57">
        <v>30</v>
      </c>
      <c r="BJ23" s="57">
        <v>0</v>
      </c>
      <c r="BK23" s="57">
        <v>0</v>
      </c>
      <c r="BL23" s="58">
        <v>0</v>
      </c>
      <c r="BM23" s="58">
        <v>0</v>
      </c>
      <c r="BN23" s="58">
        <v>0</v>
      </c>
      <c r="BO23" s="58">
        <v>0</v>
      </c>
      <c r="BP23" s="57">
        <v>0</v>
      </c>
      <c r="BQ23" s="57">
        <v>3825</v>
      </c>
      <c r="BR23" s="57">
        <v>0</v>
      </c>
      <c r="BS23" s="57"/>
      <c r="BT23" s="59">
        <v>32</v>
      </c>
      <c r="BU23" s="56">
        <v>568</v>
      </c>
      <c r="BV23" s="57">
        <v>1979</v>
      </c>
      <c r="BW23" s="57">
        <v>5</v>
      </c>
      <c r="BX23" s="57">
        <v>18</v>
      </c>
      <c r="BY23" s="57">
        <v>111</v>
      </c>
      <c r="BZ23" s="57">
        <v>24</v>
      </c>
      <c r="CA23" s="58">
        <v>5.0999999999999996</v>
      </c>
      <c r="CB23" s="58">
        <v>64.900000000000006</v>
      </c>
      <c r="CC23" s="58">
        <v>2.82</v>
      </c>
      <c r="CD23" s="58">
        <v>39.6</v>
      </c>
      <c r="CE23" s="57">
        <v>182</v>
      </c>
      <c r="CF23" s="57">
        <v>3628</v>
      </c>
      <c r="CG23" s="57">
        <v>15</v>
      </c>
      <c r="CH23" s="57"/>
      <c r="CI23" s="59">
        <v>22</v>
      </c>
      <c r="CJ23" s="56">
        <v>241</v>
      </c>
      <c r="CK23" s="57">
        <v>840</v>
      </c>
      <c r="CL23" s="57">
        <v>3</v>
      </c>
      <c r="CM23" s="57">
        <v>4</v>
      </c>
      <c r="CN23" s="57">
        <v>41</v>
      </c>
      <c r="CO23" s="57">
        <v>11</v>
      </c>
      <c r="CP23" s="58">
        <v>5.9</v>
      </c>
      <c r="CQ23" s="58">
        <v>97.8</v>
      </c>
      <c r="CR23" s="58">
        <v>4</v>
      </c>
      <c r="CS23" s="58">
        <v>57.7</v>
      </c>
      <c r="CT23" s="57">
        <v>28</v>
      </c>
      <c r="CU23" s="57">
        <v>815</v>
      </c>
      <c r="CV23" s="57">
        <v>4</v>
      </c>
      <c r="CW23" s="57"/>
      <c r="CX23" s="59">
        <v>6</v>
      </c>
      <c r="CY23" s="56">
        <v>1216</v>
      </c>
      <c r="CZ23" s="57">
        <v>2597</v>
      </c>
      <c r="DA23" s="57">
        <v>11</v>
      </c>
      <c r="DB23" s="57">
        <v>27</v>
      </c>
      <c r="DC23" s="57">
        <v>256</v>
      </c>
      <c r="DD23" s="57">
        <v>85</v>
      </c>
      <c r="DE23" s="58">
        <v>4.8</v>
      </c>
      <c r="DF23" s="58">
        <v>106.9</v>
      </c>
      <c r="DG23" s="58">
        <v>3.21</v>
      </c>
      <c r="DH23" s="58">
        <v>34.200000000000003</v>
      </c>
      <c r="DI23" s="57">
        <v>227</v>
      </c>
      <c r="DJ23" s="57">
        <v>3246</v>
      </c>
      <c r="DK23" s="57">
        <v>26</v>
      </c>
      <c r="DL23" s="57"/>
      <c r="DM23" s="59">
        <v>23</v>
      </c>
    </row>
    <row r="24" spans="1:117" ht="15.75" customHeight="1" x14ac:dyDescent="0.2">
      <c r="A24" s="33">
        <v>22</v>
      </c>
      <c r="B24" s="34" t="s">
        <v>319</v>
      </c>
      <c r="C24" s="116">
        <v>5.5166666666666666</v>
      </c>
      <c r="D24" s="117" t="s">
        <v>509</v>
      </c>
      <c r="E24" s="37">
        <v>4</v>
      </c>
      <c r="F24" s="118">
        <v>36992</v>
      </c>
      <c r="G24" s="119">
        <v>24.479452054794521</v>
      </c>
      <c r="H24" s="39" t="s">
        <v>385</v>
      </c>
      <c r="I24" s="119">
        <v>21.06027397260274</v>
      </c>
      <c r="J24" s="120">
        <v>71</v>
      </c>
      <c r="K24" s="120">
        <v>209</v>
      </c>
      <c r="L24" s="120">
        <v>4.58</v>
      </c>
      <c r="M24" s="40">
        <v>0</v>
      </c>
      <c r="N24" s="121">
        <v>0</v>
      </c>
      <c r="O24" s="122">
        <v>0</v>
      </c>
      <c r="P24" s="122">
        <v>0.17291255752794216</v>
      </c>
      <c r="Q24" s="122">
        <v>0.19982698961937717</v>
      </c>
      <c r="R24" s="122">
        <v>0.18231155778894473</v>
      </c>
      <c r="S24" s="42">
        <v>0.19106927370416094</v>
      </c>
      <c r="T24" s="42">
        <v>0.17196234633374485</v>
      </c>
      <c r="U24" s="42">
        <v>4.311984781230184E-2</v>
      </c>
      <c r="V24" s="42">
        <v>4.5073678127708752E-2</v>
      </c>
      <c r="W24" s="42">
        <v>4.5073678127708752E-2</v>
      </c>
      <c r="X24" s="43">
        <v>4.0566310314937876E-2</v>
      </c>
      <c r="Y24" s="44">
        <v>18.399999999999999</v>
      </c>
      <c r="Z24" s="170">
        <v>94.997979790234126</v>
      </c>
      <c r="AA24" s="45">
        <v>29.146399523903987</v>
      </c>
      <c r="AB24" s="45">
        <v>0.34532374100719426</v>
      </c>
      <c r="AC24" s="45">
        <v>5.5</v>
      </c>
      <c r="AD24" s="45">
        <v>113</v>
      </c>
      <c r="AE24" s="45">
        <v>3.8</v>
      </c>
      <c r="AF24" s="45">
        <v>48.8</v>
      </c>
      <c r="AG24" s="128">
        <v>3</v>
      </c>
      <c r="AH24" s="49">
        <v>4</v>
      </c>
      <c r="AI24" s="49">
        <v>9</v>
      </c>
      <c r="AJ24" s="49">
        <v>3</v>
      </c>
      <c r="AK24" s="49">
        <v>9</v>
      </c>
      <c r="AL24" s="49">
        <v>3</v>
      </c>
      <c r="AM24" s="49">
        <v>5</v>
      </c>
      <c r="AN24" s="49">
        <v>3</v>
      </c>
      <c r="AO24" s="49">
        <v>0</v>
      </c>
      <c r="AP24" s="50">
        <v>0</v>
      </c>
      <c r="AQ24" s="56">
        <v>0</v>
      </c>
      <c r="AR24" s="57">
        <v>2293</v>
      </c>
      <c r="AS24" s="57">
        <v>0</v>
      </c>
      <c r="AT24" s="57">
        <v>35</v>
      </c>
      <c r="AU24" s="57">
        <v>0</v>
      </c>
      <c r="AV24" s="57">
        <v>0</v>
      </c>
      <c r="AW24" s="58">
        <v>0</v>
      </c>
      <c r="AX24" s="58">
        <v>0</v>
      </c>
      <c r="AY24" s="58">
        <v>0</v>
      </c>
      <c r="AZ24" s="58">
        <v>0</v>
      </c>
      <c r="BA24" s="57">
        <v>0</v>
      </c>
      <c r="BB24" s="57">
        <v>3580</v>
      </c>
      <c r="BC24" s="57">
        <v>0</v>
      </c>
      <c r="BD24" s="57"/>
      <c r="BE24" s="59">
        <v>17</v>
      </c>
      <c r="BF24" s="56">
        <v>0</v>
      </c>
      <c r="BG24" s="57">
        <v>1858</v>
      </c>
      <c r="BH24" s="57">
        <v>0</v>
      </c>
      <c r="BI24" s="57">
        <v>27</v>
      </c>
      <c r="BJ24" s="57">
        <v>0</v>
      </c>
      <c r="BK24" s="57">
        <v>0</v>
      </c>
      <c r="BL24" s="58">
        <v>0</v>
      </c>
      <c r="BM24" s="58">
        <v>0</v>
      </c>
      <c r="BN24" s="58">
        <v>0</v>
      </c>
      <c r="BO24" s="58">
        <v>0</v>
      </c>
      <c r="BP24" s="57">
        <v>0</v>
      </c>
      <c r="BQ24" s="57">
        <v>4071</v>
      </c>
      <c r="BR24" s="57">
        <v>0</v>
      </c>
      <c r="BS24" s="57"/>
      <c r="BT24" s="59">
        <v>25</v>
      </c>
      <c r="BU24" s="56">
        <v>739</v>
      </c>
      <c r="BV24" s="57">
        <v>1814</v>
      </c>
      <c r="BW24" s="57">
        <v>5</v>
      </c>
      <c r="BX24" s="57">
        <v>14</v>
      </c>
      <c r="BY24" s="57">
        <v>137</v>
      </c>
      <c r="BZ24" s="57">
        <v>33</v>
      </c>
      <c r="CA24" s="58">
        <v>5.4</v>
      </c>
      <c r="CB24" s="58">
        <v>90.4</v>
      </c>
      <c r="CC24" s="58">
        <v>3.8</v>
      </c>
      <c r="CD24" s="58">
        <v>48.8</v>
      </c>
      <c r="CE24" s="57">
        <v>50</v>
      </c>
      <c r="CF24" s="57">
        <v>2749</v>
      </c>
      <c r="CG24" s="57">
        <v>6</v>
      </c>
      <c r="CH24" s="57"/>
      <c r="CI24" s="59">
        <v>14</v>
      </c>
      <c r="CJ24" s="56">
        <v>788</v>
      </c>
      <c r="CK24" s="57">
        <v>1470</v>
      </c>
      <c r="CL24" s="57">
        <v>10</v>
      </c>
      <c r="CM24" s="57">
        <v>20</v>
      </c>
      <c r="CN24" s="57">
        <v>143</v>
      </c>
      <c r="CO24" s="57">
        <v>48</v>
      </c>
      <c r="CP24" s="58">
        <v>5.5</v>
      </c>
      <c r="CQ24" s="58">
        <v>110.5</v>
      </c>
      <c r="CR24" s="58">
        <v>3.4</v>
      </c>
      <c r="CS24" s="58">
        <v>24.1</v>
      </c>
      <c r="CT24" s="57">
        <v>136</v>
      </c>
      <c r="CU24" s="57">
        <v>3154</v>
      </c>
      <c r="CV24" s="57">
        <v>20</v>
      </c>
      <c r="CW24" s="57"/>
      <c r="CX24" s="59">
        <v>24</v>
      </c>
      <c r="CY24" s="56">
        <v>751</v>
      </c>
      <c r="CZ24" s="57">
        <v>1514</v>
      </c>
      <c r="DA24" s="57">
        <v>3</v>
      </c>
      <c r="DB24" s="57">
        <v>11</v>
      </c>
      <c r="DC24" s="57">
        <v>139</v>
      </c>
      <c r="DD24" s="57">
        <v>48</v>
      </c>
      <c r="DE24" s="58">
        <v>5.4</v>
      </c>
      <c r="DF24" s="58">
        <v>113</v>
      </c>
      <c r="DG24" s="58">
        <v>3.41</v>
      </c>
      <c r="DH24" s="58">
        <v>38.200000000000003</v>
      </c>
      <c r="DI24" s="57">
        <v>156</v>
      </c>
      <c r="DJ24" s="57">
        <v>3461</v>
      </c>
      <c r="DK24" s="57">
        <v>21</v>
      </c>
      <c r="DL24" s="57"/>
      <c r="DM24" s="59">
        <v>35</v>
      </c>
    </row>
    <row r="25" spans="1:117" ht="15.75" customHeight="1" x14ac:dyDescent="0.2">
      <c r="A25" s="33">
        <v>23</v>
      </c>
      <c r="B25" s="34" t="s">
        <v>321</v>
      </c>
      <c r="C25" s="116">
        <v>5.2555555555555564</v>
      </c>
      <c r="D25" s="117" t="s">
        <v>413</v>
      </c>
      <c r="E25" s="37">
        <v>4</v>
      </c>
      <c r="F25" s="118">
        <v>36758</v>
      </c>
      <c r="G25" s="119">
        <v>25.12054794520548</v>
      </c>
      <c r="H25" s="39" t="s">
        <v>385</v>
      </c>
      <c r="I25" s="119">
        <v>21.701369863013699</v>
      </c>
      <c r="J25" s="120">
        <v>71</v>
      </c>
      <c r="K25" s="120">
        <v>202</v>
      </c>
      <c r="L25" s="120">
        <v>4.5199999999999996</v>
      </c>
      <c r="M25" s="40">
        <v>0</v>
      </c>
      <c r="N25" s="121">
        <v>0</v>
      </c>
      <c r="O25" s="122">
        <v>9.8469271190312999E-2</v>
      </c>
      <c r="P25" s="122">
        <v>2.983619344773791E-2</v>
      </c>
      <c r="Q25" s="122">
        <v>0.14537815126050421</v>
      </c>
      <c r="R25" s="122">
        <v>0.22473637961335677</v>
      </c>
      <c r="S25" s="42">
        <v>0.22473637961335677</v>
      </c>
      <c r="T25" s="42">
        <v>0.2022627416520211</v>
      </c>
      <c r="U25" s="42">
        <v>6.4935064935064929E-2</v>
      </c>
      <c r="V25" s="42">
        <v>5.9528730880529145E-2</v>
      </c>
      <c r="W25" s="42">
        <v>6.223189790779704E-2</v>
      </c>
      <c r="X25" s="43">
        <v>5.6008708117017338E-2</v>
      </c>
      <c r="Y25" s="44">
        <v>21.054794520547944</v>
      </c>
      <c r="Z25" s="170">
        <v>96.789361711901662</v>
      </c>
      <c r="AA25" s="45">
        <v>28.170204324538783</v>
      </c>
      <c r="AB25" s="45">
        <v>0.24390243902439024</v>
      </c>
      <c r="AC25" s="45">
        <v>6.2</v>
      </c>
      <c r="AD25" s="45">
        <v>92.4</v>
      </c>
      <c r="AE25" s="45">
        <v>4.57</v>
      </c>
      <c r="AF25" s="45">
        <v>47.1</v>
      </c>
      <c r="AG25" s="128">
        <v>4</v>
      </c>
      <c r="AH25" s="49">
        <v>6</v>
      </c>
      <c r="AI25" s="49">
        <v>3</v>
      </c>
      <c r="AJ25" s="49">
        <v>4</v>
      </c>
      <c r="AK25" s="49">
        <v>6</v>
      </c>
      <c r="AL25" s="49">
        <v>5</v>
      </c>
      <c r="AM25" s="49">
        <v>3</v>
      </c>
      <c r="AN25" s="49">
        <v>7</v>
      </c>
      <c r="AO25" s="49">
        <v>0</v>
      </c>
      <c r="AP25" s="50">
        <v>0</v>
      </c>
      <c r="AQ25" s="56">
        <v>0</v>
      </c>
      <c r="AR25" s="57">
        <v>2024</v>
      </c>
      <c r="AS25" s="57">
        <v>0</v>
      </c>
      <c r="AT25" s="57">
        <v>18</v>
      </c>
      <c r="AU25" s="57">
        <v>0</v>
      </c>
      <c r="AV25" s="57">
        <v>0</v>
      </c>
      <c r="AW25" s="58">
        <v>0</v>
      </c>
      <c r="AX25" s="58">
        <v>0</v>
      </c>
      <c r="AY25" s="58">
        <v>0</v>
      </c>
      <c r="AZ25" s="58">
        <v>0</v>
      </c>
      <c r="BA25" s="57">
        <v>0</v>
      </c>
      <c r="BB25" s="57">
        <v>3266</v>
      </c>
      <c r="BC25" s="57">
        <v>0</v>
      </c>
      <c r="BD25" s="57"/>
      <c r="BE25" s="59">
        <v>22</v>
      </c>
      <c r="BF25" s="56">
        <v>346</v>
      </c>
      <c r="BG25" s="57">
        <v>1093</v>
      </c>
      <c r="BH25" s="57">
        <v>1</v>
      </c>
      <c r="BI25" s="57">
        <v>11</v>
      </c>
      <c r="BJ25" s="57">
        <v>61</v>
      </c>
      <c r="BK25" s="57">
        <v>8</v>
      </c>
      <c r="BL25" s="58">
        <v>5.7</v>
      </c>
      <c r="BM25" s="58">
        <v>37.5</v>
      </c>
      <c r="BN25" s="58">
        <v>3.33</v>
      </c>
      <c r="BO25" s="58">
        <v>43.6</v>
      </c>
      <c r="BP25" s="57">
        <v>85</v>
      </c>
      <c r="BQ25" s="57">
        <v>3284</v>
      </c>
      <c r="BR25" s="57">
        <v>0</v>
      </c>
      <c r="BS25" s="57"/>
      <c r="BT25" s="59">
        <v>25</v>
      </c>
      <c r="BU25" s="56">
        <v>137</v>
      </c>
      <c r="BV25" s="57">
        <v>2068</v>
      </c>
      <c r="BW25" s="57">
        <v>1</v>
      </c>
      <c r="BX25" s="57">
        <v>24</v>
      </c>
      <c r="BY25" s="57">
        <v>35</v>
      </c>
      <c r="BZ25" s="57">
        <v>11</v>
      </c>
      <c r="CA25" s="58">
        <v>3.9</v>
      </c>
      <c r="CB25" s="58">
        <v>86.6</v>
      </c>
      <c r="CC25" s="58">
        <v>3.23</v>
      </c>
      <c r="CD25" s="58">
        <v>14.6</v>
      </c>
      <c r="CE25" s="57">
        <v>16</v>
      </c>
      <c r="CF25" s="57">
        <v>3060</v>
      </c>
      <c r="CG25" s="57">
        <v>6</v>
      </c>
      <c r="CH25" s="57"/>
      <c r="CI25" s="59">
        <v>22</v>
      </c>
      <c r="CJ25" s="56">
        <v>404</v>
      </c>
      <c r="CK25" s="57">
        <v>1799</v>
      </c>
      <c r="CL25" s="57">
        <v>5</v>
      </c>
      <c r="CM25" s="57">
        <v>19</v>
      </c>
      <c r="CN25" s="57">
        <v>82</v>
      </c>
      <c r="CO25" s="57">
        <v>20</v>
      </c>
      <c r="CP25" s="58">
        <v>4.9000000000000004</v>
      </c>
      <c r="CQ25" s="58">
        <v>92.4</v>
      </c>
      <c r="CR25" s="58">
        <v>3.89</v>
      </c>
      <c r="CS25" s="58">
        <v>30.2</v>
      </c>
      <c r="CT25" s="57">
        <v>115</v>
      </c>
      <c r="CU25" s="57">
        <v>1771</v>
      </c>
      <c r="CV25" s="57">
        <v>19</v>
      </c>
      <c r="CW25" s="57"/>
      <c r="CX25" s="59">
        <v>10</v>
      </c>
      <c r="CY25" s="56">
        <v>879</v>
      </c>
      <c r="CZ25" s="57">
        <v>2133</v>
      </c>
      <c r="DA25" s="57">
        <v>7</v>
      </c>
      <c r="DB25" s="57">
        <v>21</v>
      </c>
      <c r="DC25" s="57">
        <v>142</v>
      </c>
      <c r="DD25" s="57">
        <v>27</v>
      </c>
      <c r="DE25" s="58">
        <v>6.2</v>
      </c>
      <c r="DF25" s="58">
        <v>82.6</v>
      </c>
      <c r="DG25" s="58">
        <v>4.57</v>
      </c>
      <c r="DH25" s="58">
        <v>47.1</v>
      </c>
      <c r="DI25" s="57">
        <v>144</v>
      </c>
      <c r="DJ25" s="57">
        <v>2419</v>
      </c>
      <c r="DK25" s="57">
        <v>24</v>
      </c>
      <c r="DL25" s="57"/>
      <c r="DM25" s="59">
        <v>20</v>
      </c>
    </row>
    <row r="26" spans="1:117" ht="15.75" customHeight="1" x14ac:dyDescent="0.2">
      <c r="A26" s="33">
        <v>24</v>
      </c>
      <c r="B26" s="34" t="s">
        <v>318</v>
      </c>
      <c r="C26" s="116">
        <v>5.2055555555555548</v>
      </c>
      <c r="D26" s="117" t="s">
        <v>540</v>
      </c>
      <c r="E26" s="37">
        <v>3</v>
      </c>
      <c r="F26" s="118">
        <v>36162</v>
      </c>
      <c r="G26" s="119">
        <v>26.753424657534246</v>
      </c>
      <c r="H26" s="39" t="s">
        <v>469</v>
      </c>
      <c r="I26" s="119">
        <v>23.334246575342465</v>
      </c>
      <c r="J26" s="120">
        <v>71</v>
      </c>
      <c r="K26" s="120">
        <v>206</v>
      </c>
      <c r="L26" s="120">
        <v>4.43</v>
      </c>
      <c r="M26" s="40">
        <v>6</v>
      </c>
      <c r="N26" s="121">
        <v>7.985182136242025E-2</v>
      </c>
      <c r="O26" s="122">
        <v>0.12717828418230562</v>
      </c>
      <c r="P26" s="122">
        <v>9.6932723267242837E-2</v>
      </c>
      <c r="Q26" s="122">
        <v>0.14541547277936961</v>
      </c>
      <c r="R26" s="122">
        <v>0.18129545070184339</v>
      </c>
      <c r="S26" s="42">
        <v>0.18129545070184339</v>
      </c>
      <c r="T26" s="42">
        <v>0.16316590563165906</v>
      </c>
      <c r="U26" s="42">
        <v>0.14552804446690248</v>
      </c>
      <c r="V26" s="42">
        <v>0.10341188884980654</v>
      </c>
      <c r="W26" s="42">
        <v>0.12446996665835451</v>
      </c>
      <c r="X26" s="43">
        <v>0.11202296999251907</v>
      </c>
      <c r="Y26" s="44">
        <v>22.687671232876713</v>
      </c>
      <c r="Z26" s="170">
        <v>106.97500393738189</v>
      </c>
      <c r="AA26" s="45">
        <v>28.728030152747472</v>
      </c>
      <c r="AB26" s="45">
        <v>0.33333333333333331</v>
      </c>
      <c r="AC26" s="45">
        <v>5.2</v>
      </c>
      <c r="AD26" s="45">
        <v>118.5</v>
      </c>
      <c r="AE26" s="45">
        <v>3.42</v>
      </c>
      <c r="AF26" s="45">
        <v>41.5</v>
      </c>
      <c r="AG26" s="128">
        <v>2</v>
      </c>
      <c r="AH26" s="49">
        <v>9</v>
      </c>
      <c r="AI26" s="49">
        <v>0</v>
      </c>
      <c r="AJ26" s="49">
        <v>8</v>
      </c>
      <c r="AK26" s="49">
        <v>9</v>
      </c>
      <c r="AL26" s="49">
        <v>1</v>
      </c>
      <c r="AM26" s="49">
        <v>6</v>
      </c>
      <c r="AN26" s="49">
        <v>1</v>
      </c>
      <c r="AO26" s="49">
        <v>2</v>
      </c>
      <c r="AP26" s="50">
        <v>0</v>
      </c>
      <c r="AQ26" s="56">
        <v>121</v>
      </c>
      <c r="AR26" s="57">
        <v>1407</v>
      </c>
      <c r="AS26" s="57">
        <v>1</v>
      </c>
      <c r="AT26" s="57">
        <v>10</v>
      </c>
      <c r="AU26" s="57">
        <v>23</v>
      </c>
      <c r="AV26" s="57">
        <v>6</v>
      </c>
      <c r="AW26" s="58">
        <v>5.3</v>
      </c>
      <c r="AX26" s="58">
        <v>74.5</v>
      </c>
      <c r="AY26" s="58">
        <v>2.91</v>
      </c>
      <c r="AZ26" s="58">
        <v>47.1</v>
      </c>
      <c r="BA26" s="57">
        <v>267</v>
      </c>
      <c r="BB26" s="57">
        <v>3452</v>
      </c>
      <c r="BC26" s="57">
        <v>20</v>
      </c>
      <c r="BD26" s="57"/>
      <c r="BE26" s="59">
        <v>23</v>
      </c>
      <c r="BF26" s="56">
        <v>411</v>
      </c>
      <c r="BG26" s="57">
        <v>2198</v>
      </c>
      <c r="BH26" s="57">
        <v>1</v>
      </c>
      <c r="BI26" s="57">
        <v>25</v>
      </c>
      <c r="BJ26" s="57">
        <v>69</v>
      </c>
      <c r="BK26" s="57">
        <v>27</v>
      </c>
      <c r="BL26" s="58">
        <v>6</v>
      </c>
      <c r="BM26" s="58">
        <v>136.80000000000001</v>
      </c>
      <c r="BN26" s="58">
        <v>3.94</v>
      </c>
      <c r="BO26" s="58">
        <v>47</v>
      </c>
      <c r="BP26" s="57">
        <v>348</v>
      </c>
      <c r="BQ26" s="57">
        <v>3770</v>
      </c>
      <c r="BR26" s="57">
        <v>7</v>
      </c>
      <c r="BS26" s="57"/>
      <c r="BT26" s="59">
        <v>22</v>
      </c>
      <c r="BU26" s="56">
        <v>255</v>
      </c>
      <c r="BV26" s="57">
        <v>2330</v>
      </c>
      <c r="BW26" s="57">
        <v>3</v>
      </c>
      <c r="BX26" s="57">
        <v>35</v>
      </c>
      <c r="BY26" s="57">
        <v>53</v>
      </c>
      <c r="BZ26" s="57">
        <v>15</v>
      </c>
      <c r="CA26" s="58">
        <v>4.8</v>
      </c>
      <c r="CB26" s="58">
        <v>63.3</v>
      </c>
      <c r="CC26" s="58">
        <v>2.57</v>
      </c>
      <c r="CD26" s="58">
        <v>51.4</v>
      </c>
      <c r="CE26" s="57">
        <v>317</v>
      </c>
      <c r="CF26" s="57">
        <v>3571</v>
      </c>
      <c r="CG26" s="57">
        <v>24</v>
      </c>
      <c r="CH26" s="57"/>
      <c r="CI26" s="59">
        <v>24</v>
      </c>
      <c r="CJ26" s="56">
        <v>118</v>
      </c>
      <c r="CK26" s="57">
        <v>813</v>
      </c>
      <c r="CL26" s="57">
        <v>1</v>
      </c>
      <c r="CM26" s="57">
        <v>8</v>
      </c>
      <c r="CN26" s="57">
        <v>51</v>
      </c>
      <c r="CO26" s="57">
        <v>14</v>
      </c>
      <c r="CP26" s="58">
        <v>2.2999999999999998</v>
      </c>
      <c r="CQ26" s="58">
        <v>69.8</v>
      </c>
      <c r="CR26" s="58">
        <v>2.04</v>
      </c>
      <c r="CS26" s="58">
        <v>0</v>
      </c>
      <c r="CT26" s="57">
        <v>288</v>
      </c>
      <c r="CU26" s="57">
        <v>1979</v>
      </c>
      <c r="CV26" s="57">
        <v>25</v>
      </c>
      <c r="CW26" s="57"/>
      <c r="CX26" s="59">
        <v>14</v>
      </c>
      <c r="CY26" s="56">
        <v>778</v>
      </c>
      <c r="CZ26" s="57">
        <v>3070</v>
      </c>
      <c r="DA26" s="57">
        <v>2</v>
      </c>
      <c r="DB26" s="57">
        <v>29</v>
      </c>
      <c r="DC26" s="57">
        <v>150</v>
      </c>
      <c r="DD26" s="57">
        <v>50</v>
      </c>
      <c r="DE26" s="58">
        <v>5.2</v>
      </c>
      <c r="DF26" s="58">
        <v>118.5</v>
      </c>
      <c r="DG26" s="58">
        <v>3.42</v>
      </c>
      <c r="DH26" s="58">
        <v>41.5</v>
      </c>
      <c r="DI26" s="57">
        <v>294</v>
      </c>
      <c r="DJ26" s="57">
        <v>2843</v>
      </c>
      <c r="DK26" s="57">
        <v>26</v>
      </c>
      <c r="DL26" s="57"/>
      <c r="DM26" s="59">
        <v>24</v>
      </c>
    </row>
    <row r="27" spans="1:117" ht="15.75" customHeight="1" x14ac:dyDescent="0.2">
      <c r="A27" s="33">
        <v>25</v>
      </c>
      <c r="B27" s="34" t="s">
        <v>323</v>
      </c>
      <c r="C27" s="116">
        <v>4.8555555555555561</v>
      </c>
      <c r="D27" s="117" t="s">
        <v>407</v>
      </c>
      <c r="E27" s="37">
        <v>1</v>
      </c>
      <c r="F27" s="118">
        <v>36150</v>
      </c>
      <c r="G27" s="119">
        <v>26.786301369863015</v>
      </c>
      <c r="H27" s="39" t="s">
        <v>469</v>
      </c>
      <c r="I27" s="119">
        <v>23.367123287671234</v>
      </c>
      <c r="J27" s="120">
        <v>72</v>
      </c>
      <c r="K27" s="120">
        <v>206</v>
      </c>
      <c r="L27" s="120">
        <v>4.63</v>
      </c>
      <c r="M27" s="40">
        <v>0</v>
      </c>
      <c r="N27" s="121">
        <v>0</v>
      </c>
      <c r="O27" s="122">
        <v>0</v>
      </c>
      <c r="P27" s="122">
        <v>0</v>
      </c>
      <c r="Q27" s="122">
        <v>1.3235708251196845E-2</v>
      </c>
      <c r="R27" s="122">
        <v>0.17639015496809479</v>
      </c>
      <c r="S27" s="42">
        <v>0.17639015496809479</v>
      </c>
      <c r="T27" s="42">
        <v>0.17639015496809479</v>
      </c>
      <c r="U27" s="42">
        <v>-4.2735042735042739E-3</v>
      </c>
      <c r="V27" s="42">
        <v>8.2982791586998089E-2</v>
      </c>
      <c r="W27" s="42">
        <v>8.2982791586998089E-2</v>
      </c>
      <c r="X27" s="43">
        <v>8.2982791586998089E-2</v>
      </c>
      <c r="Y27" s="44">
        <v>22.720547945205478</v>
      </c>
      <c r="Z27" s="170">
        <v>89.65473928370362</v>
      </c>
      <c r="AA27" s="45">
        <v>27.935570987654323</v>
      </c>
      <c r="AB27" s="45">
        <v>0.3258426966292135</v>
      </c>
      <c r="AC27" s="45">
        <v>6.3</v>
      </c>
      <c r="AD27" s="45">
        <v>153.6</v>
      </c>
      <c r="AE27" s="45">
        <v>4.6100000000000003</v>
      </c>
      <c r="AF27" s="45">
        <v>51.2</v>
      </c>
      <c r="AG27" s="128">
        <v>3</v>
      </c>
      <c r="AH27" s="49">
        <v>8</v>
      </c>
      <c r="AI27" s="49">
        <v>0</v>
      </c>
      <c r="AJ27" s="49">
        <v>2</v>
      </c>
      <c r="AK27" s="49">
        <v>9</v>
      </c>
      <c r="AL27" s="49">
        <v>5</v>
      </c>
      <c r="AM27" s="49">
        <v>8</v>
      </c>
      <c r="AN27" s="49">
        <v>7</v>
      </c>
      <c r="AO27" s="49">
        <v>0</v>
      </c>
      <c r="AP27" s="50">
        <v>0</v>
      </c>
      <c r="AQ27" s="56">
        <v>0</v>
      </c>
      <c r="AR27" s="57">
        <v>1588</v>
      </c>
      <c r="AS27" s="57">
        <v>0</v>
      </c>
      <c r="AT27" s="57">
        <v>16</v>
      </c>
      <c r="AU27" s="57">
        <v>0</v>
      </c>
      <c r="AV27" s="57">
        <v>0</v>
      </c>
      <c r="AW27" s="58">
        <v>0</v>
      </c>
      <c r="AX27" s="58">
        <v>0</v>
      </c>
      <c r="AY27" s="58">
        <v>0</v>
      </c>
      <c r="AZ27" s="58">
        <v>0</v>
      </c>
      <c r="BA27" s="57">
        <v>0</v>
      </c>
      <c r="BB27" s="57">
        <v>2794</v>
      </c>
      <c r="BC27" s="57">
        <v>0</v>
      </c>
      <c r="BD27" s="57"/>
      <c r="BE27" s="59">
        <v>18</v>
      </c>
      <c r="BF27" s="56">
        <v>0</v>
      </c>
      <c r="BG27" s="57">
        <v>1986</v>
      </c>
      <c r="BH27" s="57">
        <v>0</v>
      </c>
      <c r="BI27" s="57">
        <v>15</v>
      </c>
      <c r="BJ27" s="57">
        <v>0</v>
      </c>
      <c r="BK27" s="57">
        <v>0</v>
      </c>
      <c r="BL27" s="58">
        <v>0</v>
      </c>
      <c r="BM27" s="58">
        <v>0</v>
      </c>
      <c r="BN27" s="58">
        <v>0</v>
      </c>
      <c r="BO27" s="58">
        <v>0</v>
      </c>
      <c r="BP27" s="57">
        <v>0</v>
      </c>
      <c r="BQ27" s="57">
        <v>3547</v>
      </c>
      <c r="BR27" s="57">
        <v>0</v>
      </c>
      <c r="BS27" s="57"/>
      <c r="BT27" s="59">
        <v>32</v>
      </c>
      <c r="BU27" s="56">
        <v>0</v>
      </c>
      <c r="BV27" s="57">
        <v>1796</v>
      </c>
      <c r="BW27" s="57">
        <v>0</v>
      </c>
      <c r="BX27" s="57">
        <v>18</v>
      </c>
      <c r="BY27" s="57">
        <v>0</v>
      </c>
      <c r="BZ27" s="57">
        <v>0</v>
      </c>
      <c r="CA27" s="58">
        <v>0</v>
      </c>
      <c r="CB27" s="58">
        <v>0</v>
      </c>
      <c r="CC27" s="58">
        <v>0</v>
      </c>
      <c r="CD27" s="58">
        <v>0</v>
      </c>
      <c r="CE27" s="57">
        <v>0</v>
      </c>
      <c r="CF27" s="57">
        <v>2667</v>
      </c>
      <c r="CG27" s="57">
        <v>0</v>
      </c>
      <c r="CH27" s="57"/>
      <c r="CI27" s="59">
        <v>12</v>
      </c>
      <c r="CJ27" s="56">
        <v>55</v>
      </c>
      <c r="CK27" s="57">
        <v>1679</v>
      </c>
      <c r="CL27" s="57">
        <v>0</v>
      </c>
      <c r="CM27" s="57">
        <v>21</v>
      </c>
      <c r="CN27" s="57">
        <v>16</v>
      </c>
      <c r="CO27" s="57">
        <v>3</v>
      </c>
      <c r="CP27" s="58">
        <v>3.4</v>
      </c>
      <c r="CQ27" s="58">
        <v>47.9</v>
      </c>
      <c r="CR27" s="58">
        <v>2.88</v>
      </c>
      <c r="CS27" s="58">
        <v>38.200000000000003</v>
      </c>
      <c r="CT27" s="57">
        <v>-8</v>
      </c>
      <c r="CU27" s="57">
        <v>1872</v>
      </c>
      <c r="CV27" s="57">
        <v>2</v>
      </c>
      <c r="CW27" s="57"/>
      <c r="CX27" s="59">
        <v>8</v>
      </c>
      <c r="CY27" s="56">
        <v>557</v>
      </c>
      <c r="CZ27" s="57">
        <v>1773</v>
      </c>
      <c r="DA27" s="57">
        <v>2</v>
      </c>
      <c r="DB27" s="57">
        <v>9</v>
      </c>
      <c r="DC27" s="57">
        <v>89</v>
      </c>
      <c r="DD27" s="57">
        <v>29</v>
      </c>
      <c r="DE27" s="58">
        <v>6.3</v>
      </c>
      <c r="DF27" s="58">
        <v>153.6</v>
      </c>
      <c r="DG27" s="58">
        <v>4.6100000000000003</v>
      </c>
      <c r="DH27" s="58">
        <v>51.2</v>
      </c>
      <c r="DI27" s="57">
        <v>217</v>
      </c>
      <c r="DJ27" s="57">
        <v>2615</v>
      </c>
      <c r="DK27" s="57">
        <v>19</v>
      </c>
      <c r="DL27" s="57"/>
      <c r="DM27" s="59">
        <v>22</v>
      </c>
    </row>
    <row r="28" spans="1:117" ht="15.75" customHeight="1" x14ac:dyDescent="0.2">
      <c r="A28" s="33">
        <v>26</v>
      </c>
      <c r="B28" s="34" t="s">
        <v>331</v>
      </c>
      <c r="C28" s="116">
        <v>4.5333333333333332</v>
      </c>
      <c r="D28" s="117" t="s">
        <v>493</v>
      </c>
      <c r="E28" s="37">
        <v>3</v>
      </c>
      <c r="F28" s="118">
        <v>36076</v>
      </c>
      <c r="G28" s="119">
        <v>26.989041095890411</v>
      </c>
      <c r="H28" s="39" t="s">
        <v>498</v>
      </c>
      <c r="I28" s="119">
        <v>23.56986301369863</v>
      </c>
      <c r="J28" s="120">
        <v>71</v>
      </c>
      <c r="K28" s="120">
        <v>209</v>
      </c>
      <c r="L28" s="120">
        <v>4.59</v>
      </c>
      <c r="M28" s="40">
        <v>0</v>
      </c>
      <c r="N28" s="121">
        <v>0</v>
      </c>
      <c r="O28" s="122">
        <v>0</v>
      </c>
      <c r="P28" s="122">
        <v>0.14481201009698419</v>
      </c>
      <c r="Q28" s="122">
        <v>0</v>
      </c>
      <c r="R28" s="122">
        <v>0.22650520211495823</v>
      </c>
      <c r="S28" s="42">
        <v>0.22650520211495823</v>
      </c>
      <c r="T28" s="42">
        <v>0.2038546819034624</v>
      </c>
      <c r="U28" s="42">
        <v>0</v>
      </c>
      <c r="V28" s="42">
        <v>2.1313868613138685E-2</v>
      </c>
      <c r="W28" s="42">
        <v>2.1313868613138685E-2</v>
      </c>
      <c r="X28" s="43">
        <v>1.9182481751824819E-2</v>
      </c>
      <c r="Y28" s="44">
        <v>22.923287671232877</v>
      </c>
      <c r="Z28" s="170">
        <v>94.172812212548834</v>
      </c>
      <c r="AA28" s="45">
        <v>29.146399523903987</v>
      </c>
      <c r="AB28" s="45">
        <v>0.30456852791878175</v>
      </c>
      <c r="AC28" s="45">
        <v>6.4</v>
      </c>
      <c r="AD28" s="45">
        <v>118.9</v>
      </c>
      <c r="AE28" s="45">
        <v>3.95</v>
      </c>
      <c r="AF28" s="45">
        <v>52.7</v>
      </c>
      <c r="AG28" s="128">
        <v>4</v>
      </c>
      <c r="AH28" s="49">
        <v>1</v>
      </c>
      <c r="AI28" s="49">
        <v>0</v>
      </c>
      <c r="AJ28" s="49">
        <v>2</v>
      </c>
      <c r="AK28" s="49">
        <v>8</v>
      </c>
      <c r="AL28" s="49">
        <v>6</v>
      </c>
      <c r="AM28" s="49">
        <v>6</v>
      </c>
      <c r="AN28" s="49">
        <v>4</v>
      </c>
      <c r="AO28" s="49">
        <v>0</v>
      </c>
      <c r="AP28" s="50">
        <v>0.5</v>
      </c>
      <c r="AQ28" s="56">
        <v>0</v>
      </c>
      <c r="AR28" s="57">
        <v>2293</v>
      </c>
      <c r="AS28" s="57">
        <v>0</v>
      </c>
      <c r="AT28" s="57">
        <v>35</v>
      </c>
      <c r="AU28" s="57">
        <v>0</v>
      </c>
      <c r="AV28" s="57">
        <v>0</v>
      </c>
      <c r="AW28" s="58">
        <v>0</v>
      </c>
      <c r="AX28" s="58">
        <v>0</v>
      </c>
      <c r="AY28" s="58">
        <v>0</v>
      </c>
      <c r="AZ28" s="58">
        <v>0</v>
      </c>
      <c r="BA28" s="57">
        <v>0</v>
      </c>
      <c r="BB28" s="57">
        <v>3580</v>
      </c>
      <c r="BC28" s="57">
        <v>0</v>
      </c>
      <c r="BD28" s="57"/>
      <c r="BE28" s="59">
        <v>17</v>
      </c>
      <c r="BF28" s="56">
        <v>0</v>
      </c>
      <c r="BG28" s="57">
        <v>1858</v>
      </c>
      <c r="BH28" s="57">
        <v>0</v>
      </c>
      <c r="BI28" s="57">
        <v>27</v>
      </c>
      <c r="BJ28" s="57">
        <v>119</v>
      </c>
      <c r="BK28" s="57">
        <v>37</v>
      </c>
      <c r="BL28" s="58">
        <v>0</v>
      </c>
      <c r="BM28" s="58">
        <v>0</v>
      </c>
      <c r="BN28" s="58">
        <v>0</v>
      </c>
      <c r="BO28" s="58">
        <v>0</v>
      </c>
      <c r="BP28" s="57">
        <v>0</v>
      </c>
      <c r="BQ28" s="57">
        <v>4071</v>
      </c>
      <c r="BR28" s="57">
        <v>0</v>
      </c>
      <c r="BS28" s="57"/>
      <c r="BT28" s="59">
        <v>25</v>
      </c>
      <c r="BU28" s="56">
        <v>1011</v>
      </c>
      <c r="BV28" s="57">
        <v>3363</v>
      </c>
      <c r="BW28" s="57">
        <v>6</v>
      </c>
      <c r="BX28" s="57">
        <v>15</v>
      </c>
      <c r="BY28" s="57">
        <v>155</v>
      </c>
      <c r="BZ28" s="57">
        <v>51</v>
      </c>
      <c r="CA28" s="58">
        <v>6.5</v>
      </c>
      <c r="CB28" s="58">
        <v>118.1</v>
      </c>
      <c r="CC28" s="58">
        <v>3.54</v>
      </c>
      <c r="CD28" s="58">
        <v>39.200000000000003</v>
      </c>
      <c r="CE28" s="57">
        <v>79</v>
      </c>
      <c r="CF28" s="57">
        <v>4164</v>
      </c>
      <c r="CG28" s="57">
        <v>10</v>
      </c>
      <c r="CH28" s="57"/>
      <c r="CI28" s="59">
        <v>15</v>
      </c>
      <c r="CJ28" s="56">
        <v>0</v>
      </c>
      <c r="CK28" s="57">
        <v>1471</v>
      </c>
      <c r="CL28" s="57">
        <v>0</v>
      </c>
      <c r="CM28" s="57">
        <v>21</v>
      </c>
      <c r="CN28" s="57">
        <v>0</v>
      </c>
      <c r="CO28" s="57">
        <v>0</v>
      </c>
      <c r="CP28" s="58">
        <v>0</v>
      </c>
      <c r="CQ28" s="58">
        <v>0</v>
      </c>
      <c r="CR28" s="58">
        <v>0</v>
      </c>
      <c r="CS28" s="58">
        <v>0</v>
      </c>
      <c r="CT28" s="57">
        <v>0</v>
      </c>
      <c r="CU28" s="57">
        <v>3155</v>
      </c>
      <c r="CV28" s="57">
        <v>0</v>
      </c>
      <c r="CW28" s="57"/>
      <c r="CX28" s="59">
        <v>25</v>
      </c>
      <c r="CY28" s="56">
        <v>1255</v>
      </c>
      <c r="CZ28" s="57">
        <v>2438</v>
      </c>
      <c r="DA28" s="57">
        <v>13</v>
      </c>
      <c r="DB28" s="57">
        <v>29</v>
      </c>
      <c r="DC28" s="57">
        <v>197</v>
      </c>
      <c r="DD28" s="57">
        <v>60</v>
      </c>
      <c r="DE28" s="58">
        <v>6.4</v>
      </c>
      <c r="DF28" s="58">
        <v>118.9</v>
      </c>
      <c r="DG28" s="58">
        <v>3.95</v>
      </c>
      <c r="DH28" s="58">
        <v>52.7</v>
      </c>
      <c r="DI28" s="57">
        <v>73</v>
      </c>
      <c r="DJ28" s="57">
        <v>3425</v>
      </c>
      <c r="DK28" s="57">
        <v>9</v>
      </c>
      <c r="DL28" s="57"/>
      <c r="DM28" s="59">
        <v>32</v>
      </c>
    </row>
    <row r="29" spans="1:117" ht="15.75" customHeight="1" x14ac:dyDescent="0.2">
      <c r="A29" s="33">
        <v>27</v>
      </c>
      <c r="B29" s="34" t="s">
        <v>345</v>
      </c>
      <c r="C29" s="116">
        <v>4.0555555555555554</v>
      </c>
      <c r="D29" s="117" t="s">
        <v>521</v>
      </c>
      <c r="E29" s="37">
        <v>2</v>
      </c>
      <c r="F29" s="118">
        <v>36221</v>
      </c>
      <c r="G29" s="119">
        <v>26.591780821917808</v>
      </c>
      <c r="H29" s="39" t="s">
        <v>389</v>
      </c>
      <c r="I29" s="119">
        <v>23.172602739726027</v>
      </c>
      <c r="J29" s="120">
        <v>70</v>
      </c>
      <c r="K29" s="120">
        <v>216</v>
      </c>
      <c r="L29" s="120">
        <v>4.37</v>
      </c>
      <c r="M29" s="40">
        <v>7</v>
      </c>
      <c r="N29" s="121">
        <v>0</v>
      </c>
      <c r="O29" s="122">
        <v>0.17464788732394365</v>
      </c>
      <c r="P29" s="122">
        <v>0.24778761061946902</v>
      </c>
      <c r="Q29" s="122">
        <v>0.21264744429882046</v>
      </c>
      <c r="R29" s="122">
        <v>0.1685700099304866</v>
      </c>
      <c r="S29" s="42">
        <v>0.20817881027497781</v>
      </c>
      <c r="T29" s="42">
        <v>0.20817881027497781</v>
      </c>
      <c r="U29" s="42">
        <v>7.3225265511458915E-2</v>
      </c>
      <c r="V29" s="42">
        <v>1.1215791834903545E-2</v>
      </c>
      <c r="W29" s="42">
        <v>4.2220528673181226E-2</v>
      </c>
      <c r="X29" s="43">
        <v>4.2220528673181226E-2</v>
      </c>
      <c r="Y29" s="44">
        <v>19.515068493150686</v>
      </c>
      <c r="Z29" s="170">
        <v>118.45625517769119</v>
      </c>
      <c r="AA29" s="45">
        <v>30.98938775510204</v>
      </c>
      <c r="AB29" s="45">
        <v>0.15517241379310345</v>
      </c>
      <c r="AC29" s="45">
        <v>4.5</v>
      </c>
      <c r="AD29" s="45">
        <v>47.3</v>
      </c>
      <c r="AE29" s="45">
        <v>3.31</v>
      </c>
      <c r="AF29" s="45">
        <v>44</v>
      </c>
      <c r="AG29" s="128">
        <v>4</v>
      </c>
      <c r="AH29" s="49">
        <v>4</v>
      </c>
      <c r="AI29" s="49">
        <v>6</v>
      </c>
      <c r="AJ29" s="49">
        <v>10</v>
      </c>
      <c r="AK29" s="49">
        <v>1</v>
      </c>
      <c r="AL29" s="49">
        <v>0</v>
      </c>
      <c r="AM29" s="49">
        <v>0</v>
      </c>
      <c r="AN29" s="49">
        <v>1</v>
      </c>
      <c r="AO29" s="49">
        <v>1</v>
      </c>
      <c r="AP29" s="50">
        <v>0</v>
      </c>
      <c r="AQ29" s="56">
        <v>0</v>
      </c>
      <c r="AR29" s="57">
        <v>1765</v>
      </c>
      <c r="AS29" s="57">
        <v>0</v>
      </c>
      <c r="AT29" s="57">
        <v>19</v>
      </c>
      <c r="AU29" s="57">
        <v>0</v>
      </c>
      <c r="AV29" s="57">
        <v>0</v>
      </c>
      <c r="AW29" s="58">
        <v>0</v>
      </c>
      <c r="AX29" s="58">
        <v>0</v>
      </c>
      <c r="AY29" s="58">
        <v>0</v>
      </c>
      <c r="AZ29" s="58">
        <v>0</v>
      </c>
      <c r="BA29" s="57">
        <v>0</v>
      </c>
      <c r="BB29" s="57">
        <v>1387</v>
      </c>
      <c r="BC29" s="57">
        <v>0</v>
      </c>
      <c r="BD29" s="57"/>
      <c r="BE29" s="59">
        <v>7</v>
      </c>
      <c r="BF29" s="56">
        <v>551</v>
      </c>
      <c r="BG29" s="57">
        <v>1609</v>
      </c>
      <c r="BH29" s="57">
        <v>3</v>
      </c>
      <c r="BI29" s="57">
        <v>12</v>
      </c>
      <c r="BJ29" s="57">
        <v>111</v>
      </c>
      <c r="BK29" s="57">
        <v>10</v>
      </c>
      <c r="BL29" s="58">
        <v>5</v>
      </c>
      <c r="BM29" s="58">
        <v>24.4</v>
      </c>
      <c r="BN29" s="58">
        <v>2.73</v>
      </c>
      <c r="BO29" s="58">
        <v>31.4</v>
      </c>
      <c r="BP29" s="57">
        <v>7</v>
      </c>
      <c r="BQ29" s="57">
        <v>1586</v>
      </c>
      <c r="BR29" s="57">
        <v>0</v>
      </c>
      <c r="BS29" s="57"/>
      <c r="BT29" s="59">
        <v>5</v>
      </c>
      <c r="BU29" s="56">
        <v>729</v>
      </c>
      <c r="BV29" s="57">
        <v>1605</v>
      </c>
      <c r="BW29" s="57">
        <v>7</v>
      </c>
      <c r="BX29" s="57">
        <v>11</v>
      </c>
      <c r="BY29" s="57">
        <v>169</v>
      </c>
      <c r="BZ29" s="57">
        <v>24</v>
      </c>
      <c r="CA29" s="58">
        <v>4.3</v>
      </c>
      <c r="CB29" s="58">
        <v>47.3</v>
      </c>
      <c r="CC29" s="58">
        <v>3.31</v>
      </c>
      <c r="CD29" s="58">
        <v>29.4</v>
      </c>
      <c r="CE29" s="57">
        <v>83</v>
      </c>
      <c r="CF29" s="57">
        <v>1672</v>
      </c>
      <c r="CG29" s="57">
        <v>13</v>
      </c>
      <c r="CH29" s="57"/>
      <c r="CI29" s="59">
        <v>7</v>
      </c>
      <c r="CJ29" s="56">
        <v>518</v>
      </c>
      <c r="CK29" s="57">
        <v>1263</v>
      </c>
      <c r="CL29" s="57">
        <v>3</v>
      </c>
      <c r="CM29" s="57">
        <v>13</v>
      </c>
      <c r="CN29" s="57">
        <v>116</v>
      </c>
      <c r="CO29" s="57">
        <v>18</v>
      </c>
      <c r="CP29" s="58">
        <v>4.5</v>
      </c>
      <c r="CQ29" s="58">
        <v>44.3</v>
      </c>
      <c r="CR29" s="58">
        <v>2.99</v>
      </c>
      <c r="CS29" s="58">
        <v>44</v>
      </c>
      <c r="CT29" s="57">
        <v>131</v>
      </c>
      <c r="CU29" s="57">
        <v>1789</v>
      </c>
      <c r="CV29" s="57">
        <v>19</v>
      </c>
      <c r="CW29" s="57"/>
      <c r="CX29" s="59">
        <v>14</v>
      </c>
      <c r="CY29" s="56">
        <v>654</v>
      </c>
      <c r="CZ29" s="57">
        <v>1799</v>
      </c>
      <c r="DA29" s="57">
        <v>5</v>
      </c>
      <c r="DB29" s="57">
        <v>20</v>
      </c>
      <c r="DC29" s="57">
        <v>166</v>
      </c>
      <c r="DD29" s="57">
        <v>12</v>
      </c>
      <c r="DE29" s="58">
        <v>3.9</v>
      </c>
      <c r="DF29" s="58">
        <v>24</v>
      </c>
      <c r="DG29" s="58">
        <v>2.87</v>
      </c>
      <c r="DH29" s="58">
        <v>24.6</v>
      </c>
      <c r="DI29" s="57">
        <v>25</v>
      </c>
      <c r="DJ29" s="57">
        <v>2229</v>
      </c>
      <c r="DK29" s="57">
        <v>13</v>
      </c>
      <c r="DL29" s="57"/>
      <c r="DM29" s="59">
        <v>9</v>
      </c>
    </row>
    <row r="30" spans="1:117" ht="15.75" customHeight="1" x14ac:dyDescent="0.2">
      <c r="A30" s="33">
        <v>28</v>
      </c>
      <c r="B30" s="34" t="s">
        <v>339</v>
      </c>
      <c r="C30" s="116">
        <v>4.0333333333333332</v>
      </c>
      <c r="D30" s="117" t="s">
        <v>452</v>
      </c>
      <c r="E30" s="37">
        <v>5</v>
      </c>
      <c r="F30" s="118">
        <v>35713</v>
      </c>
      <c r="G30" s="119">
        <v>27.983561643835618</v>
      </c>
      <c r="H30" s="39" t="s">
        <v>469</v>
      </c>
      <c r="I30" s="119">
        <v>24.564383561643837</v>
      </c>
      <c r="J30" s="120">
        <v>73</v>
      </c>
      <c r="K30" s="120">
        <v>205</v>
      </c>
      <c r="L30" s="120">
        <v>4.6900000000000004</v>
      </c>
      <c r="M30" s="40">
        <v>7</v>
      </c>
      <c r="N30" s="121">
        <v>0.20315442561205274</v>
      </c>
      <c r="O30" s="122">
        <v>8.2657702194977256E-2</v>
      </c>
      <c r="P30" s="122">
        <v>1.7441860465116279E-2</v>
      </c>
      <c r="Q30" s="122">
        <v>0.1543194683731233</v>
      </c>
      <c r="R30" s="122">
        <v>0.14067220543806647</v>
      </c>
      <c r="S30" s="42">
        <v>0.17191331552505962</v>
      </c>
      <c r="T30" s="42">
        <v>0.14612631819630068</v>
      </c>
      <c r="U30" s="42">
        <v>3.429971416904859E-2</v>
      </c>
      <c r="V30" s="42">
        <v>4.7531319086219603E-2</v>
      </c>
      <c r="W30" s="42">
        <v>4.7531319086219603E-2</v>
      </c>
      <c r="X30" s="43">
        <v>4.0401621223286659E-2</v>
      </c>
      <c r="Y30" s="44">
        <v>19.904109589041095</v>
      </c>
      <c r="Z30" s="170">
        <v>84.740785598969893</v>
      </c>
      <c r="AA30" s="45">
        <v>27.043535372490147</v>
      </c>
      <c r="AB30" s="45">
        <v>0.22549019607843138</v>
      </c>
      <c r="AC30" s="45">
        <v>6.6</v>
      </c>
      <c r="AD30" s="45">
        <v>98</v>
      </c>
      <c r="AE30" s="45">
        <v>4.79</v>
      </c>
      <c r="AF30" s="45">
        <v>52.1</v>
      </c>
      <c r="AG30" s="128">
        <v>1</v>
      </c>
      <c r="AH30" s="49">
        <v>4</v>
      </c>
      <c r="AI30" s="49">
        <v>5</v>
      </c>
      <c r="AJ30" s="49">
        <v>0</v>
      </c>
      <c r="AK30" s="49">
        <v>5</v>
      </c>
      <c r="AL30" s="49">
        <v>6</v>
      </c>
      <c r="AM30" s="49">
        <v>4</v>
      </c>
      <c r="AN30" s="49">
        <v>8</v>
      </c>
      <c r="AO30" s="49">
        <v>1</v>
      </c>
      <c r="AP30" s="50">
        <v>0</v>
      </c>
      <c r="AQ30" s="56">
        <v>702</v>
      </c>
      <c r="AR30" s="57">
        <v>1474</v>
      </c>
      <c r="AS30" s="57">
        <v>7</v>
      </c>
      <c r="AT30" s="57">
        <v>19</v>
      </c>
      <c r="AU30" s="57">
        <v>131</v>
      </c>
      <c r="AV30" s="57">
        <v>26</v>
      </c>
      <c r="AW30" s="58">
        <v>5.4</v>
      </c>
      <c r="AX30" s="58">
        <v>56</v>
      </c>
      <c r="AY30" s="58">
        <v>3.01</v>
      </c>
      <c r="AZ30" s="58">
        <v>34.6</v>
      </c>
      <c r="BA30" s="57">
        <v>161</v>
      </c>
      <c r="BB30" s="57">
        <v>2774</v>
      </c>
      <c r="BC30" s="57">
        <v>14</v>
      </c>
      <c r="BD30" s="57"/>
      <c r="BE30" s="59">
        <v>16</v>
      </c>
      <c r="BF30" s="56">
        <v>374</v>
      </c>
      <c r="BG30" s="57">
        <v>1858</v>
      </c>
      <c r="BH30" s="57">
        <v>3</v>
      </c>
      <c r="BI30" s="57">
        <v>20</v>
      </c>
      <c r="BJ30" s="57">
        <v>79</v>
      </c>
      <c r="BK30" s="57">
        <v>13</v>
      </c>
      <c r="BL30" s="58">
        <v>4.7</v>
      </c>
      <c r="BM30" s="58">
        <v>44.2</v>
      </c>
      <c r="BN30" s="58">
        <v>2.72</v>
      </c>
      <c r="BO30" s="58">
        <v>30.7</v>
      </c>
      <c r="BP30" s="57">
        <v>44</v>
      </c>
      <c r="BQ30" s="57">
        <v>3199</v>
      </c>
      <c r="BR30" s="57">
        <v>0</v>
      </c>
      <c r="BS30" s="57"/>
      <c r="BT30" s="59">
        <v>31</v>
      </c>
      <c r="BU30" s="56">
        <v>56</v>
      </c>
      <c r="BV30" s="57">
        <v>1804</v>
      </c>
      <c r="BW30" s="57">
        <v>0</v>
      </c>
      <c r="BX30" s="57">
        <v>16</v>
      </c>
      <c r="BY30" s="57">
        <v>12</v>
      </c>
      <c r="BZ30" s="57">
        <v>3</v>
      </c>
      <c r="CA30" s="58">
        <v>4.7</v>
      </c>
      <c r="CB30" s="58">
        <v>73.8</v>
      </c>
      <c r="CC30" s="58">
        <v>2.58</v>
      </c>
      <c r="CD30" s="58">
        <v>28.6</v>
      </c>
      <c r="CE30" s="57">
        <v>13</v>
      </c>
      <c r="CF30" s="57">
        <v>2152</v>
      </c>
      <c r="CG30" s="57">
        <v>2</v>
      </c>
      <c r="CH30" s="57"/>
      <c r="CI30" s="59">
        <v>18</v>
      </c>
      <c r="CJ30" s="56">
        <v>543</v>
      </c>
      <c r="CK30" s="57">
        <v>1614</v>
      </c>
      <c r="CL30" s="57">
        <v>4</v>
      </c>
      <c r="CM30" s="57">
        <v>13</v>
      </c>
      <c r="CN30" s="57">
        <v>82</v>
      </c>
      <c r="CO30" s="57">
        <v>16</v>
      </c>
      <c r="CP30" s="58">
        <v>6.6</v>
      </c>
      <c r="CQ30" s="58">
        <v>98</v>
      </c>
      <c r="CR30" s="58">
        <v>4.79</v>
      </c>
      <c r="CS30" s="58">
        <v>52.1</v>
      </c>
      <c r="CT30" s="57">
        <v>84</v>
      </c>
      <c r="CU30" s="57">
        <v>2449</v>
      </c>
      <c r="CV30" s="57">
        <v>6</v>
      </c>
      <c r="CW30" s="57"/>
      <c r="CX30" s="59">
        <v>11</v>
      </c>
      <c r="CY30" s="56">
        <v>616</v>
      </c>
      <c r="CZ30" s="57">
        <v>2582</v>
      </c>
      <c r="DA30" s="57">
        <v>7</v>
      </c>
      <c r="DB30" s="57">
        <v>31</v>
      </c>
      <c r="DC30" s="57">
        <v>102</v>
      </c>
      <c r="DD30" s="57">
        <v>23</v>
      </c>
      <c r="DE30" s="58">
        <v>6</v>
      </c>
      <c r="DF30" s="58">
        <v>81.3</v>
      </c>
      <c r="DG30" s="58">
        <v>3.9</v>
      </c>
      <c r="DH30" s="58">
        <v>42.5</v>
      </c>
      <c r="DI30" s="57">
        <v>129</v>
      </c>
      <c r="DJ30" s="57">
        <v>2714</v>
      </c>
      <c r="DK30" s="57">
        <v>18</v>
      </c>
      <c r="DL30" s="57"/>
      <c r="DM30" s="59">
        <v>23</v>
      </c>
    </row>
    <row r="31" spans="1:117" ht="15.75" customHeight="1" x14ac:dyDescent="0.2">
      <c r="A31" s="33">
        <v>29</v>
      </c>
      <c r="B31" s="34" t="s">
        <v>361</v>
      </c>
      <c r="C31" s="116">
        <v>3.405555555555555</v>
      </c>
      <c r="D31" s="117" t="s">
        <v>551</v>
      </c>
      <c r="E31" s="37">
        <v>10</v>
      </c>
      <c r="F31" s="118">
        <v>36779</v>
      </c>
      <c r="G31" s="119">
        <v>25.063013698630137</v>
      </c>
      <c r="H31" s="39" t="s">
        <v>385</v>
      </c>
      <c r="I31" s="119">
        <v>21.643835616438356</v>
      </c>
      <c r="J31" s="120">
        <v>69</v>
      </c>
      <c r="K31" s="120">
        <v>189</v>
      </c>
      <c r="L31" s="120">
        <v>4.59</v>
      </c>
      <c r="M31" s="40">
        <v>0</v>
      </c>
      <c r="N31" s="121">
        <v>0</v>
      </c>
      <c r="O31" s="122">
        <v>0</v>
      </c>
      <c r="P31" s="122">
        <v>0.28340178787146653</v>
      </c>
      <c r="Q31" s="122">
        <v>0.31841894060995185</v>
      </c>
      <c r="R31" s="122">
        <v>0.27041978522616333</v>
      </c>
      <c r="S31" s="42">
        <v>0.29441936291805759</v>
      </c>
      <c r="T31" s="42">
        <v>0.17665161775083454</v>
      </c>
      <c r="U31" s="42">
        <v>5.2105043768236763E-2</v>
      </c>
      <c r="V31" s="42">
        <v>5.1160190103438634E-2</v>
      </c>
      <c r="W31" s="42">
        <v>5.1632616935837698E-2</v>
      </c>
      <c r="X31" s="43">
        <v>3.0979570161502618E-2</v>
      </c>
      <c r="Y31" s="44">
        <v>18.983561643835618</v>
      </c>
      <c r="Z31" s="170">
        <v>85.161059847711627</v>
      </c>
      <c r="AA31" s="45">
        <v>27.907372400756142</v>
      </c>
      <c r="AB31" s="45">
        <v>0.252</v>
      </c>
      <c r="AC31" s="45">
        <v>5.8</v>
      </c>
      <c r="AD31" s="45">
        <v>87.7</v>
      </c>
      <c r="AE31" s="45">
        <v>3.8</v>
      </c>
      <c r="AF31" s="45">
        <v>49.2</v>
      </c>
      <c r="AG31" s="128">
        <v>3</v>
      </c>
      <c r="AH31" s="49">
        <v>3</v>
      </c>
      <c r="AI31" s="49">
        <v>8</v>
      </c>
      <c r="AJ31" s="49">
        <v>1</v>
      </c>
      <c r="AK31" s="49">
        <v>6</v>
      </c>
      <c r="AL31" s="49">
        <v>4</v>
      </c>
      <c r="AM31" s="49">
        <v>3</v>
      </c>
      <c r="AN31" s="49">
        <v>3</v>
      </c>
      <c r="AO31" s="49">
        <v>0</v>
      </c>
      <c r="AP31" s="50">
        <v>0</v>
      </c>
      <c r="AQ31" s="56">
        <v>0</v>
      </c>
      <c r="AR31" s="57">
        <v>2293</v>
      </c>
      <c r="AS31" s="57">
        <v>0</v>
      </c>
      <c r="AT31" s="57">
        <v>35</v>
      </c>
      <c r="AU31" s="57">
        <v>0</v>
      </c>
      <c r="AV31" s="57">
        <v>0</v>
      </c>
      <c r="AW31" s="58">
        <v>0</v>
      </c>
      <c r="AX31" s="58">
        <v>0</v>
      </c>
      <c r="AY31" s="58">
        <v>0</v>
      </c>
      <c r="AZ31" s="58">
        <v>0</v>
      </c>
      <c r="BA31" s="57">
        <v>0</v>
      </c>
      <c r="BB31" s="57">
        <v>3580</v>
      </c>
      <c r="BC31" s="57">
        <v>0</v>
      </c>
      <c r="BD31" s="57"/>
      <c r="BE31" s="59">
        <v>17</v>
      </c>
      <c r="BF31" s="56">
        <v>0</v>
      </c>
      <c r="BG31" s="57">
        <v>1858</v>
      </c>
      <c r="BH31" s="57">
        <v>0</v>
      </c>
      <c r="BI31" s="57">
        <v>27</v>
      </c>
      <c r="BJ31" s="57">
        <v>0</v>
      </c>
      <c r="BK31" s="57">
        <v>0</v>
      </c>
      <c r="BL31" s="58">
        <v>0</v>
      </c>
      <c r="BM31" s="58">
        <v>0</v>
      </c>
      <c r="BN31" s="58">
        <v>0</v>
      </c>
      <c r="BO31" s="58">
        <v>0</v>
      </c>
      <c r="BP31" s="57">
        <v>0</v>
      </c>
      <c r="BQ31" s="57">
        <v>4071</v>
      </c>
      <c r="BR31" s="57">
        <v>0</v>
      </c>
      <c r="BS31" s="57"/>
      <c r="BT31" s="59">
        <v>25</v>
      </c>
      <c r="BU31" s="56">
        <v>986</v>
      </c>
      <c r="BV31" s="57">
        <v>1950</v>
      </c>
      <c r="BW31" s="57">
        <v>8</v>
      </c>
      <c r="BX31" s="57">
        <v>17</v>
      </c>
      <c r="BY31" s="57">
        <v>176</v>
      </c>
      <c r="BZ31" s="57">
        <v>36</v>
      </c>
      <c r="CA31" s="58">
        <v>5.6</v>
      </c>
      <c r="CB31" s="58">
        <v>87.7</v>
      </c>
      <c r="CC31" s="58">
        <v>3.8</v>
      </c>
      <c r="CD31" s="58">
        <v>48.9</v>
      </c>
      <c r="CE31" s="57">
        <v>187</v>
      </c>
      <c r="CF31" s="57">
        <v>2189</v>
      </c>
      <c r="CG31" s="57">
        <v>23</v>
      </c>
      <c r="CH31" s="57"/>
      <c r="CI31" s="59">
        <v>17</v>
      </c>
      <c r="CJ31" s="56">
        <v>1462</v>
      </c>
      <c r="CK31" s="57">
        <v>2585</v>
      </c>
      <c r="CL31" s="57">
        <v>11</v>
      </c>
      <c r="CM31" s="57">
        <v>23</v>
      </c>
      <c r="CN31" s="57">
        <v>250</v>
      </c>
      <c r="CO31" s="57">
        <v>63</v>
      </c>
      <c r="CP31" s="58">
        <v>5.8</v>
      </c>
      <c r="CQ31" s="58">
        <v>79.3</v>
      </c>
      <c r="CR31" s="58">
        <v>3.23</v>
      </c>
      <c r="CS31" s="58">
        <v>49.2</v>
      </c>
      <c r="CT31" s="57">
        <v>125</v>
      </c>
      <c r="CU31" s="57">
        <v>2399</v>
      </c>
      <c r="CV31" s="57">
        <v>19</v>
      </c>
      <c r="CW31" s="57"/>
      <c r="CX31" s="59">
        <v>16</v>
      </c>
      <c r="CY31" s="56">
        <v>1479</v>
      </c>
      <c r="CZ31" s="57">
        <v>2569</v>
      </c>
      <c r="DA31" s="57">
        <v>15</v>
      </c>
      <c r="DB31" s="57">
        <v>26</v>
      </c>
      <c r="DC31" s="57">
        <v>298</v>
      </c>
      <c r="DD31" s="57">
        <v>47</v>
      </c>
      <c r="DE31" s="58">
        <v>5</v>
      </c>
      <c r="DF31" s="58">
        <v>40.200000000000003</v>
      </c>
      <c r="DG31" s="58">
        <v>2.5299999999999998</v>
      </c>
      <c r="DH31" s="58">
        <v>30.4</v>
      </c>
      <c r="DI31" s="57">
        <v>183</v>
      </c>
      <c r="DJ31" s="57">
        <v>3577</v>
      </c>
      <c r="DK31" s="57">
        <v>23</v>
      </c>
      <c r="DL31" s="57"/>
      <c r="DM31" s="59">
        <v>31</v>
      </c>
    </row>
    <row r="32" spans="1:117" ht="15.75" customHeight="1" x14ac:dyDescent="0.2">
      <c r="A32" s="33">
        <v>30</v>
      </c>
      <c r="B32" s="34" t="s">
        <v>353</v>
      </c>
      <c r="C32" s="116">
        <v>3.3333333333333335</v>
      </c>
      <c r="D32" s="117" t="s">
        <v>518</v>
      </c>
      <c r="E32" s="37">
        <v>1</v>
      </c>
      <c r="F32" s="118">
        <v>36739</v>
      </c>
      <c r="G32" s="119">
        <v>25.172602739726027</v>
      </c>
      <c r="H32" s="39" t="s">
        <v>385</v>
      </c>
      <c r="I32" s="119">
        <v>21.753424657534246</v>
      </c>
      <c r="J32" s="120">
        <v>70</v>
      </c>
      <c r="K32" s="120">
        <v>222</v>
      </c>
      <c r="L32" s="120">
        <v>4.59</v>
      </c>
      <c r="M32" s="40">
        <v>5</v>
      </c>
      <c r="N32" s="121">
        <v>0</v>
      </c>
      <c r="O32" s="122">
        <v>0</v>
      </c>
      <c r="P32" s="122">
        <v>0.1070559610705596</v>
      </c>
      <c r="Q32" s="122">
        <v>9.0729072907290723E-2</v>
      </c>
      <c r="R32" s="122">
        <v>0.11308965948141206</v>
      </c>
      <c r="S32" s="42">
        <v>0.11308965948141206</v>
      </c>
      <c r="T32" s="42">
        <v>0.11308965948141206</v>
      </c>
      <c r="U32" s="42">
        <v>2.493476369962308E-2</v>
      </c>
      <c r="V32" s="42">
        <v>2.2949902043101034E-2</v>
      </c>
      <c r="W32" s="42">
        <v>2.3942332871362056E-2</v>
      </c>
      <c r="X32" s="43">
        <v>2.3942332871362056E-2</v>
      </c>
      <c r="Y32" s="44" t="s">
        <v>645</v>
      </c>
      <c r="Z32" s="170">
        <v>100.03045124969302</v>
      </c>
      <c r="AA32" s="45">
        <v>31.850204081632654</v>
      </c>
      <c r="AB32" s="45">
        <v>0.19148936170212766</v>
      </c>
      <c r="AC32" s="45">
        <v>4.9000000000000004</v>
      </c>
      <c r="AD32" s="45">
        <v>46.8</v>
      </c>
      <c r="AE32" s="45">
        <v>2.59</v>
      </c>
      <c r="AF32" s="45">
        <v>50.2</v>
      </c>
      <c r="AG32" s="128">
        <v>0</v>
      </c>
      <c r="AH32" s="49">
        <v>2</v>
      </c>
      <c r="AI32" s="49">
        <v>0</v>
      </c>
      <c r="AJ32" s="49">
        <v>5</v>
      </c>
      <c r="AK32" s="49">
        <v>3</v>
      </c>
      <c r="AL32" s="49">
        <v>1</v>
      </c>
      <c r="AM32" s="49">
        <v>0</v>
      </c>
      <c r="AN32" s="49">
        <v>0</v>
      </c>
      <c r="AO32" s="49">
        <v>3</v>
      </c>
      <c r="AP32" s="50">
        <v>0.5</v>
      </c>
      <c r="AQ32" s="56">
        <v>0</v>
      </c>
      <c r="AR32" s="57">
        <v>2102</v>
      </c>
      <c r="AS32" s="57">
        <v>0</v>
      </c>
      <c r="AT32" s="57">
        <v>27</v>
      </c>
      <c r="AU32" s="57">
        <v>0</v>
      </c>
      <c r="AV32" s="57">
        <v>0</v>
      </c>
      <c r="AW32" s="58">
        <v>0</v>
      </c>
      <c r="AX32" s="58">
        <v>0</v>
      </c>
      <c r="AY32" s="58">
        <v>0</v>
      </c>
      <c r="AZ32" s="58">
        <v>0</v>
      </c>
      <c r="BA32" s="57">
        <v>0</v>
      </c>
      <c r="BB32" s="57">
        <v>3941</v>
      </c>
      <c r="BC32" s="57">
        <v>0</v>
      </c>
      <c r="BD32" s="57"/>
      <c r="BE32" s="59">
        <v>28</v>
      </c>
      <c r="BF32" s="56">
        <v>0</v>
      </c>
      <c r="BG32" s="57">
        <v>2592</v>
      </c>
      <c r="BH32" s="57">
        <v>0</v>
      </c>
      <c r="BI32" s="57">
        <v>27</v>
      </c>
      <c r="BJ32" s="57">
        <v>0</v>
      </c>
      <c r="BK32" s="57">
        <v>0</v>
      </c>
      <c r="BL32" s="58">
        <v>0</v>
      </c>
      <c r="BM32" s="58">
        <v>0</v>
      </c>
      <c r="BN32" s="58">
        <v>0</v>
      </c>
      <c r="BO32" s="58">
        <v>0</v>
      </c>
      <c r="BP32" s="57">
        <v>0</v>
      </c>
      <c r="BQ32" s="57">
        <v>4157</v>
      </c>
      <c r="BR32" s="57">
        <v>0</v>
      </c>
      <c r="BS32" s="57"/>
      <c r="BT32" s="59">
        <v>21</v>
      </c>
      <c r="BU32" s="56">
        <v>512</v>
      </c>
      <c r="BV32" s="57">
        <v>3015</v>
      </c>
      <c r="BW32" s="57">
        <v>5</v>
      </c>
      <c r="BX32" s="57">
        <v>29</v>
      </c>
      <c r="BY32" s="57">
        <v>81</v>
      </c>
      <c r="BZ32" s="57">
        <v>18</v>
      </c>
      <c r="CA32" s="58">
        <v>6.3</v>
      </c>
      <c r="CB32" s="58">
        <v>104.3</v>
      </c>
      <c r="CC32" s="58">
        <v>4.78</v>
      </c>
      <c r="CD32" s="58">
        <v>57.6</v>
      </c>
      <c r="CE32" s="57">
        <v>60</v>
      </c>
      <c r="CF32" s="57">
        <v>2328</v>
      </c>
      <c r="CG32" s="57">
        <v>6</v>
      </c>
      <c r="CH32" s="57"/>
      <c r="CI32" s="59">
        <v>11</v>
      </c>
      <c r="CJ32" s="56">
        <v>418</v>
      </c>
      <c r="CK32" s="57">
        <v>2106</v>
      </c>
      <c r="CL32" s="57">
        <v>8</v>
      </c>
      <c r="CM32" s="57">
        <v>23</v>
      </c>
      <c r="CN32" s="57">
        <v>94</v>
      </c>
      <c r="CO32" s="57">
        <v>18</v>
      </c>
      <c r="CP32" s="58">
        <v>4.4000000000000004</v>
      </c>
      <c r="CQ32" s="58">
        <v>46.8</v>
      </c>
      <c r="CR32" s="58">
        <v>2.59</v>
      </c>
      <c r="CS32" s="58">
        <v>50.2</v>
      </c>
      <c r="CT32" s="57">
        <v>86</v>
      </c>
      <c r="CU32" s="57">
        <v>3449</v>
      </c>
      <c r="CV32" s="57">
        <v>11</v>
      </c>
      <c r="CW32" s="57"/>
      <c r="CX32" s="59">
        <v>30</v>
      </c>
      <c r="CY32" s="56">
        <v>642</v>
      </c>
      <c r="CZ32" s="57">
        <v>2829</v>
      </c>
      <c r="DA32" s="57">
        <v>13</v>
      </c>
      <c r="DB32" s="57">
        <v>33</v>
      </c>
      <c r="DC32" s="57">
        <v>130</v>
      </c>
      <c r="DD32" s="57">
        <v>24</v>
      </c>
      <c r="DE32" s="58">
        <v>4.9000000000000004</v>
      </c>
      <c r="DF32" s="58">
        <v>44.9</v>
      </c>
      <c r="DG32" s="58">
        <v>2.48</v>
      </c>
      <c r="DH32" s="58">
        <v>30.8</v>
      </c>
      <c r="DI32" s="57">
        <v>82</v>
      </c>
      <c r="DJ32" s="57">
        <v>3573</v>
      </c>
      <c r="DK32" s="57">
        <v>14</v>
      </c>
      <c r="DL32" s="57"/>
      <c r="DM32" s="59">
        <v>21</v>
      </c>
    </row>
    <row r="33" spans="1:117" ht="15.75" customHeight="1" x14ac:dyDescent="0.2">
      <c r="A33" s="33">
        <v>31</v>
      </c>
      <c r="B33" s="34" t="s">
        <v>352</v>
      </c>
      <c r="C33" s="116">
        <v>3.2888888888888888</v>
      </c>
      <c r="D33" s="117" t="s">
        <v>540</v>
      </c>
      <c r="E33" s="37">
        <v>3</v>
      </c>
      <c r="F33" s="118">
        <v>36052</v>
      </c>
      <c r="G33" s="119">
        <v>27.054794520547944</v>
      </c>
      <c r="H33" s="39" t="s">
        <v>389</v>
      </c>
      <c r="I33" s="119">
        <v>23.635616438356163</v>
      </c>
      <c r="J33" s="120">
        <v>72</v>
      </c>
      <c r="K33" s="120">
        <v>213</v>
      </c>
      <c r="L33" s="120">
        <v>4.59</v>
      </c>
      <c r="M33" s="40">
        <v>0</v>
      </c>
      <c r="N33" s="121">
        <v>0</v>
      </c>
      <c r="O33" s="122">
        <v>2.3458445040214475E-3</v>
      </c>
      <c r="P33" s="122">
        <v>5.9311981020166073E-3</v>
      </c>
      <c r="Q33" s="122">
        <v>0</v>
      </c>
      <c r="R33" s="122">
        <v>0.28276678504989006</v>
      </c>
      <c r="S33" s="42">
        <v>0.28276678504989006</v>
      </c>
      <c r="T33" s="42">
        <v>0.25449010654490106</v>
      </c>
      <c r="U33" s="42">
        <v>0</v>
      </c>
      <c r="V33" s="42">
        <v>2.6028842771720014E-2</v>
      </c>
      <c r="W33" s="42">
        <v>2.6028842771720014E-2</v>
      </c>
      <c r="X33" s="43">
        <v>2.3425958494548014E-2</v>
      </c>
      <c r="Y33" s="44">
        <v>22.989041095890411</v>
      </c>
      <c r="Z33" s="170">
        <v>95.975162685516267</v>
      </c>
      <c r="AA33" s="45">
        <v>28.884837962962965</v>
      </c>
      <c r="AB33" s="45">
        <v>0.18217054263565891</v>
      </c>
      <c r="AC33" s="45">
        <v>6.2</v>
      </c>
      <c r="AD33" s="45">
        <v>71.099999999999994</v>
      </c>
      <c r="AE33" s="45">
        <v>3.92</v>
      </c>
      <c r="AF33" s="45">
        <v>42.9</v>
      </c>
      <c r="AG33" s="128">
        <v>6</v>
      </c>
      <c r="AH33" s="49">
        <v>2</v>
      </c>
      <c r="AI33" s="49">
        <v>0</v>
      </c>
      <c r="AJ33" s="49">
        <v>3</v>
      </c>
      <c r="AK33" s="49">
        <v>2</v>
      </c>
      <c r="AL33" s="49">
        <v>5</v>
      </c>
      <c r="AM33" s="49">
        <v>1</v>
      </c>
      <c r="AN33" s="49">
        <v>4</v>
      </c>
      <c r="AO33" s="49">
        <v>0</v>
      </c>
      <c r="AP33" s="50">
        <v>0.5</v>
      </c>
      <c r="AQ33" s="56">
        <v>0</v>
      </c>
      <c r="AR33" s="57">
        <v>1407</v>
      </c>
      <c r="AS33" s="57">
        <v>0</v>
      </c>
      <c r="AT33" s="57">
        <v>10</v>
      </c>
      <c r="AU33" s="57">
        <v>0</v>
      </c>
      <c r="AV33" s="57">
        <v>0</v>
      </c>
      <c r="AW33" s="58">
        <v>0</v>
      </c>
      <c r="AX33" s="58">
        <v>0</v>
      </c>
      <c r="AY33" s="58">
        <v>0</v>
      </c>
      <c r="AZ33" s="58">
        <v>0</v>
      </c>
      <c r="BA33" s="57">
        <v>0</v>
      </c>
      <c r="BB33" s="57">
        <v>3452</v>
      </c>
      <c r="BC33" s="57">
        <v>0</v>
      </c>
      <c r="BD33" s="57"/>
      <c r="BE33" s="59">
        <v>23</v>
      </c>
      <c r="BF33" s="56">
        <v>11</v>
      </c>
      <c r="BG33" s="57">
        <v>2198</v>
      </c>
      <c r="BH33" s="57">
        <v>0</v>
      </c>
      <c r="BI33" s="57">
        <v>25</v>
      </c>
      <c r="BJ33" s="57">
        <v>4</v>
      </c>
      <c r="BK33" s="57">
        <v>1</v>
      </c>
      <c r="BL33" s="58">
        <v>2.8</v>
      </c>
      <c r="BM33" s="58">
        <v>40</v>
      </c>
      <c r="BN33" s="58">
        <v>2</v>
      </c>
      <c r="BO33" s="58">
        <v>0</v>
      </c>
      <c r="BP33" s="57">
        <v>3</v>
      </c>
      <c r="BQ33" s="57">
        <v>3770</v>
      </c>
      <c r="BR33" s="57">
        <v>0</v>
      </c>
      <c r="BS33" s="57"/>
      <c r="BT33" s="59">
        <v>22</v>
      </c>
      <c r="BU33" s="56">
        <v>35</v>
      </c>
      <c r="BV33" s="57">
        <v>2330</v>
      </c>
      <c r="BW33" s="57">
        <v>1</v>
      </c>
      <c r="BX33" s="57">
        <v>35</v>
      </c>
      <c r="BY33" s="57">
        <v>8</v>
      </c>
      <c r="BZ33" s="57">
        <v>6</v>
      </c>
      <c r="CA33" s="58">
        <v>4.4000000000000004</v>
      </c>
      <c r="CB33" s="58">
        <v>375</v>
      </c>
      <c r="CC33" s="58">
        <v>5</v>
      </c>
      <c r="CD33" s="58">
        <v>42.9</v>
      </c>
      <c r="CE33" s="57">
        <v>0</v>
      </c>
      <c r="CF33" s="57">
        <v>3571</v>
      </c>
      <c r="CG33" s="57">
        <v>0</v>
      </c>
      <c r="CH33" s="57"/>
      <c r="CI33" s="59">
        <v>24</v>
      </c>
      <c r="CJ33" s="56">
        <v>0</v>
      </c>
      <c r="CK33" s="57">
        <v>813</v>
      </c>
      <c r="CL33" s="57">
        <v>0</v>
      </c>
      <c r="CM33" s="57">
        <v>8</v>
      </c>
      <c r="CN33" s="57">
        <v>0</v>
      </c>
      <c r="CO33" s="57">
        <v>0</v>
      </c>
      <c r="CP33" s="58">
        <v>0</v>
      </c>
      <c r="CQ33" s="58">
        <v>0</v>
      </c>
      <c r="CR33" s="58">
        <v>0</v>
      </c>
      <c r="CS33" s="58">
        <v>0</v>
      </c>
      <c r="CT33" s="57">
        <v>0</v>
      </c>
      <c r="CU33" s="57">
        <v>1979</v>
      </c>
      <c r="CV33" s="57">
        <v>0</v>
      </c>
      <c r="CW33" s="57"/>
      <c r="CX33" s="59">
        <v>14</v>
      </c>
      <c r="CY33" s="56">
        <v>1598</v>
      </c>
      <c r="CZ33" s="57">
        <v>3070</v>
      </c>
      <c r="DA33" s="57">
        <v>12</v>
      </c>
      <c r="DB33" s="57">
        <v>29</v>
      </c>
      <c r="DC33" s="57">
        <v>258</v>
      </c>
      <c r="DD33" s="57">
        <v>47</v>
      </c>
      <c r="DE33" s="58">
        <v>6.2</v>
      </c>
      <c r="DF33" s="58">
        <v>71.099999999999994</v>
      </c>
      <c r="DG33" s="58">
        <v>3.92</v>
      </c>
      <c r="DH33" s="58">
        <v>42.9</v>
      </c>
      <c r="DI33" s="57">
        <v>74</v>
      </c>
      <c r="DJ33" s="57">
        <v>2843</v>
      </c>
      <c r="DK33" s="57">
        <v>12</v>
      </c>
      <c r="DL33" s="57"/>
      <c r="DM33" s="59">
        <v>24</v>
      </c>
    </row>
    <row r="34" spans="1:117" ht="15.75" customHeight="1" x14ac:dyDescent="0.2">
      <c r="A34" s="33">
        <v>32</v>
      </c>
      <c r="B34" s="34" t="s">
        <v>371</v>
      </c>
      <c r="C34" s="116">
        <v>2.572222222222222</v>
      </c>
      <c r="D34" s="117" t="s">
        <v>515</v>
      </c>
      <c r="E34" s="37">
        <v>5</v>
      </c>
      <c r="F34" s="118">
        <v>36388</v>
      </c>
      <c r="G34" s="119">
        <v>26.134246575342466</v>
      </c>
      <c r="H34" s="39" t="s">
        <v>498</v>
      </c>
      <c r="I34" s="119">
        <v>22.715068493150685</v>
      </c>
      <c r="J34" s="120">
        <v>68</v>
      </c>
      <c r="K34" s="120">
        <v>194</v>
      </c>
      <c r="L34" s="120">
        <v>4.6500000000000004</v>
      </c>
      <c r="M34" s="40">
        <v>0</v>
      </c>
      <c r="N34" s="121">
        <v>0</v>
      </c>
      <c r="O34" s="122">
        <v>0</v>
      </c>
      <c r="P34" s="122">
        <v>0.22183737423717631</v>
      </c>
      <c r="Q34" s="122">
        <v>0.13321799307958476</v>
      </c>
      <c r="R34" s="122">
        <v>8.0930703085483058E-2</v>
      </c>
      <c r="S34" s="42">
        <v>0.15138403866132968</v>
      </c>
      <c r="T34" s="42">
        <v>0.12867643286213024</v>
      </c>
      <c r="U34" s="42">
        <v>4.0046430644225188E-2</v>
      </c>
      <c r="V34" s="42">
        <v>1.8398967075532603E-2</v>
      </c>
      <c r="W34" s="42">
        <v>2.9222698859878896E-2</v>
      </c>
      <c r="X34" s="43">
        <v>2.4839294030897061E-2</v>
      </c>
      <c r="Y34" s="44">
        <v>20.054794520547944</v>
      </c>
      <c r="Z34" s="170">
        <v>82.988882016372074</v>
      </c>
      <c r="AA34" s="45">
        <v>29.494377162629757</v>
      </c>
      <c r="AB34" s="45">
        <v>0.19796954314720813</v>
      </c>
      <c r="AC34" s="45">
        <v>5.4</v>
      </c>
      <c r="AD34" s="45">
        <v>80.900000000000006</v>
      </c>
      <c r="AE34" s="45">
        <v>4.07</v>
      </c>
      <c r="AF34" s="45">
        <v>41.2</v>
      </c>
      <c r="AG34" s="128">
        <v>1</v>
      </c>
      <c r="AH34" s="49">
        <v>2</v>
      </c>
      <c r="AI34" s="49">
        <v>4</v>
      </c>
      <c r="AJ34" s="49">
        <v>0</v>
      </c>
      <c r="AK34" s="49">
        <v>3</v>
      </c>
      <c r="AL34" s="49">
        <v>2</v>
      </c>
      <c r="AM34" s="49">
        <v>2</v>
      </c>
      <c r="AN34" s="49">
        <v>5</v>
      </c>
      <c r="AO34" s="49">
        <v>0</v>
      </c>
      <c r="AP34" s="50">
        <v>0</v>
      </c>
      <c r="AQ34" s="56">
        <v>0</v>
      </c>
      <c r="AR34" s="57">
        <v>2293</v>
      </c>
      <c r="AS34" s="57">
        <v>0</v>
      </c>
      <c r="AT34" s="57">
        <v>35</v>
      </c>
      <c r="AU34" s="57">
        <v>0</v>
      </c>
      <c r="AV34" s="57">
        <v>0</v>
      </c>
      <c r="AW34" s="58">
        <v>0</v>
      </c>
      <c r="AX34" s="58">
        <v>0</v>
      </c>
      <c r="AY34" s="58">
        <v>0</v>
      </c>
      <c r="AZ34" s="58">
        <v>0</v>
      </c>
      <c r="BA34" s="57">
        <v>0</v>
      </c>
      <c r="BB34" s="57">
        <v>3580</v>
      </c>
      <c r="BC34" s="57">
        <v>0</v>
      </c>
      <c r="BD34" s="57"/>
      <c r="BE34" s="59">
        <v>17</v>
      </c>
      <c r="BF34" s="56">
        <v>0</v>
      </c>
      <c r="BG34" s="57">
        <v>1858</v>
      </c>
      <c r="BH34" s="57">
        <v>0</v>
      </c>
      <c r="BI34" s="57">
        <v>27</v>
      </c>
      <c r="BJ34" s="57">
        <v>202</v>
      </c>
      <c r="BK34" s="57">
        <v>30</v>
      </c>
      <c r="BL34" s="58">
        <v>0</v>
      </c>
      <c r="BM34" s="58">
        <v>0</v>
      </c>
      <c r="BN34" s="58">
        <v>0</v>
      </c>
      <c r="BO34" s="58">
        <v>0</v>
      </c>
      <c r="BP34" s="57">
        <v>0</v>
      </c>
      <c r="BQ34" s="57">
        <v>4071</v>
      </c>
      <c r="BR34" s="57">
        <v>0</v>
      </c>
      <c r="BS34" s="57"/>
      <c r="BT34" s="59">
        <v>25</v>
      </c>
      <c r="BU34" s="56">
        <v>1220</v>
      </c>
      <c r="BV34" s="57">
        <v>2448</v>
      </c>
      <c r="BW34" s="57">
        <v>8</v>
      </c>
      <c r="BX34" s="57">
        <v>19</v>
      </c>
      <c r="BY34" s="57">
        <v>197</v>
      </c>
      <c r="BZ34" s="57">
        <v>39</v>
      </c>
      <c r="CA34" s="58">
        <v>6.2</v>
      </c>
      <c r="CB34" s="58">
        <v>80.900000000000006</v>
      </c>
      <c r="CC34" s="58">
        <v>4.07</v>
      </c>
      <c r="CD34" s="58">
        <v>41.2</v>
      </c>
      <c r="CE34" s="57">
        <v>125</v>
      </c>
      <c r="CF34" s="57">
        <v>3615</v>
      </c>
      <c r="CG34" s="57">
        <v>35</v>
      </c>
      <c r="CH34" s="57"/>
      <c r="CI34" s="59">
        <v>19</v>
      </c>
      <c r="CJ34" s="56">
        <v>316</v>
      </c>
      <c r="CK34" s="57">
        <v>1167</v>
      </c>
      <c r="CL34" s="57">
        <v>3</v>
      </c>
      <c r="CM34" s="57">
        <v>13</v>
      </c>
      <c r="CN34" s="57">
        <v>66</v>
      </c>
      <c r="CO34" s="57">
        <v>11</v>
      </c>
      <c r="CP34" s="58">
        <v>4.8</v>
      </c>
      <c r="CQ34" s="58">
        <v>49.1</v>
      </c>
      <c r="CR34" s="58">
        <v>2.98</v>
      </c>
      <c r="CS34" s="58">
        <v>40.799999999999997</v>
      </c>
      <c r="CT34" s="57">
        <v>69</v>
      </c>
      <c r="CU34" s="57">
        <v>1723</v>
      </c>
      <c r="CV34" s="57">
        <v>7</v>
      </c>
      <c r="CW34" s="57"/>
      <c r="CX34" s="59">
        <v>15</v>
      </c>
      <c r="CY34" s="56">
        <v>423</v>
      </c>
      <c r="CZ34" s="57">
        <v>2833</v>
      </c>
      <c r="DA34" s="57">
        <v>7</v>
      </c>
      <c r="DB34" s="57">
        <v>36</v>
      </c>
      <c r="DC34" s="57">
        <v>79</v>
      </c>
      <c r="DD34" s="57">
        <v>13</v>
      </c>
      <c r="DE34" s="58">
        <v>5.4</v>
      </c>
      <c r="DF34" s="58">
        <v>46.5</v>
      </c>
      <c r="DG34" s="58">
        <v>3.08</v>
      </c>
      <c r="DH34" s="58">
        <v>25.8</v>
      </c>
      <c r="DI34" s="57">
        <v>57</v>
      </c>
      <c r="DJ34" s="57">
        <v>3098</v>
      </c>
      <c r="DK34" s="57">
        <v>7</v>
      </c>
      <c r="DL34" s="57"/>
      <c r="DM34" s="59">
        <v>20</v>
      </c>
    </row>
    <row r="35" spans="1:117" ht="15.75" customHeight="1" thickBot="1" x14ac:dyDescent="0.25">
      <c r="A35" s="60">
        <v>33</v>
      </c>
      <c r="B35" s="62" t="s">
        <v>363</v>
      </c>
      <c r="C35" s="134">
        <v>2.2333333333333334</v>
      </c>
      <c r="D35" s="135" t="s">
        <v>552</v>
      </c>
      <c r="E35" s="66">
        <v>10</v>
      </c>
      <c r="F35" s="136">
        <v>36313</v>
      </c>
      <c r="G35" s="137">
        <v>26.339726027397262</v>
      </c>
      <c r="H35" s="68" t="s">
        <v>469</v>
      </c>
      <c r="I35" s="137">
        <v>22.920547945205481</v>
      </c>
      <c r="J35" s="138">
        <v>69</v>
      </c>
      <c r="K35" s="138">
        <v>189</v>
      </c>
      <c r="L35" s="138">
        <v>4.59</v>
      </c>
      <c r="M35" s="69">
        <v>0</v>
      </c>
      <c r="N35" s="140">
        <v>0</v>
      </c>
      <c r="O35" s="141">
        <v>0</v>
      </c>
      <c r="P35" s="141">
        <v>4.1560509554140125E-2</v>
      </c>
      <c r="Q35" s="141">
        <v>0.4237891737891738</v>
      </c>
      <c r="R35" s="141">
        <v>0.17063762196505558</v>
      </c>
      <c r="S35" s="71">
        <v>0.2972133978771147</v>
      </c>
      <c r="T35" s="71">
        <v>0.17832803872626882</v>
      </c>
      <c r="U35" s="71">
        <v>2.2690437601296597E-2</v>
      </c>
      <c r="V35" s="71">
        <v>2.4512884978001259E-2</v>
      </c>
      <c r="W35" s="71">
        <v>2.4512884978001259E-2</v>
      </c>
      <c r="X35" s="72">
        <v>1.4707730986800754E-2</v>
      </c>
      <c r="Y35" s="73">
        <v>21.276712328767122</v>
      </c>
      <c r="Z35" s="172">
        <v>85.161059847711627</v>
      </c>
      <c r="AA35" s="74">
        <v>27.907372400756142</v>
      </c>
      <c r="AB35" s="74">
        <v>0.28125</v>
      </c>
      <c r="AC35" s="74">
        <v>6.8</v>
      </c>
      <c r="AD35" s="74">
        <v>106.1</v>
      </c>
      <c r="AE35" s="74">
        <v>4.1500000000000004</v>
      </c>
      <c r="AF35" s="75">
        <v>46.3</v>
      </c>
      <c r="AG35" s="142">
        <v>3</v>
      </c>
      <c r="AH35" s="78">
        <v>1</v>
      </c>
      <c r="AI35" s="78">
        <v>2</v>
      </c>
      <c r="AJ35" s="78">
        <v>1</v>
      </c>
      <c r="AK35" s="78">
        <v>8</v>
      </c>
      <c r="AL35" s="215">
        <v>7</v>
      </c>
      <c r="AM35" s="78">
        <v>4</v>
      </c>
      <c r="AN35" s="78">
        <v>5</v>
      </c>
      <c r="AO35" s="78">
        <v>0</v>
      </c>
      <c r="AP35" s="79">
        <v>0</v>
      </c>
      <c r="AQ35" s="80">
        <v>0</v>
      </c>
      <c r="AR35" s="81">
        <v>2293</v>
      </c>
      <c r="AS35" s="81">
        <v>0</v>
      </c>
      <c r="AT35" s="81">
        <v>35</v>
      </c>
      <c r="AU35" s="81">
        <v>15</v>
      </c>
      <c r="AV35" s="81">
        <v>4</v>
      </c>
      <c r="AW35" s="82">
        <v>0</v>
      </c>
      <c r="AX35" s="82">
        <v>0</v>
      </c>
      <c r="AY35" s="82">
        <v>0</v>
      </c>
      <c r="AZ35" s="82">
        <v>0</v>
      </c>
      <c r="BA35" s="81">
        <v>0</v>
      </c>
      <c r="BB35" s="81">
        <v>3580</v>
      </c>
      <c r="BC35" s="81">
        <v>0</v>
      </c>
      <c r="BD35" s="81"/>
      <c r="BE35" s="83">
        <v>17</v>
      </c>
      <c r="BF35" s="80">
        <v>0</v>
      </c>
      <c r="BG35" s="81">
        <v>1858</v>
      </c>
      <c r="BH35" s="81">
        <v>0</v>
      </c>
      <c r="BI35" s="81">
        <v>27</v>
      </c>
      <c r="BJ35" s="81">
        <v>95</v>
      </c>
      <c r="BK35" s="81">
        <v>13</v>
      </c>
      <c r="BL35" s="82">
        <v>0</v>
      </c>
      <c r="BM35" s="82">
        <v>0</v>
      </c>
      <c r="BN35" s="82">
        <v>0</v>
      </c>
      <c r="BO35" s="82">
        <v>0</v>
      </c>
      <c r="BP35" s="81">
        <v>0</v>
      </c>
      <c r="BQ35" s="81">
        <v>4071</v>
      </c>
      <c r="BR35" s="81">
        <v>0</v>
      </c>
      <c r="BS35" s="81"/>
      <c r="BT35" s="83">
        <v>25</v>
      </c>
      <c r="BU35" s="80">
        <v>212</v>
      </c>
      <c r="BV35" s="81">
        <v>2324</v>
      </c>
      <c r="BW35" s="81">
        <v>0</v>
      </c>
      <c r="BX35" s="81">
        <v>18</v>
      </c>
      <c r="BY35" s="81">
        <v>51</v>
      </c>
      <c r="BZ35" s="81">
        <v>10</v>
      </c>
      <c r="CA35" s="82">
        <v>4.2</v>
      </c>
      <c r="CB35" s="82">
        <v>56.4</v>
      </c>
      <c r="CC35" s="82">
        <v>2.65</v>
      </c>
      <c r="CD35" s="82">
        <v>36.799999999999997</v>
      </c>
      <c r="CE35" s="81">
        <v>49</v>
      </c>
      <c r="CF35" s="81">
        <v>3956</v>
      </c>
      <c r="CG35" s="81">
        <v>30</v>
      </c>
      <c r="CH35" s="81"/>
      <c r="CI35" s="83">
        <v>18</v>
      </c>
      <c r="CJ35" s="80">
        <v>581</v>
      </c>
      <c r="CK35" s="81">
        <v>787</v>
      </c>
      <c r="CL35" s="81">
        <v>4</v>
      </c>
      <c r="CM35" s="81">
        <v>24</v>
      </c>
      <c r="CN35" s="81">
        <v>85</v>
      </c>
      <c r="CO35" s="81">
        <v>23</v>
      </c>
      <c r="CP35" s="82">
        <v>6.8</v>
      </c>
      <c r="CQ35" s="82">
        <v>106.1</v>
      </c>
      <c r="CR35" s="82">
        <v>4.1500000000000004</v>
      </c>
      <c r="CS35" s="82">
        <v>46.3</v>
      </c>
      <c r="CT35" s="81">
        <v>14</v>
      </c>
      <c r="CU35" s="81">
        <v>617</v>
      </c>
      <c r="CV35" s="81">
        <v>5</v>
      </c>
      <c r="CW35" s="81"/>
      <c r="CX35" s="83">
        <v>5</v>
      </c>
      <c r="CY35" s="80">
        <v>674</v>
      </c>
      <c r="CZ35" s="81">
        <v>1225</v>
      </c>
      <c r="DA35" s="81">
        <v>6</v>
      </c>
      <c r="DB35" s="81">
        <v>11</v>
      </c>
      <c r="DC35" s="81">
        <v>128</v>
      </c>
      <c r="DD35" s="81">
        <v>36</v>
      </c>
      <c r="DE35" s="82">
        <v>5.3</v>
      </c>
      <c r="DF35" s="82">
        <v>95.6</v>
      </c>
      <c r="DG35" s="82">
        <v>3.3</v>
      </c>
      <c r="DH35" s="82">
        <v>37.799999999999997</v>
      </c>
      <c r="DI35" s="81">
        <v>78</v>
      </c>
      <c r="DJ35" s="81">
        <v>3182</v>
      </c>
      <c r="DK35" s="81">
        <v>10</v>
      </c>
      <c r="DL35" s="81"/>
      <c r="DM35" s="83">
        <v>20</v>
      </c>
    </row>
    <row r="36" spans="1:117" ht="15.75" customHeight="1" x14ac:dyDescent="0.2"/>
    <row r="37" spans="1:117" ht="15.75" customHeight="1" x14ac:dyDescent="0.2"/>
    <row r="38" spans="1:117" ht="15.75" customHeight="1" x14ac:dyDescent="0.2"/>
    <row r="39" spans="1:117" ht="15.75" customHeight="1" x14ac:dyDescent="0.2"/>
    <row r="40" spans="1:117" ht="15.75" customHeight="1" x14ac:dyDescent="0.2"/>
    <row r="41" spans="1:117" ht="15.75" customHeight="1" x14ac:dyDescent="0.2"/>
    <row r="42" spans="1:117" ht="15.75" customHeight="1" x14ac:dyDescent="0.2"/>
    <row r="43" spans="1:117" ht="15.75" customHeight="1" x14ac:dyDescent="0.2"/>
    <row r="44" spans="1:117" ht="15.75" customHeight="1" x14ac:dyDescent="0.2"/>
    <row r="45" spans="1:117" ht="15.75" customHeight="1" x14ac:dyDescent="0.2"/>
    <row r="46" spans="1:117" ht="15.75" customHeight="1" x14ac:dyDescent="0.2"/>
    <row r="47" spans="1:117" ht="15.75" customHeight="1" x14ac:dyDescent="0.2"/>
    <row r="48" spans="1:117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2:DM2" xr:uid="{00000000-0009-0000-0000-00000C000000}">
    <sortState xmlns:xlrd2="http://schemas.microsoft.com/office/spreadsheetml/2017/richdata2" ref="A3:DM35">
      <sortCondition ref="A2"/>
    </sortState>
  </autoFilter>
  <mergeCells count="10">
    <mergeCell ref="BU1:CI1"/>
    <mergeCell ref="CJ1:CX1"/>
    <mergeCell ref="CY1:DM1"/>
    <mergeCell ref="A1:C1"/>
    <mergeCell ref="D1:M1"/>
    <mergeCell ref="N1:X1"/>
    <mergeCell ref="Y1:AF1"/>
    <mergeCell ref="AG1:AP1"/>
    <mergeCell ref="AQ1:BE1"/>
    <mergeCell ref="BF1:BT1"/>
  </mergeCells>
  <conditionalFormatting sqref="B3:B35">
    <cfRule type="expression" dxfId="82" priority="1" stopIfTrue="1">
      <formula>C3&gt;=13</formula>
    </cfRule>
    <cfRule type="expression" dxfId="81" priority="2">
      <formula>AND(C3&gt;=12,C3&lt;13)</formula>
    </cfRule>
    <cfRule type="expression" dxfId="80" priority="3" stopIfTrue="1">
      <formula>AND(C3&gt;=11,C3&lt;12)</formula>
    </cfRule>
    <cfRule type="expression" dxfId="79" priority="4">
      <formula>AND(C3&gt;=9,C3&lt;11)</formula>
    </cfRule>
    <cfRule type="expression" dxfId="78" priority="5">
      <formula>AND(C3&gt;=7,C3&lt;9)</formula>
    </cfRule>
    <cfRule type="expression" dxfId="77" priority="6" stopIfTrue="1">
      <formula>AND(C3&gt;=6,C3&lt;7)</formula>
    </cfRule>
    <cfRule type="expression" dxfId="76" priority="7" stopIfTrue="1">
      <formula>AND(C3&gt;=5,C3&lt;6)</formula>
    </cfRule>
    <cfRule type="expression" dxfId="75" priority="8">
      <formula>C3&lt;5</formula>
    </cfRule>
  </conditionalFormatting>
  <conditionalFormatting sqref="C3:C3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H35">
    <cfRule type="containsText" dxfId="74" priority="10" operator="containsText" text="SR">
      <formula>NOT(ISERROR(SEARCH(("SR"),(H3))))</formula>
    </cfRule>
  </conditionalFormatting>
  <conditionalFormatting sqref="N3:R35">
    <cfRule type="cellIs" dxfId="73" priority="11" stopIfTrue="1" operator="between">
      <formula>0.15</formula>
      <formula>0.199</formula>
    </cfRule>
    <cfRule type="cellIs" dxfId="72" priority="12" operator="equal">
      <formula>0</formula>
    </cfRule>
    <cfRule type="colorScale" priority="13">
      <colorScale>
        <cfvo type="formula" val="0.14999"/>
        <cfvo type="formula" val="0.15"/>
        <cfvo type="formula" val="0.4"/>
        <color rgb="FFFACACA"/>
        <color rgb="FFC0E399"/>
        <color rgb="FF63BE7B"/>
      </colorScale>
    </cfRule>
  </conditionalFormatting>
  <conditionalFormatting sqref="S3:S35">
    <cfRule type="colorScale" priority="14">
      <colorScale>
        <cfvo type="formula" val="0.1499"/>
        <cfvo type="formula" val="0.15"/>
        <cfvo type="formula" val="0.4"/>
        <color rgb="FFFACACA"/>
        <color rgb="FFCEF9B9"/>
        <color rgb="FF00B050"/>
      </colorScale>
    </cfRule>
  </conditionalFormatting>
  <conditionalFormatting sqref="T3:T35">
    <cfRule type="colorScale" priority="15">
      <colorScale>
        <cfvo type="formula" val="0.1499"/>
        <cfvo type="formula" val="0.15"/>
        <cfvo type="formula" val="0.4"/>
        <color rgb="FFFACACA"/>
        <color rgb="FFCEF9B9"/>
        <color rgb="FF00B050"/>
      </colorScale>
    </cfRule>
  </conditionalFormatting>
  <conditionalFormatting sqref="U3:V3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:W3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:X3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S1000"/>
  <sheetViews>
    <sheetView zoomScale="80" zoomScaleNormal="80" workbookViewId="0">
      <selection sqref="A1:XFD1048576"/>
    </sheetView>
  </sheetViews>
  <sheetFormatPr baseColWidth="10" defaultColWidth="14.5" defaultRowHeight="15" customHeight="1" x14ac:dyDescent="0.2"/>
  <cols>
    <col min="1" max="1" width="8.5" customWidth="1"/>
    <col min="2" max="2" width="23.1640625" customWidth="1"/>
    <col min="3" max="3" width="12" customWidth="1"/>
    <col min="4" max="4" width="14.5" customWidth="1"/>
    <col min="5" max="5" width="10.83203125" customWidth="1"/>
    <col min="6" max="6" width="11.5" customWidth="1"/>
    <col min="7" max="7" width="7.5" customWidth="1"/>
    <col min="8" max="8" width="8" customWidth="1"/>
    <col min="9" max="9" width="12.6640625" customWidth="1"/>
    <col min="10" max="10" width="10" customWidth="1"/>
    <col min="11" max="11" width="10.5" customWidth="1"/>
    <col min="12" max="12" width="11.33203125" customWidth="1"/>
    <col min="13" max="13" width="12.5" customWidth="1"/>
    <col min="14" max="20" width="9.83203125" customWidth="1"/>
    <col min="21" max="22" width="11" customWidth="1"/>
    <col min="23" max="23" width="10" customWidth="1"/>
    <col min="24" max="24" width="11" customWidth="1"/>
    <col min="25" max="25" width="9.33203125" customWidth="1"/>
    <col min="26" max="26" width="9.5" customWidth="1"/>
    <col min="27" max="27" width="7.6640625" customWidth="1"/>
    <col min="28" max="28" width="10.1640625" customWidth="1"/>
    <col min="29" max="29" width="7.33203125" customWidth="1"/>
    <col min="30" max="30" width="7.5" customWidth="1"/>
    <col min="31" max="31" width="9.83203125" customWidth="1"/>
    <col min="32" max="32" width="11.5" customWidth="1"/>
    <col min="33" max="33" width="10.83203125" customWidth="1"/>
    <col min="34" max="34" width="11" customWidth="1"/>
    <col min="35" max="35" width="10.33203125" customWidth="1"/>
    <col min="36" max="36" width="10.5" customWidth="1"/>
    <col min="37" max="37" width="10.1640625" customWidth="1"/>
    <col min="38" max="39" width="8.5" customWidth="1"/>
    <col min="40" max="40" width="10.83203125" customWidth="1"/>
    <col min="41" max="41" width="7.6640625" customWidth="1"/>
    <col min="42" max="42" width="9.5" customWidth="1"/>
    <col min="43" max="43" width="12" customWidth="1"/>
    <col min="44" max="44" width="12.6640625" customWidth="1"/>
    <col min="45" max="45" width="12.33203125" customWidth="1"/>
    <col min="46" max="46" width="12.1640625" customWidth="1"/>
    <col min="47" max="47" width="6.6640625" customWidth="1"/>
    <col min="48" max="48" width="8" customWidth="1"/>
    <col min="49" max="49" width="7.33203125" customWidth="1"/>
    <col min="50" max="50" width="8.1640625" customWidth="1"/>
    <col min="51" max="51" width="9.83203125" customWidth="1"/>
    <col min="52" max="52" width="11.5" customWidth="1"/>
    <col min="53" max="53" width="10.83203125" customWidth="1"/>
    <col min="54" max="54" width="12.6640625" customWidth="1"/>
    <col min="55" max="55" width="8.1640625" customWidth="1"/>
    <col min="56" max="56" width="11.33203125" customWidth="1"/>
    <col min="57" max="57" width="13" customWidth="1"/>
    <col min="58" max="58" width="12" customWidth="1"/>
    <col min="59" max="59" width="12.6640625" customWidth="1"/>
    <col min="60" max="60" width="12.33203125" customWidth="1"/>
    <col min="61" max="61" width="12.1640625" customWidth="1"/>
    <col min="62" max="62" width="6.6640625" customWidth="1"/>
    <col min="63" max="63" width="8" customWidth="1"/>
    <col min="64" max="64" width="7.33203125" customWidth="1"/>
    <col min="65" max="65" width="7.5" customWidth="1"/>
    <col min="66" max="66" width="9.83203125" customWidth="1"/>
    <col min="67" max="67" width="11.5" customWidth="1"/>
    <col min="68" max="68" width="10.83203125" customWidth="1"/>
    <col min="69" max="69" width="12.6640625" customWidth="1"/>
    <col min="70" max="70" width="8.1640625" customWidth="1"/>
    <col min="71" max="71" width="11.33203125" customWidth="1"/>
    <col min="72" max="72" width="13" customWidth="1"/>
    <col min="73" max="73" width="12" customWidth="1"/>
    <col min="74" max="74" width="12.6640625" customWidth="1"/>
    <col min="75" max="75" width="12.33203125" customWidth="1"/>
    <col min="76" max="76" width="12.1640625" customWidth="1"/>
    <col min="77" max="77" width="6.6640625" customWidth="1"/>
    <col min="78" max="78" width="8" customWidth="1"/>
    <col min="79" max="79" width="7.33203125" customWidth="1"/>
    <col min="80" max="80" width="7.5" customWidth="1"/>
    <col min="81" max="81" width="9.83203125" customWidth="1"/>
    <col min="82" max="82" width="11.5" customWidth="1"/>
    <col min="83" max="83" width="10.83203125" customWidth="1"/>
    <col min="84" max="84" width="12.6640625" customWidth="1"/>
    <col min="85" max="85" width="8.1640625" customWidth="1"/>
    <col min="86" max="86" width="11.33203125" customWidth="1"/>
    <col min="87" max="87" width="13" customWidth="1"/>
    <col min="88" max="88" width="12" customWidth="1"/>
    <col min="89" max="89" width="12.6640625" customWidth="1"/>
    <col min="90" max="90" width="12.33203125" customWidth="1"/>
    <col min="91" max="91" width="12.1640625" customWidth="1"/>
    <col min="92" max="92" width="6.6640625" customWidth="1"/>
    <col min="93" max="93" width="8" customWidth="1"/>
    <col min="94" max="94" width="7.33203125" customWidth="1"/>
    <col min="95" max="95" width="7.5" customWidth="1"/>
    <col min="96" max="96" width="9.83203125" customWidth="1"/>
    <col min="97" max="97" width="11.5" customWidth="1"/>
    <col min="98" max="98" width="10.83203125" customWidth="1"/>
    <col min="99" max="99" width="12.6640625" customWidth="1"/>
    <col min="100" max="100" width="8.1640625" customWidth="1"/>
    <col min="101" max="101" width="11.33203125" customWidth="1"/>
    <col min="102" max="102" width="13" customWidth="1"/>
    <col min="103" max="103" width="12" customWidth="1"/>
    <col min="104" max="104" width="12.6640625" customWidth="1"/>
    <col min="105" max="105" width="12.33203125" customWidth="1"/>
    <col min="106" max="106" width="12.1640625" customWidth="1"/>
    <col min="107" max="107" width="6.6640625" customWidth="1"/>
    <col min="108" max="108" width="8" customWidth="1"/>
    <col min="109" max="109" width="7.33203125" customWidth="1"/>
    <col min="110" max="110" width="7.5" customWidth="1"/>
    <col min="111" max="111" width="9.83203125" customWidth="1"/>
    <col min="112" max="112" width="11.5" customWidth="1"/>
    <col min="113" max="113" width="10.83203125" customWidth="1"/>
    <col min="114" max="114" width="12.6640625" customWidth="1"/>
    <col min="115" max="115" width="8.1640625" customWidth="1"/>
    <col min="116" max="116" width="11.33203125" customWidth="1"/>
    <col min="117" max="117" width="13" customWidth="1"/>
    <col min="118" max="118" width="4.5" customWidth="1"/>
    <col min="119" max="119" width="3.5" customWidth="1"/>
    <col min="120" max="120" width="16.5" customWidth="1"/>
    <col min="121" max="121" width="11" customWidth="1"/>
    <col min="122" max="122" width="14.5" customWidth="1"/>
    <col min="123" max="123" width="10.5" customWidth="1"/>
  </cols>
  <sheetData>
    <row r="1" spans="1:123" x14ac:dyDescent="0.2">
      <c r="A1" s="261"/>
      <c r="B1" s="251"/>
      <c r="C1" s="253"/>
      <c r="D1" s="254" t="s">
        <v>156</v>
      </c>
      <c r="E1" s="251"/>
      <c r="F1" s="251"/>
      <c r="G1" s="251"/>
      <c r="H1" s="251"/>
      <c r="I1" s="251"/>
      <c r="J1" s="251"/>
      <c r="K1" s="251"/>
      <c r="L1" s="251"/>
      <c r="M1" s="253"/>
      <c r="N1" s="255" t="s">
        <v>157</v>
      </c>
      <c r="O1" s="251"/>
      <c r="P1" s="251"/>
      <c r="Q1" s="251"/>
      <c r="R1" s="251"/>
      <c r="S1" s="251"/>
      <c r="T1" s="251"/>
      <c r="U1" s="251"/>
      <c r="V1" s="251"/>
      <c r="W1" s="251"/>
      <c r="X1" s="253"/>
      <c r="Y1" s="256" t="s">
        <v>158</v>
      </c>
      <c r="Z1" s="251"/>
      <c r="AA1" s="251"/>
      <c r="AB1" s="251"/>
      <c r="AC1" s="251"/>
      <c r="AD1" s="251"/>
      <c r="AE1" s="251"/>
      <c r="AF1" s="253"/>
      <c r="AG1" s="257" t="s">
        <v>159</v>
      </c>
      <c r="AH1" s="251"/>
      <c r="AI1" s="251"/>
      <c r="AJ1" s="251"/>
      <c r="AK1" s="251"/>
      <c r="AL1" s="251"/>
      <c r="AM1" s="251"/>
      <c r="AN1" s="251"/>
      <c r="AO1" s="251"/>
      <c r="AP1" s="253"/>
      <c r="AQ1" s="247" t="s">
        <v>524</v>
      </c>
      <c r="AR1" s="248"/>
      <c r="AS1" s="248"/>
      <c r="AT1" s="248"/>
      <c r="AU1" s="248"/>
      <c r="AV1" s="248"/>
      <c r="AW1" s="248"/>
      <c r="AX1" s="248"/>
      <c r="AY1" s="248"/>
      <c r="AZ1" s="248"/>
      <c r="BA1" s="248"/>
      <c r="BB1" s="248"/>
      <c r="BC1" s="248"/>
      <c r="BD1" s="248"/>
      <c r="BE1" s="249"/>
      <c r="BF1" s="247" t="s">
        <v>533</v>
      </c>
      <c r="BG1" s="248"/>
      <c r="BH1" s="248"/>
      <c r="BI1" s="248"/>
      <c r="BJ1" s="248"/>
      <c r="BK1" s="248"/>
      <c r="BL1" s="248"/>
      <c r="BM1" s="248"/>
      <c r="BN1" s="248"/>
      <c r="BO1" s="248"/>
      <c r="BP1" s="248"/>
      <c r="BQ1" s="248"/>
      <c r="BR1" s="248"/>
      <c r="BS1" s="248"/>
      <c r="BT1" s="249"/>
      <c r="BU1" s="247" t="s">
        <v>541</v>
      </c>
      <c r="BV1" s="248"/>
      <c r="BW1" s="248"/>
      <c r="BX1" s="248"/>
      <c r="BY1" s="248"/>
      <c r="BZ1" s="248"/>
      <c r="CA1" s="248"/>
      <c r="CB1" s="248"/>
      <c r="CC1" s="248"/>
      <c r="CD1" s="248"/>
      <c r="CE1" s="248"/>
      <c r="CF1" s="248"/>
      <c r="CG1" s="248"/>
      <c r="CH1" s="248"/>
      <c r="CI1" s="249"/>
      <c r="CJ1" s="247" t="s">
        <v>548</v>
      </c>
      <c r="CK1" s="248"/>
      <c r="CL1" s="248"/>
      <c r="CM1" s="248"/>
      <c r="CN1" s="248"/>
      <c r="CO1" s="248"/>
      <c r="CP1" s="248"/>
      <c r="CQ1" s="248"/>
      <c r="CR1" s="248"/>
      <c r="CS1" s="248"/>
      <c r="CT1" s="248"/>
      <c r="CU1" s="248"/>
      <c r="CV1" s="248"/>
      <c r="CW1" s="248"/>
      <c r="CX1" s="249"/>
      <c r="CY1" s="247" t="s">
        <v>553</v>
      </c>
      <c r="CZ1" s="248"/>
      <c r="DA1" s="248"/>
      <c r="DB1" s="248"/>
      <c r="DC1" s="248"/>
      <c r="DD1" s="248"/>
      <c r="DE1" s="248"/>
      <c r="DF1" s="248"/>
      <c r="DG1" s="248"/>
      <c r="DH1" s="248"/>
      <c r="DI1" s="248"/>
      <c r="DJ1" s="248"/>
      <c r="DK1" s="248"/>
      <c r="DL1" s="248"/>
      <c r="DM1" s="249"/>
    </row>
    <row r="2" spans="1:123" ht="16" thickBot="1" x14ac:dyDescent="0.25">
      <c r="A2" s="15" t="s">
        <v>56</v>
      </c>
      <c r="B2" s="16" t="s">
        <v>58</v>
      </c>
      <c r="C2" s="17" t="s">
        <v>2</v>
      </c>
      <c r="D2" s="115" t="s">
        <v>168</v>
      </c>
      <c r="E2" s="19" t="s">
        <v>24</v>
      </c>
      <c r="F2" s="19" t="s">
        <v>28</v>
      </c>
      <c r="G2" s="19" t="s">
        <v>30</v>
      </c>
      <c r="H2" s="19" t="s">
        <v>57</v>
      </c>
      <c r="I2" s="19" t="s">
        <v>34</v>
      </c>
      <c r="J2" s="19" t="s">
        <v>170</v>
      </c>
      <c r="K2" s="19" t="s">
        <v>171</v>
      </c>
      <c r="L2" s="19" t="s">
        <v>172</v>
      </c>
      <c r="M2" s="20" t="s">
        <v>22</v>
      </c>
      <c r="N2" s="21" t="s">
        <v>36</v>
      </c>
      <c r="O2" s="22" t="s">
        <v>38</v>
      </c>
      <c r="P2" s="22" t="s">
        <v>40</v>
      </c>
      <c r="Q2" s="22" t="s">
        <v>42</v>
      </c>
      <c r="R2" s="22" t="s">
        <v>44</v>
      </c>
      <c r="S2" s="22" t="s">
        <v>18</v>
      </c>
      <c r="T2" s="22" t="s">
        <v>20</v>
      </c>
      <c r="U2" s="22" t="s">
        <v>173</v>
      </c>
      <c r="V2" s="22" t="s">
        <v>174</v>
      </c>
      <c r="W2" s="22" t="s">
        <v>175</v>
      </c>
      <c r="X2" s="23" t="s">
        <v>176</v>
      </c>
      <c r="Y2" s="24" t="s">
        <v>177</v>
      </c>
      <c r="Z2" s="25" t="s">
        <v>178</v>
      </c>
      <c r="AA2" s="25" t="s">
        <v>179</v>
      </c>
      <c r="AB2" s="25" t="s">
        <v>180</v>
      </c>
      <c r="AC2" s="25" t="s">
        <v>8</v>
      </c>
      <c r="AD2" s="25" t="s">
        <v>12</v>
      </c>
      <c r="AE2" s="25" t="s">
        <v>10</v>
      </c>
      <c r="AF2" s="26" t="s">
        <v>14</v>
      </c>
      <c r="AG2" s="27" t="s">
        <v>183</v>
      </c>
      <c r="AH2" s="28" t="s">
        <v>176</v>
      </c>
      <c r="AI2" s="28" t="s">
        <v>185</v>
      </c>
      <c r="AJ2" s="28" t="s">
        <v>186</v>
      </c>
      <c r="AK2" s="28" t="s">
        <v>180</v>
      </c>
      <c r="AL2" s="28" t="s">
        <v>187</v>
      </c>
      <c r="AM2" s="28" t="s">
        <v>188</v>
      </c>
      <c r="AN2" s="28" t="s">
        <v>189</v>
      </c>
      <c r="AO2" s="28" t="s">
        <v>26</v>
      </c>
      <c r="AP2" s="29" t="s">
        <v>16</v>
      </c>
      <c r="AQ2" s="30" t="s">
        <v>190</v>
      </c>
      <c r="AR2" s="31" t="s">
        <v>191</v>
      </c>
      <c r="AS2" s="31" t="s">
        <v>192</v>
      </c>
      <c r="AT2" s="31" t="s">
        <v>193</v>
      </c>
      <c r="AU2" s="31" t="s">
        <v>194</v>
      </c>
      <c r="AV2" s="31" t="s">
        <v>195</v>
      </c>
      <c r="AW2" s="31" t="s">
        <v>8</v>
      </c>
      <c r="AX2" s="31" t="s">
        <v>12</v>
      </c>
      <c r="AY2" s="31" t="s">
        <v>10</v>
      </c>
      <c r="AZ2" s="31" t="s">
        <v>14</v>
      </c>
      <c r="BA2" s="31" t="s">
        <v>196</v>
      </c>
      <c r="BB2" s="31" t="s">
        <v>191</v>
      </c>
      <c r="BC2" s="31" t="s">
        <v>197</v>
      </c>
      <c r="BD2" s="31" t="s">
        <v>198</v>
      </c>
      <c r="BE2" s="32" t="s">
        <v>199</v>
      </c>
      <c r="BF2" s="30" t="s">
        <v>190</v>
      </c>
      <c r="BG2" s="31" t="s">
        <v>191</v>
      </c>
      <c r="BH2" s="31" t="s">
        <v>192</v>
      </c>
      <c r="BI2" s="31" t="s">
        <v>193</v>
      </c>
      <c r="BJ2" s="31" t="s">
        <v>194</v>
      </c>
      <c r="BK2" s="31" t="s">
        <v>195</v>
      </c>
      <c r="BL2" s="31" t="s">
        <v>8</v>
      </c>
      <c r="BM2" s="31" t="s">
        <v>12</v>
      </c>
      <c r="BN2" s="31" t="s">
        <v>10</v>
      </c>
      <c r="BO2" s="31" t="s">
        <v>14</v>
      </c>
      <c r="BP2" s="31" t="s">
        <v>196</v>
      </c>
      <c r="BQ2" s="31" t="s">
        <v>191</v>
      </c>
      <c r="BR2" s="31" t="s">
        <v>197</v>
      </c>
      <c r="BS2" s="31" t="s">
        <v>198</v>
      </c>
      <c r="BT2" s="32" t="s">
        <v>199</v>
      </c>
      <c r="BU2" s="30" t="s">
        <v>190</v>
      </c>
      <c r="BV2" s="31" t="s">
        <v>191</v>
      </c>
      <c r="BW2" s="31" t="s">
        <v>192</v>
      </c>
      <c r="BX2" s="31" t="s">
        <v>193</v>
      </c>
      <c r="BY2" s="31" t="s">
        <v>194</v>
      </c>
      <c r="BZ2" s="31" t="s">
        <v>195</v>
      </c>
      <c r="CA2" s="31" t="s">
        <v>8</v>
      </c>
      <c r="CB2" s="31" t="s">
        <v>12</v>
      </c>
      <c r="CC2" s="31" t="s">
        <v>10</v>
      </c>
      <c r="CD2" s="31" t="s">
        <v>14</v>
      </c>
      <c r="CE2" s="31" t="s">
        <v>196</v>
      </c>
      <c r="CF2" s="31" t="s">
        <v>191</v>
      </c>
      <c r="CG2" s="31" t="s">
        <v>197</v>
      </c>
      <c r="CH2" s="31" t="s">
        <v>198</v>
      </c>
      <c r="CI2" s="32" t="s">
        <v>199</v>
      </c>
      <c r="CJ2" s="30" t="s">
        <v>190</v>
      </c>
      <c r="CK2" s="31" t="s">
        <v>191</v>
      </c>
      <c r="CL2" s="31" t="s">
        <v>192</v>
      </c>
      <c r="CM2" s="31" t="s">
        <v>193</v>
      </c>
      <c r="CN2" s="31" t="s">
        <v>194</v>
      </c>
      <c r="CO2" s="31" t="s">
        <v>195</v>
      </c>
      <c r="CP2" s="31" t="s">
        <v>8</v>
      </c>
      <c r="CQ2" s="31" t="s">
        <v>12</v>
      </c>
      <c r="CR2" s="31" t="s">
        <v>10</v>
      </c>
      <c r="CS2" s="31" t="s">
        <v>14</v>
      </c>
      <c r="CT2" s="31" t="s">
        <v>196</v>
      </c>
      <c r="CU2" s="31" t="s">
        <v>191</v>
      </c>
      <c r="CV2" s="31" t="s">
        <v>197</v>
      </c>
      <c r="CW2" s="31" t="s">
        <v>198</v>
      </c>
      <c r="CX2" s="32" t="s">
        <v>199</v>
      </c>
      <c r="CY2" s="30" t="s">
        <v>190</v>
      </c>
      <c r="CZ2" s="31" t="s">
        <v>191</v>
      </c>
      <c r="DA2" s="31" t="s">
        <v>192</v>
      </c>
      <c r="DB2" s="31" t="s">
        <v>193</v>
      </c>
      <c r="DC2" s="31" t="s">
        <v>194</v>
      </c>
      <c r="DD2" s="31" t="s">
        <v>195</v>
      </c>
      <c r="DE2" s="31" t="s">
        <v>8</v>
      </c>
      <c r="DF2" s="31" t="s">
        <v>12</v>
      </c>
      <c r="DG2" s="31" t="s">
        <v>10</v>
      </c>
      <c r="DH2" s="31" t="s">
        <v>14</v>
      </c>
      <c r="DI2" s="31" t="s">
        <v>196</v>
      </c>
      <c r="DJ2" s="31" t="s">
        <v>191</v>
      </c>
      <c r="DK2" s="31" t="s">
        <v>197</v>
      </c>
      <c r="DL2" s="31" t="s">
        <v>198</v>
      </c>
      <c r="DM2" s="32" t="s">
        <v>199</v>
      </c>
      <c r="DN2" s="11"/>
      <c r="DO2" s="11"/>
      <c r="DP2" s="11" t="s">
        <v>379</v>
      </c>
      <c r="DQ2" s="11" t="s">
        <v>380</v>
      </c>
      <c r="DR2" s="7" t="s">
        <v>381</v>
      </c>
      <c r="DS2" s="11" t="s">
        <v>382</v>
      </c>
    </row>
    <row r="3" spans="1:123" x14ac:dyDescent="0.2">
      <c r="A3" s="33">
        <v>1</v>
      </c>
      <c r="B3" s="34" t="s">
        <v>210</v>
      </c>
      <c r="C3" s="116">
        <v>15.166666666666666</v>
      </c>
      <c r="D3" s="117" t="s">
        <v>436</v>
      </c>
      <c r="E3" s="37">
        <v>3</v>
      </c>
      <c r="F3" s="118">
        <v>37286</v>
      </c>
      <c r="G3" s="119">
        <v>23.673972602739727</v>
      </c>
      <c r="H3" s="39" t="s">
        <v>385</v>
      </c>
      <c r="I3" s="119">
        <v>21.252054794520546</v>
      </c>
      <c r="J3" s="120">
        <v>71</v>
      </c>
      <c r="K3" s="120">
        <v>215</v>
      </c>
      <c r="L3" s="120">
        <v>4.46</v>
      </c>
      <c r="M3" s="40">
        <v>1</v>
      </c>
      <c r="N3" s="121">
        <v>0</v>
      </c>
      <c r="O3" s="122">
        <v>0</v>
      </c>
      <c r="P3" s="122">
        <v>0.18952461085401767</v>
      </c>
      <c r="Q3" s="122">
        <v>0.27859525210908376</v>
      </c>
      <c r="R3" s="122">
        <v>0.33828796561604585</v>
      </c>
      <c r="S3" s="42">
        <v>0.33828796561604585</v>
      </c>
      <c r="T3" s="42">
        <v>0.30445916905444126</v>
      </c>
      <c r="U3" s="42">
        <v>0.10831792975970425</v>
      </c>
      <c r="V3" s="42">
        <v>0.10006373486297004</v>
      </c>
      <c r="W3" s="42">
        <v>0.10419083231133715</v>
      </c>
      <c r="X3" s="43">
        <v>9.3771749080203429E-2</v>
      </c>
      <c r="Y3" s="44">
        <v>18.597260273972601</v>
      </c>
      <c r="Z3" s="170">
        <v>108.67484282052182</v>
      </c>
      <c r="AA3" s="45">
        <v>29.983138266217022</v>
      </c>
      <c r="AB3" s="45">
        <v>0.40512820512820513</v>
      </c>
      <c r="AC3" s="45">
        <v>6.1</v>
      </c>
      <c r="AD3" s="45">
        <v>197.1</v>
      </c>
      <c r="AE3" s="45">
        <v>6.09</v>
      </c>
      <c r="AF3" s="45">
        <v>64.3</v>
      </c>
      <c r="AG3" s="128">
        <v>8</v>
      </c>
      <c r="AH3" s="49">
        <v>9</v>
      </c>
      <c r="AI3" s="49">
        <v>9</v>
      </c>
      <c r="AJ3" s="49">
        <v>9</v>
      </c>
      <c r="AK3" s="49">
        <v>10</v>
      </c>
      <c r="AL3" s="124">
        <v>5</v>
      </c>
      <c r="AM3" s="49">
        <v>9</v>
      </c>
      <c r="AN3" s="49">
        <v>9</v>
      </c>
      <c r="AO3" s="49">
        <v>10</v>
      </c>
      <c r="AP3" s="50">
        <v>1</v>
      </c>
      <c r="AQ3" s="51">
        <v>0</v>
      </c>
      <c r="AR3" s="52">
        <v>2143</v>
      </c>
      <c r="AS3" s="52">
        <v>0</v>
      </c>
      <c r="AT3" s="52">
        <v>24</v>
      </c>
      <c r="AU3" s="52">
        <v>0</v>
      </c>
      <c r="AV3" s="52">
        <v>0</v>
      </c>
      <c r="AW3" s="53">
        <v>0</v>
      </c>
      <c r="AX3" s="53">
        <v>0</v>
      </c>
      <c r="AY3" s="53">
        <v>0</v>
      </c>
      <c r="AZ3" s="53">
        <v>0</v>
      </c>
      <c r="BA3" s="52">
        <v>0</v>
      </c>
      <c r="BB3" s="52">
        <v>3615</v>
      </c>
      <c r="BC3" s="52">
        <v>0</v>
      </c>
      <c r="BD3" s="52"/>
      <c r="BE3" s="54">
        <v>28</v>
      </c>
      <c r="BF3" s="51">
        <v>0</v>
      </c>
      <c r="BG3" s="52">
        <v>2295</v>
      </c>
      <c r="BH3" s="52">
        <v>0</v>
      </c>
      <c r="BI3" s="52">
        <v>26</v>
      </c>
      <c r="BJ3" s="52">
        <v>0</v>
      </c>
      <c r="BK3" s="52">
        <v>0</v>
      </c>
      <c r="BL3" s="53">
        <v>0</v>
      </c>
      <c r="BM3" s="53">
        <v>0</v>
      </c>
      <c r="BN3" s="53">
        <v>0</v>
      </c>
      <c r="BO3" s="53">
        <v>0</v>
      </c>
      <c r="BP3" s="52">
        <v>0</v>
      </c>
      <c r="BQ3" s="52">
        <v>3761</v>
      </c>
      <c r="BR3" s="52">
        <v>0</v>
      </c>
      <c r="BS3" s="52"/>
      <c r="BT3" s="54">
        <v>32</v>
      </c>
      <c r="BU3" s="51">
        <v>705</v>
      </c>
      <c r="BV3" s="52">
        <v>1953</v>
      </c>
      <c r="BW3" s="52">
        <v>4</v>
      </c>
      <c r="BX3" s="52">
        <v>20</v>
      </c>
      <c r="BY3" s="52">
        <v>87</v>
      </c>
      <c r="BZ3" s="52">
        <v>29</v>
      </c>
      <c r="CA3" s="53">
        <v>8.1</v>
      </c>
      <c r="CB3" s="53">
        <v>197.1</v>
      </c>
      <c r="CC3" s="53">
        <v>6.09</v>
      </c>
      <c r="CD3" s="53">
        <v>64.3</v>
      </c>
      <c r="CE3" s="52">
        <v>196</v>
      </c>
      <c r="CF3" s="52">
        <v>2801</v>
      </c>
      <c r="CG3" s="52">
        <v>15</v>
      </c>
      <c r="CH3" s="52"/>
      <c r="CI3" s="54">
        <v>32</v>
      </c>
      <c r="CJ3" s="51">
        <v>1127</v>
      </c>
      <c r="CK3" s="52">
        <v>2392</v>
      </c>
      <c r="CL3" s="52">
        <v>11</v>
      </c>
      <c r="CM3" s="52">
        <v>25</v>
      </c>
      <c r="CN3" s="52">
        <v>195</v>
      </c>
      <c r="CO3" s="52">
        <v>79</v>
      </c>
      <c r="CP3" s="53">
        <v>5.8</v>
      </c>
      <c r="CQ3" s="53">
        <v>155.19999999999999</v>
      </c>
      <c r="CR3" s="53">
        <v>3.94</v>
      </c>
      <c r="CS3" s="53">
        <v>36.700000000000003</v>
      </c>
      <c r="CT3" s="52">
        <v>293</v>
      </c>
      <c r="CU3" s="52">
        <v>2705</v>
      </c>
      <c r="CV3" s="52">
        <v>26</v>
      </c>
      <c r="CW3" s="52"/>
      <c r="CX3" s="54">
        <v>29</v>
      </c>
      <c r="CY3" s="51">
        <v>1575</v>
      </c>
      <c r="CZ3" s="52">
        <v>2446</v>
      </c>
      <c r="DA3" s="52">
        <v>18</v>
      </c>
      <c r="DB3" s="52">
        <v>29</v>
      </c>
      <c r="DC3" s="52">
        <v>257</v>
      </c>
      <c r="DD3" s="52">
        <v>104</v>
      </c>
      <c r="DE3" s="53">
        <v>6.1</v>
      </c>
      <c r="DF3" s="53">
        <v>169.1</v>
      </c>
      <c r="DG3" s="53">
        <v>4.17</v>
      </c>
      <c r="DH3" s="53">
        <v>38.6</v>
      </c>
      <c r="DI3" s="52">
        <v>314</v>
      </c>
      <c r="DJ3" s="52">
        <v>3138</v>
      </c>
      <c r="DK3" s="52">
        <v>19</v>
      </c>
      <c r="DL3" s="52"/>
      <c r="DM3" s="54">
        <v>22</v>
      </c>
      <c r="DO3" s="11">
        <v>1</v>
      </c>
      <c r="DP3" s="42" t="s">
        <v>386</v>
      </c>
      <c r="DQ3" s="7">
        <v>1</v>
      </c>
      <c r="DR3" s="130">
        <v>43343</v>
      </c>
      <c r="DS3" s="127">
        <v>45043</v>
      </c>
    </row>
    <row r="4" spans="1:123" x14ac:dyDescent="0.2">
      <c r="A4" s="33">
        <v>2</v>
      </c>
      <c r="B4" s="34" t="s">
        <v>218</v>
      </c>
      <c r="C4" s="116">
        <v>13.977777777777778</v>
      </c>
      <c r="D4" s="117" t="s">
        <v>398</v>
      </c>
      <c r="E4" s="37">
        <v>1</v>
      </c>
      <c r="F4" s="118">
        <v>37335</v>
      </c>
      <c r="G4" s="119">
        <v>23.539726027397261</v>
      </c>
      <c r="H4" s="39" t="s">
        <v>385</v>
      </c>
      <c r="I4" s="119">
        <v>21.117808219178084</v>
      </c>
      <c r="J4" s="120">
        <v>69</v>
      </c>
      <c r="K4" s="120">
        <v>199</v>
      </c>
      <c r="L4" s="120">
        <v>4.3600000000000003</v>
      </c>
      <c r="M4" s="40">
        <v>1</v>
      </c>
      <c r="N4" s="121">
        <v>0</v>
      </c>
      <c r="O4" s="122">
        <v>0</v>
      </c>
      <c r="P4" s="122">
        <v>0.19697358296999232</v>
      </c>
      <c r="Q4" s="122">
        <v>0.27586206896551724</v>
      </c>
      <c r="R4" s="122">
        <v>0.22089648500483716</v>
      </c>
      <c r="S4" s="42">
        <v>0.2483792769851772</v>
      </c>
      <c r="T4" s="42">
        <v>0.2483792769851772</v>
      </c>
      <c r="U4" s="42">
        <v>0.19747899159663865</v>
      </c>
      <c r="V4" s="42">
        <v>0.12131147540983607</v>
      </c>
      <c r="W4" s="42">
        <v>0.15939523350323737</v>
      </c>
      <c r="X4" s="43">
        <v>0.15939523350323737</v>
      </c>
      <c r="Y4" s="44">
        <v>18.463013698630139</v>
      </c>
      <c r="Z4" s="170">
        <v>110.13798203279227</v>
      </c>
      <c r="AA4" s="45">
        <v>29.383952951060703</v>
      </c>
      <c r="AB4" s="45">
        <v>0.39325842696629215</v>
      </c>
      <c r="AC4" s="45">
        <v>6.1</v>
      </c>
      <c r="AD4" s="45">
        <v>167.5</v>
      </c>
      <c r="AE4" s="45">
        <v>4.17</v>
      </c>
      <c r="AF4" s="45">
        <v>52.7</v>
      </c>
      <c r="AG4" s="128">
        <v>6</v>
      </c>
      <c r="AH4" s="49">
        <v>10</v>
      </c>
      <c r="AI4" s="49">
        <v>9</v>
      </c>
      <c r="AJ4" s="49">
        <v>9</v>
      </c>
      <c r="AK4" s="49">
        <v>10</v>
      </c>
      <c r="AL4" s="49">
        <v>5</v>
      </c>
      <c r="AM4" s="49">
        <v>8</v>
      </c>
      <c r="AN4" s="49">
        <v>6</v>
      </c>
      <c r="AO4" s="49">
        <v>10</v>
      </c>
      <c r="AP4" s="50">
        <v>0.5</v>
      </c>
      <c r="AQ4" s="56">
        <v>0</v>
      </c>
      <c r="AR4" s="57">
        <v>4225</v>
      </c>
      <c r="AS4" s="57">
        <v>0</v>
      </c>
      <c r="AT4" s="57">
        <v>46</v>
      </c>
      <c r="AU4" s="57">
        <v>0</v>
      </c>
      <c r="AV4" s="57">
        <v>0</v>
      </c>
      <c r="AW4" s="58">
        <v>0</v>
      </c>
      <c r="AX4" s="58">
        <v>0</v>
      </c>
      <c r="AY4" s="58">
        <v>0</v>
      </c>
      <c r="AZ4" s="58">
        <v>0</v>
      </c>
      <c r="BA4" s="57">
        <v>0</v>
      </c>
      <c r="BB4" s="57">
        <v>1089</v>
      </c>
      <c r="BC4" s="57">
        <v>0</v>
      </c>
      <c r="BD4" s="57"/>
      <c r="BE4" s="59">
        <v>7</v>
      </c>
      <c r="BF4" s="56">
        <v>0</v>
      </c>
      <c r="BG4" s="57">
        <v>1829</v>
      </c>
      <c r="BH4" s="57">
        <v>0</v>
      </c>
      <c r="BI4" s="57">
        <v>12</v>
      </c>
      <c r="BJ4" s="57">
        <v>0</v>
      </c>
      <c r="BK4" s="57">
        <v>0</v>
      </c>
      <c r="BL4" s="58">
        <v>0</v>
      </c>
      <c r="BM4" s="58">
        <v>0</v>
      </c>
      <c r="BN4" s="58">
        <v>0</v>
      </c>
      <c r="BO4" s="58">
        <v>0</v>
      </c>
      <c r="BP4" s="57">
        <v>0</v>
      </c>
      <c r="BQ4" s="57">
        <v>1607</v>
      </c>
      <c r="BR4" s="57">
        <v>0</v>
      </c>
      <c r="BS4" s="57"/>
      <c r="BT4" s="59">
        <v>14</v>
      </c>
      <c r="BU4" s="56">
        <v>467</v>
      </c>
      <c r="BV4" s="57">
        <v>1908</v>
      </c>
      <c r="BW4" s="57">
        <v>4</v>
      </c>
      <c r="BX4" s="57">
        <v>18</v>
      </c>
      <c r="BY4" s="57">
        <v>89</v>
      </c>
      <c r="BZ4" s="57">
        <v>35</v>
      </c>
      <c r="CA4" s="58">
        <v>5.2</v>
      </c>
      <c r="CB4" s="58">
        <v>167.5</v>
      </c>
      <c r="CC4" s="58">
        <v>4.17</v>
      </c>
      <c r="CD4" s="58">
        <v>42.6</v>
      </c>
      <c r="CE4" s="57">
        <v>301</v>
      </c>
      <c r="CF4" s="57">
        <v>1991</v>
      </c>
      <c r="CG4" s="57">
        <v>23</v>
      </c>
      <c r="CH4" s="57"/>
      <c r="CI4" s="59">
        <v>14</v>
      </c>
      <c r="CJ4" s="56">
        <v>746</v>
      </c>
      <c r="CK4" s="57">
        <v>2028</v>
      </c>
      <c r="CL4" s="57">
        <v>4</v>
      </c>
      <c r="CM4" s="57">
        <v>15</v>
      </c>
      <c r="CN4" s="57">
        <v>143</v>
      </c>
      <c r="CO4" s="57">
        <v>34</v>
      </c>
      <c r="CP4" s="58">
        <v>5.2</v>
      </c>
      <c r="CQ4" s="58">
        <v>80.8</v>
      </c>
      <c r="CR4" s="58">
        <v>3.29</v>
      </c>
      <c r="CS4" s="58">
        <v>44.1</v>
      </c>
      <c r="CT4" s="57">
        <v>470</v>
      </c>
      <c r="CU4" s="57">
        <v>2380</v>
      </c>
      <c r="CV4" s="57">
        <v>36</v>
      </c>
      <c r="CW4" s="57"/>
      <c r="CX4" s="59">
        <v>18</v>
      </c>
      <c r="CY4" s="56">
        <v>926</v>
      </c>
      <c r="CZ4" s="57">
        <v>2542</v>
      </c>
      <c r="DA4" s="57">
        <v>7</v>
      </c>
      <c r="DB4" s="57">
        <v>26</v>
      </c>
      <c r="DC4" s="57">
        <v>151</v>
      </c>
      <c r="DD4" s="57">
        <v>38</v>
      </c>
      <c r="DE4" s="58">
        <v>6.1</v>
      </c>
      <c r="DF4" s="58">
        <v>99.1</v>
      </c>
      <c r="DG4" s="58">
        <v>3.39</v>
      </c>
      <c r="DH4" s="58">
        <v>52.7</v>
      </c>
      <c r="DI4" s="57">
        <v>444</v>
      </c>
      <c r="DJ4" s="57">
        <v>3660</v>
      </c>
      <c r="DK4" s="57">
        <v>44</v>
      </c>
      <c r="DL4" s="57"/>
      <c r="DM4" s="59">
        <v>37</v>
      </c>
      <c r="DO4" s="11">
        <v>2</v>
      </c>
      <c r="DP4" s="42" t="s">
        <v>390</v>
      </c>
      <c r="DQ4" s="7">
        <v>1</v>
      </c>
      <c r="DR4" s="130">
        <v>43709</v>
      </c>
    </row>
    <row r="5" spans="1:123" x14ac:dyDescent="0.2">
      <c r="A5" s="33">
        <v>3</v>
      </c>
      <c r="B5" s="34" t="s">
        <v>227</v>
      </c>
      <c r="C5" s="116">
        <v>11.216666666666667</v>
      </c>
      <c r="D5" s="117" t="s">
        <v>441</v>
      </c>
      <c r="E5" s="37">
        <v>1</v>
      </c>
      <c r="F5" s="118">
        <v>37177</v>
      </c>
      <c r="G5" s="119">
        <v>23.972602739726028</v>
      </c>
      <c r="H5" s="39" t="s">
        <v>385</v>
      </c>
      <c r="I5" s="119">
        <v>21.550684931506851</v>
      </c>
      <c r="J5" s="120">
        <v>68</v>
      </c>
      <c r="K5" s="120">
        <v>188</v>
      </c>
      <c r="L5" s="120">
        <v>4.32</v>
      </c>
      <c r="M5" s="40">
        <v>3</v>
      </c>
      <c r="N5" s="121">
        <v>0</v>
      </c>
      <c r="O5" s="122">
        <v>0</v>
      </c>
      <c r="P5" s="122">
        <v>0.10496357012750455</v>
      </c>
      <c r="Q5" s="122">
        <v>0.24388167695254309</v>
      </c>
      <c r="R5" s="122">
        <v>0.29944547134935307</v>
      </c>
      <c r="S5" s="42">
        <v>0.29944547134935307</v>
      </c>
      <c r="T5" s="42">
        <v>0.29944547134935307</v>
      </c>
      <c r="U5" s="42">
        <v>0.10427487015581302</v>
      </c>
      <c r="V5" s="42">
        <v>7.4439802506646405E-2</v>
      </c>
      <c r="W5" s="42">
        <v>8.935733633122972E-2</v>
      </c>
      <c r="X5" s="43">
        <v>8.935733633122972E-2</v>
      </c>
      <c r="Y5" s="44">
        <v>19.909589041095892</v>
      </c>
      <c r="Z5" s="170">
        <v>107.95750962947908</v>
      </c>
      <c r="AA5" s="45">
        <v>28.582179930795846</v>
      </c>
      <c r="AB5" s="45">
        <v>0.27692307692307694</v>
      </c>
      <c r="AC5" s="45">
        <v>6.8</v>
      </c>
      <c r="AD5" s="45">
        <v>112.1</v>
      </c>
      <c r="AE5" s="45">
        <v>4.0199999999999996</v>
      </c>
      <c r="AF5" s="45">
        <v>52.1</v>
      </c>
      <c r="AG5" s="128">
        <v>8</v>
      </c>
      <c r="AH5" s="49">
        <v>8</v>
      </c>
      <c r="AI5" s="49">
        <v>5</v>
      </c>
      <c r="AJ5" s="49">
        <v>9</v>
      </c>
      <c r="AK5" s="49">
        <v>7</v>
      </c>
      <c r="AL5" s="49">
        <v>7</v>
      </c>
      <c r="AM5" s="49">
        <v>5</v>
      </c>
      <c r="AN5" s="49">
        <v>5</v>
      </c>
      <c r="AO5" s="49">
        <v>6</v>
      </c>
      <c r="AP5" s="50">
        <v>0.75</v>
      </c>
      <c r="AQ5" s="56">
        <v>0</v>
      </c>
      <c r="AR5" s="57">
        <v>2847</v>
      </c>
      <c r="AS5" s="57">
        <v>0</v>
      </c>
      <c r="AT5" s="57">
        <v>28</v>
      </c>
      <c r="AU5" s="57">
        <v>0</v>
      </c>
      <c r="AV5" s="57">
        <v>0</v>
      </c>
      <c r="AW5" s="58">
        <v>0</v>
      </c>
      <c r="AX5" s="58">
        <v>0</v>
      </c>
      <c r="AY5" s="58">
        <v>0</v>
      </c>
      <c r="AZ5" s="58">
        <v>0</v>
      </c>
      <c r="BA5" s="57">
        <v>0</v>
      </c>
      <c r="BB5" s="57">
        <v>3284</v>
      </c>
      <c r="BC5" s="57">
        <v>0</v>
      </c>
      <c r="BD5" s="57"/>
      <c r="BE5" s="59">
        <v>25</v>
      </c>
      <c r="BF5" s="56">
        <v>0</v>
      </c>
      <c r="BG5" s="57">
        <v>2068</v>
      </c>
      <c r="BH5" s="57">
        <v>0</v>
      </c>
      <c r="BI5" s="57">
        <v>24</v>
      </c>
      <c r="BJ5" s="57">
        <v>0</v>
      </c>
      <c r="BK5" s="57">
        <v>0</v>
      </c>
      <c r="BL5" s="58">
        <v>0</v>
      </c>
      <c r="BM5" s="58">
        <v>0</v>
      </c>
      <c r="BN5" s="58">
        <v>0</v>
      </c>
      <c r="BO5" s="58">
        <v>0</v>
      </c>
      <c r="BP5" s="57">
        <v>0</v>
      </c>
      <c r="BQ5" s="57">
        <v>3060</v>
      </c>
      <c r="BR5" s="57">
        <v>0</v>
      </c>
      <c r="BS5" s="57"/>
      <c r="BT5" s="59">
        <v>22</v>
      </c>
      <c r="BU5" s="56">
        <v>364</v>
      </c>
      <c r="BV5" s="57">
        <v>2051</v>
      </c>
      <c r="BW5" s="57">
        <v>4</v>
      </c>
      <c r="BX5" s="57">
        <v>21</v>
      </c>
      <c r="BY5" s="57">
        <v>43</v>
      </c>
      <c r="BZ5" s="57">
        <v>17</v>
      </c>
      <c r="CA5" s="58">
        <v>8.5</v>
      </c>
      <c r="CB5" s="58">
        <v>185.3</v>
      </c>
      <c r="CC5" s="58">
        <v>5.23</v>
      </c>
      <c r="CD5" s="58">
        <v>51.4</v>
      </c>
      <c r="CE5" s="57">
        <v>97</v>
      </c>
      <c r="CF5" s="57">
        <v>2341</v>
      </c>
      <c r="CG5" s="57">
        <v>5</v>
      </c>
      <c r="CH5" s="57"/>
      <c r="CI5" s="59">
        <v>20</v>
      </c>
      <c r="CJ5" s="56">
        <v>885</v>
      </c>
      <c r="CK5" s="57">
        <v>2196</v>
      </c>
      <c r="CL5" s="57">
        <v>9</v>
      </c>
      <c r="CM5" s="57">
        <v>17</v>
      </c>
      <c r="CN5" s="57">
        <v>130</v>
      </c>
      <c r="CO5" s="57">
        <v>36</v>
      </c>
      <c r="CP5" s="58">
        <v>6.8</v>
      </c>
      <c r="CQ5" s="58">
        <v>112.1</v>
      </c>
      <c r="CR5" s="58">
        <v>4.0199999999999996</v>
      </c>
      <c r="CS5" s="58">
        <v>52.1</v>
      </c>
      <c r="CT5" s="57">
        <v>261</v>
      </c>
      <c r="CU5" s="57">
        <v>2503</v>
      </c>
      <c r="CV5" s="57">
        <v>24</v>
      </c>
      <c r="CW5" s="57"/>
      <c r="CX5" s="59">
        <v>19</v>
      </c>
      <c r="CY5" s="56">
        <v>1100</v>
      </c>
      <c r="CZ5" s="57">
        <v>1695</v>
      </c>
      <c r="DA5" s="57">
        <v>8</v>
      </c>
      <c r="DB5" s="57">
        <v>12</v>
      </c>
      <c r="DC5" s="57">
        <v>196</v>
      </c>
      <c r="DD5" s="57">
        <v>51</v>
      </c>
      <c r="DE5" s="58">
        <v>5.6</v>
      </c>
      <c r="DF5" s="58">
        <v>89.9</v>
      </c>
      <c r="DG5" s="58">
        <v>3.6</v>
      </c>
      <c r="DH5" s="58">
        <v>42.8</v>
      </c>
      <c r="DI5" s="57">
        <v>196</v>
      </c>
      <c r="DJ5" s="57">
        <v>2633</v>
      </c>
      <c r="DK5" s="57">
        <v>36</v>
      </c>
      <c r="DL5" s="57"/>
      <c r="DM5" s="59">
        <v>18</v>
      </c>
      <c r="DN5" s="171"/>
      <c r="DO5" s="5">
        <v>3</v>
      </c>
      <c r="DP5" s="42" t="s">
        <v>393</v>
      </c>
      <c r="DQ5" s="7">
        <v>0.9</v>
      </c>
      <c r="DR5" s="130">
        <v>44074</v>
      </c>
    </row>
    <row r="6" spans="1:123" x14ac:dyDescent="0.2">
      <c r="A6" s="33">
        <v>4</v>
      </c>
      <c r="B6" s="34" t="s">
        <v>230</v>
      </c>
      <c r="C6" s="116">
        <v>10.899999999999999</v>
      </c>
      <c r="D6" s="117" t="s">
        <v>426</v>
      </c>
      <c r="E6" s="37">
        <v>1</v>
      </c>
      <c r="F6" s="118">
        <v>37133</v>
      </c>
      <c r="G6" s="119">
        <v>24.093150684931508</v>
      </c>
      <c r="H6" s="39" t="s">
        <v>385</v>
      </c>
      <c r="I6" s="119">
        <v>21.671232876712327</v>
      </c>
      <c r="J6" s="120">
        <v>72</v>
      </c>
      <c r="K6" s="120">
        <v>210</v>
      </c>
      <c r="L6" s="120">
        <v>4.5599999999999996</v>
      </c>
      <c r="M6" s="40">
        <v>3</v>
      </c>
      <c r="N6" s="121">
        <v>0</v>
      </c>
      <c r="O6" s="122">
        <v>0</v>
      </c>
      <c r="P6" s="122">
        <v>0.21800047494656852</v>
      </c>
      <c r="Q6" s="122">
        <v>0.24611845888441633</v>
      </c>
      <c r="R6" s="122">
        <v>0.25451343020695727</v>
      </c>
      <c r="S6" s="42">
        <v>0.25451343020695727</v>
      </c>
      <c r="T6" s="42">
        <v>0.25451343020695727</v>
      </c>
      <c r="U6" s="42">
        <v>5.7673822492790773E-2</v>
      </c>
      <c r="V6" s="42">
        <v>8.6872586872586879E-2</v>
      </c>
      <c r="W6" s="42">
        <v>8.6872586872586879E-2</v>
      </c>
      <c r="X6" s="43">
        <v>8.6872586872586879E-2</v>
      </c>
      <c r="Y6" s="44">
        <v>19.016438356164382</v>
      </c>
      <c r="Z6" s="170">
        <v>97.138170506046762</v>
      </c>
      <c r="AA6" s="45">
        <v>28.47800925925926</v>
      </c>
      <c r="AB6" s="45">
        <v>0.34057971014492755</v>
      </c>
      <c r="AC6" s="45">
        <v>5.5</v>
      </c>
      <c r="AD6" s="45">
        <v>137.9</v>
      </c>
      <c r="AE6" s="45">
        <v>4.16</v>
      </c>
      <c r="AF6" s="45">
        <v>50.1</v>
      </c>
      <c r="AG6" s="128">
        <v>6</v>
      </c>
      <c r="AH6" s="49">
        <v>8</v>
      </c>
      <c r="AI6" s="49">
        <v>8</v>
      </c>
      <c r="AJ6" s="49">
        <v>4</v>
      </c>
      <c r="AK6" s="49">
        <v>9</v>
      </c>
      <c r="AL6" s="49">
        <v>3</v>
      </c>
      <c r="AM6" s="49">
        <v>7</v>
      </c>
      <c r="AN6" s="49">
        <v>5</v>
      </c>
      <c r="AO6" s="49">
        <v>6</v>
      </c>
      <c r="AP6" s="50">
        <v>1</v>
      </c>
      <c r="AQ6" s="56">
        <v>0</v>
      </c>
      <c r="AR6" s="57">
        <v>2177</v>
      </c>
      <c r="AS6" s="57">
        <v>0</v>
      </c>
      <c r="AT6" s="57">
        <v>25</v>
      </c>
      <c r="AU6" s="57">
        <v>0</v>
      </c>
      <c r="AV6" s="57">
        <v>0</v>
      </c>
      <c r="AW6" s="58">
        <v>0</v>
      </c>
      <c r="AX6" s="58">
        <v>0</v>
      </c>
      <c r="AY6" s="58">
        <v>0</v>
      </c>
      <c r="AZ6" s="58">
        <v>0</v>
      </c>
      <c r="BA6" s="57">
        <v>0</v>
      </c>
      <c r="BB6" s="57">
        <v>2892</v>
      </c>
      <c r="BC6" s="57">
        <v>0</v>
      </c>
      <c r="BD6" s="57"/>
      <c r="BE6" s="59">
        <v>21</v>
      </c>
      <c r="BF6" s="56">
        <v>0</v>
      </c>
      <c r="BG6" s="57">
        <v>2588</v>
      </c>
      <c r="BH6" s="57">
        <v>0</v>
      </c>
      <c r="BI6" s="57">
        <v>31</v>
      </c>
      <c r="BJ6" s="57">
        <v>0</v>
      </c>
      <c r="BK6" s="57">
        <v>0</v>
      </c>
      <c r="BL6" s="58">
        <v>0</v>
      </c>
      <c r="BM6" s="58">
        <v>0</v>
      </c>
      <c r="BN6" s="58">
        <v>0</v>
      </c>
      <c r="BO6" s="58">
        <v>0</v>
      </c>
      <c r="BP6" s="57">
        <v>0</v>
      </c>
      <c r="BQ6" s="57">
        <v>2697</v>
      </c>
      <c r="BR6" s="57">
        <v>0</v>
      </c>
      <c r="BS6" s="57"/>
      <c r="BT6" s="59">
        <v>20</v>
      </c>
      <c r="BU6" s="56">
        <v>834</v>
      </c>
      <c r="BV6" s="57">
        <v>1788</v>
      </c>
      <c r="BW6" s="57">
        <v>5</v>
      </c>
      <c r="BX6" s="57">
        <v>16</v>
      </c>
      <c r="BY6" s="57">
        <v>138</v>
      </c>
      <c r="BZ6" s="57">
        <v>47</v>
      </c>
      <c r="CA6" s="58">
        <v>6</v>
      </c>
      <c r="CB6" s="58">
        <v>131.30000000000001</v>
      </c>
      <c r="CC6" s="58">
        <v>3.99</v>
      </c>
      <c r="CD6" s="58">
        <v>39.200000000000003</v>
      </c>
      <c r="CE6" s="57">
        <v>84</v>
      </c>
      <c r="CF6" s="57">
        <v>2423</v>
      </c>
      <c r="CG6" s="57">
        <v>11</v>
      </c>
      <c r="CH6" s="57"/>
      <c r="CI6" s="59">
        <v>12</v>
      </c>
      <c r="CJ6" s="56">
        <v>1104</v>
      </c>
      <c r="CK6" s="57">
        <v>2096</v>
      </c>
      <c r="CL6" s="57">
        <v>10</v>
      </c>
      <c r="CM6" s="57">
        <v>22</v>
      </c>
      <c r="CN6" s="57">
        <v>224</v>
      </c>
      <c r="CO6" s="57">
        <v>48</v>
      </c>
      <c r="CP6" s="58">
        <v>4.9000000000000004</v>
      </c>
      <c r="CQ6" s="58">
        <v>65.5</v>
      </c>
      <c r="CR6" s="58">
        <v>3.13</v>
      </c>
      <c r="CS6" s="58">
        <v>32.6</v>
      </c>
      <c r="CT6" s="57">
        <v>180</v>
      </c>
      <c r="CU6" s="57">
        <v>3121</v>
      </c>
      <c r="CV6" s="57">
        <v>20</v>
      </c>
      <c r="CW6" s="57"/>
      <c r="CX6" s="59">
        <v>17</v>
      </c>
      <c r="CY6" s="56">
        <v>976</v>
      </c>
      <c r="CZ6" s="57">
        <v>2470</v>
      </c>
      <c r="DA6" s="57">
        <v>10</v>
      </c>
      <c r="DB6" s="57">
        <v>25</v>
      </c>
      <c r="DC6" s="57">
        <v>178</v>
      </c>
      <c r="DD6" s="57">
        <v>60</v>
      </c>
      <c r="DE6" s="58">
        <v>5.5</v>
      </c>
      <c r="DF6" s="58">
        <v>137.9</v>
      </c>
      <c r="DG6" s="58">
        <v>4.16</v>
      </c>
      <c r="DH6" s="58">
        <v>50.1</v>
      </c>
      <c r="DI6" s="57">
        <v>180</v>
      </c>
      <c r="DJ6" s="57">
        <v>2072</v>
      </c>
      <c r="DK6" s="57">
        <v>30</v>
      </c>
      <c r="DL6" s="57"/>
      <c r="DM6" s="59">
        <v>9</v>
      </c>
      <c r="DN6" s="171"/>
      <c r="DO6" s="5">
        <v>4</v>
      </c>
      <c r="DP6" s="42" t="s">
        <v>396</v>
      </c>
      <c r="DQ6" s="7">
        <v>0.9</v>
      </c>
      <c r="DR6" s="130">
        <v>44444</v>
      </c>
    </row>
    <row r="7" spans="1:123" x14ac:dyDescent="0.2">
      <c r="A7" s="33">
        <v>5</v>
      </c>
      <c r="B7" s="34" t="s">
        <v>231</v>
      </c>
      <c r="C7" s="116">
        <v>10.727777777777778</v>
      </c>
      <c r="D7" s="117" t="s">
        <v>452</v>
      </c>
      <c r="E7" s="37">
        <v>5</v>
      </c>
      <c r="F7" s="118">
        <v>36899</v>
      </c>
      <c r="G7" s="119">
        <v>24.734246575342464</v>
      </c>
      <c r="H7" s="39" t="s">
        <v>389</v>
      </c>
      <c r="I7" s="119">
        <v>22.312328767123287</v>
      </c>
      <c r="J7" s="120">
        <v>72</v>
      </c>
      <c r="K7" s="120">
        <v>214</v>
      </c>
      <c r="L7" s="120">
        <v>4.5</v>
      </c>
      <c r="M7" s="40">
        <v>2</v>
      </c>
      <c r="N7" s="121">
        <v>0</v>
      </c>
      <c r="O7" s="122">
        <v>0.14482758620689656</v>
      </c>
      <c r="P7" s="122">
        <v>5.2952503209242621E-2</v>
      </c>
      <c r="Q7" s="122">
        <v>0.25188821752265861</v>
      </c>
      <c r="R7" s="122">
        <v>0.2563789152024446</v>
      </c>
      <c r="S7" s="42">
        <v>0.2563789152024446</v>
      </c>
      <c r="T7" s="42">
        <v>0.21792207792207791</v>
      </c>
      <c r="U7" s="42">
        <v>6.6691230655858511E-2</v>
      </c>
      <c r="V7" s="42">
        <v>9.2807424593967514E-2</v>
      </c>
      <c r="W7" s="42">
        <v>9.2807424593967514E-2</v>
      </c>
      <c r="X7" s="43">
        <v>7.8886310904872387E-2</v>
      </c>
      <c r="Y7" s="44">
        <v>20.671232876712327</v>
      </c>
      <c r="Z7" s="170">
        <v>104.37433318091755</v>
      </c>
      <c r="AA7" s="45">
        <v>29.0204475308642</v>
      </c>
      <c r="AB7" s="45">
        <v>0.33823529411764708</v>
      </c>
      <c r="AC7" s="45">
        <v>7</v>
      </c>
      <c r="AD7" s="45">
        <v>120.5</v>
      </c>
      <c r="AE7" s="45">
        <v>4.1500000000000004</v>
      </c>
      <c r="AF7" s="45">
        <v>44.6</v>
      </c>
      <c r="AG7" s="128">
        <v>4</v>
      </c>
      <c r="AH7" s="49">
        <v>8</v>
      </c>
      <c r="AI7" s="49">
        <v>3</v>
      </c>
      <c r="AJ7" s="49">
        <v>7</v>
      </c>
      <c r="AK7" s="49">
        <v>9</v>
      </c>
      <c r="AL7" s="49">
        <v>8</v>
      </c>
      <c r="AM7" s="49">
        <v>6</v>
      </c>
      <c r="AN7" s="49">
        <v>5</v>
      </c>
      <c r="AO7" s="49">
        <v>7</v>
      </c>
      <c r="AP7" s="50">
        <v>1</v>
      </c>
      <c r="AQ7" s="56">
        <v>0</v>
      </c>
      <c r="AR7" s="57">
        <v>2649</v>
      </c>
      <c r="AS7" s="57">
        <v>0</v>
      </c>
      <c r="AT7" s="57">
        <v>26</v>
      </c>
      <c r="AU7" s="57">
        <v>0</v>
      </c>
      <c r="AV7" s="57">
        <v>0</v>
      </c>
      <c r="AW7" s="58">
        <v>0</v>
      </c>
      <c r="AX7" s="58">
        <v>0</v>
      </c>
      <c r="AY7" s="58">
        <v>0</v>
      </c>
      <c r="AZ7" s="58">
        <v>0</v>
      </c>
      <c r="BA7" s="57">
        <v>0</v>
      </c>
      <c r="BB7" s="57">
        <v>2804</v>
      </c>
      <c r="BC7" s="57">
        <v>0</v>
      </c>
      <c r="BD7" s="57"/>
      <c r="BE7" s="59">
        <v>24</v>
      </c>
      <c r="BF7" s="56">
        <v>726</v>
      </c>
      <c r="BG7" s="57">
        <v>1959</v>
      </c>
      <c r="BH7" s="57">
        <v>11</v>
      </c>
      <c r="BI7" s="57">
        <v>26</v>
      </c>
      <c r="BJ7" s="57">
        <v>149</v>
      </c>
      <c r="BK7" s="57">
        <v>27</v>
      </c>
      <c r="BL7" s="58">
        <v>4.9000000000000004</v>
      </c>
      <c r="BM7" s="58">
        <v>51.9</v>
      </c>
      <c r="BN7" s="58">
        <v>2.91</v>
      </c>
      <c r="BO7" s="58">
        <v>20.399999999999999</v>
      </c>
      <c r="BP7" s="57">
        <v>30</v>
      </c>
      <c r="BQ7" s="57">
        <v>3261</v>
      </c>
      <c r="BR7" s="57">
        <v>8</v>
      </c>
      <c r="BS7" s="57"/>
      <c r="BT7" s="59">
        <v>25</v>
      </c>
      <c r="BU7" s="56">
        <v>124</v>
      </c>
      <c r="BV7" s="57">
        <v>1614</v>
      </c>
      <c r="BW7" s="57">
        <v>1</v>
      </c>
      <c r="BX7" s="57">
        <v>13</v>
      </c>
      <c r="BY7" s="57">
        <v>19</v>
      </c>
      <c r="BZ7" s="57">
        <v>5</v>
      </c>
      <c r="CA7" s="58">
        <v>6.5</v>
      </c>
      <c r="CB7" s="58">
        <v>70.7</v>
      </c>
      <c r="CC7" s="58">
        <v>2.5299999999999998</v>
      </c>
      <c r="CD7" s="58">
        <v>56.5</v>
      </c>
      <c r="CE7" s="57">
        <v>41</v>
      </c>
      <c r="CF7" s="57">
        <v>1502</v>
      </c>
      <c r="CG7" s="57">
        <v>6</v>
      </c>
      <c r="CH7" s="57"/>
      <c r="CI7" s="59">
        <v>9</v>
      </c>
      <c r="CJ7" s="56">
        <v>1153</v>
      </c>
      <c r="CK7" s="57">
        <v>2582</v>
      </c>
      <c r="CL7" s="57">
        <v>13</v>
      </c>
      <c r="CM7" s="57">
        <v>31</v>
      </c>
      <c r="CN7" s="57">
        <v>204</v>
      </c>
      <c r="CO7" s="57">
        <v>69</v>
      </c>
      <c r="CP7" s="58">
        <v>5.7</v>
      </c>
      <c r="CQ7" s="58">
        <v>112.6</v>
      </c>
      <c r="CR7" s="58">
        <v>3.5</v>
      </c>
      <c r="CS7" s="58">
        <v>37.4</v>
      </c>
      <c r="CT7" s="57">
        <v>181</v>
      </c>
      <c r="CU7" s="57">
        <v>2714</v>
      </c>
      <c r="CV7" s="57">
        <v>23</v>
      </c>
      <c r="CW7" s="57"/>
      <c r="CX7" s="59">
        <v>23</v>
      </c>
      <c r="CY7" s="56">
        <v>1358</v>
      </c>
      <c r="CZ7" s="57">
        <v>3097</v>
      </c>
      <c r="DA7" s="57">
        <v>14</v>
      </c>
      <c r="DB7" s="57">
        <v>36</v>
      </c>
      <c r="DC7" s="57">
        <v>194</v>
      </c>
      <c r="DD7" s="57">
        <v>52</v>
      </c>
      <c r="DE7" s="58">
        <v>7</v>
      </c>
      <c r="DF7" s="58">
        <v>120.5</v>
      </c>
      <c r="DG7" s="58">
        <v>4.1500000000000004</v>
      </c>
      <c r="DH7" s="58">
        <v>44.6</v>
      </c>
      <c r="DI7" s="57">
        <v>320</v>
      </c>
      <c r="DJ7" s="57">
        <v>3448</v>
      </c>
      <c r="DK7" s="57">
        <v>37</v>
      </c>
      <c r="DL7" s="57"/>
      <c r="DM7" s="59">
        <v>29</v>
      </c>
      <c r="DN7" s="171"/>
      <c r="DO7" s="5">
        <v>5</v>
      </c>
      <c r="DP7" s="42" t="s">
        <v>399</v>
      </c>
      <c r="DQ7" s="7">
        <v>0.85</v>
      </c>
      <c r="DR7" s="130">
        <v>44808</v>
      </c>
    </row>
    <row r="8" spans="1:123" x14ac:dyDescent="0.2">
      <c r="A8" s="33">
        <v>6</v>
      </c>
      <c r="B8" s="34" t="s">
        <v>237</v>
      </c>
      <c r="C8" s="116">
        <v>10.244444444444445</v>
      </c>
      <c r="D8" s="117" t="s">
        <v>554</v>
      </c>
      <c r="E8" s="37">
        <v>6</v>
      </c>
      <c r="F8" s="118">
        <v>37057</v>
      </c>
      <c r="G8" s="119">
        <v>24.301369863013697</v>
      </c>
      <c r="H8" s="39" t="s">
        <v>498</v>
      </c>
      <c r="I8" s="119">
        <v>21.87945205479452</v>
      </c>
      <c r="J8" s="120">
        <v>70</v>
      </c>
      <c r="K8" s="120">
        <v>201</v>
      </c>
      <c r="L8" s="120">
        <v>4.4000000000000004</v>
      </c>
      <c r="M8" s="40">
        <v>3</v>
      </c>
      <c r="N8" s="121">
        <v>0</v>
      </c>
      <c r="O8" s="122">
        <v>0.17191659272404616</v>
      </c>
      <c r="P8" s="122">
        <v>0.25719120135363788</v>
      </c>
      <c r="Q8" s="122">
        <v>0.21733505821474774</v>
      </c>
      <c r="R8" s="122">
        <v>0.29724919093851132</v>
      </c>
      <c r="S8" s="42">
        <v>0.29724919093851132</v>
      </c>
      <c r="T8" s="42">
        <v>0.22293689320388349</v>
      </c>
      <c r="U8" s="42">
        <v>5.4490792934986848E-2</v>
      </c>
      <c r="V8" s="42">
        <v>7.5762149109568369E-2</v>
      </c>
      <c r="W8" s="42">
        <v>7.5762149109568369E-2</v>
      </c>
      <c r="X8" s="43">
        <v>5.682161183217628E-2</v>
      </c>
      <c r="Y8" s="44">
        <v>18.224657534246575</v>
      </c>
      <c r="Z8" s="170">
        <v>107.25445666279623</v>
      </c>
      <c r="AA8" s="45">
        <v>28.837346938775511</v>
      </c>
      <c r="AB8" s="45">
        <v>0.43243243243243246</v>
      </c>
      <c r="AC8" s="45">
        <v>6.9</v>
      </c>
      <c r="AD8" s="45">
        <v>197.4</v>
      </c>
      <c r="AE8" s="45">
        <v>4.8099999999999996</v>
      </c>
      <c r="AF8" s="45">
        <v>55</v>
      </c>
      <c r="AG8" s="128">
        <v>4</v>
      </c>
      <c r="AH8" s="49">
        <v>6</v>
      </c>
      <c r="AI8" s="49">
        <v>10</v>
      </c>
      <c r="AJ8" s="49">
        <v>8</v>
      </c>
      <c r="AK8" s="49">
        <v>10</v>
      </c>
      <c r="AL8" s="49">
        <v>7</v>
      </c>
      <c r="AM8" s="49">
        <v>9</v>
      </c>
      <c r="AN8" s="49">
        <v>8</v>
      </c>
      <c r="AO8" s="49">
        <v>6</v>
      </c>
      <c r="AP8" s="50">
        <v>0</v>
      </c>
      <c r="AQ8" s="56">
        <v>0</v>
      </c>
      <c r="AR8" s="57">
        <v>2836</v>
      </c>
      <c r="AS8" s="57">
        <v>0</v>
      </c>
      <c r="AT8" s="57">
        <v>29</v>
      </c>
      <c r="AU8" s="57">
        <v>0</v>
      </c>
      <c r="AV8" s="57">
        <v>0</v>
      </c>
      <c r="AW8" s="58">
        <v>0</v>
      </c>
      <c r="AX8" s="58">
        <v>0</v>
      </c>
      <c r="AY8" s="58">
        <v>0</v>
      </c>
      <c r="AZ8" s="58">
        <v>0</v>
      </c>
      <c r="BA8" s="57">
        <v>0</v>
      </c>
      <c r="BB8" s="57">
        <v>2378</v>
      </c>
      <c r="BC8" s="57">
        <v>0</v>
      </c>
      <c r="BD8" s="57"/>
      <c r="BE8" s="59">
        <v>15</v>
      </c>
      <c r="BF8" s="56">
        <v>182</v>
      </c>
      <c r="BG8" s="57">
        <v>978.8</v>
      </c>
      <c r="BH8" s="57">
        <v>1</v>
      </c>
      <c r="BI8" s="57">
        <v>33</v>
      </c>
      <c r="BJ8" s="57">
        <v>30</v>
      </c>
      <c r="BK8" s="57">
        <v>13</v>
      </c>
      <c r="BL8" s="58">
        <v>6.1</v>
      </c>
      <c r="BM8" s="58">
        <v>182.9</v>
      </c>
      <c r="BN8" s="58">
        <v>4.2699999999999996</v>
      </c>
      <c r="BO8" s="58">
        <v>48.9</v>
      </c>
      <c r="BP8" s="57">
        <v>128</v>
      </c>
      <c r="BQ8" s="57">
        <v>824.4</v>
      </c>
      <c r="BR8" s="57">
        <v>5</v>
      </c>
      <c r="BS8" s="57"/>
      <c r="BT8" s="59">
        <v>19</v>
      </c>
      <c r="BU8" s="56">
        <v>274</v>
      </c>
      <c r="BV8" s="57">
        <v>651.90000000000009</v>
      </c>
      <c r="BW8" s="57">
        <v>2</v>
      </c>
      <c r="BX8" s="57">
        <v>32</v>
      </c>
      <c r="BY8" s="57">
        <v>37</v>
      </c>
      <c r="BZ8" s="57">
        <v>16</v>
      </c>
      <c r="CA8" s="58">
        <v>7.4</v>
      </c>
      <c r="CB8" s="58">
        <v>197.4</v>
      </c>
      <c r="CC8" s="58">
        <v>4.8099999999999996</v>
      </c>
      <c r="CD8" s="58">
        <v>54</v>
      </c>
      <c r="CE8" s="57">
        <v>30</v>
      </c>
      <c r="CF8" s="57">
        <v>530.09999999999991</v>
      </c>
      <c r="CG8" s="57">
        <v>2</v>
      </c>
      <c r="CH8" s="57"/>
      <c r="CI8" s="59">
        <v>21</v>
      </c>
      <c r="CJ8" s="56">
        <v>863</v>
      </c>
      <c r="CK8" s="57">
        <v>1977</v>
      </c>
      <c r="CL8" s="57">
        <v>9</v>
      </c>
      <c r="CM8" s="57">
        <v>19</v>
      </c>
      <c r="CN8" s="57">
        <v>129</v>
      </c>
      <c r="CO8" s="57">
        <v>43</v>
      </c>
      <c r="CP8" s="58">
        <v>6.7</v>
      </c>
      <c r="CQ8" s="58">
        <v>161.30000000000001</v>
      </c>
      <c r="CR8" s="58">
        <v>4.5</v>
      </c>
      <c r="CS8" s="58">
        <v>55</v>
      </c>
      <c r="CT8" s="57">
        <v>145</v>
      </c>
      <c r="CU8" s="57">
        <v>2661</v>
      </c>
      <c r="CV8" s="57">
        <v>19</v>
      </c>
      <c r="CW8" s="57"/>
      <c r="CX8" s="59">
        <v>23</v>
      </c>
      <c r="CY8" s="56">
        <v>1586</v>
      </c>
      <c r="CZ8" s="57">
        <v>2867</v>
      </c>
      <c r="DA8" s="57">
        <v>19</v>
      </c>
      <c r="DB8" s="57">
        <v>34</v>
      </c>
      <c r="DC8" s="57">
        <v>231</v>
      </c>
      <c r="DD8" s="57">
        <v>62</v>
      </c>
      <c r="DE8" s="58">
        <v>6.9</v>
      </c>
      <c r="DF8" s="58">
        <v>144</v>
      </c>
      <c r="DG8" s="58">
        <v>4.55</v>
      </c>
      <c r="DH8" s="58">
        <v>50</v>
      </c>
      <c r="DI8" s="57">
        <v>251</v>
      </c>
      <c r="DJ8" s="57">
        <v>3313</v>
      </c>
      <c r="DK8" s="57">
        <v>22</v>
      </c>
      <c r="DL8" s="57"/>
      <c r="DM8" s="59">
        <v>30</v>
      </c>
      <c r="DN8" s="171"/>
      <c r="DO8" s="5">
        <v>6</v>
      </c>
      <c r="DP8" s="42" t="s">
        <v>402</v>
      </c>
      <c r="DQ8" s="7">
        <v>0.75</v>
      </c>
    </row>
    <row r="9" spans="1:123" x14ac:dyDescent="0.2">
      <c r="A9" s="33">
        <v>7</v>
      </c>
      <c r="B9" s="34" t="s">
        <v>245</v>
      </c>
      <c r="C9" s="116">
        <v>9.0888888888888903</v>
      </c>
      <c r="D9" s="117" t="s">
        <v>539</v>
      </c>
      <c r="E9" s="37">
        <v>3</v>
      </c>
      <c r="F9" s="118">
        <v>37418</v>
      </c>
      <c r="G9" s="119">
        <v>23.312328767123287</v>
      </c>
      <c r="H9" s="39" t="s">
        <v>385</v>
      </c>
      <c r="I9" s="119">
        <v>20.890410958904109</v>
      </c>
      <c r="J9" s="120">
        <v>71</v>
      </c>
      <c r="K9" s="120">
        <v>215</v>
      </c>
      <c r="L9" s="120">
        <v>4.58</v>
      </c>
      <c r="M9" s="40">
        <v>3</v>
      </c>
      <c r="N9" s="121">
        <v>0</v>
      </c>
      <c r="O9" s="122">
        <v>0</v>
      </c>
      <c r="P9" s="122">
        <v>9.4403892944038933E-2</v>
      </c>
      <c r="Q9" s="122">
        <v>0.14318885448916407</v>
      </c>
      <c r="R9" s="122">
        <v>0.22197802197802197</v>
      </c>
      <c r="S9" s="42">
        <v>0.22197802197802197</v>
      </c>
      <c r="T9" s="42">
        <v>0.19978021978021979</v>
      </c>
      <c r="U9" s="42">
        <v>4.1226215644820298E-2</v>
      </c>
      <c r="V9" s="42">
        <v>2.9546612328069283E-2</v>
      </c>
      <c r="W9" s="42">
        <v>3.5386413986444792E-2</v>
      </c>
      <c r="X9" s="43">
        <v>3.1847772587800312E-2</v>
      </c>
      <c r="Y9" s="44">
        <v>20.246575342465754</v>
      </c>
      <c r="Z9" s="170">
        <v>97.725194521054249</v>
      </c>
      <c r="AA9" s="45">
        <v>29.983138266217022</v>
      </c>
      <c r="AB9" s="45">
        <v>0.33734939759036142</v>
      </c>
      <c r="AC9" s="45">
        <v>7.5</v>
      </c>
      <c r="AD9" s="45">
        <v>181.1</v>
      </c>
      <c r="AE9" s="45">
        <v>5.0599999999999996</v>
      </c>
      <c r="AF9" s="45">
        <v>60.5</v>
      </c>
      <c r="AG9" s="128">
        <v>3</v>
      </c>
      <c r="AH9" s="49">
        <v>3</v>
      </c>
      <c r="AI9" s="49">
        <v>4</v>
      </c>
      <c r="AJ9" s="49">
        <v>4</v>
      </c>
      <c r="AK9" s="49">
        <v>9</v>
      </c>
      <c r="AL9" s="49">
        <v>8</v>
      </c>
      <c r="AM9" s="49">
        <v>8</v>
      </c>
      <c r="AN9" s="49">
        <v>8</v>
      </c>
      <c r="AO9" s="49">
        <v>6</v>
      </c>
      <c r="AP9" s="50">
        <v>0.25</v>
      </c>
      <c r="AQ9" s="56">
        <v>0</v>
      </c>
      <c r="AR9" s="57">
        <v>2036</v>
      </c>
      <c r="AS9" s="57">
        <v>0</v>
      </c>
      <c r="AT9" s="57">
        <v>14</v>
      </c>
      <c r="AU9" s="57">
        <v>0</v>
      </c>
      <c r="AV9" s="57">
        <v>0</v>
      </c>
      <c r="AW9" s="58">
        <v>0</v>
      </c>
      <c r="AX9" s="58">
        <v>0</v>
      </c>
      <c r="AY9" s="58">
        <v>0</v>
      </c>
      <c r="AZ9" s="58">
        <v>0</v>
      </c>
      <c r="BA9" s="57">
        <v>0</v>
      </c>
      <c r="BB9" s="57">
        <v>2749</v>
      </c>
      <c r="BC9" s="57">
        <v>0</v>
      </c>
      <c r="BD9" s="57"/>
      <c r="BE9" s="59">
        <v>18</v>
      </c>
      <c r="BF9" s="56">
        <v>0</v>
      </c>
      <c r="BG9" s="57">
        <v>2448</v>
      </c>
      <c r="BH9" s="57">
        <v>0</v>
      </c>
      <c r="BI9" s="57">
        <v>23</v>
      </c>
      <c r="BJ9" s="57">
        <v>0</v>
      </c>
      <c r="BK9" s="57">
        <v>0</v>
      </c>
      <c r="BL9" s="58">
        <v>0</v>
      </c>
      <c r="BM9" s="58">
        <v>0</v>
      </c>
      <c r="BN9" s="58">
        <v>0</v>
      </c>
      <c r="BO9" s="58">
        <v>0</v>
      </c>
      <c r="BP9" s="57">
        <v>0</v>
      </c>
      <c r="BQ9" s="57">
        <v>2444</v>
      </c>
      <c r="BR9" s="57">
        <v>0</v>
      </c>
      <c r="BS9" s="57"/>
      <c r="BT9" s="59">
        <v>15</v>
      </c>
      <c r="BU9" s="56">
        <v>392</v>
      </c>
      <c r="BV9" s="57">
        <v>2147</v>
      </c>
      <c r="BW9" s="57">
        <v>2</v>
      </c>
      <c r="BX9" s="57">
        <v>23</v>
      </c>
      <c r="BY9" s="57">
        <v>54</v>
      </c>
      <c r="BZ9" s="57">
        <v>14</v>
      </c>
      <c r="CA9" s="58">
        <v>7.3</v>
      </c>
      <c r="CB9" s="58">
        <v>68.400000000000006</v>
      </c>
      <c r="CC9" s="58">
        <v>2.69</v>
      </c>
      <c r="CD9" s="58">
        <v>48.2</v>
      </c>
      <c r="CE9" s="57">
        <v>-4</v>
      </c>
      <c r="CF9" s="57">
        <v>1963</v>
      </c>
      <c r="CG9" s="57">
        <v>1</v>
      </c>
      <c r="CH9" s="57"/>
      <c r="CI9" s="59">
        <v>11</v>
      </c>
      <c r="CJ9" s="56">
        <v>623</v>
      </c>
      <c r="CK9" s="57">
        <v>2330</v>
      </c>
      <c r="CL9" s="57">
        <v>7</v>
      </c>
      <c r="CM9" s="57">
        <v>21</v>
      </c>
      <c r="CN9" s="57">
        <v>83</v>
      </c>
      <c r="CO9" s="57">
        <v>28</v>
      </c>
      <c r="CP9" s="58">
        <v>7.5</v>
      </c>
      <c r="CQ9" s="58">
        <v>181.1</v>
      </c>
      <c r="CR9" s="58">
        <v>5.0599999999999996</v>
      </c>
      <c r="CS9" s="58">
        <v>60.5</v>
      </c>
      <c r="CT9" s="57">
        <v>117</v>
      </c>
      <c r="CU9" s="57">
        <v>2838</v>
      </c>
      <c r="CV9" s="57">
        <v>12</v>
      </c>
      <c r="CW9" s="57"/>
      <c r="CX9" s="59">
        <v>19</v>
      </c>
      <c r="CY9" s="56">
        <v>1399</v>
      </c>
      <c r="CZ9" s="57">
        <v>2899</v>
      </c>
      <c r="DA9" s="57">
        <v>17</v>
      </c>
      <c r="DB9" s="57">
        <v>37</v>
      </c>
      <c r="DC9" s="57">
        <v>224</v>
      </c>
      <c r="DD9" s="57">
        <v>70</v>
      </c>
      <c r="DE9" s="58">
        <v>6.2</v>
      </c>
      <c r="DF9" s="58">
        <v>119.9</v>
      </c>
      <c r="DG9" s="58">
        <v>3.64</v>
      </c>
      <c r="DH9" s="58">
        <v>44.8</v>
      </c>
      <c r="DI9" s="57">
        <v>116</v>
      </c>
      <c r="DJ9" s="57">
        <v>3926</v>
      </c>
      <c r="DK9" s="57">
        <v>16</v>
      </c>
      <c r="DL9" s="57"/>
      <c r="DM9" s="59">
        <v>33</v>
      </c>
      <c r="DN9" s="171"/>
      <c r="DO9" s="5">
        <v>7</v>
      </c>
      <c r="DP9" s="42" t="s">
        <v>405</v>
      </c>
      <c r="DQ9" s="7">
        <v>0.75</v>
      </c>
    </row>
    <row r="10" spans="1:123" x14ac:dyDescent="0.2">
      <c r="A10" s="33">
        <v>8</v>
      </c>
      <c r="B10" s="34" t="s">
        <v>257</v>
      </c>
      <c r="C10" s="116">
        <v>8.8888888888888893</v>
      </c>
      <c r="D10" s="117" t="s">
        <v>497</v>
      </c>
      <c r="E10" s="37">
        <v>4</v>
      </c>
      <c r="F10" s="118">
        <v>37534</v>
      </c>
      <c r="G10" s="119">
        <v>22.994520547945207</v>
      </c>
      <c r="H10" s="39" t="s">
        <v>385</v>
      </c>
      <c r="I10" s="119">
        <v>20.572602739726026</v>
      </c>
      <c r="J10" s="120">
        <v>71</v>
      </c>
      <c r="K10" s="120">
        <v>216</v>
      </c>
      <c r="L10" s="120">
        <v>4.41</v>
      </c>
      <c r="M10" s="40">
        <v>5</v>
      </c>
      <c r="N10" s="121">
        <v>0</v>
      </c>
      <c r="O10" s="122">
        <v>0</v>
      </c>
      <c r="P10" s="122">
        <v>2.5383141762452106E-2</v>
      </c>
      <c r="Q10" s="122">
        <v>0.12415812591508053</v>
      </c>
      <c r="R10" s="122">
        <v>0.2981225109046084</v>
      </c>
      <c r="S10" s="42">
        <v>0.2981225109046084</v>
      </c>
      <c r="T10" s="42">
        <v>0.26831025981414758</v>
      </c>
      <c r="U10" s="42">
        <v>4.1710777048486129E-2</v>
      </c>
      <c r="V10" s="42">
        <v>5.0431778929188258E-2</v>
      </c>
      <c r="W10" s="42">
        <v>5.0431778929188258E-2</v>
      </c>
      <c r="X10" s="43">
        <v>4.5388601036269433E-2</v>
      </c>
      <c r="Y10" s="44">
        <v>19.92876712328767</v>
      </c>
      <c r="Z10" s="170">
        <v>114.21664234234096</v>
      </c>
      <c r="AA10" s="45">
        <v>30.122594723269192</v>
      </c>
      <c r="AB10" s="45">
        <v>0.32520325203252032</v>
      </c>
      <c r="AC10" s="45">
        <v>5.9</v>
      </c>
      <c r="AD10" s="45">
        <v>117.6</v>
      </c>
      <c r="AE10" s="45">
        <v>3.6</v>
      </c>
      <c r="AF10" s="45">
        <v>44.2</v>
      </c>
      <c r="AG10" s="128">
        <v>7</v>
      </c>
      <c r="AH10" s="49">
        <v>5</v>
      </c>
      <c r="AI10" s="49">
        <v>5</v>
      </c>
      <c r="AJ10" s="49">
        <v>10</v>
      </c>
      <c r="AK10" s="49">
        <v>9</v>
      </c>
      <c r="AL10" s="49">
        <v>4</v>
      </c>
      <c r="AM10" s="49">
        <v>5</v>
      </c>
      <c r="AN10" s="49">
        <v>2</v>
      </c>
      <c r="AO10" s="49">
        <v>3</v>
      </c>
      <c r="AP10" s="50">
        <v>0.75</v>
      </c>
      <c r="AQ10" s="56">
        <v>0</v>
      </c>
      <c r="AR10" s="57">
        <v>3191</v>
      </c>
      <c r="AS10" s="57">
        <v>0</v>
      </c>
      <c r="AT10" s="57">
        <v>30</v>
      </c>
      <c r="AU10" s="57">
        <v>0</v>
      </c>
      <c r="AV10" s="57">
        <v>0</v>
      </c>
      <c r="AW10" s="58">
        <v>0</v>
      </c>
      <c r="AX10" s="58">
        <v>0</v>
      </c>
      <c r="AY10" s="58">
        <v>0</v>
      </c>
      <c r="AZ10" s="58">
        <v>0</v>
      </c>
      <c r="BA10" s="57">
        <v>0</v>
      </c>
      <c r="BB10" s="57">
        <v>1985</v>
      </c>
      <c r="BC10" s="57">
        <v>0</v>
      </c>
      <c r="BD10" s="57"/>
      <c r="BE10" s="59">
        <v>12</v>
      </c>
      <c r="BF10" s="56">
        <v>0</v>
      </c>
      <c r="BG10" s="57">
        <v>1544</v>
      </c>
      <c r="BH10" s="57">
        <v>0</v>
      </c>
      <c r="BI10" s="57">
        <v>11</v>
      </c>
      <c r="BJ10" s="57">
        <v>0</v>
      </c>
      <c r="BK10" s="57">
        <v>0</v>
      </c>
      <c r="BL10" s="58">
        <v>0</v>
      </c>
      <c r="BM10" s="58">
        <v>0</v>
      </c>
      <c r="BN10" s="58">
        <v>0</v>
      </c>
      <c r="BO10" s="58">
        <v>0</v>
      </c>
      <c r="BP10" s="57">
        <v>0</v>
      </c>
      <c r="BQ10" s="57">
        <v>3402</v>
      </c>
      <c r="BR10" s="57">
        <v>0</v>
      </c>
      <c r="BS10" s="57"/>
      <c r="BT10" s="59">
        <v>17</v>
      </c>
      <c r="BU10" s="56">
        <v>95</v>
      </c>
      <c r="BV10" s="57">
        <v>1319</v>
      </c>
      <c r="BW10" s="57">
        <v>1</v>
      </c>
      <c r="BX10" s="57">
        <v>20</v>
      </c>
      <c r="BY10" s="57">
        <v>28</v>
      </c>
      <c r="BZ10" s="57">
        <v>5</v>
      </c>
      <c r="CA10" s="58">
        <v>3.4</v>
      </c>
      <c r="CB10" s="58">
        <v>42.3</v>
      </c>
      <c r="CC10" s="58">
        <v>2.54</v>
      </c>
      <c r="CD10" s="58">
        <v>0</v>
      </c>
      <c r="CE10" s="57">
        <v>11</v>
      </c>
      <c r="CF10" s="57">
        <v>2857</v>
      </c>
      <c r="CG10" s="57">
        <v>2</v>
      </c>
      <c r="CH10" s="57"/>
      <c r="CI10" s="59">
        <v>14</v>
      </c>
      <c r="CJ10" s="56">
        <v>651</v>
      </c>
      <c r="CK10" s="57">
        <v>2107</v>
      </c>
      <c r="CL10" s="57">
        <v>7</v>
      </c>
      <c r="CM10" s="57">
        <v>26</v>
      </c>
      <c r="CN10" s="57">
        <v>123</v>
      </c>
      <c r="CO10" s="57">
        <v>40</v>
      </c>
      <c r="CP10" s="58">
        <v>5.3</v>
      </c>
      <c r="CQ10" s="58">
        <v>117.6</v>
      </c>
      <c r="CR10" s="58">
        <v>3.6</v>
      </c>
      <c r="CS10" s="58">
        <v>33.6</v>
      </c>
      <c r="CT10" s="57">
        <v>197</v>
      </c>
      <c r="CU10" s="57">
        <v>4723</v>
      </c>
      <c r="CV10" s="57">
        <v>24</v>
      </c>
      <c r="CW10" s="57"/>
      <c r="CX10" s="59">
        <v>44</v>
      </c>
      <c r="CY10" s="56">
        <v>1426</v>
      </c>
      <c r="CZ10" s="57">
        <v>2378</v>
      </c>
      <c r="DA10" s="57">
        <v>20</v>
      </c>
      <c r="DB10" s="57">
        <v>30</v>
      </c>
      <c r="DC10" s="57">
        <v>241</v>
      </c>
      <c r="DD10" s="57">
        <v>46</v>
      </c>
      <c r="DE10" s="58">
        <v>5.9</v>
      </c>
      <c r="DF10" s="58">
        <v>58.1</v>
      </c>
      <c r="DG10" s="58">
        <v>2.67</v>
      </c>
      <c r="DH10" s="58">
        <v>44.2</v>
      </c>
      <c r="DI10" s="57">
        <v>146</v>
      </c>
      <c r="DJ10" s="57">
        <v>2895</v>
      </c>
      <c r="DK10" s="57">
        <v>12</v>
      </c>
      <c r="DL10" s="57"/>
      <c r="DM10" s="59">
        <v>13</v>
      </c>
      <c r="DN10" s="171"/>
      <c r="DO10" s="5">
        <v>8</v>
      </c>
      <c r="DP10" s="42" t="s">
        <v>408</v>
      </c>
      <c r="DQ10" s="7">
        <v>0.65</v>
      </c>
      <c r="DR10" s="131"/>
    </row>
    <row r="11" spans="1:123" x14ac:dyDescent="0.2">
      <c r="A11" s="33">
        <v>9</v>
      </c>
      <c r="B11" s="34" t="s">
        <v>252</v>
      </c>
      <c r="C11" s="116">
        <v>8.8055555555555554</v>
      </c>
      <c r="D11" s="117" t="s">
        <v>518</v>
      </c>
      <c r="E11" s="37">
        <v>1</v>
      </c>
      <c r="F11" s="118">
        <v>37041</v>
      </c>
      <c r="G11" s="119">
        <v>24.345205479452055</v>
      </c>
      <c r="H11" s="39" t="s">
        <v>385</v>
      </c>
      <c r="I11" s="119">
        <v>21.923287671232877</v>
      </c>
      <c r="J11" s="132">
        <v>71</v>
      </c>
      <c r="K11" s="132">
        <v>202</v>
      </c>
      <c r="L11" s="132">
        <v>4.46</v>
      </c>
      <c r="M11" s="40">
        <v>6</v>
      </c>
      <c r="N11" s="121">
        <v>0</v>
      </c>
      <c r="O11" s="122">
        <v>0</v>
      </c>
      <c r="P11" s="122">
        <v>0.1322879620648777</v>
      </c>
      <c r="Q11" s="122">
        <v>0.29699190716139867</v>
      </c>
      <c r="R11" s="122">
        <v>0.17610126242277729</v>
      </c>
      <c r="S11" s="42">
        <v>0.23654658479208798</v>
      </c>
      <c r="T11" s="42">
        <v>0.23654658479208798</v>
      </c>
      <c r="U11" s="42">
        <v>9.0428491930996113E-2</v>
      </c>
      <c r="V11" s="42">
        <v>4.1353906032805109E-2</v>
      </c>
      <c r="W11" s="42">
        <v>6.5891198981900614E-2</v>
      </c>
      <c r="X11" s="43">
        <v>6.5891198981900614E-2</v>
      </c>
      <c r="Y11" s="44">
        <v>20.282191780821918</v>
      </c>
      <c r="Z11" s="170">
        <v>102.10380581276934</v>
      </c>
      <c r="AA11" s="45">
        <v>28.170204324538783</v>
      </c>
      <c r="AB11" s="45">
        <v>0.28260869565217389</v>
      </c>
      <c r="AC11" s="45">
        <v>7</v>
      </c>
      <c r="AD11" s="45">
        <v>126.6</v>
      </c>
      <c r="AE11" s="45">
        <v>4.3</v>
      </c>
      <c r="AF11" s="45">
        <v>45.9</v>
      </c>
      <c r="AG11" s="128">
        <v>5</v>
      </c>
      <c r="AH11" s="49">
        <v>7</v>
      </c>
      <c r="AI11" s="49">
        <v>4</v>
      </c>
      <c r="AJ11" s="49">
        <v>6</v>
      </c>
      <c r="AK11" s="49">
        <v>8</v>
      </c>
      <c r="AL11" s="49">
        <v>8</v>
      </c>
      <c r="AM11" s="49">
        <v>6</v>
      </c>
      <c r="AN11" s="49">
        <v>6</v>
      </c>
      <c r="AO11" s="49">
        <v>2</v>
      </c>
      <c r="AP11" s="50">
        <v>1</v>
      </c>
      <c r="AQ11" s="56">
        <v>0</v>
      </c>
      <c r="AR11" s="57">
        <v>2036</v>
      </c>
      <c r="AS11" s="57">
        <v>0</v>
      </c>
      <c r="AT11" s="57">
        <v>14</v>
      </c>
      <c r="AU11" s="57">
        <v>0</v>
      </c>
      <c r="AV11" s="57">
        <v>0</v>
      </c>
      <c r="AW11" s="58">
        <v>0</v>
      </c>
      <c r="AX11" s="58">
        <v>0</v>
      </c>
      <c r="AY11" s="58">
        <v>0</v>
      </c>
      <c r="AZ11" s="58">
        <v>0</v>
      </c>
      <c r="BA11" s="57">
        <v>0</v>
      </c>
      <c r="BB11" s="57">
        <v>2749</v>
      </c>
      <c r="BC11" s="57">
        <v>0</v>
      </c>
      <c r="BD11" s="57"/>
      <c r="BE11" s="59">
        <v>18</v>
      </c>
      <c r="BF11" s="56">
        <v>0</v>
      </c>
      <c r="BG11" s="57">
        <v>2448</v>
      </c>
      <c r="BH11" s="57">
        <v>0</v>
      </c>
      <c r="BI11" s="57">
        <v>23</v>
      </c>
      <c r="BJ11" s="57">
        <v>0</v>
      </c>
      <c r="BK11" s="57">
        <v>0</v>
      </c>
      <c r="BL11" s="58">
        <v>0</v>
      </c>
      <c r="BM11" s="58">
        <v>0</v>
      </c>
      <c r="BN11" s="58">
        <v>0</v>
      </c>
      <c r="BO11" s="58">
        <v>0</v>
      </c>
      <c r="BP11" s="57">
        <v>0</v>
      </c>
      <c r="BQ11" s="57">
        <v>2444</v>
      </c>
      <c r="BR11" s="57">
        <v>0</v>
      </c>
      <c r="BS11" s="57"/>
      <c r="BT11" s="59">
        <v>15</v>
      </c>
      <c r="BU11" s="56">
        <v>415</v>
      </c>
      <c r="BV11" s="57">
        <v>1944.8999999999999</v>
      </c>
      <c r="BW11" s="57">
        <v>4</v>
      </c>
      <c r="BX11" s="57">
        <v>23</v>
      </c>
      <c r="BY11" s="57">
        <v>54</v>
      </c>
      <c r="BZ11" s="57">
        <v>14</v>
      </c>
      <c r="CA11" s="58">
        <v>7.7</v>
      </c>
      <c r="CB11" s="58">
        <v>139.30000000000001</v>
      </c>
      <c r="CC11" s="58">
        <v>5.76</v>
      </c>
      <c r="CD11" s="58">
        <v>58.6</v>
      </c>
      <c r="CE11" s="57">
        <v>76</v>
      </c>
      <c r="CF11" s="57">
        <v>1766.7</v>
      </c>
      <c r="CG11" s="57">
        <v>8</v>
      </c>
      <c r="CH11" s="57"/>
      <c r="CI11" s="59">
        <v>11</v>
      </c>
      <c r="CJ11" s="56">
        <v>648</v>
      </c>
      <c r="CK11" s="57">
        <v>1182</v>
      </c>
      <c r="CL11" s="57">
        <v>5</v>
      </c>
      <c r="CM11" s="57">
        <v>21</v>
      </c>
      <c r="CN11" s="57">
        <v>92</v>
      </c>
      <c r="CO11" s="57">
        <v>26</v>
      </c>
      <c r="CP11" s="58">
        <v>7</v>
      </c>
      <c r="CQ11" s="58">
        <v>126.6</v>
      </c>
      <c r="CR11" s="58">
        <v>4.3</v>
      </c>
      <c r="CS11" s="58">
        <v>45.1</v>
      </c>
      <c r="CT11" s="57">
        <v>130</v>
      </c>
      <c r="CU11" s="57">
        <v>1437.6</v>
      </c>
      <c r="CV11" s="57">
        <v>10</v>
      </c>
      <c r="CW11" s="57"/>
      <c r="CX11" s="59">
        <v>19</v>
      </c>
      <c r="CY11" s="56">
        <v>930</v>
      </c>
      <c r="CZ11" s="57">
        <v>3079.2000000000003</v>
      </c>
      <c r="DA11" s="57">
        <v>9</v>
      </c>
      <c r="DB11" s="57">
        <v>33</v>
      </c>
      <c r="DC11" s="57">
        <v>144</v>
      </c>
      <c r="DD11" s="57">
        <v>35</v>
      </c>
      <c r="DE11" s="58">
        <v>6.5</v>
      </c>
      <c r="DF11" s="58">
        <v>89.1</v>
      </c>
      <c r="DG11" s="58">
        <v>3.56</v>
      </c>
      <c r="DH11" s="58">
        <v>45.9</v>
      </c>
      <c r="DI11" s="57">
        <v>119</v>
      </c>
      <c r="DJ11" s="57">
        <v>2877.6000000000004</v>
      </c>
      <c r="DK11" s="57">
        <v>12</v>
      </c>
      <c r="DL11" s="57"/>
      <c r="DM11" s="59">
        <v>22</v>
      </c>
      <c r="DO11" s="5">
        <v>9</v>
      </c>
      <c r="DP11" s="42" t="s">
        <v>411</v>
      </c>
      <c r="DQ11" s="7">
        <v>0.65</v>
      </c>
      <c r="DR11" s="131"/>
    </row>
    <row r="12" spans="1:123" x14ac:dyDescent="0.2">
      <c r="A12" s="33">
        <v>10</v>
      </c>
      <c r="B12" s="34" t="s">
        <v>260</v>
      </c>
      <c r="C12" s="116">
        <v>8.1611111111111114</v>
      </c>
      <c r="D12" s="117" t="s">
        <v>471</v>
      </c>
      <c r="E12" s="37">
        <v>2</v>
      </c>
      <c r="F12" s="118">
        <v>36606</v>
      </c>
      <c r="G12" s="119">
        <v>25.536986301369861</v>
      </c>
      <c r="H12" s="39" t="s">
        <v>469</v>
      </c>
      <c r="I12" s="119">
        <v>23.115068493150684</v>
      </c>
      <c r="J12" s="120">
        <v>69</v>
      </c>
      <c r="K12" s="120">
        <v>209</v>
      </c>
      <c r="L12" s="120">
        <v>4.43</v>
      </c>
      <c r="M12" s="40">
        <v>5</v>
      </c>
      <c r="N12" s="121">
        <v>7.3956682514527208E-2</v>
      </c>
      <c r="O12" s="122">
        <v>4.2026616857342982E-3</v>
      </c>
      <c r="P12" s="122">
        <v>0.21561604584527222</v>
      </c>
      <c r="Q12" s="122">
        <v>0.28986606014657568</v>
      </c>
      <c r="R12" s="122">
        <v>0.37987012987012986</v>
      </c>
      <c r="S12" s="42">
        <v>0.37987012987012986</v>
      </c>
      <c r="T12" s="42">
        <v>0.37987012987012986</v>
      </c>
      <c r="U12" s="42">
        <v>7.577374599786553E-2</v>
      </c>
      <c r="V12" s="42">
        <v>8.7177624409734839E-2</v>
      </c>
      <c r="W12" s="42">
        <v>8.7177624409734839E-2</v>
      </c>
      <c r="X12" s="43">
        <v>8.7177624409734839E-2</v>
      </c>
      <c r="Y12" s="44">
        <v>20.460273972602739</v>
      </c>
      <c r="Z12" s="170">
        <v>108.53289234423696</v>
      </c>
      <c r="AA12" s="45">
        <v>30.860533501365261</v>
      </c>
      <c r="AB12" s="45">
        <v>0.25882352941176473</v>
      </c>
      <c r="AC12" s="45">
        <v>5.9</v>
      </c>
      <c r="AD12" s="45">
        <v>116.9</v>
      </c>
      <c r="AE12" s="45">
        <v>4.1399999999999997</v>
      </c>
      <c r="AF12" s="45">
        <v>41.3</v>
      </c>
      <c r="AG12" s="128">
        <v>10</v>
      </c>
      <c r="AH12" s="49">
        <v>8</v>
      </c>
      <c r="AI12" s="49">
        <v>4</v>
      </c>
      <c r="AJ12" s="49">
        <v>9</v>
      </c>
      <c r="AK12" s="49">
        <v>6</v>
      </c>
      <c r="AL12" s="49">
        <v>4</v>
      </c>
      <c r="AM12" s="49">
        <v>5</v>
      </c>
      <c r="AN12" s="49">
        <v>5</v>
      </c>
      <c r="AO12" s="49">
        <v>3</v>
      </c>
      <c r="AP12" s="50">
        <v>0</v>
      </c>
      <c r="AQ12" s="56">
        <v>345</v>
      </c>
      <c r="AR12" s="57">
        <v>2593</v>
      </c>
      <c r="AS12" s="57">
        <v>0</v>
      </c>
      <c r="AT12" s="57">
        <v>32</v>
      </c>
      <c r="AU12" s="57">
        <v>71</v>
      </c>
      <c r="AV12" s="57">
        <v>15</v>
      </c>
      <c r="AW12" s="58">
        <v>4.9000000000000004</v>
      </c>
      <c r="AX12" s="58">
        <v>60.1</v>
      </c>
      <c r="AY12" s="58">
        <v>3.04</v>
      </c>
      <c r="AZ12" s="58">
        <v>27.8</v>
      </c>
      <c r="BA12" s="57">
        <v>75</v>
      </c>
      <c r="BB12" s="57">
        <v>3086</v>
      </c>
      <c r="BC12" s="57">
        <v>1</v>
      </c>
      <c r="BD12" s="57"/>
      <c r="BE12" s="59">
        <v>20</v>
      </c>
      <c r="BF12" s="56">
        <v>18</v>
      </c>
      <c r="BG12" s="57">
        <v>1874</v>
      </c>
      <c r="BH12" s="57">
        <v>0</v>
      </c>
      <c r="BI12" s="57">
        <v>19</v>
      </c>
      <c r="BJ12" s="57">
        <v>3</v>
      </c>
      <c r="BK12" s="57">
        <v>1</v>
      </c>
      <c r="BL12" s="58">
        <v>6</v>
      </c>
      <c r="BM12" s="58">
        <v>155.6</v>
      </c>
      <c r="BN12" s="58">
        <v>4.67</v>
      </c>
      <c r="BO12" s="58">
        <v>0</v>
      </c>
      <c r="BP12" s="57">
        <v>0</v>
      </c>
      <c r="BQ12" s="57">
        <v>2409</v>
      </c>
      <c r="BR12" s="57">
        <v>0</v>
      </c>
      <c r="BS12" s="57"/>
      <c r="BT12" s="59">
        <v>19</v>
      </c>
      <c r="BU12" s="56">
        <v>538</v>
      </c>
      <c r="BV12" s="57">
        <v>1569</v>
      </c>
      <c r="BW12" s="57">
        <v>3</v>
      </c>
      <c r="BX12" s="57">
        <v>9</v>
      </c>
      <c r="BY12" s="57">
        <v>102</v>
      </c>
      <c r="BZ12" s="57">
        <v>20</v>
      </c>
      <c r="CA12" s="58">
        <v>5.3</v>
      </c>
      <c r="CB12" s="58">
        <v>59.9</v>
      </c>
      <c r="CC12" s="58">
        <v>3.26</v>
      </c>
      <c r="CD12" s="58">
        <v>41.3</v>
      </c>
      <c r="CE12" s="57">
        <v>64</v>
      </c>
      <c r="CF12" s="57">
        <v>1223</v>
      </c>
      <c r="CG12" s="57">
        <v>7</v>
      </c>
      <c r="CH12" s="57"/>
      <c r="CI12" s="59">
        <v>10</v>
      </c>
      <c r="CJ12" s="56">
        <v>1005</v>
      </c>
      <c r="CK12" s="57">
        <v>2083</v>
      </c>
      <c r="CL12" s="57">
        <v>5</v>
      </c>
      <c r="CM12" s="57">
        <v>12</v>
      </c>
      <c r="CN12" s="57">
        <v>170</v>
      </c>
      <c r="CO12" s="57">
        <v>44</v>
      </c>
      <c r="CP12" s="58">
        <v>5.9</v>
      </c>
      <c r="CQ12" s="58">
        <v>116.9</v>
      </c>
      <c r="CR12" s="58">
        <v>4.1399999999999997</v>
      </c>
      <c r="CS12" s="58">
        <v>41.1</v>
      </c>
      <c r="CT12" s="57">
        <v>142</v>
      </c>
      <c r="CU12" s="57">
        <v>1874</v>
      </c>
      <c r="CV12" s="57">
        <v>14</v>
      </c>
      <c r="CW12" s="57"/>
      <c r="CX12" s="59">
        <v>13</v>
      </c>
      <c r="CY12" s="56">
        <v>1632</v>
      </c>
      <c r="CZ12" s="57">
        <v>2175</v>
      </c>
      <c r="DA12" s="57">
        <v>10</v>
      </c>
      <c r="DB12" s="57">
        <v>18</v>
      </c>
      <c r="DC12" s="57">
        <v>329</v>
      </c>
      <c r="DD12" s="57">
        <v>82</v>
      </c>
      <c r="DE12" s="58">
        <v>5</v>
      </c>
      <c r="DF12" s="58">
        <v>70.3</v>
      </c>
      <c r="DG12" s="58">
        <v>2.84</v>
      </c>
      <c r="DH12" s="58">
        <v>32</v>
      </c>
      <c r="DI12" s="57">
        <v>240</v>
      </c>
      <c r="DJ12" s="57">
        <v>2753</v>
      </c>
      <c r="DK12" s="57">
        <v>27</v>
      </c>
      <c r="DL12" s="57"/>
      <c r="DM12" s="59">
        <v>15</v>
      </c>
      <c r="DO12" s="5">
        <v>10</v>
      </c>
      <c r="DP12" s="42" t="s">
        <v>414</v>
      </c>
      <c r="DQ12" s="7">
        <v>0.6</v>
      </c>
    </row>
    <row r="13" spans="1:123" x14ac:dyDescent="0.2">
      <c r="A13" s="33">
        <v>11</v>
      </c>
      <c r="B13" s="34" t="s">
        <v>264</v>
      </c>
      <c r="C13" s="116">
        <v>8.0333333333333332</v>
      </c>
      <c r="D13" s="117" t="s">
        <v>436</v>
      </c>
      <c r="E13" s="37">
        <v>3</v>
      </c>
      <c r="F13" s="118">
        <v>36922</v>
      </c>
      <c r="G13" s="119">
        <v>24.671232876712327</v>
      </c>
      <c r="H13" s="39" t="s">
        <v>389</v>
      </c>
      <c r="I13" s="119">
        <v>22.24931506849315</v>
      </c>
      <c r="J13" s="120">
        <v>72</v>
      </c>
      <c r="K13" s="120">
        <v>219</v>
      </c>
      <c r="L13" s="120">
        <v>4.58</v>
      </c>
      <c r="M13" s="40">
        <v>4</v>
      </c>
      <c r="N13" s="121">
        <v>0</v>
      </c>
      <c r="O13" s="122">
        <v>0.1334214002642008</v>
      </c>
      <c r="P13" s="122">
        <v>9.8653765250315523E-2</v>
      </c>
      <c r="Q13" s="122">
        <v>0.1279183833627624</v>
      </c>
      <c r="R13" s="122">
        <v>0.14121663563004347</v>
      </c>
      <c r="S13" s="42">
        <v>0.14121663563004347</v>
      </c>
      <c r="T13" s="42">
        <v>0.12709497206703912</v>
      </c>
      <c r="U13" s="42">
        <v>3.0683918669131238E-2</v>
      </c>
      <c r="V13" s="42">
        <v>4.4186688760011042E-2</v>
      </c>
      <c r="W13" s="42">
        <v>4.4186688760011042E-2</v>
      </c>
      <c r="X13" s="43">
        <v>3.9768019884009936E-2</v>
      </c>
      <c r="Y13" s="44" t="s">
        <v>645</v>
      </c>
      <c r="Z13" s="170">
        <v>99.543337674934321</v>
      </c>
      <c r="AA13" s="45">
        <v>29.69849537037037</v>
      </c>
      <c r="AB13" s="45">
        <v>0.48936170212765956</v>
      </c>
      <c r="AC13" s="45">
        <v>5.9</v>
      </c>
      <c r="AD13" s="45">
        <v>198</v>
      </c>
      <c r="AE13" s="45">
        <v>4.28</v>
      </c>
      <c r="AF13" s="45">
        <v>39.6</v>
      </c>
      <c r="AG13" s="128">
        <v>1</v>
      </c>
      <c r="AH13" s="49">
        <v>4</v>
      </c>
      <c r="AI13" s="49">
        <v>0</v>
      </c>
      <c r="AJ13" s="49">
        <v>5</v>
      </c>
      <c r="AK13" s="49">
        <v>10</v>
      </c>
      <c r="AL13" s="49">
        <v>4</v>
      </c>
      <c r="AM13" s="49">
        <v>9</v>
      </c>
      <c r="AN13" s="49">
        <v>6</v>
      </c>
      <c r="AO13" s="49">
        <v>4</v>
      </c>
      <c r="AP13" s="50">
        <v>1.5</v>
      </c>
      <c r="AQ13" s="56">
        <v>0</v>
      </c>
      <c r="AR13" s="57">
        <v>2143</v>
      </c>
      <c r="AS13" s="57">
        <v>0</v>
      </c>
      <c r="AT13" s="57">
        <v>24</v>
      </c>
      <c r="AU13" s="57">
        <v>0</v>
      </c>
      <c r="AV13" s="57">
        <v>0</v>
      </c>
      <c r="AW13" s="58">
        <v>0</v>
      </c>
      <c r="AX13" s="58">
        <v>0</v>
      </c>
      <c r="AY13" s="58">
        <v>0</v>
      </c>
      <c r="AZ13" s="58">
        <v>0</v>
      </c>
      <c r="BA13" s="57">
        <v>0</v>
      </c>
      <c r="BB13" s="57">
        <v>3615</v>
      </c>
      <c r="BC13" s="57">
        <v>0</v>
      </c>
      <c r="BD13" s="57"/>
      <c r="BE13" s="59">
        <v>28</v>
      </c>
      <c r="BF13" s="56">
        <v>650</v>
      </c>
      <c r="BG13" s="57">
        <v>2295</v>
      </c>
      <c r="BH13" s="57">
        <v>7</v>
      </c>
      <c r="BI13" s="57">
        <v>26</v>
      </c>
      <c r="BJ13" s="57">
        <v>123</v>
      </c>
      <c r="BK13" s="57">
        <v>26</v>
      </c>
      <c r="BL13" s="58">
        <v>5.3</v>
      </c>
      <c r="BM13" s="58">
        <v>77.3</v>
      </c>
      <c r="BN13" s="58">
        <v>3.64</v>
      </c>
      <c r="BO13" s="58">
        <v>26.2</v>
      </c>
      <c r="BP13" s="57">
        <v>158</v>
      </c>
      <c r="BQ13" s="57">
        <v>3761</v>
      </c>
      <c r="BR13" s="57">
        <v>23</v>
      </c>
      <c r="BS13" s="57"/>
      <c r="BT13" s="59">
        <v>32</v>
      </c>
      <c r="BU13" s="56">
        <v>418</v>
      </c>
      <c r="BV13" s="57">
        <v>1953</v>
      </c>
      <c r="BW13" s="57">
        <v>6</v>
      </c>
      <c r="BX13" s="57">
        <v>20</v>
      </c>
      <c r="BY13" s="57">
        <v>80</v>
      </c>
      <c r="BZ13" s="57">
        <v>27</v>
      </c>
      <c r="CA13" s="58">
        <v>5.2</v>
      </c>
      <c r="CB13" s="58">
        <v>144.4</v>
      </c>
      <c r="CC13" s="58">
        <v>4.0999999999999996</v>
      </c>
      <c r="CD13" s="58">
        <v>40.9</v>
      </c>
      <c r="CE13" s="57">
        <v>51</v>
      </c>
      <c r="CF13" s="57">
        <v>2801</v>
      </c>
      <c r="CG13" s="57">
        <v>8</v>
      </c>
      <c r="CH13" s="57"/>
      <c r="CI13" s="59">
        <v>32</v>
      </c>
      <c r="CJ13" s="56">
        <v>569</v>
      </c>
      <c r="CK13" s="57">
        <v>2392</v>
      </c>
      <c r="CL13" s="57">
        <v>5</v>
      </c>
      <c r="CM13" s="57">
        <v>25</v>
      </c>
      <c r="CN13" s="57">
        <v>95</v>
      </c>
      <c r="CO13" s="57">
        <v>36</v>
      </c>
      <c r="CP13" s="58">
        <v>5.9</v>
      </c>
      <c r="CQ13" s="58">
        <v>144.9</v>
      </c>
      <c r="CR13" s="58">
        <v>4.0599999999999996</v>
      </c>
      <c r="CS13" s="58">
        <v>34.4</v>
      </c>
      <c r="CT13" s="57">
        <v>83</v>
      </c>
      <c r="CU13" s="57">
        <v>2705</v>
      </c>
      <c r="CV13" s="57">
        <v>11</v>
      </c>
      <c r="CW13" s="57"/>
      <c r="CX13" s="59">
        <v>29</v>
      </c>
      <c r="CY13" s="56">
        <v>600</v>
      </c>
      <c r="CZ13" s="57">
        <v>2258.3999999999996</v>
      </c>
      <c r="DA13" s="57">
        <v>5</v>
      </c>
      <c r="DB13" s="57">
        <v>29</v>
      </c>
      <c r="DC13" s="57">
        <v>94</v>
      </c>
      <c r="DD13" s="57">
        <v>46</v>
      </c>
      <c r="DE13" s="58">
        <v>5.8</v>
      </c>
      <c r="DF13" s="58">
        <v>198</v>
      </c>
      <c r="DG13" s="58">
        <v>4.28</v>
      </c>
      <c r="DH13" s="58">
        <v>39.6</v>
      </c>
      <c r="DI13" s="57">
        <v>128</v>
      </c>
      <c r="DJ13" s="57">
        <v>2896.8</v>
      </c>
      <c r="DK13" s="57">
        <v>14</v>
      </c>
      <c r="DL13" s="57"/>
      <c r="DM13" s="59">
        <v>22</v>
      </c>
      <c r="DO13" s="11">
        <v>11</v>
      </c>
      <c r="DP13" s="42" t="s">
        <v>417</v>
      </c>
      <c r="DQ13" s="7">
        <v>0.55000000000000004</v>
      </c>
    </row>
    <row r="14" spans="1:123" x14ac:dyDescent="0.2">
      <c r="A14" s="33">
        <v>12</v>
      </c>
      <c r="B14" s="34" t="s">
        <v>265</v>
      </c>
      <c r="C14" s="116">
        <v>7.9888888888888898</v>
      </c>
      <c r="D14" s="117" t="s">
        <v>517</v>
      </c>
      <c r="E14" s="37">
        <v>2</v>
      </c>
      <c r="F14" s="118">
        <v>36825</v>
      </c>
      <c r="G14" s="119">
        <v>24.936986301369863</v>
      </c>
      <c r="H14" s="39" t="s">
        <v>498</v>
      </c>
      <c r="I14" s="119">
        <v>22.515068493150686</v>
      </c>
      <c r="J14" s="120">
        <v>70</v>
      </c>
      <c r="K14" s="120">
        <v>209</v>
      </c>
      <c r="L14" s="120">
        <v>4.47</v>
      </c>
      <c r="M14" s="40">
        <v>5</v>
      </c>
      <c r="N14" s="121">
        <v>0</v>
      </c>
      <c r="O14" s="122">
        <v>7.9943899018232817E-2</v>
      </c>
      <c r="P14" s="122">
        <v>7.7017868145409729E-2</v>
      </c>
      <c r="Q14" s="122">
        <v>0.32911065149948293</v>
      </c>
      <c r="R14" s="122">
        <v>0.36024844720496896</v>
      </c>
      <c r="S14" s="42">
        <v>0.36024844720496896</v>
      </c>
      <c r="T14" s="42">
        <v>0.36024844720496896</v>
      </c>
      <c r="U14" s="42">
        <v>0.12406015037593984</v>
      </c>
      <c r="V14" s="42">
        <v>0.21236133122028525</v>
      </c>
      <c r="W14" s="42">
        <v>0.21236133122028525</v>
      </c>
      <c r="X14" s="43">
        <v>0.21236133122028525</v>
      </c>
      <c r="Y14" s="44">
        <v>20.873972602739727</v>
      </c>
      <c r="Z14" s="170">
        <v>104.69988128434389</v>
      </c>
      <c r="AA14" s="45">
        <v>29.985102040816326</v>
      </c>
      <c r="AB14" s="45">
        <v>0.25510204081632654</v>
      </c>
      <c r="AC14" s="45">
        <v>5.0999999999999996</v>
      </c>
      <c r="AD14" s="45">
        <v>97.4</v>
      </c>
      <c r="AE14" s="45">
        <v>3.6</v>
      </c>
      <c r="AF14" s="45">
        <v>43.8</v>
      </c>
      <c r="AG14" s="128">
        <v>10</v>
      </c>
      <c r="AH14" s="49">
        <v>10</v>
      </c>
      <c r="AI14" s="49">
        <v>3</v>
      </c>
      <c r="AJ14" s="49">
        <v>7</v>
      </c>
      <c r="AK14" s="49">
        <v>6</v>
      </c>
      <c r="AL14" s="49">
        <v>1</v>
      </c>
      <c r="AM14" s="49">
        <v>4</v>
      </c>
      <c r="AN14" s="49">
        <v>2</v>
      </c>
      <c r="AO14" s="49">
        <v>3</v>
      </c>
      <c r="AP14" s="50">
        <v>0</v>
      </c>
      <c r="AQ14" s="56">
        <v>0</v>
      </c>
      <c r="AR14" s="57">
        <v>1609</v>
      </c>
      <c r="AS14" s="57">
        <v>0</v>
      </c>
      <c r="AT14" s="57">
        <v>25</v>
      </c>
      <c r="AU14" s="57">
        <v>0</v>
      </c>
      <c r="AV14" s="57">
        <v>0</v>
      </c>
      <c r="AW14" s="58">
        <v>0</v>
      </c>
      <c r="AX14" s="58">
        <v>0</v>
      </c>
      <c r="AY14" s="58">
        <v>0</v>
      </c>
      <c r="AZ14" s="58">
        <v>0</v>
      </c>
      <c r="BA14" s="57">
        <v>0</v>
      </c>
      <c r="BB14" s="57">
        <v>3352</v>
      </c>
      <c r="BC14" s="57">
        <v>0</v>
      </c>
      <c r="BD14" s="57"/>
      <c r="BE14" s="59">
        <v>17</v>
      </c>
      <c r="BF14" s="56">
        <v>285</v>
      </c>
      <c r="BG14" s="57">
        <v>2161</v>
      </c>
      <c r="BH14" s="57">
        <v>4</v>
      </c>
      <c r="BI14" s="57">
        <v>17</v>
      </c>
      <c r="BJ14" s="57">
        <v>46</v>
      </c>
      <c r="BK14" s="57">
        <v>9</v>
      </c>
      <c r="BL14" s="58">
        <v>6.2</v>
      </c>
      <c r="BM14" s="58">
        <v>89.3</v>
      </c>
      <c r="BN14" s="58">
        <v>4.57</v>
      </c>
      <c r="BO14" s="58">
        <v>57.2</v>
      </c>
      <c r="BP14" s="57">
        <v>0</v>
      </c>
      <c r="BQ14" s="57">
        <v>1404</v>
      </c>
      <c r="BR14" s="57">
        <v>0</v>
      </c>
      <c r="BS14" s="57"/>
      <c r="BT14" s="59">
        <v>6</v>
      </c>
      <c r="BU14" s="56">
        <v>209</v>
      </c>
      <c r="BV14" s="57">
        <v>1465</v>
      </c>
      <c r="BW14" s="57">
        <v>2</v>
      </c>
      <c r="BX14" s="57">
        <v>16</v>
      </c>
      <c r="BY14" s="57">
        <v>25</v>
      </c>
      <c r="BZ14" s="57">
        <v>5</v>
      </c>
      <c r="CA14" s="58">
        <v>8.4</v>
      </c>
      <c r="CB14" s="58">
        <v>92.1</v>
      </c>
      <c r="CC14" s="58">
        <v>4.76</v>
      </c>
      <c r="CD14" s="58">
        <v>74.2</v>
      </c>
      <c r="CE14" s="57">
        <v>41</v>
      </c>
      <c r="CF14" s="57">
        <v>1781</v>
      </c>
      <c r="CG14" s="57">
        <v>6</v>
      </c>
      <c r="CH14" s="57"/>
      <c r="CI14" s="59">
        <v>12</v>
      </c>
      <c r="CJ14" s="56">
        <v>1009</v>
      </c>
      <c r="CK14" s="57">
        <v>1740</v>
      </c>
      <c r="CL14" s="57">
        <v>7</v>
      </c>
      <c r="CM14" s="57">
        <v>12</v>
      </c>
      <c r="CN14" s="57">
        <v>196</v>
      </c>
      <c r="CO14" s="57">
        <v>50</v>
      </c>
      <c r="CP14" s="58">
        <v>5.0999999999999996</v>
      </c>
      <c r="CQ14" s="58">
        <v>97.4</v>
      </c>
      <c r="CR14" s="58">
        <v>3.6</v>
      </c>
      <c r="CS14" s="58">
        <v>43.8</v>
      </c>
      <c r="CT14" s="57">
        <v>264</v>
      </c>
      <c r="CU14" s="57">
        <v>2128</v>
      </c>
      <c r="CV14" s="57">
        <v>33</v>
      </c>
      <c r="CW14" s="57"/>
      <c r="CX14" s="59">
        <v>13</v>
      </c>
      <c r="CY14" s="56">
        <v>914</v>
      </c>
      <c r="CZ14" s="57">
        <v>1501</v>
      </c>
      <c r="DA14" s="57">
        <v>5</v>
      </c>
      <c r="DB14" s="57">
        <v>11</v>
      </c>
      <c r="DC14" s="57">
        <v>220</v>
      </c>
      <c r="DD14" s="57">
        <v>51</v>
      </c>
      <c r="DE14" s="58">
        <v>4.2</v>
      </c>
      <c r="DF14" s="58">
        <v>62.9</v>
      </c>
      <c r="DG14" s="58">
        <v>2.74</v>
      </c>
      <c r="DH14" s="58">
        <v>28.1</v>
      </c>
      <c r="DI14" s="57">
        <v>536</v>
      </c>
      <c r="DJ14" s="57">
        <v>2524</v>
      </c>
      <c r="DK14" s="57">
        <v>54</v>
      </c>
      <c r="DL14" s="57"/>
      <c r="DM14" s="59">
        <v>10</v>
      </c>
      <c r="DO14" s="11">
        <v>12</v>
      </c>
      <c r="DP14" s="42" t="s">
        <v>420</v>
      </c>
      <c r="DQ14" s="7">
        <v>0.5</v>
      </c>
    </row>
    <row r="15" spans="1:123" x14ac:dyDescent="0.2">
      <c r="A15" s="33">
        <v>13</v>
      </c>
      <c r="B15" s="34" t="s">
        <v>275</v>
      </c>
      <c r="C15" s="116">
        <v>7.5222222222222221</v>
      </c>
      <c r="D15" s="117" t="s">
        <v>555</v>
      </c>
      <c r="E15" s="37">
        <v>4</v>
      </c>
      <c r="F15" s="118">
        <v>37189</v>
      </c>
      <c r="G15" s="119">
        <v>23.93972602739726</v>
      </c>
      <c r="H15" s="39" t="s">
        <v>385</v>
      </c>
      <c r="I15" s="119">
        <v>21.517808219178082</v>
      </c>
      <c r="J15" s="120">
        <v>69</v>
      </c>
      <c r="K15" s="120">
        <v>207</v>
      </c>
      <c r="L15" s="120">
        <v>4.54</v>
      </c>
      <c r="M15" s="40">
        <v>0</v>
      </c>
      <c r="N15" s="121">
        <v>0</v>
      </c>
      <c r="O15" s="122">
        <v>0</v>
      </c>
      <c r="P15" s="122">
        <v>0.25059342149881314</v>
      </c>
      <c r="Q15" s="122">
        <v>0.40081799591002043</v>
      </c>
      <c r="R15" s="122">
        <v>0.27153404429860539</v>
      </c>
      <c r="S15" s="42">
        <v>0.33617602010431291</v>
      </c>
      <c r="T15" s="42">
        <v>0.30255841809388162</v>
      </c>
      <c r="U15" s="42">
        <v>0.13539967373572595</v>
      </c>
      <c r="V15" s="42">
        <v>8.6898839137645109E-2</v>
      </c>
      <c r="W15" s="42">
        <v>0.11114925643668552</v>
      </c>
      <c r="X15" s="43">
        <v>0.10003433079301698</v>
      </c>
      <c r="Y15" s="44">
        <v>18.863013698630137</v>
      </c>
      <c r="Z15" s="170">
        <v>97.448897422519067</v>
      </c>
      <c r="AA15" s="45">
        <v>30.565217391304348</v>
      </c>
      <c r="AB15" s="45">
        <v>0.26720647773279355</v>
      </c>
      <c r="AC15" s="45">
        <v>6.1</v>
      </c>
      <c r="AD15" s="45">
        <v>108.4</v>
      </c>
      <c r="AE15" s="45">
        <v>4.1100000000000003</v>
      </c>
      <c r="AF15" s="45">
        <v>46.1</v>
      </c>
      <c r="AG15" s="128">
        <v>8</v>
      </c>
      <c r="AH15" s="49">
        <v>9</v>
      </c>
      <c r="AI15" s="49">
        <v>8</v>
      </c>
      <c r="AJ15" s="49">
        <v>4</v>
      </c>
      <c r="AK15" s="49">
        <v>7</v>
      </c>
      <c r="AL15" s="49">
        <v>5</v>
      </c>
      <c r="AM15" s="49">
        <v>5</v>
      </c>
      <c r="AN15" s="49">
        <v>5</v>
      </c>
      <c r="AO15" s="49">
        <v>0</v>
      </c>
      <c r="AP15" s="50">
        <v>0</v>
      </c>
      <c r="AQ15" s="56">
        <v>0</v>
      </c>
      <c r="AR15" s="57">
        <v>2590</v>
      </c>
      <c r="AS15" s="57">
        <v>0</v>
      </c>
      <c r="AT15" s="57">
        <v>38</v>
      </c>
      <c r="AU15" s="57">
        <v>0</v>
      </c>
      <c r="AV15" s="57">
        <v>0</v>
      </c>
      <c r="AW15" s="58">
        <v>0</v>
      </c>
      <c r="AX15" s="58">
        <v>0</v>
      </c>
      <c r="AY15" s="58">
        <v>0</v>
      </c>
      <c r="AZ15" s="58">
        <v>0</v>
      </c>
      <c r="BA15" s="57">
        <v>0</v>
      </c>
      <c r="BB15" s="57">
        <v>3441</v>
      </c>
      <c r="BC15" s="57">
        <v>0</v>
      </c>
      <c r="BD15" s="57"/>
      <c r="BE15" s="59">
        <v>22</v>
      </c>
      <c r="BF15" s="56">
        <v>0</v>
      </c>
      <c r="BG15" s="57">
        <v>1848</v>
      </c>
      <c r="BH15" s="57">
        <v>0</v>
      </c>
      <c r="BI15" s="57">
        <v>16</v>
      </c>
      <c r="BJ15" s="57">
        <v>0</v>
      </c>
      <c r="BK15" s="57">
        <v>0</v>
      </c>
      <c r="BL15" s="58">
        <v>0</v>
      </c>
      <c r="BM15" s="58">
        <v>0</v>
      </c>
      <c r="BN15" s="58">
        <v>0</v>
      </c>
      <c r="BO15" s="58">
        <v>0</v>
      </c>
      <c r="BP15" s="57">
        <v>0</v>
      </c>
      <c r="BQ15" s="57">
        <v>2887</v>
      </c>
      <c r="BR15" s="57">
        <v>0</v>
      </c>
      <c r="BS15" s="57"/>
      <c r="BT15" s="59">
        <v>23</v>
      </c>
      <c r="BU15" s="56">
        <v>626</v>
      </c>
      <c r="BV15" s="57">
        <v>1012</v>
      </c>
      <c r="BW15" s="57">
        <v>4</v>
      </c>
      <c r="BX15" s="57">
        <v>5</v>
      </c>
      <c r="BY15" s="57">
        <v>137</v>
      </c>
      <c r="BZ15" s="57">
        <v>27</v>
      </c>
      <c r="CA15" s="58">
        <v>4.5999999999999996</v>
      </c>
      <c r="CB15" s="58">
        <v>69.900000000000006</v>
      </c>
      <c r="CC15" s="58">
        <v>3.5</v>
      </c>
      <c r="CD15" s="58">
        <v>26.8</v>
      </c>
      <c r="CE15" s="57">
        <v>113</v>
      </c>
      <c r="CF15" s="57">
        <v>1937</v>
      </c>
      <c r="CG15" s="57">
        <v>8</v>
      </c>
      <c r="CH15" s="57"/>
      <c r="CI15" s="59">
        <v>15</v>
      </c>
      <c r="CJ15" s="56">
        <v>1515</v>
      </c>
      <c r="CK15" s="57">
        <v>2562</v>
      </c>
      <c r="CL15" s="57">
        <v>12</v>
      </c>
      <c r="CM15" s="57">
        <v>28</v>
      </c>
      <c r="CN15" s="57">
        <v>247</v>
      </c>
      <c r="CO15" s="57">
        <v>66</v>
      </c>
      <c r="CP15" s="58">
        <v>6.1</v>
      </c>
      <c r="CQ15" s="58">
        <v>108.4</v>
      </c>
      <c r="CR15" s="58">
        <v>4.1100000000000003</v>
      </c>
      <c r="CS15" s="58">
        <v>46.1</v>
      </c>
      <c r="CT15" s="57">
        <v>249</v>
      </c>
      <c r="CU15" s="57">
        <v>1839</v>
      </c>
      <c r="CV15" s="57">
        <v>18</v>
      </c>
      <c r="CW15" s="57"/>
      <c r="CX15" s="59">
        <v>10</v>
      </c>
      <c r="CY15" s="56">
        <v>1062</v>
      </c>
      <c r="CZ15" s="57">
        <v>1861</v>
      </c>
      <c r="DA15" s="57">
        <v>11</v>
      </c>
      <c r="DB15" s="57">
        <v>21</v>
      </c>
      <c r="DC15" s="57">
        <v>204</v>
      </c>
      <c r="DD15" s="57">
        <v>44</v>
      </c>
      <c r="DE15" s="58">
        <v>5.2</v>
      </c>
      <c r="DF15" s="58">
        <v>53.2</v>
      </c>
      <c r="DG15" s="58">
        <v>2.79</v>
      </c>
      <c r="DH15" s="58">
        <v>36.200000000000003</v>
      </c>
      <c r="DI15" s="57">
        <v>262</v>
      </c>
      <c r="DJ15" s="57">
        <v>3015</v>
      </c>
      <c r="DK15" s="57">
        <v>37</v>
      </c>
      <c r="DL15" s="57"/>
      <c r="DM15" s="59">
        <v>19</v>
      </c>
      <c r="DO15" s="42"/>
    </row>
    <row r="16" spans="1:123" x14ac:dyDescent="0.2">
      <c r="A16" s="33">
        <v>14</v>
      </c>
      <c r="B16" s="34" t="s">
        <v>282</v>
      </c>
      <c r="C16" s="116">
        <v>6.9222222222222225</v>
      </c>
      <c r="D16" s="117" t="s">
        <v>556</v>
      </c>
      <c r="E16" s="37">
        <v>3</v>
      </c>
      <c r="F16" s="118">
        <v>37197</v>
      </c>
      <c r="G16" s="119">
        <v>23.917808219178081</v>
      </c>
      <c r="H16" s="39" t="s">
        <v>385</v>
      </c>
      <c r="I16" s="119">
        <v>21.495890410958904</v>
      </c>
      <c r="J16" s="120">
        <v>65</v>
      </c>
      <c r="K16" s="120">
        <v>179</v>
      </c>
      <c r="L16" s="120">
        <v>4.4400000000000004</v>
      </c>
      <c r="M16" s="40">
        <v>6</v>
      </c>
      <c r="N16" s="121">
        <v>0</v>
      </c>
      <c r="O16" s="122">
        <v>0</v>
      </c>
      <c r="P16" s="122">
        <v>0.31890930646117366</v>
      </c>
      <c r="Q16" s="122">
        <v>0.39851380042462847</v>
      </c>
      <c r="R16" s="122">
        <v>0.32986525669452499</v>
      </c>
      <c r="S16" s="42">
        <v>0.36418952855957676</v>
      </c>
      <c r="T16" s="42">
        <v>0.32777057570361912</v>
      </c>
      <c r="U16" s="42">
        <v>0.18006925740669488</v>
      </c>
      <c r="V16" s="42">
        <v>0.12656939260264677</v>
      </c>
      <c r="W16" s="42">
        <v>0.15331932500467083</v>
      </c>
      <c r="X16" s="43">
        <v>0.13798739250420375</v>
      </c>
      <c r="Y16" s="44">
        <v>18.841095890410958</v>
      </c>
      <c r="Z16" s="170">
        <v>92.119409665589856</v>
      </c>
      <c r="AA16" s="45">
        <v>29.783905325443786</v>
      </c>
      <c r="AB16" s="45">
        <v>0.21367521367521367</v>
      </c>
      <c r="AC16" s="45">
        <v>6</v>
      </c>
      <c r="AD16" s="45">
        <v>71.2</v>
      </c>
      <c r="AE16" s="45">
        <v>3.06</v>
      </c>
      <c r="AF16" s="45">
        <v>51.9</v>
      </c>
      <c r="AG16" s="128">
        <v>8</v>
      </c>
      <c r="AH16" s="49">
        <v>10</v>
      </c>
      <c r="AI16" s="49">
        <v>9</v>
      </c>
      <c r="AJ16" s="49">
        <v>2</v>
      </c>
      <c r="AK16" s="49">
        <v>4</v>
      </c>
      <c r="AL16" s="49">
        <v>4</v>
      </c>
      <c r="AM16" s="49">
        <v>1</v>
      </c>
      <c r="AN16" s="49">
        <v>0</v>
      </c>
      <c r="AO16" s="49">
        <v>2</v>
      </c>
      <c r="AP16" s="50">
        <v>0</v>
      </c>
      <c r="AQ16" s="56">
        <v>0</v>
      </c>
      <c r="AR16" s="57">
        <v>2191</v>
      </c>
      <c r="AS16" s="57">
        <v>0</v>
      </c>
      <c r="AT16" s="57">
        <v>21</v>
      </c>
      <c r="AU16" s="57">
        <v>0</v>
      </c>
      <c r="AV16" s="57">
        <v>0</v>
      </c>
      <c r="AW16" s="58">
        <v>0</v>
      </c>
      <c r="AX16" s="58">
        <v>0</v>
      </c>
      <c r="AY16" s="58">
        <v>0</v>
      </c>
      <c r="AZ16" s="58">
        <v>0</v>
      </c>
      <c r="BA16" s="57">
        <v>0</v>
      </c>
      <c r="BB16" s="57">
        <v>1945</v>
      </c>
      <c r="BC16" s="57">
        <v>0</v>
      </c>
      <c r="BD16" s="57"/>
      <c r="BE16" s="59">
        <v>11</v>
      </c>
      <c r="BF16" s="56">
        <v>0</v>
      </c>
      <c r="BG16" s="57">
        <v>2314</v>
      </c>
      <c r="BH16" s="57">
        <v>0</v>
      </c>
      <c r="BI16" s="57">
        <v>29</v>
      </c>
      <c r="BJ16" s="57">
        <v>0</v>
      </c>
      <c r="BK16" s="57">
        <v>0</v>
      </c>
      <c r="BL16" s="58">
        <v>0</v>
      </c>
      <c r="BM16" s="58">
        <v>0</v>
      </c>
      <c r="BN16" s="58">
        <v>0</v>
      </c>
      <c r="BO16" s="58">
        <v>0</v>
      </c>
      <c r="BP16" s="57">
        <v>0</v>
      </c>
      <c r="BQ16" s="57">
        <v>2352</v>
      </c>
      <c r="BR16" s="57">
        <v>0</v>
      </c>
      <c r="BS16" s="57"/>
      <c r="BT16" s="59">
        <v>12</v>
      </c>
      <c r="BU16" s="56">
        <v>642</v>
      </c>
      <c r="BV16" s="57">
        <v>1517</v>
      </c>
      <c r="BW16" s="57">
        <v>7</v>
      </c>
      <c r="BX16" s="57">
        <v>17</v>
      </c>
      <c r="BY16" s="57">
        <v>121</v>
      </c>
      <c r="BZ16" s="57">
        <v>25</v>
      </c>
      <c r="CA16" s="58">
        <v>5.3</v>
      </c>
      <c r="CB16" s="58">
        <v>71.2</v>
      </c>
      <c r="CC16" s="58">
        <v>3.06</v>
      </c>
      <c r="CD16" s="58">
        <v>51.9</v>
      </c>
      <c r="CE16" s="57">
        <v>434</v>
      </c>
      <c r="CF16" s="57">
        <v>1857</v>
      </c>
      <c r="CG16" s="57">
        <v>25</v>
      </c>
      <c r="CH16" s="57"/>
      <c r="CI16" s="59">
        <v>12</v>
      </c>
      <c r="CJ16" s="56">
        <v>1409</v>
      </c>
      <c r="CK16" s="57">
        <v>2111</v>
      </c>
      <c r="CL16" s="57">
        <v>18</v>
      </c>
      <c r="CM16" s="57">
        <v>29</v>
      </c>
      <c r="CN16" s="57">
        <v>234</v>
      </c>
      <c r="CO16" s="57">
        <v>50</v>
      </c>
      <c r="CP16" s="58">
        <v>6</v>
      </c>
      <c r="CQ16" s="58">
        <v>66</v>
      </c>
      <c r="CR16" s="58">
        <v>2.97</v>
      </c>
      <c r="CS16" s="58">
        <v>40.6</v>
      </c>
      <c r="CT16" s="57">
        <v>468</v>
      </c>
      <c r="CU16" s="57">
        <v>2599</v>
      </c>
      <c r="CV16" s="57">
        <v>49</v>
      </c>
      <c r="CW16" s="57"/>
      <c r="CX16" s="59">
        <v>14</v>
      </c>
      <c r="CY16" s="56">
        <v>1561</v>
      </c>
      <c r="CZ16" s="57">
        <v>2916</v>
      </c>
      <c r="DA16" s="57">
        <v>9</v>
      </c>
      <c r="DB16" s="57">
        <v>32</v>
      </c>
      <c r="DC16" s="57">
        <v>291</v>
      </c>
      <c r="DD16" s="57">
        <v>57</v>
      </c>
      <c r="DE16" s="58">
        <v>5.4</v>
      </c>
      <c r="DF16" s="58">
        <v>43.6</v>
      </c>
      <c r="DG16" s="58">
        <v>2.35</v>
      </c>
      <c r="DH16" s="58">
        <v>42.8</v>
      </c>
      <c r="DI16" s="57">
        <v>373</v>
      </c>
      <c r="DJ16" s="57">
        <v>2947</v>
      </c>
      <c r="DK16" s="57">
        <v>43</v>
      </c>
      <c r="DL16" s="57"/>
      <c r="DM16" s="59">
        <v>21</v>
      </c>
      <c r="DO16" s="42"/>
    </row>
    <row r="17" spans="1:117" x14ac:dyDescent="0.2">
      <c r="A17" s="33">
        <v>15</v>
      </c>
      <c r="B17" s="34" t="s">
        <v>292</v>
      </c>
      <c r="C17" s="116">
        <v>6.7111111111111112</v>
      </c>
      <c r="D17" s="117" t="s">
        <v>384</v>
      </c>
      <c r="E17" s="37">
        <v>1</v>
      </c>
      <c r="F17" s="118">
        <v>36619</v>
      </c>
      <c r="G17" s="119">
        <v>25.5013698630137</v>
      </c>
      <c r="H17" s="39" t="s">
        <v>389</v>
      </c>
      <c r="I17" s="119">
        <v>23.079452054794519</v>
      </c>
      <c r="J17" s="120">
        <v>72</v>
      </c>
      <c r="K17" s="120">
        <v>204</v>
      </c>
      <c r="L17" s="120">
        <v>4.62</v>
      </c>
      <c r="M17" s="40">
        <v>7</v>
      </c>
      <c r="N17" s="121">
        <v>0</v>
      </c>
      <c r="O17" s="122">
        <v>3.0981970943462278E-2</v>
      </c>
      <c r="P17" s="122">
        <v>8.535722706908748E-2</v>
      </c>
      <c r="Q17" s="122">
        <v>8.5817524841915085E-2</v>
      </c>
      <c r="R17" s="122">
        <v>0.17733138220034589</v>
      </c>
      <c r="S17" s="42">
        <v>0.17733138220034589</v>
      </c>
      <c r="T17" s="42">
        <v>0.17733138220034589</v>
      </c>
      <c r="U17" s="42">
        <v>6.4055055584965589E-2</v>
      </c>
      <c r="V17" s="42">
        <v>0.11471715122830742</v>
      </c>
      <c r="W17" s="42">
        <v>0.11471715122830742</v>
      </c>
      <c r="X17" s="43">
        <v>0.11471715122830742</v>
      </c>
      <c r="Y17" s="44">
        <v>22.435616438356163</v>
      </c>
      <c r="Z17" s="170">
        <v>89.555499569671596</v>
      </c>
      <c r="AA17" s="45">
        <v>27.664351851851851</v>
      </c>
      <c r="AB17" s="45">
        <v>0.46551724137931033</v>
      </c>
      <c r="AC17" s="45">
        <v>5.7</v>
      </c>
      <c r="AD17" s="45">
        <v>183.2</v>
      </c>
      <c r="AE17" s="45">
        <v>3.76</v>
      </c>
      <c r="AF17" s="45">
        <v>27.3</v>
      </c>
      <c r="AG17" s="128">
        <v>3</v>
      </c>
      <c r="AH17" s="49">
        <v>9</v>
      </c>
      <c r="AI17" s="49">
        <v>1</v>
      </c>
      <c r="AJ17" s="49">
        <v>2</v>
      </c>
      <c r="AK17" s="49">
        <v>10</v>
      </c>
      <c r="AL17" s="49">
        <v>3</v>
      </c>
      <c r="AM17" s="49">
        <v>9</v>
      </c>
      <c r="AN17" s="49">
        <v>3</v>
      </c>
      <c r="AO17" s="49">
        <v>1</v>
      </c>
      <c r="AP17" s="50">
        <v>1</v>
      </c>
      <c r="AQ17" s="56">
        <v>0</v>
      </c>
      <c r="AR17" s="57">
        <v>3343</v>
      </c>
      <c r="AS17" s="57">
        <v>0</v>
      </c>
      <c r="AT17" s="57">
        <v>30</v>
      </c>
      <c r="AU17" s="57">
        <v>0</v>
      </c>
      <c r="AV17" s="57">
        <v>0</v>
      </c>
      <c r="AW17" s="58">
        <v>0</v>
      </c>
      <c r="AX17" s="58">
        <v>0</v>
      </c>
      <c r="AY17" s="58">
        <v>0</v>
      </c>
      <c r="AZ17" s="58">
        <v>0</v>
      </c>
      <c r="BA17" s="57">
        <v>0</v>
      </c>
      <c r="BB17" s="57">
        <v>3165</v>
      </c>
      <c r="BC17" s="57">
        <v>0</v>
      </c>
      <c r="BD17" s="57"/>
      <c r="BE17" s="59">
        <v>34</v>
      </c>
      <c r="BF17" s="56">
        <v>174</v>
      </c>
      <c r="BG17" s="57">
        <v>2591</v>
      </c>
      <c r="BH17" s="57">
        <v>2</v>
      </c>
      <c r="BI17" s="57">
        <v>21</v>
      </c>
      <c r="BJ17" s="57">
        <v>25</v>
      </c>
      <c r="BK17" s="57">
        <v>2</v>
      </c>
      <c r="BL17" s="58">
        <v>7</v>
      </c>
      <c r="BM17" s="58">
        <v>16.600000000000001</v>
      </c>
      <c r="BN17" s="58">
        <v>2.16</v>
      </c>
      <c r="BO17" s="58">
        <v>50.6</v>
      </c>
      <c r="BP17" s="57">
        <v>3</v>
      </c>
      <c r="BQ17" s="57">
        <v>3122</v>
      </c>
      <c r="BR17" s="57">
        <v>1</v>
      </c>
      <c r="BS17" s="57"/>
      <c r="BT17" s="59">
        <v>26</v>
      </c>
      <c r="BU17" s="56">
        <v>251</v>
      </c>
      <c r="BV17" s="57">
        <v>1742</v>
      </c>
      <c r="BW17" s="57">
        <v>1</v>
      </c>
      <c r="BX17" s="57">
        <v>18</v>
      </c>
      <c r="BY17" s="57">
        <v>47</v>
      </c>
      <c r="BZ17" s="57">
        <v>18</v>
      </c>
      <c r="CA17" s="58">
        <v>5.3</v>
      </c>
      <c r="CB17" s="58">
        <v>160.5</v>
      </c>
      <c r="CC17" s="58">
        <v>3.98</v>
      </c>
      <c r="CD17" s="58">
        <v>19.899999999999999</v>
      </c>
      <c r="CE17" s="57">
        <v>111</v>
      </c>
      <c r="CF17" s="57">
        <v>2499</v>
      </c>
      <c r="CG17" s="57">
        <v>10</v>
      </c>
      <c r="CH17" s="57"/>
      <c r="CI17" s="59">
        <v>19</v>
      </c>
      <c r="CJ17" s="56">
        <v>328</v>
      </c>
      <c r="CK17" s="57">
        <v>2864</v>
      </c>
      <c r="CL17" s="57">
        <v>3</v>
      </c>
      <c r="CM17" s="57">
        <v>29</v>
      </c>
      <c r="CN17" s="57">
        <v>58</v>
      </c>
      <c r="CO17" s="57">
        <v>27</v>
      </c>
      <c r="CP17" s="58">
        <v>5.7</v>
      </c>
      <c r="CQ17" s="58">
        <v>183.2</v>
      </c>
      <c r="CR17" s="58">
        <v>3.76</v>
      </c>
      <c r="CS17" s="58">
        <v>27.1</v>
      </c>
      <c r="CT17" s="57">
        <v>242</v>
      </c>
      <c r="CU17" s="57">
        <v>3778</v>
      </c>
      <c r="CV17" s="57">
        <v>22</v>
      </c>
      <c r="CW17" s="57"/>
      <c r="CX17" s="59">
        <v>39</v>
      </c>
      <c r="CY17" s="56">
        <v>824</v>
      </c>
      <c r="CZ17" s="57">
        <v>3080</v>
      </c>
      <c r="DA17" s="57">
        <v>10</v>
      </c>
      <c r="DB17" s="57">
        <v>44</v>
      </c>
      <c r="DC17" s="57">
        <v>151</v>
      </c>
      <c r="DD17" s="57">
        <v>45</v>
      </c>
      <c r="DE17" s="58">
        <v>5.5</v>
      </c>
      <c r="DF17" s="58">
        <v>96.1</v>
      </c>
      <c r="DG17" s="58">
        <v>3.09</v>
      </c>
      <c r="DH17" s="58">
        <v>27.3</v>
      </c>
      <c r="DI17" s="57">
        <v>509</v>
      </c>
      <c r="DJ17" s="57">
        <v>4437</v>
      </c>
      <c r="DK17" s="57">
        <v>42</v>
      </c>
      <c r="DL17" s="57"/>
      <c r="DM17" s="59">
        <v>31</v>
      </c>
    </row>
    <row r="18" spans="1:117" x14ac:dyDescent="0.2">
      <c r="A18" s="33">
        <v>16</v>
      </c>
      <c r="B18" s="34" t="s">
        <v>290</v>
      </c>
      <c r="C18" s="116">
        <v>6.6611111111111105</v>
      </c>
      <c r="D18" s="117" t="s">
        <v>493</v>
      </c>
      <c r="E18" s="37">
        <v>3</v>
      </c>
      <c r="F18" s="118">
        <v>36468</v>
      </c>
      <c r="G18" s="119">
        <v>25.915068493150685</v>
      </c>
      <c r="H18" s="39" t="s">
        <v>389</v>
      </c>
      <c r="I18" s="119">
        <v>23.493150684931507</v>
      </c>
      <c r="J18" s="120">
        <v>69</v>
      </c>
      <c r="K18" s="120">
        <v>207</v>
      </c>
      <c r="L18" s="120">
        <v>4.57</v>
      </c>
      <c r="M18" s="40">
        <v>5</v>
      </c>
      <c r="N18" s="121">
        <v>0</v>
      </c>
      <c r="O18" s="122">
        <v>0.13762626262626262</v>
      </c>
      <c r="P18" s="122">
        <v>0.29462738301559793</v>
      </c>
      <c r="Q18" s="122">
        <v>0.10244526130733578</v>
      </c>
      <c r="R18" s="122">
        <v>0.26160337552742619</v>
      </c>
      <c r="S18" s="42">
        <v>0.27811537927151209</v>
      </c>
      <c r="T18" s="42">
        <v>0.2503038413443609</v>
      </c>
      <c r="U18" s="42">
        <v>6.6861313868613145E-2</v>
      </c>
      <c r="V18" s="42">
        <v>7.190332326283988E-2</v>
      </c>
      <c r="W18" s="42">
        <v>7.190332326283988E-2</v>
      </c>
      <c r="X18" s="43">
        <v>6.47129909365559E-2</v>
      </c>
      <c r="Y18" s="44">
        <v>20.838356164383562</v>
      </c>
      <c r="Z18" s="170">
        <v>94.915150530226384</v>
      </c>
      <c r="AA18" s="45">
        <v>30.565217391304348</v>
      </c>
      <c r="AB18" s="45">
        <v>0.34615384615384615</v>
      </c>
      <c r="AC18" s="45">
        <v>6.5</v>
      </c>
      <c r="AD18" s="45">
        <v>105.3</v>
      </c>
      <c r="AE18" s="45">
        <v>3.43</v>
      </c>
      <c r="AF18" s="45">
        <v>39.6</v>
      </c>
      <c r="AG18" s="128">
        <v>6</v>
      </c>
      <c r="AH18" s="49">
        <v>7</v>
      </c>
      <c r="AI18" s="49">
        <v>3</v>
      </c>
      <c r="AJ18" s="49">
        <v>3</v>
      </c>
      <c r="AK18" s="49">
        <v>9</v>
      </c>
      <c r="AL18" s="49">
        <v>6</v>
      </c>
      <c r="AM18" s="49">
        <v>4</v>
      </c>
      <c r="AN18" s="49">
        <v>1</v>
      </c>
      <c r="AO18" s="49">
        <v>3</v>
      </c>
      <c r="AP18" s="50">
        <v>0</v>
      </c>
      <c r="AQ18" s="56">
        <v>0</v>
      </c>
      <c r="AR18" s="57">
        <v>1549</v>
      </c>
      <c r="AS18" s="57">
        <v>0</v>
      </c>
      <c r="AT18" s="57">
        <v>15</v>
      </c>
      <c r="AU18" s="57">
        <v>0</v>
      </c>
      <c r="AV18" s="57">
        <v>0</v>
      </c>
      <c r="AW18" s="58">
        <v>0</v>
      </c>
      <c r="AX18" s="58">
        <v>0</v>
      </c>
      <c r="AY18" s="58">
        <v>0</v>
      </c>
      <c r="AZ18" s="58">
        <v>0</v>
      </c>
      <c r="BA18" s="57">
        <v>0</v>
      </c>
      <c r="BB18" s="57">
        <v>2357</v>
      </c>
      <c r="BC18" s="57">
        <v>0</v>
      </c>
      <c r="BD18" s="57"/>
      <c r="BE18" s="59">
        <v>15</v>
      </c>
      <c r="BF18" s="56">
        <v>539</v>
      </c>
      <c r="BG18" s="57">
        <v>1874</v>
      </c>
      <c r="BH18" s="57">
        <v>4</v>
      </c>
      <c r="BI18" s="57">
        <v>13</v>
      </c>
      <c r="BJ18" s="57">
        <v>101</v>
      </c>
      <c r="BK18" s="57">
        <v>24</v>
      </c>
      <c r="BL18" s="58">
        <v>5.3</v>
      </c>
      <c r="BM18" s="58">
        <v>93.2</v>
      </c>
      <c r="BN18" s="58">
        <v>3.66</v>
      </c>
      <c r="BO18" s="58">
        <v>44</v>
      </c>
      <c r="BP18" s="57">
        <v>115</v>
      </c>
      <c r="BQ18" s="57">
        <v>2878</v>
      </c>
      <c r="BR18" s="57">
        <v>13</v>
      </c>
      <c r="BS18" s="57"/>
      <c r="BT18" s="59">
        <v>19</v>
      </c>
      <c r="BU18" s="56">
        <v>758</v>
      </c>
      <c r="BV18" s="57">
        <v>1415</v>
      </c>
      <c r="BW18" s="57">
        <v>4</v>
      </c>
      <c r="BX18" s="57">
        <v>12</v>
      </c>
      <c r="BY18" s="57">
        <v>156</v>
      </c>
      <c r="BZ18" s="57">
        <v>26</v>
      </c>
      <c r="CA18" s="58">
        <v>4.9000000000000004</v>
      </c>
      <c r="CB18" s="58">
        <v>41.2</v>
      </c>
      <c r="CC18" s="58">
        <v>2.57</v>
      </c>
      <c r="CD18" s="58">
        <v>18.3</v>
      </c>
      <c r="CE18" s="57">
        <v>262</v>
      </c>
      <c r="CF18" s="57">
        <v>2047</v>
      </c>
      <c r="CG18" s="57">
        <v>31</v>
      </c>
      <c r="CH18" s="57"/>
      <c r="CI18" s="59">
        <v>14</v>
      </c>
      <c r="CJ18" s="56">
        <v>412</v>
      </c>
      <c r="CK18" s="57">
        <v>2832</v>
      </c>
      <c r="CL18" s="57">
        <v>2</v>
      </c>
      <c r="CM18" s="57">
        <v>30</v>
      </c>
      <c r="CN18" s="57">
        <v>78</v>
      </c>
      <c r="CO18" s="57">
        <v>27</v>
      </c>
      <c r="CP18" s="58">
        <v>5.3</v>
      </c>
      <c r="CQ18" s="58">
        <v>105.3</v>
      </c>
      <c r="CR18" s="58">
        <v>3.04</v>
      </c>
      <c r="CS18" s="58">
        <v>39.6</v>
      </c>
      <c r="CT18" s="57">
        <v>229</v>
      </c>
      <c r="CU18" s="57">
        <v>3425</v>
      </c>
      <c r="CV18" s="57">
        <v>23</v>
      </c>
      <c r="CW18" s="57"/>
      <c r="CX18" s="59">
        <v>32</v>
      </c>
      <c r="CY18" s="56">
        <v>1374</v>
      </c>
      <c r="CZ18" s="57">
        <v>2852</v>
      </c>
      <c r="DA18" s="57">
        <v>11</v>
      </c>
      <c r="DB18" s="57">
        <v>28</v>
      </c>
      <c r="DC18" s="57">
        <v>212</v>
      </c>
      <c r="DD18" s="57">
        <v>58</v>
      </c>
      <c r="DE18" s="58">
        <v>6.5</v>
      </c>
      <c r="DF18" s="58">
        <v>96.2</v>
      </c>
      <c r="DG18" s="58">
        <v>3.43</v>
      </c>
      <c r="DH18" s="58">
        <v>39.200000000000003</v>
      </c>
      <c r="DI18" s="57">
        <v>238</v>
      </c>
      <c r="DJ18" s="57">
        <v>3310</v>
      </c>
      <c r="DK18" s="57">
        <v>34</v>
      </c>
      <c r="DL18" s="57"/>
      <c r="DM18" s="59">
        <v>27</v>
      </c>
    </row>
    <row r="19" spans="1:117" x14ac:dyDescent="0.2">
      <c r="A19" s="33">
        <v>17</v>
      </c>
      <c r="B19" s="34" t="s">
        <v>301</v>
      </c>
      <c r="C19" s="116">
        <v>6.1055555555555552</v>
      </c>
      <c r="D19" s="117" t="s">
        <v>529</v>
      </c>
      <c r="E19" s="37">
        <v>1</v>
      </c>
      <c r="F19" s="118">
        <v>36795</v>
      </c>
      <c r="G19" s="119">
        <v>25.019178082191782</v>
      </c>
      <c r="H19" s="39" t="s">
        <v>469</v>
      </c>
      <c r="I19" s="119">
        <v>22.597260273972601</v>
      </c>
      <c r="J19" s="120">
        <v>72</v>
      </c>
      <c r="K19" s="120">
        <v>217</v>
      </c>
      <c r="L19" s="120">
        <v>4.55</v>
      </c>
      <c r="M19" s="40">
        <v>6</v>
      </c>
      <c r="N19" s="121">
        <v>9.1664890215305897E-3</v>
      </c>
      <c r="O19" s="122">
        <v>0.10564484515876127</v>
      </c>
      <c r="P19" s="122">
        <v>0.2278444825614637</v>
      </c>
      <c r="Q19" s="122">
        <v>0.26017731138049577</v>
      </c>
      <c r="R19" s="122">
        <v>0.22388059701492538</v>
      </c>
      <c r="S19" s="42">
        <v>0.24202895419771059</v>
      </c>
      <c r="T19" s="42">
        <v>0.24202895419771059</v>
      </c>
      <c r="U19" s="42">
        <v>2.0797817933856121E-2</v>
      </c>
      <c r="V19" s="42">
        <v>1.5129151291512915E-2</v>
      </c>
      <c r="W19" s="42">
        <v>1.7963484612684516E-2</v>
      </c>
      <c r="X19" s="43">
        <v>1.7963484612684516E-2</v>
      </c>
      <c r="Y19" s="44">
        <v>19.942465753424656</v>
      </c>
      <c r="Z19" s="170">
        <v>101.26145022525061</v>
      </c>
      <c r="AA19" s="45">
        <v>29.427276234567902</v>
      </c>
      <c r="AB19" s="45">
        <v>0.36</v>
      </c>
      <c r="AC19" s="45">
        <v>6.1</v>
      </c>
      <c r="AD19" s="45">
        <v>142.9</v>
      </c>
      <c r="AE19" s="45">
        <v>3.94</v>
      </c>
      <c r="AF19" s="45">
        <v>46.6</v>
      </c>
      <c r="AG19" s="128">
        <v>6</v>
      </c>
      <c r="AH19" s="49">
        <v>1</v>
      </c>
      <c r="AI19" s="49">
        <v>5</v>
      </c>
      <c r="AJ19" s="49">
        <v>6</v>
      </c>
      <c r="AK19" s="49">
        <v>9</v>
      </c>
      <c r="AL19" s="49">
        <v>5</v>
      </c>
      <c r="AM19" s="49">
        <v>7</v>
      </c>
      <c r="AN19" s="49">
        <v>4</v>
      </c>
      <c r="AO19" s="49">
        <v>2</v>
      </c>
      <c r="AP19" s="50">
        <v>0</v>
      </c>
      <c r="AQ19" s="56">
        <v>43</v>
      </c>
      <c r="AR19" s="57">
        <v>2592</v>
      </c>
      <c r="AS19" s="57">
        <v>0</v>
      </c>
      <c r="AT19" s="57">
        <v>27</v>
      </c>
      <c r="AU19" s="57">
        <v>2</v>
      </c>
      <c r="AV19" s="57">
        <v>2</v>
      </c>
      <c r="AW19" s="58">
        <v>21.5</v>
      </c>
      <c r="AX19" s="58">
        <v>1300</v>
      </c>
      <c r="AY19" s="58">
        <v>13</v>
      </c>
      <c r="AZ19" s="58">
        <v>100</v>
      </c>
      <c r="BA19" s="57">
        <v>0</v>
      </c>
      <c r="BB19" s="57">
        <v>2099</v>
      </c>
      <c r="BC19" s="57">
        <v>0</v>
      </c>
      <c r="BD19" s="57"/>
      <c r="BE19" s="59">
        <v>14</v>
      </c>
      <c r="BF19" s="56">
        <v>533</v>
      </c>
      <c r="BG19" s="57">
        <v>3624</v>
      </c>
      <c r="BH19" s="57">
        <v>6</v>
      </c>
      <c r="BI19" s="57">
        <v>36</v>
      </c>
      <c r="BJ19" s="57">
        <v>71</v>
      </c>
      <c r="BK19" s="57">
        <v>23</v>
      </c>
      <c r="BL19" s="58">
        <v>7.5</v>
      </c>
      <c r="BM19" s="58">
        <v>140.80000000000001</v>
      </c>
      <c r="BN19" s="58">
        <v>4.41</v>
      </c>
      <c r="BO19" s="58">
        <v>52.9</v>
      </c>
      <c r="BP19" s="57">
        <v>6</v>
      </c>
      <c r="BQ19" s="57">
        <v>1478</v>
      </c>
      <c r="BR19" s="57">
        <v>1</v>
      </c>
      <c r="BS19" s="57"/>
      <c r="BT19" s="59">
        <v>9</v>
      </c>
      <c r="BU19" s="56">
        <v>785</v>
      </c>
      <c r="BV19" s="57">
        <v>2162</v>
      </c>
      <c r="BW19" s="57">
        <v>11</v>
      </c>
      <c r="BX19" s="57">
        <v>19</v>
      </c>
      <c r="BY19" s="57">
        <v>119</v>
      </c>
      <c r="BZ19" s="57">
        <v>31</v>
      </c>
      <c r="CA19" s="58">
        <v>6.6</v>
      </c>
      <c r="CB19" s="58">
        <v>104.9</v>
      </c>
      <c r="CC19" s="58">
        <v>3.93</v>
      </c>
      <c r="CD19" s="58">
        <v>46.6</v>
      </c>
      <c r="CE19" s="57">
        <v>12</v>
      </c>
      <c r="CF19" s="57">
        <v>1336</v>
      </c>
      <c r="CG19" s="57">
        <v>1</v>
      </c>
      <c r="CH19" s="57"/>
      <c r="CI19" s="59">
        <v>7</v>
      </c>
      <c r="CJ19" s="56">
        <v>1377</v>
      </c>
      <c r="CK19" s="57">
        <v>2594</v>
      </c>
      <c r="CL19" s="57">
        <v>9</v>
      </c>
      <c r="CM19" s="57">
        <v>27</v>
      </c>
      <c r="CN19" s="57">
        <v>224</v>
      </c>
      <c r="CO19" s="57">
        <v>56</v>
      </c>
      <c r="CP19" s="58">
        <v>6.1</v>
      </c>
      <c r="CQ19" s="58">
        <v>96.5</v>
      </c>
      <c r="CR19" s="58">
        <v>3.94</v>
      </c>
      <c r="CS19" s="58">
        <v>29.3</v>
      </c>
      <c r="CT19" s="57">
        <v>61</v>
      </c>
      <c r="CU19" s="57">
        <v>2933</v>
      </c>
      <c r="CV19" s="57">
        <v>13</v>
      </c>
      <c r="CW19" s="57"/>
      <c r="CX19" s="59">
        <v>24</v>
      </c>
      <c r="CY19" s="56">
        <v>904</v>
      </c>
      <c r="CZ19" s="57">
        <v>1511</v>
      </c>
      <c r="DA19" s="57">
        <v>6</v>
      </c>
      <c r="DB19" s="57">
        <v>9</v>
      </c>
      <c r="DC19" s="57">
        <v>175</v>
      </c>
      <c r="DD19" s="57">
        <v>63</v>
      </c>
      <c r="DE19" s="58">
        <v>5.2</v>
      </c>
      <c r="DF19" s="58">
        <v>142.9</v>
      </c>
      <c r="DG19" s="58">
        <v>3.84</v>
      </c>
      <c r="DH19" s="58">
        <v>35.4</v>
      </c>
      <c r="DI19" s="57">
        <v>41</v>
      </c>
      <c r="DJ19" s="57">
        <v>2710</v>
      </c>
      <c r="DK19" s="57">
        <v>5</v>
      </c>
      <c r="DL19" s="57"/>
      <c r="DM19" s="59">
        <v>21</v>
      </c>
    </row>
    <row r="20" spans="1:117" x14ac:dyDescent="0.2">
      <c r="A20" s="33">
        <v>18</v>
      </c>
      <c r="B20" s="34" t="s">
        <v>315</v>
      </c>
      <c r="C20" s="116">
        <v>5.3777777777777782</v>
      </c>
      <c r="D20" s="117" t="s">
        <v>557</v>
      </c>
      <c r="E20" s="37">
        <v>6</v>
      </c>
      <c r="F20" s="118">
        <v>37273</v>
      </c>
      <c r="G20" s="119">
        <v>23.709589041095889</v>
      </c>
      <c r="H20" s="39" t="s">
        <v>385</v>
      </c>
      <c r="I20" s="119">
        <v>21.287671232876711</v>
      </c>
      <c r="J20" s="120">
        <v>68</v>
      </c>
      <c r="K20" s="120">
        <v>179</v>
      </c>
      <c r="L20" s="120">
        <v>4.37</v>
      </c>
      <c r="M20" s="40">
        <v>0</v>
      </c>
      <c r="N20" s="121">
        <v>0</v>
      </c>
      <c r="O20" s="122">
        <v>0</v>
      </c>
      <c r="P20" s="122">
        <v>0.14210816777041943</v>
      </c>
      <c r="Q20" s="122">
        <v>0.26375529049634477</v>
      </c>
      <c r="R20" s="122">
        <v>0.2839506172839506</v>
      </c>
      <c r="S20" s="42">
        <v>0.2839506172839506</v>
      </c>
      <c r="T20" s="42">
        <v>0.21296296296296297</v>
      </c>
      <c r="U20" s="42">
        <v>7.8177900892582336E-2</v>
      </c>
      <c r="V20" s="42">
        <v>6.6207627118644072E-2</v>
      </c>
      <c r="W20" s="42">
        <v>7.2192764005613197E-2</v>
      </c>
      <c r="X20" s="43">
        <v>5.4144573004209898E-2</v>
      </c>
      <c r="Y20" s="44">
        <v>19.646575342465752</v>
      </c>
      <c r="Z20" s="170">
        <v>98.16513739262372</v>
      </c>
      <c r="AA20" s="45">
        <v>27.213884083044984</v>
      </c>
      <c r="AB20" s="45">
        <v>0.37313432835820898</v>
      </c>
      <c r="AC20" s="45">
        <v>7.2</v>
      </c>
      <c r="AD20" s="45">
        <v>126.4</v>
      </c>
      <c r="AE20" s="45">
        <v>3.6</v>
      </c>
      <c r="AF20" s="45">
        <v>57.7</v>
      </c>
      <c r="AG20" s="128">
        <v>4</v>
      </c>
      <c r="AH20" s="49">
        <v>6</v>
      </c>
      <c r="AI20" s="49">
        <v>6</v>
      </c>
      <c r="AJ20" s="49">
        <v>4</v>
      </c>
      <c r="AK20" s="49">
        <v>10</v>
      </c>
      <c r="AL20" s="49">
        <v>8</v>
      </c>
      <c r="AM20" s="49">
        <v>6</v>
      </c>
      <c r="AN20" s="49">
        <v>2</v>
      </c>
      <c r="AO20" s="49">
        <v>0</v>
      </c>
      <c r="AP20" s="50">
        <v>0</v>
      </c>
      <c r="AQ20" s="56">
        <v>0</v>
      </c>
      <c r="AR20" s="57">
        <v>1556</v>
      </c>
      <c r="AS20" s="57">
        <v>0</v>
      </c>
      <c r="AT20" s="57">
        <v>13</v>
      </c>
      <c r="AU20" s="57">
        <v>0</v>
      </c>
      <c r="AV20" s="57">
        <v>0</v>
      </c>
      <c r="AW20" s="58">
        <v>0</v>
      </c>
      <c r="AX20" s="58">
        <v>0</v>
      </c>
      <c r="AY20" s="58">
        <v>0</v>
      </c>
      <c r="AZ20" s="58">
        <v>0</v>
      </c>
      <c r="BA20" s="57">
        <v>0</v>
      </c>
      <c r="BB20" s="57">
        <v>2417</v>
      </c>
      <c r="BC20" s="57">
        <v>0</v>
      </c>
      <c r="BD20" s="57"/>
      <c r="BE20" s="59">
        <v>18</v>
      </c>
      <c r="BF20" s="56">
        <v>0</v>
      </c>
      <c r="BG20" s="57">
        <v>1696</v>
      </c>
      <c r="BH20" s="57">
        <v>0</v>
      </c>
      <c r="BI20" s="57">
        <v>12</v>
      </c>
      <c r="BJ20" s="57">
        <v>0</v>
      </c>
      <c r="BK20" s="57">
        <v>0</v>
      </c>
      <c r="BL20" s="58">
        <v>0</v>
      </c>
      <c r="BM20" s="58">
        <v>0</v>
      </c>
      <c r="BN20" s="58">
        <v>0</v>
      </c>
      <c r="BO20" s="58">
        <v>0</v>
      </c>
      <c r="BP20" s="57">
        <v>0</v>
      </c>
      <c r="BQ20" s="57">
        <v>3466</v>
      </c>
      <c r="BR20" s="57">
        <v>0</v>
      </c>
      <c r="BS20" s="57"/>
      <c r="BT20" s="59">
        <v>2</v>
      </c>
      <c r="BU20" s="56">
        <v>440</v>
      </c>
      <c r="BV20" s="57">
        <v>1564</v>
      </c>
      <c r="BW20" s="57">
        <v>2</v>
      </c>
      <c r="BX20" s="57">
        <v>11</v>
      </c>
      <c r="BY20" s="57">
        <v>88</v>
      </c>
      <c r="BZ20" s="57">
        <v>22</v>
      </c>
      <c r="CA20" s="58">
        <v>5</v>
      </c>
      <c r="CB20" s="58">
        <v>71.3</v>
      </c>
      <c r="CC20" s="58">
        <v>2.61</v>
      </c>
      <c r="CD20" s="58">
        <v>45.2</v>
      </c>
      <c r="CE20" s="57">
        <v>75</v>
      </c>
      <c r="CF20" s="57">
        <v>2060</v>
      </c>
      <c r="CG20" s="57">
        <v>11</v>
      </c>
      <c r="CH20" s="57"/>
      <c r="CI20" s="59">
        <v>19</v>
      </c>
      <c r="CJ20" s="56">
        <v>1117</v>
      </c>
      <c r="CK20" s="57">
        <v>1949</v>
      </c>
      <c r="CL20" s="57">
        <v>9</v>
      </c>
      <c r="CM20" s="57">
        <v>20</v>
      </c>
      <c r="CN20" s="57">
        <v>174</v>
      </c>
      <c r="CO20" s="57">
        <v>37</v>
      </c>
      <c r="CP20" s="58">
        <v>6.4</v>
      </c>
      <c r="CQ20" s="58">
        <v>84.5</v>
      </c>
      <c r="CR20" s="58">
        <v>3.26</v>
      </c>
      <c r="CS20" s="58">
        <v>54.4</v>
      </c>
      <c r="CT20" s="57">
        <v>254</v>
      </c>
      <c r="CU20" s="57">
        <v>3249</v>
      </c>
      <c r="CV20" s="57">
        <v>23</v>
      </c>
      <c r="CW20" s="57"/>
      <c r="CX20" s="59">
        <v>21</v>
      </c>
      <c r="CY20" s="56">
        <v>1452</v>
      </c>
      <c r="CZ20" s="57">
        <v>2218</v>
      </c>
      <c r="DA20" s="57">
        <v>14</v>
      </c>
      <c r="DB20" s="57">
        <v>25</v>
      </c>
      <c r="DC20" s="57">
        <v>201</v>
      </c>
      <c r="DD20" s="57">
        <v>75</v>
      </c>
      <c r="DE20" s="58">
        <v>7.2</v>
      </c>
      <c r="DF20" s="58">
        <v>126.4</v>
      </c>
      <c r="DG20" s="58">
        <v>3.6</v>
      </c>
      <c r="DH20" s="58">
        <v>57.7</v>
      </c>
      <c r="DI20" s="57">
        <v>250</v>
      </c>
      <c r="DJ20" s="57">
        <v>3776</v>
      </c>
      <c r="DK20" s="57">
        <v>27</v>
      </c>
      <c r="DL20" s="57"/>
      <c r="DM20" s="59">
        <v>28</v>
      </c>
    </row>
    <row r="21" spans="1:117" ht="15.75" customHeight="1" x14ac:dyDescent="0.2">
      <c r="A21" s="33">
        <v>19</v>
      </c>
      <c r="B21" s="34" t="s">
        <v>320</v>
      </c>
      <c r="C21" s="116">
        <v>5.2611111111111111</v>
      </c>
      <c r="D21" s="117" t="s">
        <v>558</v>
      </c>
      <c r="E21" s="37">
        <v>8</v>
      </c>
      <c r="F21" s="118">
        <v>37080</v>
      </c>
      <c r="G21" s="119">
        <v>24.238356164383561</v>
      </c>
      <c r="H21" s="39" t="s">
        <v>385</v>
      </c>
      <c r="I21" s="119">
        <v>21.816438356164383</v>
      </c>
      <c r="J21" s="120">
        <v>70</v>
      </c>
      <c r="K21" s="120">
        <v>209</v>
      </c>
      <c r="L21" s="120">
        <v>4.5199999999999996</v>
      </c>
      <c r="M21" s="40">
        <v>7</v>
      </c>
      <c r="N21" s="121">
        <v>0</v>
      </c>
      <c r="O21" s="122">
        <v>0</v>
      </c>
      <c r="P21" s="122">
        <v>0.12153931339977851</v>
      </c>
      <c r="Q21" s="122">
        <v>0.27567675159235666</v>
      </c>
      <c r="R21" s="122">
        <v>0.30072018268048478</v>
      </c>
      <c r="S21" s="42">
        <v>0.30072018268048478</v>
      </c>
      <c r="T21" s="42">
        <v>0.19546811874231512</v>
      </c>
      <c r="U21" s="42">
        <v>7.0842654735272185E-3</v>
      </c>
      <c r="V21" s="42">
        <v>3.7965072133637054E-3</v>
      </c>
      <c r="W21" s="42">
        <v>5.4403863434454615E-3</v>
      </c>
      <c r="X21" s="43">
        <v>3.5362511232395499E-3</v>
      </c>
      <c r="Y21" s="44">
        <v>20.175342465753424</v>
      </c>
      <c r="Z21" s="170">
        <v>100.14344850389824</v>
      </c>
      <c r="AA21" s="45">
        <v>29.985102040816326</v>
      </c>
      <c r="AB21" s="45">
        <v>0.38235294117647056</v>
      </c>
      <c r="AC21" s="45">
        <v>7.3</v>
      </c>
      <c r="AD21" s="45">
        <v>177.7</v>
      </c>
      <c r="AE21" s="45">
        <v>4.72</v>
      </c>
      <c r="AF21" s="45">
        <v>52.5</v>
      </c>
      <c r="AG21" s="128">
        <v>3</v>
      </c>
      <c r="AH21" s="49">
        <v>0</v>
      </c>
      <c r="AI21" s="49">
        <v>4</v>
      </c>
      <c r="AJ21" s="49">
        <v>5</v>
      </c>
      <c r="AK21" s="49">
        <v>10</v>
      </c>
      <c r="AL21" s="49">
        <v>8</v>
      </c>
      <c r="AM21" s="49">
        <v>8</v>
      </c>
      <c r="AN21" s="49">
        <v>7</v>
      </c>
      <c r="AO21" s="49">
        <v>1</v>
      </c>
      <c r="AP21" s="50">
        <v>0</v>
      </c>
      <c r="AQ21" s="56">
        <v>0</v>
      </c>
      <c r="AR21" s="57">
        <v>2818</v>
      </c>
      <c r="AS21" s="57">
        <v>0</v>
      </c>
      <c r="AT21" s="57">
        <v>32</v>
      </c>
      <c r="AU21" s="57">
        <v>0</v>
      </c>
      <c r="AV21" s="57">
        <v>0</v>
      </c>
      <c r="AW21" s="58">
        <v>0</v>
      </c>
      <c r="AX21" s="58">
        <v>0</v>
      </c>
      <c r="AY21" s="58">
        <v>0</v>
      </c>
      <c r="AZ21" s="58">
        <v>0</v>
      </c>
      <c r="BA21" s="57">
        <v>0</v>
      </c>
      <c r="BB21" s="57">
        <v>2862</v>
      </c>
      <c r="BC21" s="57">
        <v>0</v>
      </c>
      <c r="BD21" s="57"/>
      <c r="BE21" s="59">
        <v>18</v>
      </c>
      <c r="BF21" s="56">
        <v>0</v>
      </c>
      <c r="BG21" s="57">
        <v>2111</v>
      </c>
      <c r="BH21" s="57">
        <v>0</v>
      </c>
      <c r="BI21" s="57">
        <v>16</v>
      </c>
      <c r="BJ21" s="57">
        <v>0</v>
      </c>
      <c r="BK21" s="57">
        <v>0</v>
      </c>
      <c r="BL21" s="58">
        <v>0</v>
      </c>
      <c r="BM21" s="58">
        <v>0</v>
      </c>
      <c r="BN21" s="58">
        <v>0</v>
      </c>
      <c r="BO21" s="58">
        <v>0</v>
      </c>
      <c r="BP21" s="57">
        <v>0</v>
      </c>
      <c r="BQ21" s="57">
        <v>2815</v>
      </c>
      <c r="BR21" s="57">
        <v>0</v>
      </c>
      <c r="BS21" s="57"/>
      <c r="BT21" s="59">
        <v>20</v>
      </c>
      <c r="BU21" s="56">
        <v>439</v>
      </c>
      <c r="BV21" s="57">
        <v>1800</v>
      </c>
      <c r="BW21" s="57">
        <v>4</v>
      </c>
      <c r="BX21" s="57">
        <v>17</v>
      </c>
      <c r="BY21" s="57">
        <v>47</v>
      </c>
      <c r="BZ21" s="57">
        <v>21</v>
      </c>
      <c r="CA21" s="58">
        <v>9.3000000000000007</v>
      </c>
      <c r="CB21" s="58">
        <v>336.5</v>
      </c>
      <c r="CC21" s="58">
        <v>7.53</v>
      </c>
      <c r="CD21" s="58">
        <v>65.400000000000006</v>
      </c>
      <c r="CE21" s="57">
        <v>0</v>
      </c>
      <c r="CF21" s="57">
        <v>1812</v>
      </c>
      <c r="CG21" s="57">
        <v>0</v>
      </c>
      <c r="CH21" s="57"/>
      <c r="CI21" s="59">
        <v>14</v>
      </c>
      <c r="CJ21" s="56">
        <v>1366</v>
      </c>
      <c r="CK21" s="57">
        <v>2342</v>
      </c>
      <c r="CL21" s="57">
        <v>13</v>
      </c>
      <c r="CM21" s="57">
        <v>27</v>
      </c>
      <c r="CN21" s="57">
        <v>204</v>
      </c>
      <c r="CO21" s="57">
        <v>78</v>
      </c>
      <c r="CP21" s="58">
        <v>6.7</v>
      </c>
      <c r="CQ21" s="58">
        <v>177.7</v>
      </c>
      <c r="CR21" s="58">
        <v>4.72</v>
      </c>
      <c r="CS21" s="58">
        <v>52.5</v>
      </c>
      <c r="CT21" s="57">
        <v>19</v>
      </c>
      <c r="CU21" s="57">
        <v>2682</v>
      </c>
      <c r="CV21" s="57">
        <v>3</v>
      </c>
      <c r="CW21" s="57"/>
      <c r="CX21" s="59">
        <v>20</v>
      </c>
      <c r="CY21" s="56">
        <v>1702</v>
      </c>
      <c r="CZ21" s="57">
        <v>3059</v>
      </c>
      <c r="DA21" s="57">
        <v>19</v>
      </c>
      <c r="DB21" s="57">
        <v>32</v>
      </c>
      <c r="DC21" s="57">
        <v>233</v>
      </c>
      <c r="DD21" s="57">
        <v>76</v>
      </c>
      <c r="DE21" s="58">
        <v>7.3</v>
      </c>
      <c r="DF21" s="58">
        <v>150.80000000000001</v>
      </c>
      <c r="DG21" s="58">
        <v>4.5999999999999996</v>
      </c>
      <c r="DH21" s="58">
        <v>52.2</v>
      </c>
      <c r="DI21" s="57">
        <v>10</v>
      </c>
      <c r="DJ21" s="57">
        <v>2634</v>
      </c>
      <c r="DK21" s="57">
        <v>2</v>
      </c>
      <c r="DL21" s="57"/>
      <c r="DM21" s="59">
        <v>15</v>
      </c>
    </row>
    <row r="22" spans="1:117" ht="15.75" customHeight="1" x14ac:dyDescent="0.2">
      <c r="A22" s="33">
        <v>20</v>
      </c>
      <c r="B22" s="34" t="s">
        <v>338</v>
      </c>
      <c r="C22" s="116">
        <v>4.9388888888888891</v>
      </c>
      <c r="D22" s="117" t="s">
        <v>473</v>
      </c>
      <c r="E22" s="37">
        <v>4</v>
      </c>
      <c r="F22" s="118">
        <v>35979</v>
      </c>
      <c r="G22" s="119">
        <v>27.254794520547946</v>
      </c>
      <c r="H22" s="39" t="s">
        <v>469</v>
      </c>
      <c r="I22" s="119">
        <v>24.832876712328765</v>
      </c>
      <c r="J22" s="120">
        <v>72</v>
      </c>
      <c r="K22" s="120">
        <v>201</v>
      </c>
      <c r="L22" s="120">
        <v>4.55</v>
      </c>
      <c r="M22" s="40">
        <v>0</v>
      </c>
      <c r="N22" s="121">
        <v>0.11010330057949105</v>
      </c>
      <c r="O22" s="122">
        <v>0.32310390179745724</v>
      </c>
      <c r="P22" s="122">
        <v>0.29056772463120251</v>
      </c>
      <c r="Q22" s="122">
        <v>0.26628313129237724</v>
      </c>
      <c r="R22" s="122">
        <v>0.31876883340507967</v>
      </c>
      <c r="S22" s="42">
        <v>0.32093636760126842</v>
      </c>
      <c r="T22" s="42">
        <v>0.28884273084114159</v>
      </c>
      <c r="U22" s="42">
        <v>0.11016548463356975</v>
      </c>
      <c r="V22" s="42">
        <v>9.560039695666557E-2</v>
      </c>
      <c r="W22" s="42">
        <v>0.10288294079511766</v>
      </c>
      <c r="X22" s="43">
        <v>9.2594646715605897E-2</v>
      </c>
      <c r="Y22" s="44">
        <v>21.17808219178082</v>
      </c>
      <c r="Z22" s="170">
        <v>93.795168180992491</v>
      </c>
      <c r="AA22" s="45">
        <v>27.257523148148149</v>
      </c>
      <c r="AB22" s="45">
        <v>0.29292929292929293</v>
      </c>
      <c r="AC22" s="45">
        <v>5.5</v>
      </c>
      <c r="AD22" s="45">
        <v>93.9</v>
      </c>
      <c r="AE22" s="45">
        <v>3.56</v>
      </c>
      <c r="AF22" s="45">
        <v>41.7</v>
      </c>
      <c r="AG22" s="128">
        <v>8</v>
      </c>
      <c r="AH22" s="49">
        <v>9</v>
      </c>
      <c r="AI22" s="49">
        <v>3</v>
      </c>
      <c r="AJ22" s="49">
        <v>2</v>
      </c>
      <c r="AK22" s="49">
        <v>8</v>
      </c>
      <c r="AL22" s="49">
        <v>3</v>
      </c>
      <c r="AM22" s="49">
        <v>3</v>
      </c>
      <c r="AN22" s="49">
        <v>2</v>
      </c>
      <c r="AO22" s="49">
        <v>0</v>
      </c>
      <c r="AP22" s="50">
        <v>0</v>
      </c>
      <c r="AQ22" s="56">
        <v>402</v>
      </c>
      <c r="AR22" s="57">
        <v>2393</v>
      </c>
      <c r="AS22" s="57">
        <v>3</v>
      </c>
      <c r="AT22" s="57">
        <v>19</v>
      </c>
      <c r="AU22" s="57">
        <v>72</v>
      </c>
      <c r="AV22" s="57">
        <v>11</v>
      </c>
      <c r="AW22" s="58">
        <v>5.6</v>
      </c>
      <c r="AX22" s="58">
        <v>38.200000000000003</v>
      </c>
      <c r="AY22" s="58">
        <v>2.64</v>
      </c>
      <c r="AZ22" s="58">
        <v>53</v>
      </c>
      <c r="BA22" s="57">
        <v>35</v>
      </c>
      <c r="BB22" s="57">
        <v>1576</v>
      </c>
      <c r="BC22" s="57">
        <v>0</v>
      </c>
      <c r="BD22" s="57"/>
      <c r="BE22" s="59">
        <v>8</v>
      </c>
      <c r="BF22" s="56">
        <v>1263</v>
      </c>
      <c r="BG22" s="57">
        <v>2792</v>
      </c>
      <c r="BH22" s="57">
        <v>6</v>
      </c>
      <c r="BI22" s="57">
        <v>27</v>
      </c>
      <c r="BJ22" s="57">
        <v>247</v>
      </c>
      <c r="BK22" s="57">
        <v>33</v>
      </c>
      <c r="BL22" s="58">
        <v>5.0999999999999996</v>
      </c>
      <c r="BM22" s="58">
        <v>48.1</v>
      </c>
      <c r="BN22" s="58">
        <v>3.45</v>
      </c>
      <c r="BO22" s="58">
        <v>37.9</v>
      </c>
      <c r="BP22" s="57">
        <v>211</v>
      </c>
      <c r="BQ22" s="57">
        <v>1770</v>
      </c>
      <c r="BR22" s="57">
        <v>11</v>
      </c>
      <c r="BS22" s="57"/>
      <c r="BT22" s="59">
        <v>11</v>
      </c>
      <c r="BU22" s="56">
        <v>545</v>
      </c>
      <c r="BV22" s="57">
        <v>1317</v>
      </c>
      <c r="BW22" s="57">
        <v>4</v>
      </c>
      <c r="BX22" s="57">
        <v>16</v>
      </c>
      <c r="BY22" s="57">
        <v>99</v>
      </c>
      <c r="BZ22" s="57">
        <v>29</v>
      </c>
      <c r="CA22" s="58">
        <v>5.5</v>
      </c>
      <c r="CB22" s="58">
        <v>93.9</v>
      </c>
      <c r="CC22" s="58">
        <v>3.39</v>
      </c>
      <c r="CD22" s="58">
        <v>40.6</v>
      </c>
      <c r="CE22" s="57">
        <v>105</v>
      </c>
      <c r="CF22" s="57">
        <v>920</v>
      </c>
      <c r="CG22" s="57">
        <v>13</v>
      </c>
      <c r="CH22" s="57"/>
      <c r="CI22" s="59">
        <v>1</v>
      </c>
      <c r="CJ22" s="56">
        <v>1063</v>
      </c>
      <c r="CK22" s="57">
        <v>2752</v>
      </c>
      <c r="CL22" s="57">
        <v>6</v>
      </c>
      <c r="CM22" s="57">
        <v>24</v>
      </c>
      <c r="CN22" s="57">
        <v>207</v>
      </c>
      <c r="CO22" s="57">
        <v>33</v>
      </c>
      <c r="CP22" s="58">
        <v>5.0999999999999996</v>
      </c>
      <c r="CQ22" s="58">
        <v>55.7</v>
      </c>
      <c r="CR22" s="58">
        <v>3.56</v>
      </c>
      <c r="CS22" s="58">
        <v>32.200000000000003</v>
      </c>
      <c r="CT22" s="57">
        <v>233</v>
      </c>
      <c r="CU22" s="57">
        <v>2115</v>
      </c>
      <c r="CV22" s="57">
        <v>23</v>
      </c>
      <c r="CW22" s="57"/>
      <c r="CX22" s="59">
        <v>15</v>
      </c>
      <c r="CY22" s="56">
        <v>1192</v>
      </c>
      <c r="CZ22" s="57">
        <v>1623</v>
      </c>
      <c r="DA22" s="57">
        <v>16</v>
      </c>
      <c r="DB22" s="57">
        <v>21</v>
      </c>
      <c r="DC22" s="57">
        <v>215</v>
      </c>
      <c r="DD22" s="57">
        <v>44</v>
      </c>
      <c r="DE22" s="58">
        <v>5.5</v>
      </c>
      <c r="DF22" s="58">
        <v>70.599999999999994</v>
      </c>
      <c r="DG22" s="58">
        <v>3.23</v>
      </c>
      <c r="DH22" s="58">
        <v>41.7</v>
      </c>
      <c r="DI22" s="57">
        <v>289</v>
      </c>
      <c r="DJ22" s="57">
        <v>3023</v>
      </c>
      <c r="DK22" s="57">
        <v>37</v>
      </c>
      <c r="DL22" s="57"/>
      <c r="DM22" s="59">
        <v>18</v>
      </c>
    </row>
    <row r="23" spans="1:117" ht="15.75" customHeight="1" x14ac:dyDescent="0.2">
      <c r="A23" s="33">
        <v>21</v>
      </c>
      <c r="B23" s="34" t="s">
        <v>350</v>
      </c>
      <c r="C23" s="116">
        <v>4.9000000000000004</v>
      </c>
      <c r="D23" s="117" t="s">
        <v>410</v>
      </c>
      <c r="E23" s="37">
        <v>5</v>
      </c>
      <c r="F23" s="118">
        <v>36396</v>
      </c>
      <c r="G23" s="119">
        <v>26.112328767123287</v>
      </c>
      <c r="H23" s="39" t="s">
        <v>469</v>
      </c>
      <c r="I23" s="119">
        <v>23.69041095890411</v>
      </c>
      <c r="J23" s="120">
        <v>70</v>
      </c>
      <c r="K23" s="120">
        <v>201</v>
      </c>
      <c r="L23" s="120">
        <v>4.4800000000000004</v>
      </c>
      <c r="M23" s="40">
        <v>0</v>
      </c>
      <c r="N23" s="121">
        <v>0.14411859722172368</v>
      </c>
      <c r="O23" s="122">
        <v>0.1335082827620141</v>
      </c>
      <c r="P23" s="122">
        <v>0.23601882613510522</v>
      </c>
      <c r="Q23" s="122">
        <v>0.28001618395765199</v>
      </c>
      <c r="R23" s="122">
        <v>0.15385700183330983</v>
      </c>
      <c r="S23" s="42">
        <v>0.2169365928954809</v>
      </c>
      <c r="T23" s="42">
        <v>0.18439610396115877</v>
      </c>
      <c r="U23" s="42">
        <v>0.12846168743141179</v>
      </c>
      <c r="V23" s="42">
        <v>4.3018996507368602E-2</v>
      </c>
      <c r="W23" s="42">
        <v>8.5740341969390191E-2</v>
      </c>
      <c r="X23" s="43">
        <v>7.2879290673981661E-2</v>
      </c>
      <c r="Y23" s="44">
        <v>21.035616438356165</v>
      </c>
      <c r="Z23" s="170">
        <v>99.796198249508649</v>
      </c>
      <c r="AA23" s="45">
        <v>28.837346938775511</v>
      </c>
      <c r="AB23" s="45">
        <v>0.234375</v>
      </c>
      <c r="AC23" s="45">
        <v>6.1</v>
      </c>
      <c r="AD23" s="45">
        <v>87.3</v>
      </c>
      <c r="AE23" s="45">
        <v>4.25</v>
      </c>
      <c r="AF23" s="45">
        <v>41.3</v>
      </c>
      <c r="AG23" s="128">
        <v>3</v>
      </c>
      <c r="AH23" s="49">
        <v>7</v>
      </c>
      <c r="AI23" s="49">
        <v>3</v>
      </c>
      <c r="AJ23" s="49">
        <v>5</v>
      </c>
      <c r="AK23" s="49">
        <v>5</v>
      </c>
      <c r="AL23" s="49">
        <v>5</v>
      </c>
      <c r="AM23" s="49">
        <v>3</v>
      </c>
      <c r="AN23" s="49">
        <v>6</v>
      </c>
      <c r="AO23" s="49">
        <v>0</v>
      </c>
      <c r="AP23" s="50">
        <v>0.5</v>
      </c>
      <c r="AQ23" s="56">
        <v>734</v>
      </c>
      <c r="AR23" s="57">
        <v>2350.4</v>
      </c>
      <c r="AS23" s="57">
        <v>4</v>
      </c>
      <c r="AT23" s="57">
        <v>28.6</v>
      </c>
      <c r="AU23" s="57">
        <v>140</v>
      </c>
      <c r="AV23" s="57">
        <v>20</v>
      </c>
      <c r="AW23" s="58">
        <v>5.2</v>
      </c>
      <c r="AX23" s="58">
        <v>39.6</v>
      </c>
      <c r="AY23" s="58">
        <v>2.61</v>
      </c>
      <c r="AZ23" s="58">
        <v>33.200000000000003</v>
      </c>
      <c r="BA23" s="57">
        <v>69</v>
      </c>
      <c r="BB23" s="57">
        <v>3221.4</v>
      </c>
      <c r="BC23" s="57">
        <v>3</v>
      </c>
      <c r="BD23" s="57"/>
      <c r="BE23" s="59">
        <v>29</v>
      </c>
      <c r="BF23" s="56">
        <v>655</v>
      </c>
      <c r="BG23" s="57">
        <v>2482.2000000000003</v>
      </c>
      <c r="BH23" s="57">
        <v>0</v>
      </c>
      <c r="BI23" s="57">
        <v>26.599999999999998</v>
      </c>
      <c r="BJ23" s="57">
        <v>106</v>
      </c>
      <c r="BK23" s="57">
        <v>16</v>
      </c>
      <c r="BL23" s="58">
        <v>6.2</v>
      </c>
      <c r="BM23" s="58">
        <v>48.9</v>
      </c>
      <c r="BN23" s="58">
        <v>3.31</v>
      </c>
      <c r="BO23" s="58">
        <v>35.9</v>
      </c>
      <c r="BP23" s="57">
        <v>159</v>
      </c>
      <c r="BQ23" s="57">
        <v>3614.7999999999997</v>
      </c>
      <c r="BR23" s="57">
        <v>16</v>
      </c>
      <c r="BS23" s="57"/>
      <c r="BT23" s="59">
        <v>35</v>
      </c>
      <c r="BU23" s="56">
        <v>443</v>
      </c>
      <c r="BV23" s="57">
        <v>1166.8999999999999</v>
      </c>
      <c r="BW23" s="57">
        <v>1</v>
      </c>
      <c r="BX23" s="57">
        <v>13.299999999999999</v>
      </c>
      <c r="BY23" s="57">
        <v>64</v>
      </c>
      <c r="BZ23" s="57">
        <v>15</v>
      </c>
      <c r="CA23" s="58">
        <v>6.9</v>
      </c>
      <c r="CB23" s="58">
        <v>87.3</v>
      </c>
      <c r="CC23" s="58">
        <v>4.25</v>
      </c>
      <c r="CD23" s="58">
        <v>41.3</v>
      </c>
      <c r="CE23" s="57">
        <v>239</v>
      </c>
      <c r="CF23" s="57">
        <v>1722.7</v>
      </c>
      <c r="CG23" s="57">
        <v>9</v>
      </c>
      <c r="CH23" s="57"/>
      <c r="CI23" s="59">
        <v>15</v>
      </c>
      <c r="CJ23" s="56">
        <v>1263</v>
      </c>
      <c r="CK23" s="57">
        <v>2833.6</v>
      </c>
      <c r="CL23" s="57">
        <v>16</v>
      </c>
      <c r="CM23" s="57">
        <v>35</v>
      </c>
      <c r="CN23" s="57">
        <v>210</v>
      </c>
      <c r="CO23" s="57">
        <v>33</v>
      </c>
      <c r="CP23" s="58">
        <v>6</v>
      </c>
      <c r="CQ23" s="58">
        <v>54.9</v>
      </c>
      <c r="CR23" s="58">
        <v>3.53</v>
      </c>
      <c r="CS23" s="58">
        <v>38.799999999999997</v>
      </c>
      <c r="CT23" s="57">
        <v>398</v>
      </c>
      <c r="CU23" s="57">
        <v>3098.2000000000003</v>
      </c>
      <c r="CV23" s="57">
        <v>47</v>
      </c>
      <c r="CW23" s="57"/>
      <c r="CX23" s="59">
        <v>21</v>
      </c>
      <c r="CY23" s="56">
        <v>889</v>
      </c>
      <c r="CZ23" s="57">
        <v>2395.4</v>
      </c>
      <c r="DA23" s="57">
        <v>9</v>
      </c>
      <c r="DB23" s="57">
        <v>29.400000000000002</v>
      </c>
      <c r="DC23" s="57">
        <v>146</v>
      </c>
      <c r="DD23" s="57">
        <v>29</v>
      </c>
      <c r="DE23" s="58">
        <v>6.1</v>
      </c>
      <c r="DF23" s="58">
        <v>59.2</v>
      </c>
      <c r="DG23" s="58">
        <v>3.19</v>
      </c>
      <c r="DH23" s="58">
        <v>35.700000000000003</v>
      </c>
      <c r="DI23" s="57">
        <v>202</v>
      </c>
      <c r="DJ23" s="57">
        <v>4695.5999999999995</v>
      </c>
      <c r="DK23" s="57">
        <v>21</v>
      </c>
      <c r="DL23" s="57"/>
      <c r="DM23" s="59">
        <v>43</v>
      </c>
    </row>
    <row r="24" spans="1:117" ht="15.75" customHeight="1" x14ac:dyDescent="0.2">
      <c r="A24" s="33">
        <v>22</v>
      </c>
      <c r="B24" s="34" t="s">
        <v>325</v>
      </c>
      <c r="C24" s="116">
        <v>4.7611111111111111</v>
      </c>
      <c r="D24" s="117" t="s">
        <v>422</v>
      </c>
      <c r="E24" s="37">
        <v>2</v>
      </c>
      <c r="F24" s="118">
        <v>36046</v>
      </c>
      <c r="G24" s="119">
        <v>27.07123287671233</v>
      </c>
      <c r="H24" s="39" t="s">
        <v>469</v>
      </c>
      <c r="I24" s="119">
        <v>24.649315068493152</v>
      </c>
      <c r="J24" s="120">
        <v>68</v>
      </c>
      <c r="K24" s="120">
        <v>203</v>
      </c>
      <c r="L24" s="120">
        <v>4.5199999999999996</v>
      </c>
      <c r="M24" s="40">
        <v>0</v>
      </c>
      <c r="N24" s="121">
        <v>0.2403242147922999</v>
      </c>
      <c r="O24" s="122">
        <v>0.10986467236467236</v>
      </c>
      <c r="P24" s="122">
        <v>0.41359152356594814</v>
      </c>
      <c r="Q24" s="122">
        <v>3.4821619312112799E-2</v>
      </c>
      <c r="R24" s="122">
        <v>0.3404381290704559</v>
      </c>
      <c r="S24" s="42">
        <v>0.37701482631820205</v>
      </c>
      <c r="T24" s="42">
        <v>0.37701482631820205</v>
      </c>
      <c r="U24" s="42">
        <v>0</v>
      </c>
      <c r="V24" s="42">
        <v>2.1105951878429716E-2</v>
      </c>
      <c r="W24" s="42">
        <v>2.1105951878429716E-2</v>
      </c>
      <c r="X24" s="43">
        <v>2.1105951878429716E-2</v>
      </c>
      <c r="Y24" s="44">
        <v>19.991780821917807</v>
      </c>
      <c r="Z24" s="170">
        <v>97.268516967901164</v>
      </c>
      <c r="AA24" s="45">
        <v>30.862673010380622</v>
      </c>
      <c r="AB24" s="45">
        <v>0.21875</v>
      </c>
      <c r="AC24" s="45">
        <v>5.4</v>
      </c>
      <c r="AD24" s="45">
        <v>75</v>
      </c>
      <c r="AE24" s="45">
        <v>4.9000000000000004</v>
      </c>
      <c r="AF24" s="45">
        <v>46</v>
      </c>
      <c r="AG24" s="128">
        <v>10</v>
      </c>
      <c r="AH24" s="49">
        <v>2</v>
      </c>
      <c r="AI24" s="49">
        <v>5</v>
      </c>
      <c r="AJ24" s="49">
        <v>4</v>
      </c>
      <c r="AK24" s="49">
        <v>4</v>
      </c>
      <c r="AL24" s="49">
        <v>2</v>
      </c>
      <c r="AM24" s="49">
        <v>2</v>
      </c>
      <c r="AN24" s="49">
        <v>8</v>
      </c>
      <c r="AO24" s="49">
        <v>0</v>
      </c>
      <c r="AP24" s="50">
        <v>0</v>
      </c>
      <c r="AQ24" s="56">
        <v>1160</v>
      </c>
      <c r="AR24" s="57">
        <v>2221</v>
      </c>
      <c r="AS24" s="57">
        <v>9</v>
      </c>
      <c r="AT24" s="57">
        <v>23</v>
      </c>
      <c r="AU24" s="57">
        <v>202</v>
      </c>
      <c r="AV24" s="57">
        <v>34</v>
      </c>
      <c r="AW24" s="58">
        <v>5.7</v>
      </c>
      <c r="AX24" s="58">
        <v>57.3</v>
      </c>
      <c r="AY24" s="58">
        <v>3.28</v>
      </c>
      <c r="AZ24" s="58">
        <v>35.9</v>
      </c>
      <c r="BA24" s="57">
        <v>26</v>
      </c>
      <c r="BB24" s="57">
        <v>2714</v>
      </c>
      <c r="BC24" s="57">
        <v>2</v>
      </c>
      <c r="BD24" s="57"/>
      <c r="BE24" s="59">
        <v>20</v>
      </c>
      <c r="BF24" s="56">
        <v>604</v>
      </c>
      <c r="BG24" s="57">
        <v>2323</v>
      </c>
      <c r="BH24" s="57">
        <v>7</v>
      </c>
      <c r="BI24" s="57">
        <v>25</v>
      </c>
      <c r="BJ24" s="57">
        <v>114</v>
      </c>
      <c r="BK24" s="57">
        <v>27</v>
      </c>
      <c r="BL24" s="58">
        <v>5.3</v>
      </c>
      <c r="BM24" s="58">
        <v>89.1</v>
      </c>
      <c r="BN24" s="58">
        <v>3.6</v>
      </c>
      <c r="BO24" s="58">
        <v>24.7</v>
      </c>
      <c r="BP24" s="57">
        <v>13</v>
      </c>
      <c r="BQ24" s="57">
        <v>3293</v>
      </c>
      <c r="BR24" s="57">
        <v>3</v>
      </c>
      <c r="BS24" s="57"/>
      <c r="BT24" s="59">
        <v>31</v>
      </c>
      <c r="BU24" s="56">
        <v>1079</v>
      </c>
      <c r="BV24" s="57">
        <v>1343</v>
      </c>
      <c r="BW24" s="57">
        <v>15</v>
      </c>
      <c r="BX24" s="57">
        <v>19</v>
      </c>
      <c r="BY24" s="57">
        <v>202</v>
      </c>
      <c r="BZ24" s="57">
        <v>37</v>
      </c>
      <c r="CA24" s="58">
        <v>5.3</v>
      </c>
      <c r="CB24" s="58">
        <v>60.6</v>
      </c>
      <c r="CC24" s="58">
        <v>3.33</v>
      </c>
      <c r="CD24" s="58">
        <v>38.5</v>
      </c>
      <c r="CE24" s="57">
        <v>53</v>
      </c>
      <c r="CF24" s="57">
        <v>1394</v>
      </c>
      <c r="CG24" s="57">
        <v>7</v>
      </c>
      <c r="CH24" s="57"/>
      <c r="CI24" s="59">
        <v>7</v>
      </c>
      <c r="CJ24" s="56">
        <v>163</v>
      </c>
      <c r="CK24" s="57">
        <v>2575</v>
      </c>
      <c r="CL24" s="57">
        <v>2</v>
      </c>
      <c r="CM24" s="57">
        <v>27</v>
      </c>
      <c r="CN24" s="57">
        <v>30</v>
      </c>
      <c r="CO24" s="57">
        <v>3</v>
      </c>
      <c r="CP24" s="58">
        <v>5.4</v>
      </c>
      <c r="CQ24" s="58">
        <v>49</v>
      </c>
      <c r="CR24" s="58">
        <v>4.9000000000000004</v>
      </c>
      <c r="CS24" s="58">
        <v>46</v>
      </c>
      <c r="CT24" s="57">
        <v>0</v>
      </c>
      <c r="CU24" s="57">
        <v>2106</v>
      </c>
      <c r="CV24" s="57">
        <v>0</v>
      </c>
      <c r="CW24" s="57"/>
      <c r="CX24" s="59">
        <v>12</v>
      </c>
      <c r="CY24" s="56">
        <v>1675</v>
      </c>
      <c r="CZ24" s="57">
        <v>2698</v>
      </c>
      <c r="DA24" s="57">
        <v>20</v>
      </c>
      <c r="DB24" s="57">
        <v>33</v>
      </c>
      <c r="DC24" s="57">
        <v>320</v>
      </c>
      <c r="DD24" s="57">
        <v>70</v>
      </c>
      <c r="DE24" s="58">
        <v>5.2</v>
      </c>
      <c r="DF24" s="58">
        <v>75</v>
      </c>
      <c r="DG24" s="58">
        <v>3.46</v>
      </c>
      <c r="DH24" s="58">
        <v>30.2</v>
      </c>
      <c r="DI24" s="57">
        <v>50</v>
      </c>
      <c r="DJ24" s="57">
        <v>2369</v>
      </c>
      <c r="DK24" s="57">
        <v>7</v>
      </c>
      <c r="DL24" s="57"/>
      <c r="DM24" s="59">
        <v>12</v>
      </c>
    </row>
    <row r="25" spans="1:117" ht="15.75" customHeight="1" x14ac:dyDescent="0.2">
      <c r="A25" s="33">
        <v>23</v>
      </c>
      <c r="B25" s="34" t="s">
        <v>354</v>
      </c>
      <c r="C25" s="116">
        <v>3.1666666666666665</v>
      </c>
      <c r="D25" s="117" t="s">
        <v>438</v>
      </c>
      <c r="E25" s="37">
        <v>4</v>
      </c>
      <c r="F25" s="118">
        <v>37043</v>
      </c>
      <c r="G25" s="119">
        <v>24.339726027397262</v>
      </c>
      <c r="H25" s="39" t="s">
        <v>385</v>
      </c>
      <c r="I25" s="119">
        <v>21.917808219178081</v>
      </c>
      <c r="J25" s="120">
        <v>69</v>
      </c>
      <c r="K25" s="120">
        <v>225</v>
      </c>
      <c r="L25" s="120">
        <v>4.5199999999999996</v>
      </c>
      <c r="M25" s="40">
        <v>0</v>
      </c>
      <c r="N25" s="121">
        <v>0</v>
      </c>
      <c r="O25" s="122">
        <v>0</v>
      </c>
      <c r="P25" s="122">
        <v>0</v>
      </c>
      <c r="Q25" s="122">
        <v>9.8963394881762229E-2</v>
      </c>
      <c r="R25" s="122">
        <v>0.10047303689687796</v>
      </c>
      <c r="S25" s="42">
        <v>0.10047303689687796</v>
      </c>
      <c r="T25" s="42">
        <v>9.0425733207190162E-2</v>
      </c>
      <c r="U25" s="42">
        <v>2.3040095751047276E-2</v>
      </c>
      <c r="V25" s="42">
        <v>4.8652694610778445E-3</v>
      </c>
      <c r="W25" s="42">
        <v>1.395268260606256E-2</v>
      </c>
      <c r="X25" s="43">
        <v>1.2557414345456305E-2</v>
      </c>
      <c r="Y25" s="44" t="s">
        <v>645</v>
      </c>
      <c r="Z25" s="170">
        <v>107.80993259989046</v>
      </c>
      <c r="AA25" s="45">
        <v>33.22306238185255</v>
      </c>
      <c r="AB25" s="45">
        <v>0.27160493827160492</v>
      </c>
      <c r="AC25" s="45">
        <v>6.6</v>
      </c>
      <c r="AD25" s="45">
        <v>89.4</v>
      </c>
      <c r="AE25" s="45">
        <v>3.07</v>
      </c>
      <c r="AF25" s="45">
        <v>47.1</v>
      </c>
      <c r="AG25" s="128">
        <v>0</v>
      </c>
      <c r="AH25" s="49">
        <v>1</v>
      </c>
      <c r="AI25" s="49">
        <v>0</v>
      </c>
      <c r="AJ25" s="49">
        <v>8</v>
      </c>
      <c r="AK25" s="49">
        <v>7</v>
      </c>
      <c r="AL25" s="49">
        <v>6</v>
      </c>
      <c r="AM25" s="49">
        <v>3</v>
      </c>
      <c r="AN25" s="49">
        <v>0</v>
      </c>
      <c r="AO25" s="49">
        <v>0</v>
      </c>
      <c r="AP25" s="50">
        <v>0</v>
      </c>
      <c r="AQ25" s="56">
        <v>0</v>
      </c>
      <c r="AR25" s="57">
        <v>1549</v>
      </c>
      <c r="AS25" s="57">
        <v>0</v>
      </c>
      <c r="AT25" s="57">
        <v>15</v>
      </c>
      <c r="AU25" s="57">
        <v>0</v>
      </c>
      <c r="AV25" s="57">
        <v>0</v>
      </c>
      <c r="AW25" s="58">
        <v>0</v>
      </c>
      <c r="AX25" s="58">
        <v>0</v>
      </c>
      <c r="AY25" s="58">
        <v>0</v>
      </c>
      <c r="AZ25" s="58">
        <v>0</v>
      </c>
      <c r="BA25" s="57">
        <v>0</v>
      </c>
      <c r="BB25" s="57">
        <v>2357</v>
      </c>
      <c r="BC25" s="57">
        <v>0</v>
      </c>
      <c r="BD25" s="57"/>
      <c r="BE25" s="59">
        <v>15</v>
      </c>
      <c r="BF25" s="56">
        <v>0</v>
      </c>
      <c r="BG25" s="57">
        <v>1874</v>
      </c>
      <c r="BH25" s="57">
        <v>0</v>
      </c>
      <c r="BI25" s="57">
        <v>13</v>
      </c>
      <c r="BJ25" s="57">
        <v>0</v>
      </c>
      <c r="BK25" s="57">
        <v>0</v>
      </c>
      <c r="BL25" s="58">
        <v>0</v>
      </c>
      <c r="BM25" s="58">
        <v>0</v>
      </c>
      <c r="BN25" s="58">
        <v>0</v>
      </c>
      <c r="BO25" s="58">
        <v>0</v>
      </c>
      <c r="BP25" s="57">
        <v>0</v>
      </c>
      <c r="BQ25" s="57">
        <v>2878</v>
      </c>
      <c r="BR25" s="57">
        <v>0</v>
      </c>
      <c r="BS25" s="57"/>
      <c r="BT25" s="59">
        <v>19</v>
      </c>
      <c r="BU25" s="56">
        <v>0</v>
      </c>
      <c r="BV25" s="57">
        <v>1415</v>
      </c>
      <c r="BW25" s="57">
        <v>0</v>
      </c>
      <c r="BX25" s="57">
        <v>12</v>
      </c>
      <c r="BY25" s="57">
        <v>0</v>
      </c>
      <c r="BZ25" s="57">
        <v>0</v>
      </c>
      <c r="CA25" s="58">
        <v>0</v>
      </c>
      <c r="CB25" s="58">
        <v>0</v>
      </c>
      <c r="CC25" s="58">
        <v>0</v>
      </c>
      <c r="CD25" s="58">
        <v>0</v>
      </c>
      <c r="CE25" s="57">
        <v>0</v>
      </c>
      <c r="CF25" s="57">
        <v>2047</v>
      </c>
      <c r="CG25" s="57">
        <v>0</v>
      </c>
      <c r="CH25" s="57"/>
      <c r="CI25" s="59">
        <v>14</v>
      </c>
      <c r="CJ25" s="56">
        <v>534</v>
      </c>
      <c r="CK25" s="57">
        <v>2832</v>
      </c>
      <c r="CL25" s="57">
        <v>6</v>
      </c>
      <c r="CM25" s="57">
        <v>30</v>
      </c>
      <c r="CN25" s="57">
        <v>81</v>
      </c>
      <c r="CO25" s="57">
        <v>22</v>
      </c>
      <c r="CP25" s="58">
        <v>6.6</v>
      </c>
      <c r="CQ25" s="58">
        <v>89.4</v>
      </c>
      <c r="CR25" s="58">
        <v>3.07</v>
      </c>
      <c r="CS25" s="58">
        <v>36</v>
      </c>
      <c r="CT25" s="57">
        <v>77</v>
      </c>
      <c r="CU25" s="57">
        <v>3342</v>
      </c>
      <c r="CV25" s="57">
        <v>5</v>
      </c>
      <c r="CW25" s="57"/>
      <c r="CX25" s="59">
        <v>33</v>
      </c>
      <c r="CY25" s="56">
        <v>518</v>
      </c>
      <c r="CZ25" s="57">
        <v>2613</v>
      </c>
      <c r="DA25" s="57">
        <v>6</v>
      </c>
      <c r="DB25" s="57">
        <v>25</v>
      </c>
      <c r="DC25" s="57">
        <v>83</v>
      </c>
      <c r="DD25" s="57">
        <v>22</v>
      </c>
      <c r="DE25" s="58">
        <v>6.2</v>
      </c>
      <c r="DF25" s="58">
        <v>83.6</v>
      </c>
      <c r="DG25" s="58">
        <v>2.98</v>
      </c>
      <c r="DH25" s="58">
        <v>47.1</v>
      </c>
      <c r="DI25" s="57">
        <v>13</v>
      </c>
      <c r="DJ25" s="57">
        <v>2672</v>
      </c>
      <c r="DK25" s="57">
        <v>6</v>
      </c>
      <c r="DL25" s="57"/>
      <c r="DM25" s="59">
        <v>13</v>
      </c>
    </row>
    <row r="26" spans="1:117" ht="15.75" customHeight="1" x14ac:dyDescent="0.2">
      <c r="A26" s="33">
        <v>24</v>
      </c>
      <c r="B26" s="34" t="s">
        <v>358</v>
      </c>
      <c r="C26" s="116">
        <v>3.0944444444444446</v>
      </c>
      <c r="D26" s="117" t="s">
        <v>459</v>
      </c>
      <c r="E26" s="37">
        <v>5</v>
      </c>
      <c r="F26" s="118">
        <v>36668</v>
      </c>
      <c r="G26" s="119">
        <v>25.367123287671234</v>
      </c>
      <c r="H26" s="39" t="s">
        <v>498</v>
      </c>
      <c r="I26" s="119">
        <v>22.945205479452056</v>
      </c>
      <c r="J26" s="120">
        <v>72</v>
      </c>
      <c r="K26" s="120">
        <v>237</v>
      </c>
      <c r="L26" s="120">
        <v>4.74</v>
      </c>
      <c r="M26" s="40">
        <v>0</v>
      </c>
      <c r="N26" s="121">
        <v>8.8792636708175415E-2</v>
      </c>
      <c r="O26" s="122">
        <v>3.2467532467532464E-2</v>
      </c>
      <c r="P26" s="122">
        <v>0</v>
      </c>
      <c r="Q26" s="122">
        <v>0.18376139188069593</v>
      </c>
      <c r="R26" s="122">
        <v>0.11000611995104038</v>
      </c>
      <c r="S26" s="42">
        <v>0.14688375591586816</v>
      </c>
      <c r="T26" s="42">
        <v>0.12485119252848793</v>
      </c>
      <c r="U26" s="42">
        <v>1E-3</v>
      </c>
      <c r="V26" s="42">
        <v>1.2324448265978791E-2</v>
      </c>
      <c r="W26" s="42">
        <v>1.2324448265978791E-2</v>
      </c>
      <c r="X26" s="43">
        <v>1.0475781026081972E-2</v>
      </c>
      <c r="Y26" s="44">
        <v>21.304109589041097</v>
      </c>
      <c r="Z26" s="170">
        <v>93.899866534485696</v>
      </c>
      <c r="AA26" s="45">
        <v>32.139467592592595</v>
      </c>
      <c r="AB26" s="45">
        <v>0.30392156862745096</v>
      </c>
      <c r="AC26" s="45">
        <v>5.4</v>
      </c>
      <c r="AD26" s="45">
        <v>114.8</v>
      </c>
      <c r="AE26" s="45">
        <v>3.81</v>
      </c>
      <c r="AF26" s="45">
        <v>29.7</v>
      </c>
      <c r="AG26" s="128">
        <v>1</v>
      </c>
      <c r="AH26" s="49">
        <v>1</v>
      </c>
      <c r="AI26" s="49">
        <v>2</v>
      </c>
      <c r="AJ26" s="49">
        <v>2</v>
      </c>
      <c r="AK26" s="49">
        <v>8</v>
      </c>
      <c r="AL26" s="49">
        <v>2</v>
      </c>
      <c r="AM26" s="49">
        <v>5</v>
      </c>
      <c r="AN26" s="49">
        <v>3</v>
      </c>
      <c r="AO26" s="49">
        <v>0</v>
      </c>
      <c r="AP26" s="50">
        <v>0</v>
      </c>
      <c r="AQ26" s="56">
        <v>494</v>
      </c>
      <c r="AR26" s="57">
        <v>2520</v>
      </c>
      <c r="AS26" s="57">
        <v>6</v>
      </c>
      <c r="AT26" s="57">
        <v>23</v>
      </c>
      <c r="AU26" s="57">
        <v>90</v>
      </c>
      <c r="AV26" s="57">
        <v>19</v>
      </c>
      <c r="AW26" s="58">
        <v>5.5</v>
      </c>
      <c r="AX26" s="58">
        <v>86.5</v>
      </c>
      <c r="AY26" s="58">
        <v>4.1399999999999997</v>
      </c>
      <c r="AZ26" s="58">
        <v>30.4</v>
      </c>
      <c r="BA26" s="57">
        <v>-2</v>
      </c>
      <c r="BB26" s="57">
        <v>3021</v>
      </c>
      <c r="BC26" s="57">
        <v>0</v>
      </c>
      <c r="BD26" s="57"/>
      <c r="BE26" s="59">
        <v>19</v>
      </c>
      <c r="BF26" s="56">
        <v>189</v>
      </c>
      <c r="BG26" s="57">
        <v>2819</v>
      </c>
      <c r="BH26" s="57">
        <v>1</v>
      </c>
      <c r="BI26" s="57">
        <v>34</v>
      </c>
      <c r="BJ26" s="57">
        <v>40</v>
      </c>
      <c r="BK26" s="57">
        <v>11</v>
      </c>
      <c r="BL26" s="58">
        <v>4.7</v>
      </c>
      <c r="BM26" s="58">
        <v>71.8</v>
      </c>
      <c r="BN26" s="58">
        <v>2.68</v>
      </c>
      <c r="BO26" s="58">
        <v>28</v>
      </c>
      <c r="BP26" s="57">
        <v>6</v>
      </c>
      <c r="BQ26" s="57">
        <v>3187</v>
      </c>
      <c r="BR26" s="57">
        <v>1</v>
      </c>
      <c r="BS26" s="57"/>
      <c r="BT26" s="59">
        <v>20</v>
      </c>
      <c r="BU26" s="56">
        <v>0</v>
      </c>
      <c r="BV26" s="57">
        <v>970</v>
      </c>
      <c r="BW26" s="57">
        <v>0</v>
      </c>
      <c r="BX26" s="57">
        <v>9</v>
      </c>
      <c r="BY26" s="57">
        <v>0</v>
      </c>
      <c r="BZ26" s="57">
        <v>0</v>
      </c>
      <c r="CA26" s="58">
        <v>0</v>
      </c>
      <c r="CB26" s="58">
        <v>0</v>
      </c>
      <c r="CC26" s="58">
        <v>0</v>
      </c>
      <c r="CD26" s="58">
        <v>0</v>
      </c>
      <c r="CE26" s="57">
        <v>0</v>
      </c>
      <c r="CF26" s="57">
        <v>1079</v>
      </c>
      <c r="CG26" s="57">
        <v>0</v>
      </c>
      <c r="CH26" s="57"/>
      <c r="CI26" s="59">
        <v>6</v>
      </c>
      <c r="CJ26" s="56">
        <v>1106</v>
      </c>
      <c r="CK26" s="57">
        <v>3035</v>
      </c>
      <c r="CL26" s="57">
        <v>21</v>
      </c>
      <c r="CM26" s="57">
        <v>37</v>
      </c>
      <c r="CN26" s="57">
        <v>204</v>
      </c>
      <c r="CO26" s="57">
        <v>62</v>
      </c>
      <c r="CP26" s="58">
        <v>5.4</v>
      </c>
      <c r="CQ26" s="58">
        <v>114.8</v>
      </c>
      <c r="CR26" s="58">
        <v>3.81</v>
      </c>
      <c r="CS26" s="58">
        <v>29.7</v>
      </c>
      <c r="CT26" s="57">
        <v>3</v>
      </c>
      <c r="CU26" s="57">
        <v>3000</v>
      </c>
      <c r="CV26" s="57">
        <v>2</v>
      </c>
      <c r="CW26" s="57"/>
      <c r="CX26" s="59">
        <v>24</v>
      </c>
      <c r="CY26" s="56">
        <v>676</v>
      </c>
      <c r="CZ26" s="57">
        <v>3047</v>
      </c>
      <c r="DA26" s="57">
        <v>7</v>
      </c>
      <c r="DB26" s="57">
        <v>38</v>
      </c>
      <c r="DC26" s="57">
        <v>142</v>
      </c>
      <c r="DD26" s="57">
        <v>29</v>
      </c>
      <c r="DE26" s="58">
        <v>4.8</v>
      </c>
      <c r="DF26" s="58">
        <v>59.8</v>
      </c>
      <c r="DG26" s="58">
        <v>2.95</v>
      </c>
      <c r="DH26" s="58">
        <v>25.6</v>
      </c>
      <c r="DI26" s="57">
        <v>43</v>
      </c>
      <c r="DJ26" s="57">
        <v>3489</v>
      </c>
      <c r="DK26" s="57">
        <v>6</v>
      </c>
      <c r="DL26" s="57"/>
      <c r="DM26" s="59">
        <v>31</v>
      </c>
    </row>
    <row r="27" spans="1:117" ht="15.75" customHeight="1" x14ac:dyDescent="0.2">
      <c r="A27" s="33">
        <v>25</v>
      </c>
      <c r="B27" s="34" t="s">
        <v>364</v>
      </c>
      <c r="C27" s="116">
        <v>2.7888888888888892</v>
      </c>
      <c r="D27" s="117" t="s">
        <v>461</v>
      </c>
      <c r="E27" s="37">
        <v>3</v>
      </c>
      <c r="F27" s="118">
        <v>36434</v>
      </c>
      <c r="G27" s="119">
        <v>26.008219178082193</v>
      </c>
      <c r="H27" s="39" t="s">
        <v>469</v>
      </c>
      <c r="I27" s="119">
        <v>23.586301369863012</v>
      </c>
      <c r="J27" s="120">
        <v>71</v>
      </c>
      <c r="K27" s="120">
        <v>207</v>
      </c>
      <c r="L27" s="120">
        <v>4.67</v>
      </c>
      <c r="M27" s="40">
        <v>0</v>
      </c>
      <c r="N27" s="121">
        <v>1.9267822736030824E-2</v>
      </c>
      <c r="O27" s="122">
        <v>0.16076323002319209</v>
      </c>
      <c r="P27" s="122">
        <v>0.17112299465240641</v>
      </c>
      <c r="Q27" s="122">
        <v>0.11287223823246878</v>
      </c>
      <c r="R27" s="122">
        <v>0.13354006201860558</v>
      </c>
      <c r="S27" s="42">
        <v>0.15233152833550601</v>
      </c>
      <c r="T27" s="42">
        <v>0.13709837550195542</v>
      </c>
      <c r="U27" s="42">
        <v>3.2001435578418475E-2</v>
      </c>
      <c r="V27" s="42">
        <v>3.0260648442466623E-2</v>
      </c>
      <c r="W27" s="42">
        <v>3.1131042010442547E-2</v>
      </c>
      <c r="X27" s="43">
        <v>2.8017937809398295E-2</v>
      </c>
      <c r="Y27" s="44">
        <v>19.931506849315067</v>
      </c>
      <c r="Z27" s="170">
        <v>87.042793156897062</v>
      </c>
      <c r="AA27" s="45">
        <v>28.867486609799645</v>
      </c>
      <c r="AB27" s="45">
        <v>0.29710144927536231</v>
      </c>
      <c r="AC27" s="45">
        <v>4.9000000000000004</v>
      </c>
      <c r="AD27" s="45">
        <v>103.9</v>
      </c>
      <c r="AE27" s="45">
        <v>3.75</v>
      </c>
      <c r="AF27" s="45">
        <v>48.4</v>
      </c>
      <c r="AG27" s="128">
        <v>1</v>
      </c>
      <c r="AH27" s="49">
        <v>3</v>
      </c>
      <c r="AI27" s="49">
        <v>5</v>
      </c>
      <c r="AJ27" s="49">
        <v>1</v>
      </c>
      <c r="AK27" s="49">
        <v>8</v>
      </c>
      <c r="AL27" s="49">
        <v>1</v>
      </c>
      <c r="AM27" s="49">
        <v>4</v>
      </c>
      <c r="AN27" s="49">
        <v>3</v>
      </c>
      <c r="AO27" s="49">
        <v>0</v>
      </c>
      <c r="AP27" s="50">
        <v>0</v>
      </c>
      <c r="AQ27" s="56">
        <v>102</v>
      </c>
      <c r="AR27" s="57">
        <v>1581.6000000000001</v>
      </c>
      <c r="AS27" s="57">
        <v>3</v>
      </c>
      <c r="AT27" s="57">
        <v>26.400000000000002</v>
      </c>
      <c r="AU27" s="57">
        <v>23</v>
      </c>
      <c r="AV27" s="57">
        <v>3</v>
      </c>
      <c r="AW27" s="58">
        <v>4.4000000000000004</v>
      </c>
      <c r="AX27" s="58">
        <v>41.7</v>
      </c>
      <c r="AY27" s="58">
        <v>3.48</v>
      </c>
      <c r="AZ27" s="58">
        <v>38.200000000000003</v>
      </c>
      <c r="BA27" s="57">
        <v>10</v>
      </c>
      <c r="BB27" s="57">
        <v>4231.2000000000007</v>
      </c>
      <c r="BC27" s="57">
        <v>0</v>
      </c>
      <c r="BD27" s="57"/>
      <c r="BE27" s="59">
        <v>28</v>
      </c>
      <c r="BF27" s="56">
        <v>763</v>
      </c>
      <c r="BG27" s="57">
        <v>1795.1999999999998</v>
      </c>
      <c r="BH27" s="57">
        <v>12</v>
      </c>
      <c r="BI27" s="57">
        <v>20.399999999999999</v>
      </c>
      <c r="BJ27" s="57">
        <v>159</v>
      </c>
      <c r="BK27" s="57">
        <v>41</v>
      </c>
      <c r="BL27" s="58">
        <v>4.8</v>
      </c>
      <c r="BM27" s="58">
        <v>70.900000000000006</v>
      </c>
      <c r="BN27" s="58">
        <v>2.85</v>
      </c>
      <c r="BO27" s="58">
        <v>28</v>
      </c>
      <c r="BP27" s="57">
        <v>152</v>
      </c>
      <c r="BQ27" s="57">
        <v>3896.3999999999996</v>
      </c>
      <c r="BR27" s="57">
        <v>38</v>
      </c>
      <c r="BS27" s="57"/>
      <c r="BT27" s="59">
        <v>24</v>
      </c>
      <c r="BU27" s="56">
        <v>612</v>
      </c>
      <c r="BV27" s="57">
        <v>1634</v>
      </c>
      <c r="BW27" s="57">
        <v>8</v>
      </c>
      <c r="BX27" s="57">
        <v>17</v>
      </c>
      <c r="BY27" s="57">
        <v>109</v>
      </c>
      <c r="BZ27" s="57">
        <v>27</v>
      </c>
      <c r="CA27" s="58">
        <v>5.6</v>
      </c>
      <c r="CB27" s="58">
        <v>103.9</v>
      </c>
      <c r="CC27" s="58">
        <v>3.75</v>
      </c>
      <c r="CD27" s="58">
        <v>48.4</v>
      </c>
      <c r="CE27" s="57">
        <v>124</v>
      </c>
      <c r="CF27" s="57">
        <v>2667</v>
      </c>
      <c r="CG27" s="57">
        <v>21</v>
      </c>
      <c r="CH27" s="57"/>
      <c r="CI27" s="59">
        <v>18</v>
      </c>
      <c r="CJ27" s="56">
        <v>504</v>
      </c>
      <c r="CK27" s="57">
        <v>2069.6</v>
      </c>
      <c r="CL27" s="57">
        <v>10</v>
      </c>
      <c r="CM27" s="57">
        <v>29.9</v>
      </c>
      <c r="CN27" s="57">
        <v>109</v>
      </c>
      <c r="CO27" s="57">
        <v>24</v>
      </c>
      <c r="CP27" s="58">
        <v>4.5999999999999996</v>
      </c>
      <c r="CQ27" s="58">
        <v>68</v>
      </c>
      <c r="CR27" s="58">
        <v>2.87</v>
      </c>
      <c r="CS27" s="58">
        <v>36.5</v>
      </c>
      <c r="CT27" s="57">
        <v>107</v>
      </c>
      <c r="CU27" s="57">
        <v>3343.6</v>
      </c>
      <c r="CV27" s="57">
        <v>5</v>
      </c>
      <c r="CW27" s="57"/>
      <c r="CX27" s="59">
        <v>18</v>
      </c>
      <c r="CY27" s="56">
        <v>682</v>
      </c>
      <c r="CZ27" s="57">
        <v>2065.7000000000003</v>
      </c>
      <c r="DA27" s="57">
        <v>7</v>
      </c>
      <c r="DB27" s="57">
        <v>28.6</v>
      </c>
      <c r="DC27" s="57">
        <v>138</v>
      </c>
      <c r="DD27" s="57">
        <v>41</v>
      </c>
      <c r="DE27" s="58">
        <v>4.9000000000000004</v>
      </c>
      <c r="DF27" s="58">
        <v>84.4</v>
      </c>
      <c r="DG27" s="58">
        <v>3.09</v>
      </c>
      <c r="DH27" s="58">
        <v>33.4</v>
      </c>
      <c r="DI27" s="57">
        <v>119</v>
      </c>
      <c r="DJ27" s="57">
        <v>3932.5</v>
      </c>
      <c r="DK27" s="57">
        <v>23</v>
      </c>
      <c r="DL27" s="57"/>
      <c r="DM27" s="59">
        <v>26</v>
      </c>
    </row>
    <row r="28" spans="1:117" ht="15.75" customHeight="1" x14ac:dyDescent="0.2">
      <c r="A28" s="33">
        <v>26</v>
      </c>
      <c r="B28" s="34" t="s">
        <v>362</v>
      </c>
      <c r="C28" s="116">
        <v>2.3722222222222227</v>
      </c>
      <c r="D28" s="117" t="s">
        <v>537</v>
      </c>
      <c r="E28" s="37">
        <v>8</v>
      </c>
      <c r="F28" s="118">
        <v>36417</v>
      </c>
      <c r="G28" s="119">
        <v>26.054794520547944</v>
      </c>
      <c r="H28" s="39" t="s">
        <v>469</v>
      </c>
      <c r="I28" s="119">
        <v>23.632876712328766</v>
      </c>
      <c r="J28" s="120">
        <v>73</v>
      </c>
      <c r="K28" s="120">
        <v>217</v>
      </c>
      <c r="L28" s="120">
        <v>4.6100000000000003</v>
      </c>
      <c r="M28" s="40">
        <v>0</v>
      </c>
      <c r="N28" s="121">
        <v>2.7924399795675122E-2</v>
      </c>
      <c r="O28" s="122">
        <v>3.7928759894459104E-3</v>
      </c>
      <c r="P28" s="122">
        <v>0.20999262536873156</v>
      </c>
      <c r="Q28" s="122">
        <v>0.15280025898348981</v>
      </c>
      <c r="R28" s="122">
        <v>0.11530014641288433</v>
      </c>
      <c r="S28" s="42">
        <v>0.16264638589080793</v>
      </c>
      <c r="T28" s="42">
        <v>0.10572015082902515</v>
      </c>
      <c r="U28" s="42">
        <v>5.4488098652136505E-3</v>
      </c>
      <c r="V28" s="42">
        <v>1.2620391896379941E-2</v>
      </c>
      <c r="W28" s="42">
        <v>1.2620391896379941E-2</v>
      </c>
      <c r="X28" s="43">
        <v>8.2032547326469623E-3</v>
      </c>
      <c r="Y28" s="44">
        <v>20.978082191780821</v>
      </c>
      <c r="Z28" s="170">
        <v>96.091733456663121</v>
      </c>
      <c r="AA28" s="45">
        <v>28.6265715894164</v>
      </c>
      <c r="AB28" s="45">
        <v>0.29518072289156627</v>
      </c>
      <c r="AC28" s="45">
        <v>5.9</v>
      </c>
      <c r="AD28" s="45">
        <v>131.69999999999999</v>
      </c>
      <c r="AE28" s="45">
        <v>4.46</v>
      </c>
      <c r="AF28" s="45">
        <v>41.1</v>
      </c>
      <c r="AG28" s="128">
        <v>0</v>
      </c>
      <c r="AH28" s="49">
        <v>0</v>
      </c>
      <c r="AI28" s="49">
        <v>3</v>
      </c>
      <c r="AJ28" s="49">
        <v>4</v>
      </c>
      <c r="AK28" s="49">
        <v>8</v>
      </c>
      <c r="AL28" s="49">
        <v>4</v>
      </c>
      <c r="AM28" s="49">
        <v>7</v>
      </c>
      <c r="AN28" s="49">
        <v>7</v>
      </c>
      <c r="AO28" s="49">
        <v>0</v>
      </c>
      <c r="AP28" s="50">
        <v>0</v>
      </c>
      <c r="AQ28" s="56">
        <v>164</v>
      </c>
      <c r="AR28" s="57">
        <v>3125</v>
      </c>
      <c r="AS28" s="57">
        <v>2</v>
      </c>
      <c r="AT28" s="57">
        <v>31</v>
      </c>
      <c r="AU28" s="57">
        <v>17</v>
      </c>
      <c r="AV28" s="57">
        <v>10</v>
      </c>
      <c r="AW28" s="58">
        <v>9.6</v>
      </c>
      <c r="AX28" s="58">
        <v>436</v>
      </c>
      <c r="AY28" s="58">
        <v>7.41</v>
      </c>
      <c r="AZ28" s="58">
        <v>54.9</v>
      </c>
      <c r="BA28" s="57">
        <v>0</v>
      </c>
      <c r="BB28" s="57">
        <v>2748</v>
      </c>
      <c r="BC28" s="57">
        <v>0</v>
      </c>
      <c r="BD28" s="57"/>
      <c r="BE28" s="59">
        <v>27</v>
      </c>
      <c r="BF28" s="56">
        <v>23</v>
      </c>
      <c r="BG28" s="57">
        <v>3240</v>
      </c>
      <c r="BH28" s="57">
        <v>0</v>
      </c>
      <c r="BI28" s="57">
        <v>35</v>
      </c>
      <c r="BJ28" s="57">
        <v>3</v>
      </c>
      <c r="BK28" s="57">
        <v>1</v>
      </c>
      <c r="BL28" s="58">
        <v>7.7</v>
      </c>
      <c r="BM28" s="58">
        <v>177.8</v>
      </c>
      <c r="BN28" s="58">
        <v>5.33</v>
      </c>
      <c r="BO28" s="58">
        <v>73.900000000000006</v>
      </c>
      <c r="BP28" s="57">
        <v>0</v>
      </c>
      <c r="BQ28" s="57">
        <v>2824</v>
      </c>
      <c r="BR28" s="57">
        <v>0</v>
      </c>
      <c r="BS28" s="57"/>
      <c r="BT28" s="59">
        <v>30</v>
      </c>
      <c r="BU28" s="56">
        <v>1124</v>
      </c>
      <c r="BV28" s="57">
        <v>3179</v>
      </c>
      <c r="BW28" s="57">
        <v>12</v>
      </c>
      <c r="BX28" s="57">
        <v>28</v>
      </c>
      <c r="BY28" s="57">
        <v>168</v>
      </c>
      <c r="BZ28" s="57">
        <v>39</v>
      </c>
      <c r="CA28" s="58">
        <v>6.7</v>
      </c>
      <c r="CB28" s="58">
        <v>92.3</v>
      </c>
      <c r="CC28" s="58">
        <v>4.05</v>
      </c>
      <c r="CD28" s="58">
        <v>40.5</v>
      </c>
      <c r="CE28" s="57">
        <v>15</v>
      </c>
      <c r="CF28" s="57">
        <v>2245</v>
      </c>
      <c r="CG28" s="57">
        <v>3</v>
      </c>
      <c r="CH28" s="57"/>
      <c r="CI28" s="59">
        <v>21</v>
      </c>
      <c r="CJ28" s="56">
        <v>925</v>
      </c>
      <c r="CK28" s="57">
        <v>2691</v>
      </c>
      <c r="CL28" s="57">
        <v>14</v>
      </c>
      <c r="CM28" s="57">
        <v>26</v>
      </c>
      <c r="CN28" s="57">
        <v>166</v>
      </c>
      <c r="CO28" s="57">
        <v>49</v>
      </c>
      <c r="CP28" s="58">
        <v>5.6</v>
      </c>
      <c r="CQ28" s="58">
        <v>109.5</v>
      </c>
      <c r="CR28" s="58">
        <v>3.68</v>
      </c>
      <c r="CS28" s="58">
        <v>41.1</v>
      </c>
      <c r="CT28" s="57">
        <v>19</v>
      </c>
      <c r="CU28" s="57">
        <v>3487</v>
      </c>
      <c r="CV28" s="57">
        <v>2</v>
      </c>
      <c r="CW28" s="57"/>
      <c r="CX28" s="59">
        <v>29</v>
      </c>
      <c r="CY28" s="56">
        <v>592</v>
      </c>
      <c r="CZ28" s="57">
        <v>2453</v>
      </c>
      <c r="DA28" s="57">
        <v>5</v>
      </c>
      <c r="DB28" s="57">
        <v>27</v>
      </c>
      <c r="DC28" s="57">
        <v>100</v>
      </c>
      <c r="DD28" s="57">
        <v>29</v>
      </c>
      <c r="DE28" s="58">
        <v>5.9</v>
      </c>
      <c r="DF28" s="58">
        <v>131.69999999999999</v>
      </c>
      <c r="DG28" s="58">
        <v>4.46</v>
      </c>
      <c r="DH28" s="58">
        <v>39.9</v>
      </c>
      <c r="DI28" s="57">
        <v>38</v>
      </c>
      <c r="DJ28" s="57">
        <v>3011</v>
      </c>
      <c r="DK28" s="57">
        <v>5</v>
      </c>
      <c r="DL28" s="57"/>
      <c r="DM28" s="59">
        <v>28</v>
      </c>
    </row>
    <row r="29" spans="1:117" ht="15.75" customHeight="1" thickBot="1" x14ac:dyDescent="0.25">
      <c r="A29" s="60">
        <v>27</v>
      </c>
      <c r="B29" s="62" t="s">
        <v>368</v>
      </c>
      <c r="C29" s="134">
        <v>2.0999999999999996</v>
      </c>
      <c r="D29" s="135" t="s">
        <v>559</v>
      </c>
      <c r="E29" s="66">
        <v>6</v>
      </c>
      <c r="F29" s="136">
        <v>36627</v>
      </c>
      <c r="G29" s="137">
        <v>25.479452054794521</v>
      </c>
      <c r="H29" s="68" t="s">
        <v>389</v>
      </c>
      <c r="I29" s="137">
        <v>23.057534246575344</v>
      </c>
      <c r="J29" s="138">
        <v>72</v>
      </c>
      <c r="K29" s="138">
        <v>216</v>
      </c>
      <c r="L29" s="138">
        <v>4.41</v>
      </c>
      <c r="M29" s="69">
        <v>0</v>
      </c>
      <c r="N29" s="140">
        <v>3.4252161148262926E-3</v>
      </c>
      <c r="O29" s="141">
        <v>0</v>
      </c>
      <c r="P29" s="141">
        <v>0.12825672811183556</v>
      </c>
      <c r="Q29" s="141">
        <v>0.10230977318443506</v>
      </c>
      <c r="R29" s="141">
        <v>0.16549324269644738</v>
      </c>
      <c r="S29" s="71">
        <v>0.16549324269644738</v>
      </c>
      <c r="T29" s="71">
        <v>0.12411993202233554</v>
      </c>
      <c r="U29" s="71">
        <v>2.0492430035173575E-2</v>
      </c>
      <c r="V29" s="71">
        <v>2.5622254758418745E-2</v>
      </c>
      <c r="W29" s="71">
        <v>2.5622254758418745E-2</v>
      </c>
      <c r="X29" s="72">
        <v>1.921669106881406E-2</v>
      </c>
      <c r="Y29" s="73">
        <v>22.413698630136988</v>
      </c>
      <c r="Z29" s="172">
        <v>114.21664234234096</v>
      </c>
      <c r="AA29" s="74">
        <v>29.291666666666664</v>
      </c>
      <c r="AB29" s="74">
        <v>0.23622047244094488</v>
      </c>
      <c r="AC29" s="74">
        <v>5.8</v>
      </c>
      <c r="AD29" s="74">
        <v>76.8</v>
      </c>
      <c r="AE29" s="74">
        <v>3.37</v>
      </c>
      <c r="AF29" s="75">
        <v>55.6</v>
      </c>
      <c r="AG29" s="142">
        <v>1</v>
      </c>
      <c r="AH29" s="78">
        <v>1</v>
      </c>
      <c r="AI29" s="78">
        <v>1</v>
      </c>
      <c r="AJ29" s="78">
        <v>10</v>
      </c>
      <c r="AK29" s="78">
        <v>5</v>
      </c>
      <c r="AL29" s="215">
        <v>4</v>
      </c>
      <c r="AM29" s="78">
        <v>2</v>
      </c>
      <c r="AN29" s="78">
        <v>1</v>
      </c>
      <c r="AO29" s="78">
        <v>0</v>
      </c>
      <c r="AP29" s="79">
        <v>0</v>
      </c>
      <c r="AQ29" s="80">
        <v>21</v>
      </c>
      <c r="AR29" s="81">
        <v>2847</v>
      </c>
      <c r="AS29" s="81">
        <v>0</v>
      </c>
      <c r="AT29" s="81">
        <v>28</v>
      </c>
      <c r="AU29" s="81">
        <v>2</v>
      </c>
      <c r="AV29" s="81">
        <v>0</v>
      </c>
      <c r="AW29" s="82">
        <v>10.5</v>
      </c>
      <c r="AX29" s="82">
        <v>0</v>
      </c>
      <c r="AY29" s="82">
        <v>4</v>
      </c>
      <c r="AZ29" s="82">
        <v>85.7</v>
      </c>
      <c r="BA29" s="81">
        <v>0</v>
      </c>
      <c r="BB29" s="81">
        <v>3284</v>
      </c>
      <c r="BC29" s="81">
        <v>0</v>
      </c>
      <c r="BD29" s="81"/>
      <c r="BE29" s="83">
        <v>25</v>
      </c>
      <c r="BF29" s="80">
        <v>0</v>
      </c>
      <c r="BG29" s="81">
        <v>1</v>
      </c>
      <c r="BH29" s="81">
        <v>0</v>
      </c>
      <c r="BI29" s="81">
        <v>1</v>
      </c>
      <c r="BJ29" s="81">
        <v>0</v>
      </c>
      <c r="BK29" s="81">
        <v>0</v>
      </c>
      <c r="BL29" s="82">
        <v>0</v>
      </c>
      <c r="BM29" s="82">
        <v>0</v>
      </c>
      <c r="BN29" s="82">
        <v>0</v>
      </c>
      <c r="BO29" s="82">
        <v>0</v>
      </c>
      <c r="BP29" s="81">
        <v>0</v>
      </c>
      <c r="BQ29" s="81">
        <v>1</v>
      </c>
      <c r="BR29" s="81">
        <v>0</v>
      </c>
      <c r="BS29" s="81"/>
      <c r="BT29" s="83">
        <v>1</v>
      </c>
      <c r="BU29" s="80">
        <v>467</v>
      </c>
      <c r="BV29" s="81">
        <v>1451.7</v>
      </c>
      <c r="BW29" s="81">
        <v>4</v>
      </c>
      <c r="BX29" s="81">
        <v>12.6</v>
      </c>
      <c r="BY29" s="81">
        <v>87</v>
      </c>
      <c r="BZ29" s="81">
        <v>18</v>
      </c>
      <c r="CA29" s="82">
        <v>5.4</v>
      </c>
      <c r="CB29" s="82">
        <v>73.599999999999994</v>
      </c>
      <c r="CC29" s="82">
        <v>3.6</v>
      </c>
      <c r="CD29" s="82">
        <v>44.3</v>
      </c>
      <c r="CE29" s="81">
        <v>11</v>
      </c>
      <c r="CF29" s="81">
        <v>2275.2000000000003</v>
      </c>
      <c r="CG29" s="81">
        <v>1</v>
      </c>
      <c r="CH29" s="81"/>
      <c r="CI29" s="83">
        <v>15</v>
      </c>
      <c r="CJ29" s="80">
        <v>523</v>
      </c>
      <c r="CK29" s="81">
        <v>2497.2999999999997</v>
      </c>
      <c r="CL29" s="81">
        <v>5</v>
      </c>
      <c r="CM29" s="81">
        <v>19.5</v>
      </c>
      <c r="CN29" s="81">
        <v>99</v>
      </c>
      <c r="CO29" s="81">
        <v>18</v>
      </c>
      <c r="CP29" s="82">
        <v>5.3</v>
      </c>
      <c r="CQ29" s="82">
        <v>63.8</v>
      </c>
      <c r="CR29" s="82">
        <v>2.94</v>
      </c>
      <c r="CS29" s="82">
        <v>39.4</v>
      </c>
      <c r="CT29" s="81">
        <v>67</v>
      </c>
      <c r="CU29" s="81">
        <v>3269.5</v>
      </c>
      <c r="CV29" s="81">
        <v>7</v>
      </c>
      <c r="CW29" s="81"/>
      <c r="CX29" s="83">
        <v>18</v>
      </c>
      <c r="CY29" s="80">
        <v>734</v>
      </c>
      <c r="CZ29" s="81">
        <v>1664.3999999999999</v>
      </c>
      <c r="DA29" s="81">
        <v>5</v>
      </c>
      <c r="DB29" s="81">
        <v>18</v>
      </c>
      <c r="DC29" s="81">
        <v>127</v>
      </c>
      <c r="DD29" s="81">
        <v>30</v>
      </c>
      <c r="DE29" s="82">
        <v>5.8</v>
      </c>
      <c r="DF29" s="82">
        <v>76.8</v>
      </c>
      <c r="DG29" s="82">
        <v>3.37</v>
      </c>
      <c r="DH29" s="82">
        <v>55.6</v>
      </c>
      <c r="DI29" s="81">
        <v>84</v>
      </c>
      <c r="DJ29" s="81">
        <v>3278.3999999999996</v>
      </c>
      <c r="DK29" s="81">
        <v>9</v>
      </c>
      <c r="DL29" s="81"/>
      <c r="DM29" s="83">
        <v>27</v>
      </c>
    </row>
    <row r="30" spans="1:117" ht="15.75" customHeight="1" x14ac:dyDescent="0.2"/>
    <row r="31" spans="1:117" ht="15.75" customHeight="1" x14ac:dyDescent="0.2"/>
    <row r="32" spans="1:117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2:DM2" xr:uid="{00000000-0009-0000-0000-00000D000000}">
    <sortState xmlns:xlrd2="http://schemas.microsoft.com/office/spreadsheetml/2017/richdata2" ref="A3:DM29">
      <sortCondition ref="A2"/>
    </sortState>
  </autoFilter>
  <mergeCells count="10">
    <mergeCell ref="BU1:CI1"/>
    <mergeCell ref="CJ1:CX1"/>
    <mergeCell ref="CY1:DM1"/>
    <mergeCell ref="A1:C1"/>
    <mergeCell ref="D1:M1"/>
    <mergeCell ref="N1:X1"/>
    <mergeCell ref="Y1:AF1"/>
    <mergeCell ref="AG1:AP1"/>
    <mergeCell ref="AQ1:BE1"/>
    <mergeCell ref="BF1:BT1"/>
  </mergeCells>
  <conditionalFormatting sqref="B3:B29">
    <cfRule type="expression" dxfId="71" priority="1" stopIfTrue="1">
      <formula>C3&gt;=13</formula>
    </cfRule>
    <cfRule type="expression" dxfId="70" priority="2">
      <formula>AND(C3&gt;=12,C3&lt;13)</formula>
    </cfRule>
    <cfRule type="expression" dxfId="69" priority="3" stopIfTrue="1">
      <formula>AND(C3&gt;=11,C3&lt;12)</formula>
    </cfRule>
    <cfRule type="expression" dxfId="68" priority="4">
      <formula>AND(C3&gt;=9,C3&lt;11)</formula>
    </cfRule>
    <cfRule type="expression" dxfId="67" priority="5">
      <formula>AND(C3&gt;=7,C3&lt;9)</formula>
    </cfRule>
    <cfRule type="expression" dxfId="66" priority="6" stopIfTrue="1">
      <formula>AND(C3&gt;=6,C3&lt;7)</formula>
    </cfRule>
    <cfRule type="expression" dxfId="65" priority="7" stopIfTrue="1">
      <formula>AND(C3&gt;=5,C3&lt;6)</formula>
    </cfRule>
    <cfRule type="expression" dxfId="64" priority="8">
      <formula>C3&lt;5</formula>
    </cfRule>
  </conditionalFormatting>
  <conditionalFormatting sqref="C3:C2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H29">
    <cfRule type="containsText" dxfId="63" priority="10" operator="containsText" text="SR">
      <formula>NOT(ISERROR(SEARCH(("SR"),(H3))))</formula>
    </cfRule>
  </conditionalFormatting>
  <conditionalFormatting sqref="N3:R29">
    <cfRule type="cellIs" dxfId="62" priority="11" stopIfTrue="1" operator="between">
      <formula>0.15</formula>
      <formula>0.199</formula>
    </cfRule>
    <cfRule type="cellIs" dxfId="61" priority="12" operator="equal">
      <formula>0</formula>
    </cfRule>
    <cfRule type="colorScale" priority="13">
      <colorScale>
        <cfvo type="formula" val="0.1499"/>
        <cfvo type="formula" val="0.15"/>
        <cfvo type="formula" val="0.4"/>
        <color rgb="FFFACACA"/>
        <color rgb="FFC0E399"/>
        <color rgb="FF63BE7B"/>
      </colorScale>
    </cfRule>
  </conditionalFormatting>
  <conditionalFormatting sqref="S3:T29">
    <cfRule type="colorScale" priority="14">
      <colorScale>
        <cfvo type="formula" val="0.1499"/>
        <cfvo type="formula" val="0.15"/>
        <cfvo type="formula" val="0.4"/>
        <color rgb="FFFACACA"/>
        <color rgb="FFCEF9B9"/>
        <color rgb="FF00B050"/>
      </colorScale>
    </cfRule>
  </conditionalFormatting>
  <conditionalFormatting sqref="U3:V2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:W2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:X2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AB1000"/>
  <sheetViews>
    <sheetView workbookViewId="0"/>
  </sheetViews>
  <sheetFormatPr baseColWidth="10" defaultColWidth="14.5" defaultRowHeight="15" customHeight="1" x14ac:dyDescent="0.2"/>
  <cols>
    <col min="1" max="1" width="23.6640625" customWidth="1"/>
    <col min="2" max="2" width="9.83203125" customWidth="1"/>
    <col min="3" max="3" width="11" customWidth="1"/>
    <col min="4" max="4" width="10.1640625" customWidth="1"/>
    <col min="5" max="5" width="7.33203125" customWidth="1"/>
    <col min="6" max="10" width="9.83203125" customWidth="1"/>
    <col min="11" max="11" width="11.5" customWidth="1"/>
    <col min="12" max="12" width="15.5" customWidth="1"/>
    <col min="13" max="18" width="7" customWidth="1"/>
    <col min="19" max="19" width="11.5" customWidth="1"/>
    <col min="20" max="20" width="7" customWidth="1"/>
    <col min="21" max="21" width="4.6640625" customWidth="1"/>
    <col min="22" max="22" width="5.6640625" customWidth="1"/>
    <col min="23" max="28" width="11.5" customWidth="1"/>
  </cols>
  <sheetData>
    <row r="2" spans="1:19" x14ac:dyDescent="0.2">
      <c r="A2" s="104" t="s">
        <v>58</v>
      </c>
      <c r="B2" s="104" t="s">
        <v>44</v>
      </c>
      <c r="C2" s="173" t="s">
        <v>176</v>
      </c>
      <c r="D2" s="174" t="s">
        <v>180</v>
      </c>
      <c r="E2" s="174" t="s">
        <v>8</v>
      </c>
      <c r="F2" s="174" t="s">
        <v>10</v>
      </c>
      <c r="G2" s="174" t="s">
        <v>14</v>
      </c>
      <c r="H2" s="174" t="s">
        <v>560</v>
      </c>
      <c r="I2" s="174" t="s">
        <v>561</v>
      </c>
      <c r="J2" s="174" t="s">
        <v>562</v>
      </c>
      <c r="L2" s="104" t="s">
        <v>58</v>
      </c>
      <c r="M2" s="173" t="s">
        <v>20</v>
      </c>
      <c r="N2" s="173" t="s">
        <v>176</v>
      </c>
      <c r="O2" s="173" t="s">
        <v>180</v>
      </c>
      <c r="P2" s="173" t="s">
        <v>8</v>
      </c>
      <c r="Q2" s="173" t="s">
        <v>10</v>
      </c>
      <c r="R2" s="173" t="s">
        <v>378</v>
      </c>
      <c r="S2" s="173" t="s">
        <v>563</v>
      </c>
    </row>
    <row r="3" spans="1:19" x14ac:dyDescent="0.2">
      <c r="A3" s="34" t="s">
        <v>153</v>
      </c>
      <c r="B3" s="42">
        <v>0.28312958435207825</v>
      </c>
      <c r="C3" s="42">
        <v>4.8484848484848485E-2</v>
      </c>
      <c r="D3" s="175">
        <v>0.22950819672131148</v>
      </c>
      <c r="E3" s="175">
        <v>10.199999999999999</v>
      </c>
      <c r="F3" s="175">
        <v>4.82</v>
      </c>
      <c r="G3" s="175" t="e">
        <f>VLOOKUP(A3,Overall!$1:$1048576,33,FALSE)</f>
        <v>#N/A</v>
      </c>
      <c r="H3" s="175">
        <v>8.2714285714285722</v>
      </c>
      <c r="I3" s="176">
        <v>579</v>
      </c>
      <c r="J3" s="176">
        <v>70</v>
      </c>
      <c r="L3" s="7" t="s">
        <v>564</v>
      </c>
      <c r="M3" s="42">
        <f>VLOOKUP($L$3,$A$3:$J$196,2,FALSE)</f>
        <v>0.32976746294365622</v>
      </c>
      <c r="N3" s="42">
        <f>VLOOKUP($L$3,$A$3:$J$196,3,FALSE)</f>
        <v>0.11778391740584558</v>
      </c>
      <c r="O3" s="175">
        <f>VLOOKUP($L$3,$A$3:$J$196,4,FALSE)</f>
        <v>0.25888324873096447</v>
      </c>
      <c r="P3" s="175">
        <f>VLOOKUP($L$3,$A$3:$J$196,5,FALSE)</f>
        <v>5.7</v>
      </c>
      <c r="Q3" s="175">
        <f>VLOOKUP($L$3,$A$3:$J$196,6,FALSE)</f>
        <v>3.81</v>
      </c>
      <c r="R3" s="175" t="e">
        <f>VLOOKUP($L$3,$A$3:$J$196,7,FALSE)</f>
        <v>#N/A</v>
      </c>
      <c r="S3" s="175">
        <f>VLOOKUP($L$3,$A$3:$J$196,8,FALSE)</f>
        <v>6.3537117903930129</v>
      </c>
    </row>
    <row r="4" spans="1:19" x14ac:dyDescent="0.2">
      <c r="A4" s="34" t="s">
        <v>148</v>
      </c>
      <c r="B4" s="42">
        <v>0.27867161716171618</v>
      </c>
      <c r="C4" s="42">
        <v>7.2995015858631621E-2</v>
      </c>
      <c r="D4" s="175">
        <v>0.2709677419354839</v>
      </c>
      <c r="E4" s="175">
        <v>9.1999999999999993</v>
      </c>
      <c r="F4" s="175">
        <v>5.21</v>
      </c>
      <c r="G4" s="175" t="e">
        <f>VLOOKUP(A4,Overall!$1:$1048576,33,FALSE)</f>
        <v>#N/A</v>
      </c>
      <c r="H4" s="175">
        <v>8.1878787878787875</v>
      </c>
      <c r="I4" s="176">
        <v>1351</v>
      </c>
      <c r="J4" s="176">
        <v>165</v>
      </c>
      <c r="L4" s="11"/>
      <c r="M4" s="11" t="str">
        <f>IF(M3&gt;=O23,$L23,(IF(AND(M3&gt;=O24,M3&lt;P24),$L24,IF(AND(M3&gt;=O25,M3&lt;P25),$L25,IF(AND(M3&gt;=O26,M3&lt;P26),$L26,IF(AND(M3&gt;=O27,M3&lt;P27),$L27,IF(AND(M3&gt;=O28,M3&lt;P28),$L28,IF(AND(M3&gt;=O29,M3&lt;P29),$L29,IF(AND(M3&gt;=O30,M3&lt;P30),$L30,IF(AND(M3&gt;=O31,M3&lt;P31),$L31,IF(AND(M3&gt;=O32,M3&lt;P32),$L32,IF(AND(M3&gt;=O33,M3&lt;P33),$L33,IF(AND(M3&gt;=O34,M3&lt;P34),$L34,IF(M3&lt;P35,$L35,))))))))))))))</f>
        <v>A</v>
      </c>
      <c r="N4" s="11" t="str">
        <f>IF(N3&gt;=Q23,$L23,(IF(AND(N3&gt;=Q24,N3&lt;R24),$L24,IF(AND(N3&gt;=Q25,N3&lt;R25),$L25,IF(AND(N3&gt;=Q26,N3&lt;R26),$L26,IF(AND(N3&gt;=Q27,N3&lt;R27),$L27,IF(AND(N3&gt;=Q28,N3&lt;R28),$L28,IF(AND(N3&gt;=Q29,N3&lt;R29),$L29,IF(AND(N3&gt;=Q30,N3&lt;R30),$L30,IF(AND(N3&gt;=Q31,N3&lt;R31),$L31,IF(AND(N3&gt;=Q32,N3&lt;R32),$L32,IF(AND(N3&gt;=Q33,N3&lt;R33),$L33,IF(AND(N3&gt;=Q34,N3&lt;R34),$L34,IF(N3&lt;R35,$L35,))))))))))))))</f>
        <v>A+</v>
      </c>
      <c r="O4" s="11" t="str">
        <f>IF(O3&gt;=S23,$L23,(IF(AND(O3&gt;=S24,O3&lt;T24),$L24,IF(AND(O3&gt;=S25,O3&lt;T25),$L25,IF(AND(O3&gt;=S26,O3&lt;T26),$L26,IF(AND(O3&gt;=S27,O3&lt;T27),$L27,IF(AND(O3&gt;=S28,O3&lt;T28),$L28,IF(AND(O3&gt;=S29,O3&lt;T29),$L29,IF(AND(O3&gt;=S30,O3&lt;T30),$L30,IF(AND(O3&gt;=S31,O3&lt;T31),$L31,IF(AND(O3&gt;=S32,O3&lt;T32),$L32,IF(AND(O3&gt;=S33,O3&lt;T33),$L33,IF(AND(O3&gt;=S34,O3&lt;T34),$L34,IF(O3&lt;T35,$L35,))))))))))))))</f>
        <v>B</v>
      </c>
      <c r="P4" s="11" t="str">
        <f>IF(P3&gt;=U23,$L23,(IF(AND(P3&gt;=U24,P3&lt;V24),$L24,IF(AND(P3&gt;=U25,P3&lt;V25),$L25,IF(AND(P3&gt;=U26,P3&lt;V26),$L26,IF(AND(P3&gt;=U27,P3&lt;V27),$L27,IF(AND(P3&gt;=U28,P3&lt;V28),$L28,IF(AND(P3&gt;=U29,P3&lt;V29),$L29,IF(AND(P3&gt;=U30,P3&lt;V30),$L30,IF(AND(P3&gt;=U31,P3&lt;V31),$L31,IF(AND(P3&gt;=U32,P3&lt;V32),$L32,IF(AND(P3&gt;=U33,P3&lt;V33),$L33,IF(AND(P3&gt;=U34,P3&lt;V34),$L34,IF(P3&lt;V35,$L35,))))))))))))))</f>
        <v>D+</v>
      </c>
      <c r="Q4" s="11" t="str">
        <f>IF(Q3&gt;=W23,$L23,(IF(AND(Q3&gt;=W24,Q3&lt;X24),$L24,IF(AND(Q3&gt;=W25,Q3&lt;X25),$L25,IF(AND(Q3&gt;=W26,Q3&lt;X26),$L26,IF(AND(Q3&gt;=W27,Q3&lt;X27),$L27,IF(AND(Q3&gt;=W28,Q3&lt;X28),$L28,IF(AND(Q3&gt;=W29,Q3&lt;X29),$L29,IF(AND(Q3&gt;=W30,Q3&lt;X30),$L30,IF(AND(Q3&gt;=W31,Q3&lt;X31),$L31,IF(AND(Q3&gt;=W32,Q3&lt;X32),$L32,IF(AND(Q3&gt;=W33,Q3&lt;X33),$L33,IF(AND(Q3&gt;=W34,Q3&lt;X34),$L34,IF(Q3&lt;X35,$L35,))))))))))))))</f>
        <v>C+</v>
      </c>
      <c r="R4" s="11" t="e">
        <f>IF(R3&gt;=AA23,$L23,(IF(AND(R3&gt;=AA24,R3&lt;AB24),$L24,IF(AND(R3&gt;=AA25,R3&lt;AB25),$L25,IF(AND(R3&gt;=AA26,R3&lt;AB26),$L26,IF(AND(R3&gt;=AA27,R3&lt;AB27),$L27,IF(AND(R3&gt;=AA28,R3&lt;AB28),$L28,IF(AND(R3&gt;=AA29,R3&lt;AB29),$L29,IF(AND(R3&gt;=AA30,R3&lt;AB30),$L30,IF(AND(R3&gt;=AA31,R3&lt;AB31),$L31,IF(AND(R3&gt;=AA32,R3&lt;AB32),$L32,IF(AND(R3&gt;=AA33,R3&lt;AB33),$L33,IF(AND(R3&gt;=AA34,R3&lt;AB34),$L34,IF(R3&lt;AB35,$L35,))))))))))))))</f>
        <v>#N/A</v>
      </c>
      <c r="S4" s="11" t="str">
        <f>IF(S3&gt;=Y23,$L23,(IF(AND(S3&gt;=Y24,S3&lt;Z24),$L24,IF(AND(S3&gt;=Y25,S3&lt;Z25),$L25,IF(AND(S3&gt;=Y26,S3&lt;Z26),$L26,IF(AND(S3&gt;=Y27,S3&lt;Z27),$L27,IF(AND(S3&gt;=Y28,S3&lt;Z28),$L28,IF(AND(S3&gt;=Y29,S3&lt;Z29),$L29,IF(AND(S3&gt;=Y30,S3&lt;Z30),$L30,IF(AND(S3&gt;=Y31,S3&lt;Z31),$L31,IF(AND(S3&gt;=Y32,S3&lt;Z32),$L32,IF(AND(S3&gt;=Y33,S3&lt;Z33),$L33,IF(AND(S3&gt;=Y34,S3&lt;Z34),$L34,IF(S3&lt;Z35,$L35,))))))))))))))</f>
        <v>B-</v>
      </c>
    </row>
    <row r="5" spans="1:19" x14ac:dyDescent="0.2">
      <c r="A5" s="34" t="s">
        <v>76</v>
      </c>
      <c r="B5" s="42">
        <v>0.35470737913486006</v>
      </c>
      <c r="C5" s="42">
        <v>2.2321428571428572E-2</v>
      </c>
      <c r="D5" s="175">
        <v>0.19814241486068113</v>
      </c>
      <c r="E5" s="175">
        <v>7.2</v>
      </c>
      <c r="F5" s="175">
        <v>3.54</v>
      </c>
      <c r="G5" s="175" t="e">
        <f>VLOOKUP(A5,Overall!$1:$1048576,33,FALSE)</f>
        <v>#N/A</v>
      </c>
      <c r="H5" s="175">
        <v>6.336363636363636</v>
      </c>
      <c r="I5" s="176">
        <v>2091</v>
      </c>
      <c r="J5" s="176">
        <v>330</v>
      </c>
      <c r="L5" s="11"/>
      <c r="M5" s="11"/>
      <c r="N5" s="11"/>
      <c r="O5" s="11"/>
      <c r="P5" s="11"/>
      <c r="Q5" s="11"/>
      <c r="R5" s="11"/>
      <c r="S5" s="11"/>
    </row>
    <row r="6" spans="1:19" x14ac:dyDescent="0.2">
      <c r="A6" s="34" t="s">
        <v>143</v>
      </c>
      <c r="B6" s="42">
        <v>0.16097023153252479</v>
      </c>
      <c r="C6" s="42">
        <v>5.4805194805194808E-2</v>
      </c>
      <c r="D6" s="175">
        <v>0.35643564356435642</v>
      </c>
      <c r="E6" s="175">
        <v>8</v>
      </c>
      <c r="F6" s="175">
        <v>5.86</v>
      </c>
      <c r="G6" s="175" t="e">
        <f>VLOOKUP(A6,Overall!$1:$1048576,33,FALSE)</f>
        <v>#N/A</v>
      </c>
      <c r="H6" s="175">
        <v>7.3613445378151257</v>
      </c>
      <c r="I6" s="176">
        <v>876</v>
      </c>
      <c r="J6" s="176">
        <v>119</v>
      </c>
      <c r="L6" s="11"/>
      <c r="M6" s="11"/>
      <c r="N6" s="11"/>
      <c r="O6" s="11"/>
      <c r="P6" s="11"/>
      <c r="Q6" s="11"/>
      <c r="R6" s="11"/>
      <c r="S6" s="11"/>
    </row>
    <row r="7" spans="1:19" x14ac:dyDescent="0.2">
      <c r="A7" s="34" t="s">
        <v>123</v>
      </c>
      <c r="B7" s="42">
        <v>0.16818090046436504</v>
      </c>
      <c r="C7" s="42">
        <v>2.3704225352112678E-2</v>
      </c>
      <c r="D7" s="175">
        <v>0.26060606060606062</v>
      </c>
      <c r="E7" s="175">
        <v>8.1</v>
      </c>
      <c r="F7" s="175">
        <v>4.3</v>
      </c>
      <c r="G7" s="175" t="e">
        <f>VLOOKUP(A7,Overall!$1:$1048576,33,FALSE)</f>
        <v>#N/A</v>
      </c>
      <c r="H7" s="175">
        <v>4.871345029239766</v>
      </c>
      <c r="I7" s="176">
        <v>833</v>
      </c>
      <c r="J7" s="176">
        <v>171</v>
      </c>
      <c r="L7" s="11"/>
      <c r="M7" s="11"/>
      <c r="N7" s="11"/>
      <c r="O7" s="11"/>
      <c r="P7" s="11"/>
      <c r="Q7" s="11"/>
      <c r="R7" s="11"/>
      <c r="S7" s="11"/>
    </row>
    <row r="8" spans="1:19" x14ac:dyDescent="0.2">
      <c r="A8" s="34" t="s">
        <v>298</v>
      </c>
      <c r="B8" s="42">
        <v>0.26404980114127613</v>
      </c>
      <c r="C8" s="42">
        <v>4.5602605863192182E-2</v>
      </c>
      <c r="D8" s="175">
        <v>0.24299065420560748</v>
      </c>
      <c r="E8" s="175">
        <v>6.6</v>
      </c>
      <c r="F8" s="175">
        <v>4.63</v>
      </c>
      <c r="G8" s="175" t="e">
        <f>VLOOKUP(A8,Overall!$1:$1048576,33,FALSE)</f>
        <v>#N/A</v>
      </c>
      <c r="H8" s="175">
        <v>6.4978723404255323</v>
      </c>
      <c r="I8" s="176">
        <v>1527</v>
      </c>
      <c r="J8" s="176">
        <v>235</v>
      </c>
      <c r="L8" s="11"/>
      <c r="M8" s="11"/>
      <c r="N8" s="11"/>
      <c r="O8" s="11"/>
      <c r="P8" s="11"/>
      <c r="Q8" s="11"/>
      <c r="R8" s="11"/>
      <c r="S8" s="11"/>
    </row>
    <row r="9" spans="1:19" x14ac:dyDescent="0.2">
      <c r="A9" s="34" t="s">
        <v>135</v>
      </c>
      <c r="B9" s="42">
        <v>0.27737467018469658</v>
      </c>
      <c r="C9" s="42">
        <v>4.5573654390934845E-2</v>
      </c>
      <c r="D9" s="175">
        <v>0.1953125</v>
      </c>
      <c r="E9" s="175">
        <v>6.7</v>
      </c>
      <c r="F9" s="175">
        <v>3.9</v>
      </c>
      <c r="G9" s="175" t="e">
        <f>VLOOKUP(A9,Overall!$1:$1048576,33,FALSE)</f>
        <v>#N/A</v>
      </c>
      <c r="H9" s="175">
        <v>6.0722021660649821</v>
      </c>
      <c r="I9" s="176">
        <v>1682</v>
      </c>
      <c r="J9" s="176">
        <v>277</v>
      </c>
      <c r="L9" s="11"/>
      <c r="M9" s="11"/>
      <c r="N9" s="11"/>
      <c r="O9" s="11"/>
      <c r="P9" s="11"/>
      <c r="Q9" s="11"/>
      <c r="R9" s="11"/>
      <c r="S9" s="11"/>
    </row>
    <row r="10" spans="1:19" x14ac:dyDescent="0.2">
      <c r="A10" s="34" t="s">
        <v>266</v>
      </c>
      <c r="B10" s="42">
        <v>0.17956806600339723</v>
      </c>
      <c r="C10" s="42">
        <v>6.0344827586206899E-2</v>
      </c>
      <c r="D10" s="175">
        <v>0.24561403508771928</v>
      </c>
      <c r="E10" s="175">
        <v>7.9</v>
      </c>
      <c r="F10" s="175">
        <v>3.91</v>
      </c>
      <c r="G10" s="175" t="e">
        <f>VLOOKUP(A10,Overall!$1:$1048576,33,FALSE)</f>
        <v>#N/A</v>
      </c>
      <c r="H10" s="175">
        <v>5.6488549618320612</v>
      </c>
      <c r="I10" s="176">
        <v>740</v>
      </c>
      <c r="J10" s="176">
        <v>131</v>
      </c>
      <c r="L10" s="11"/>
      <c r="M10" s="11"/>
      <c r="N10" s="11"/>
      <c r="O10" s="11"/>
      <c r="P10" s="11"/>
      <c r="Q10" s="11"/>
      <c r="R10" s="11"/>
      <c r="S10" s="11"/>
    </row>
    <row r="11" spans="1:19" x14ac:dyDescent="0.2">
      <c r="A11" s="34" t="s">
        <v>66</v>
      </c>
      <c r="B11" s="42">
        <v>0.36961900049480456</v>
      </c>
      <c r="C11" s="42">
        <v>0.1253131371977862</v>
      </c>
      <c r="D11" s="175">
        <v>0.31597222222222221</v>
      </c>
      <c r="E11" s="175">
        <v>7.4</v>
      </c>
      <c r="F11" s="175">
        <v>4.1900000000000004</v>
      </c>
      <c r="G11" s="175" t="e">
        <f>VLOOKUP(A11,Overall!$1:$1048576,33,FALSE)</f>
        <v>#N/A</v>
      </c>
      <c r="H11" s="175">
        <v>6.981308411214953</v>
      </c>
      <c r="I11" s="176">
        <v>2241</v>
      </c>
      <c r="J11" s="176">
        <v>321</v>
      </c>
      <c r="L11" s="11"/>
      <c r="M11" s="11"/>
      <c r="N11" s="11"/>
      <c r="O11" s="11"/>
      <c r="P11" s="11"/>
      <c r="Q11" s="11"/>
      <c r="R11" s="11"/>
      <c r="S11" s="11"/>
    </row>
    <row r="12" spans="1:19" x14ac:dyDescent="0.2">
      <c r="A12" s="34" t="s">
        <v>142</v>
      </c>
      <c r="B12" s="42">
        <v>0.23452768729641693</v>
      </c>
      <c r="C12" s="42">
        <v>6.6436273154547962E-2</v>
      </c>
      <c r="D12" s="175">
        <v>0.29936305732484075</v>
      </c>
      <c r="E12" s="175">
        <v>7.9</v>
      </c>
      <c r="F12" s="175">
        <v>4.47</v>
      </c>
      <c r="G12" s="175" t="e">
        <f>VLOOKUP(A12,Overall!$1:$1048576,33,FALSE)</f>
        <v>#N/A</v>
      </c>
      <c r="H12" s="175">
        <v>8.3076923076923084</v>
      </c>
      <c r="I12" s="176">
        <v>1512</v>
      </c>
      <c r="J12" s="176">
        <v>182</v>
      </c>
      <c r="L12" s="11"/>
      <c r="M12" s="11"/>
      <c r="N12" s="11"/>
      <c r="O12" s="11"/>
      <c r="P12" s="11"/>
      <c r="Q12" s="11"/>
      <c r="R12" s="11"/>
      <c r="S12" s="11"/>
    </row>
    <row r="13" spans="1:19" x14ac:dyDescent="0.2">
      <c r="A13" s="34" t="s">
        <v>92</v>
      </c>
      <c r="B13" s="42">
        <v>0.45809304113802385</v>
      </c>
      <c r="C13" s="42">
        <v>4.3671874999999999E-2</v>
      </c>
      <c r="D13" s="175">
        <v>0.29757785467128028</v>
      </c>
      <c r="E13" s="175">
        <v>7.8</v>
      </c>
      <c r="F13" s="175">
        <v>4.78</v>
      </c>
      <c r="G13" s="175" t="e">
        <f>VLOOKUP(A13,Overall!$1:$1048576,33,FALSE)</f>
        <v>#N/A</v>
      </c>
      <c r="H13" s="175">
        <v>7.7370129870129869</v>
      </c>
      <c r="I13" s="176">
        <v>2383</v>
      </c>
      <c r="J13" s="176">
        <v>308</v>
      </c>
      <c r="L13" s="11"/>
      <c r="M13" s="11"/>
      <c r="N13" s="11"/>
      <c r="O13" s="11"/>
      <c r="P13" s="11"/>
      <c r="Q13" s="11"/>
      <c r="R13" s="11"/>
      <c r="S13" s="11"/>
    </row>
    <row r="14" spans="1:19" x14ac:dyDescent="0.2">
      <c r="A14" s="34" t="s">
        <v>138</v>
      </c>
      <c r="B14" s="42">
        <v>0.13876843018213356</v>
      </c>
      <c r="C14" s="42">
        <v>1.732045866022933E-2</v>
      </c>
      <c r="D14" s="175">
        <v>0.19469026548672566</v>
      </c>
      <c r="E14" s="175">
        <v>9.3000000000000007</v>
      </c>
      <c r="F14" s="175">
        <v>5.03</v>
      </c>
      <c r="G14" s="175" t="e">
        <f>VLOOKUP(A14,Overall!$1:$1048576,33,FALSE)</f>
        <v>#N/A</v>
      </c>
      <c r="H14" s="175">
        <v>7.68</v>
      </c>
      <c r="I14" s="176">
        <v>960</v>
      </c>
      <c r="J14" s="176">
        <v>125</v>
      </c>
      <c r="L14" s="11"/>
      <c r="M14" s="11"/>
      <c r="N14" s="11"/>
      <c r="O14" s="11"/>
      <c r="P14" s="11"/>
      <c r="Q14" s="11"/>
      <c r="R14" s="11"/>
      <c r="S14" s="11"/>
    </row>
    <row r="15" spans="1:19" x14ac:dyDescent="0.2">
      <c r="A15" s="34" t="s">
        <v>238</v>
      </c>
      <c r="B15" s="42">
        <v>0.28865979381443296</v>
      </c>
      <c r="C15" s="42">
        <v>0.15320158102766798</v>
      </c>
      <c r="D15" s="175">
        <v>0.24043715846994534</v>
      </c>
      <c r="E15" s="175">
        <v>10</v>
      </c>
      <c r="F15" s="175">
        <v>4.17</v>
      </c>
      <c r="G15" s="175" t="e">
        <f>VLOOKUP(A15,Overall!$1:$1048576,33,FALSE)</f>
        <v>#N/A</v>
      </c>
      <c r="H15" s="175">
        <v>6.4424778761061949</v>
      </c>
      <c r="I15" s="176">
        <v>1456</v>
      </c>
      <c r="J15" s="176">
        <v>226</v>
      </c>
      <c r="L15" s="11"/>
      <c r="M15" s="11"/>
      <c r="N15" s="11"/>
      <c r="O15" s="11"/>
      <c r="P15" s="11"/>
      <c r="Q15" s="11"/>
      <c r="R15" s="11"/>
      <c r="S15" s="11"/>
    </row>
    <row r="16" spans="1:19" x14ac:dyDescent="0.2">
      <c r="A16" s="34" t="s">
        <v>245</v>
      </c>
      <c r="B16" s="42">
        <v>0.22197802197802197</v>
      </c>
      <c r="C16" s="42">
        <v>2.6591951095262356E-2</v>
      </c>
      <c r="D16" s="175">
        <v>0.3125</v>
      </c>
      <c r="E16" s="175">
        <v>7.5</v>
      </c>
      <c r="F16" s="175">
        <v>5.0599999999999996</v>
      </c>
      <c r="G16" s="175" t="e">
        <f>VLOOKUP(A16,Overall!$1:$1048576,33,FALSE)</f>
        <v>#N/A</v>
      </c>
      <c r="H16" s="175">
        <v>6.3125</v>
      </c>
      <c r="I16" s="176">
        <v>1515</v>
      </c>
      <c r="J16" s="176">
        <v>240</v>
      </c>
      <c r="L16" s="11"/>
      <c r="M16" s="11"/>
      <c r="N16" s="11"/>
      <c r="O16" s="11"/>
      <c r="P16" s="11"/>
      <c r="Q16" s="11"/>
      <c r="R16" s="11"/>
      <c r="S16" s="11"/>
    </row>
    <row r="17" spans="1:28" x14ac:dyDescent="0.2">
      <c r="A17" s="34" t="s">
        <v>110</v>
      </c>
      <c r="B17" s="42">
        <v>0.1388585472419443</v>
      </c>
      <c r="C17" s="42">
        <v>9.4155653450807633E-2</v>
      </c>
      <c r="D17" s="175">
        <v>0.24050632911392406</v>
      </c>
      <c r="E17" s="175">
        <v>7.7</v>
      </c>
      <c r="F17" s="175">
        <v>4.97</v>
      </c>
      <c r="G17" s="175" t="e">
        <f>VLOOKUP(A17,Overall!$1:$1048576,33,FALSE)</f>
        <v>#N/A</v>
      </c>
      <c r="H17" s="175">
        <v>11.426966292134832</v>
      </c>
      <c r="I17" s="176">
        <v>1017</v>
      </c>
      <c r="J17" s="176">
        <v>89</v>
      </c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</row>
    <row r="18" spans="1:28" x14ac:dyDescent="0.2">
      <c r="A18" s="34" t="s">
        <v>109</v>
      </c>
      <c r="B18" s="42">
        <v>0.30092845439650462</v>
      </c>
      <c r="C18" s="42">
        <v>6.0646108663729797E-2</v>
      </c>
      <c r="D18" s="175">
        <v>0.26635514018691586</v>
      </c>
      <c r="E18" s="175">
        <v>8.9</v>
      </c>
      <c r="F18" s="175">
        <v>5.6</v>
      </c>
      <c r="G18" s="175" t="e">
        <f>VLOOKUP(A18,Overall!$1:$1048576,33,FALSE)</f>
        <v>#N/A</v>
      </c>
      <c r="H18" s="175">
        <v>10.15668202764977</v>
      </c>
      <c r="I18" s="176">
        <v>2204</v>
      </c>
      <c r="J18" s="176">
        <v>217</v>
      </c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</row>
    <row r="19" spans="1:28" x14ac:dyDescent="0.2">
      <c r="A19" s="34" t="s">
        <v>133</v>
      </c>
      <c r="B19" s="42">
        <v>0.36910112359550562</v>
      </c>
      <c r="C19" s="42">
        <v>0.13856589147286821</v>
      </c>
      <c r="D19" s="175">
        <v>0.27638190954773867</v>
      </c>
      <c r="E19" s="175">
        <v>5.2</v>
      </c>
      <c r="F19" s="175">
        <v>3.73</v>
      </c>
      <c r="G19" s="175" t="e">
        <f>VLOOKUP(A19,Overall!$1:$1048576,33,FALSE)</f>
        <v>#N/A</v>
      </c>
      <c r="H19" s="175">
        <v>5.7631578947368425</v>
      </c>
      <c r="I19" s="176">
        <v>1314</v>
      </c>
      <c r="J19" s="176">
        <v>228</v>
      </c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</row>
    <row r="20" spans="1:28" x14ac:dyDescent="0.2">
      <c r="A20" s="34" t="s">
        <v>90</v>
      </c>
      <c r="B20" s="42">
        <v>0.25804640718562877</v>
      </c>
      <c r="C20" s="42">
        <v>4.6880907372400756E-2</v>
      </c>
      <c r="D20" s="175">
        <v>0.18565400843881857</v>
      </c>
      <c r="E20" s="175">
        <v>7.6</v>
      </c>
      <c r="F20" s="175">
        <v>4.13</v>
      </c>
      <c r="G20" s="175" t="e">
        <f>VLOOKUP(A20,Overall!$1:$1048576,33,FALSE)</f>
        <v>#N/A</v>
      </c>
      <c r="H20" s="175">
        <v>5.4078431372549023</v>
      </c>
      <c r="I20" s="176">
        <v>1379</v>
      </c>
      <c r="J20" s="176">
        <v>255</v>
      </c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</row>
    <row r="21" spans="1:28" ht="15.75" customHeight="1" x14ac:dyDescent="0.2">
      <c r="A21" s="34" t="s">
        <v>112</v>
      </c>
      <c r="B21" s="42">
        <v>0.11824096926183532</v>
      </c>
      <c r="C21" s="42">
        <v>1.2979351032448377E-2</v>
      </c>
      <c r="D21" s="175">
        <v>0.21212121212121213</v>
      </c>
      <c r="E21" s="175">
        <v>7.7</v>
      </c>
      <c r="F21" s="175">
        <v>5.08</v>
      </c>
      <c r="G21" s="175" t="e">
        <f>VLOOKUP(A21,Overall!$1:$1048576,33,FALSE)</f>
        <v>#N/A</v>
      </c>
      <c r="H21" s="175">
        <v>7.9848484848484844</v>
      </c>
      <c r="I21" s="176">
        <v>527</v>
      </c>
      <c r="J21" s="176">
        <v>66</v>
      </c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</row>
    <row r="22" spans="1:28" ht="15.75" customHeight="1" x14ac:dyDescent="0.2">
      <c r="A22" s="34" t="s">
        <v>137</v>
      </c>
      <c r="B22" s="42">
        <v>0.29494576505885067</v>
      </c>
      <c r="C22" s="42">
        <v>4.1363462274990423E-2</v>
      </c>
      <c r="D22" s="175">
        <v>0.32704402515723269</v>
      </c>
      <c r="E22" s="175">
        <v>6.9</v>
      </c>
      <c r="F22" s="175">
        <v>3.78</v>
      </c>
      <c r="G22" s="175" t="e">
        <f>VLOOKUP(A22,Overall!$1:$1048576,33,FALSE)</f>
        <v>#N/A</v>
      </c>
      <c r="H22" s="175">
        <v>6.5204081632653059</v>
      </c>
      <c r="I22" s="176">
        <v>1278</v>
      </c>
      <c r="J22" s="176">
        <v>196</v>
      </c>
      <c r="L22" s="34" t="s">
        <v>565</v>
      </c>
      <c r="M22" s="34" t="s">
        <v>566</v>
      </c>
      <c r="N22" s="34" t="s">
        <v>567</v>
      </c>
      <c r="O22" s="262" t="s">
        <v>568</v>
      </c>
      <c r="P22" s="244"/>
      <c r="Q22" s="7" t="s">
        <v>569</v>
      </c>
      <c r="S22" s="7" t="s">
        <v>570</v>
      </c>
      <c r="U22" s="7" t="s">
        <v>571</v>
      </c>
      <c r="W22" s="7" t="s">
        <v>572</v>
      </c>
      <c r="Y22" s="7" t="s">
        <v>573</v>
      </c>
      <c r="AA22" s="7" t="s">
        <v>574</v>
      </c>
    </row>
    <row r="23" spans="1:28" ht="15.75" customHeight="1" x14ac:dyDescent="0.2">
      <c r="A23" s="34" t="s">
        <v>313</v>
      </c>
      <c r="B23" s="42">
        <v>0.24696217696388842</v>
      </c>
      <c r="C23" s="42">
        <v>6.2939001848428849E-2</v>
      </c>
      <c r="D23" s="175">
        <v>0.33203125</v>
      </c>
      <c r="E23" s="175">
        <v>5.9</v>
      </c>
      <c r="F23" s="175">
        <v>4</v>
      </c>
      <c r="G23" s="175" t="e">
        <f>VLOOKUP(A23,Overall!$1:$1048576,33,FALSE)</f>
        <v>#N/A</v>
      </c>
      <c r="H23" s="175">
        <v>5.1170212765957448</v>
      </c>
      <c r="I23" s="176">
        <v>1443</v>
      </c>
      <c r="J23" s="176">
        <v>282</v>
      </c>
      <c r="L23" s="177" t="s">
        <v>575</v>
      </c>
      <c r="M23" s="178">
        <v>0.92500000000000004</v>
      </c>
      <c r="N23" s="178">
        <v>1</v>
      </c>
      <c r="O23" s="42">
        <f t="shared" ref="O23:P23" si="0">PERCENTILE($B$3:$B$196,M23)</f>
        <v>0.34295935856450327</v>
      </c>
      <c r="P23" s="42">
        <f t="shared" si="0"/>
        <v>0.45809304113802385</v>
      </c>
      <c r="Q23" s="42">
        <f t="shared" ref="Q23:R23" si="1">PERCENTILE($C$3:$C$196,M23)</f>
        <v>0.11598193856058682</v>
      </c>
      <c r="R23" s="42">
        <f t="shared" si="1"/>
        <v>0.21236133122028525</v>
      </c>
      <c r="S23" s="179">
        <f t="shared" ref="S23:T23" si="2">PERCENTILE($D$3:$D$414,M23)</f>
        <v>0.34322678221059516</v>
      </c>
      <c r="T23" s="179">
        <f t="shared" si="2"/>
        <v>0.48936170212765956</v>
      </c>
      <c r="U23" s="179">
        <f t="shared" ref="U23:V23" si="3">PERCENTILE($E$3:$E$414,M23)</f>
        <v>7.8</v>
      </c>
      <c r="V23" s="179">
        <f t="shared" si="3"/>
        <v>10.199999999999999</v>
      </c>
      <c r="W23" s="179">
        <f t="shared" ref="W23:X23" si="4">PERCENTILE($F$3:$F$414,M23)</f>
        <v>4.9252500000000001</v>
      </c>
      <c r="X23" s="179">
        <f t="shared" si="4"/>
        <v>5.86</v>
      </c>
      <c r="Y23" s="179">
        <f t="shared" ref="Y23:Z23" si="5">PERCENTILE($H$3:$H$414,M23)</f>
        <v>7.7745928875811696</v>
      </c>
      <c r="Z23" s="179">
        <f t="shared" si="5"/>
        <v>11.426966292134832</v>
      </c>
      <c r="AA23" s="179" t="e">
        <f t="shared" ref="AA23:AB23" si="6">PERCENTILE($G$3:$G$414,M23)</f>
        <v>#N/A</v>
      </c>
      <c r="AB23" s="179" t="e">
        <f t="shared" si="6"/>
        <v>#N/A</v>
      </c>
    </row>
    <row r="24" spans="1:28" ht="15.75" customHeight="1" x14ac:dyDescent="0.2">
      <c r="A24" s="34" t="s">
        <v>315</v>
      </c>
      <c r="B24" s="42">
        <v>0.2839506172839506</v>
      </c>
      <c r="C24" s="42">
        <v>4.6345338983050849E-2</v>
      </c>
      <c r="D24" s="175">
        <v>0.37313432835820898</v>
      </c>
      <c r="E24" s="175">
        <v>7.2</v>
      </c>
      <c r="F24" s="175">
        <v>3.6</v>
      </c>
      <c r="G24" s="175" t="e">
        <f>VLOOKUP(A24,Overall!$1:$1048576,33,FALSE)</f>
        <v>#N/A</v>
      </c>
      <c r="H24" s="175">
        <v>7.4649122807017543</v>
      </c>
      <c r="I24" s="176">
        <v>1702</v>
      </c>
      <c r="J24" s="176">
        <v>228</v>
      </c>
      <c r="L24" s="177" t="s">
        <v>576</v>
      </c>
      <c r="M24" s="178">
        <v>0.84615384615384603</v>
      </c>
      <c r="N24" s="178">
        <v>0.92307692307692302</v>
      </c>
      <c r="O24" s="42">
        <f t="shared" ref="O24:P24" si="7">PERCENTILE($B$3:$B$196,M24)</f>
        <v>0.31209067387036638</v>
      </c>
      <c r="P24" s="42">
        <f t="shared" si="7"/>
        <v>0.34117695090021327</v>
      </c>
      <c r="Q24" s="42">
        <f t="shared" ref="Q24:R24" si="8">PERCENTILE($C$3:$C$196,M24)</f>
        <v>8.6966444576324714E-2</v>
      </c>
      <c r="R24" s="42">
        <f t="shared" si="8"/>
        <v>0.11508778487879216</v>
      </c>
      <c r="S24" s="179">
        <f t="shared" ref="S24:T24" si="9">PERCENTILE($D$3:$D$414,M24)</f>
        <v>0.31739944216089244</v>
      </c>
      <c r="T24" s="179">
        <f t="shared" si="9"/>
        <v>0.34158826784726054</v>
      </c>
      <c r="U24" s="179">
        <f t="shared" ref="U24:V24" si="10">PERCENTILE($E$3:$E$414,M24)</f>
        <v>7.3</v>
      </c>
      <c r="V24" s="179">
        <f t="shared" si="10"/>
        <v>7.8</v>
      </c>
      <c r="W24" s="179">
        <f t="shared" ref="W24:X24" si="11">PERCENTILE($F$3:$F$414,M24)</f>
        <v>4.57</v>
      </c>
      <c r="X24" s="179">
        <f t="shared" si="11"/>
        <v>4.9215384615384616</v>
      </c>
      <c r="Y24" s="179">
        <f t="shared" ref="Y24:Z24" si="12">PERCENTILE($H$3:$H$414,M24)</f>
        <v>7.1204670329670323</v>
      </c>
      <c r="Z24" s="179">
        <f t="shared" si="12"/>
        <v>7.7480254120879106</v>
      </c>
      <c r="AA24" s="179" t="e">
        <f t="shared" ref="AA24:AB24" si="13">PERCENTILE($G$3:$G$414,M24)</f>
        <v>#N/A</v>
      </c>
      <c r="AB24" s="179" t="e">
        <f t="shared" si="13"/>
        <v>#N/A</v>
      </c>
    </row>
    <row r="25" spans="1:28" ht="15.75" customHeight="1" x14ac:dyDescent="0.2">
      <c r="A25" s="34" t="s">
        <v>100</v>
      </c>
      <c r="B25" s="42">
        <v>9.879839786381843E-2</v>
      </c>
      <c r="C25" s="42">
        <v>2.5975261655566129E-2</v>
      </c>
      <c r="D25" s="175">
        <v>0.125</v>
      </c>
      <c r="E25" s="175">
        <v>7.6</v>
      </c>
      <c r="F25" s="175">
        <v>3.43</v>
      </c>
      <c r="G25" s="175" t="e">
        <f>VLOOKUP(A25,Overall!$1:$1048576,33,FALSE)</f>
        <v>#N/A</v>
      </c>
      <c r="H25" s="175">
        <v>8.2222222222222214</v>
      </c>
      <c r="I25" s="176">
        <v>518</v>
      </c>
      <c r="J25" s="176">
        <v>63</v>
      </c>
      <c r="L25" s="177" t="s">
        <v>577</v>
      </c>
      <c r="M25" s="178">
        <v>0.76923076923076905</v>
      </c>
      <c r="N25" s="178">
        <v>0.84615384615384603</v>
      </c>
      <c r="O25" s="42">
        <f t="shared" ref="O25:P25" si="14">PERCENTILE($B$3:$B$196,M25)</f>
        <v>0.29025829676313797</v>
      </c>
      <c r="P25" s="42">
        <f t="shared" si="14"/>
        <v>0.31209067387036638</v>
      </c>
      <c r="Q25" s="42">
        <f t="shared" ref="Q25:R25" si="15">PERCENTILE($C$3:$C$196,M25)</f>
        <v>7.6366881593555855E-2</v>
      </c>
      <c r="R25" s="42">
        <f t="shared" si="15"/>
        <v>8.6966444576324714E-2</v>
      </c>
      <c r="S25" s="179">
        <f t="shared" ref="S25:T25" si="16">PERCENTILE($D$3:$D$414,M25)</f>
        <v>0.29096826382226232</v>
      </c>
      <c r="T25" s="179">
        <f t="shared" si="16"/>
        <v>0.31739944216089244</v>
      </c>
      <c r="U25" s="179">
        <f t="shared" ref="U25:V25" si="17">PERCENTILE($E$3:$E$414,M25)</f>
        <v>6.9</v>
      </c>
      <c r="V25" s="179">
        <f t="shared" si="17"/>
        <v>7.3</v>
      </c>
      <c r="W25" s="179">
        <f t="shared" ref="W25:X25" si="18">PERCENTILE($F$3:$F$414,M25)</f>
        <v>4.28</v>
      </c>
      <c r="X25" s="179">
        <f t="shared" si="18"/>
        <v>4.57</v>
      </c>
      <c r="Y25" s="179">
        <f t="shared" ref="Y25:Z25" si="19">PERCENTILE($H$3:$H$414,M25)</f>
        <v>6.8910817418417603</v>
      </c>
      <c r="Z25" s="179">
        <f t="shared" si="19"/>
        <v>7.1204670329670323</v>
      </c>
      <c r="AA25" s="179" t="e">
        <f t="shared" ref="AA25:AB25" si="20">PERCENTILE($G$3:$G$414,M25)</f>
        <v>#N/A</v>
      </c>
      <c r="AB25" s="179" t="e">
        <f t="shared" si="20"/>
        <v>#N/A</v>
      </c>
    </row>
    <row r="26" spans="1:28" ht="15.75" customHeight="1" x14ac:dyDescent="0.2">
      <c r="A26" s="34" t="s">
        <v>239</v>
      </c>
      <c r="B26" s="42">
        <v>0.2037483474609223</v>
      </c>
      <c r="C26" s="42">
        <v>5.3835653835653842E-2</v>
      </c>
      <c r="D26" s="175">
        <v>0.40869565217391307</v>
      </c>
      <c r="E26" s="175">
        <v>7.1</v>
      </c>
      <c r="F26" s="175">
        <v>4.05</v>
      </c>
      <c r="G26" s="175" t="e">
        <f>VLOOKUP(A26,Overall!$1:$1048576,33,FALSE)</f>
        <v>#N/A</v>
      </c>
      <c r="H26" s="175">
        <v>8.1875</v>
      </c>
      <c r="I26" s="176">
        <v>1048</v>
      </c>
      <c r="J26" s="176">
        <v>128</v>
      </c>
      <c r="L26" s="180" t="s">
        <v>578</v>
      </c>
      <c r="M26" s="178">
        <v>0.69230769230769196</v>
      </c>
      <c r="N26" s="178">
        <v>0.76923076923076905</v>
      </c>
      <c r="O26" s="42">
        <f t="shared" ref="O26:P26" si="21">PERCENTILE($B$3:$B$196,M26)</f>
        <v>0.27049243377881765</v>
      </c>
      <c r="P26" s="42">
        <f t="shared" si="21"/>
        <v>0.29025829676313797</v>
      </c>
      <c r="Q26" s="42">
        <f t="shared" ref="Q26:R26" si="22">PERCENTILE($C$3:$C$196,M26)</f>
        <v>6.7899586826884184E-2</v>
      </c>
      <c r="R26" s="42">
        <f t="shared" si="22"/>
        <v>7.6366881593555855E-2</v>
      </c>
      <c r="S26" s="179">
        <f t="shared" ref="S26:T26" si="23">PERCENTILE($D$3:$D$414,M26)</f>
        <v>0.27152605459057066</v>
      </c>
      <c r="T26" s="179">
        <f t="shared" si="23"/>
        <v>0.29096826382226232</v>
      </c>
      <c r="U26" s="179">
        <f t="shared" ref="U26:V26" si="24">PERCENTILE($E$3:$E$414,M26)</f>
        <v>6.6</v>
      </c>
      <c r="V26" s="179">
        <f t="shared" si="24"/>
        <v>6.9</v>
      </c>
      <c r="W26" s="179">
        <f t="shared" ref="W26:X26" si="25">PERCENTILE($F$3:$F$414,M26)</f>
        <v>4.1161538461538454</v>
      </c>
      <c r="X26" s="179">
        <f t="shared" si="25"/>
        <v>4.28</v>
      </c>
      <c r="Y26" s="179">
        <f t="shared" ref="Y26:Z26" si="26">PERCENTILE($H$3:$H$414,M26)</f>
        <v>6.5451872989480684</v>
      </c>
      <c r="Z26" s="179">
        <f t="shared" si="26"/>
        <v>6.8910817418417603</v>
      </c>
      <c r="AA26" s="179" t="e">
        <f t="shared" ref="AA26:AB26" si="27">PERCENTILE($G$3:$G$414,M26)</f>
        <v>#N/A</v>
      </c>
      <c r="AB26" s="179" t="e">
        <f t="shared" si="27"/>
        <v>#N/A</v>
      </c>
    </row>
    <row r="27" spans="1:28" ht="15.75" customHeight="1" x14ac:dyDescent="0.2">
      <c r="A27" s="34" t="s">
        <v>86</v>
      </c>
      <c r="B27" s="42">
        <v>0.3170120320855615</v>
      </c>
      <c r="C27" s="42">
        <v>0.16569459172852599</v>
      </c>
      <c r="D27" s="175">
        <v>0.17889908256880735</v>
      </c>
      <c r="E27" s="175">
        <v>5.8</v>
      </c>
      <c r="F27" s="175">
        <v>3.54</v>
      </c>
      <c r="G27" s="175" t="e">
        <f>VLOOKUP(A27,Overall!$1:$1048576,33,FALSE)</f>
        <v>#N/A</v>
      </c>
      <c r="H27" s="175">
        <v>6.9742647058823533</v>
      </c>
      <c r="I27" s="176">
        <v>1897</v>
      </c>
      <c r="J27" s="176">
        <v>272</v>
      </c>
      <c r="L27" s="180" t="s">
        <v>579</v>
      </c>
      <c r="M27" s="178">
        <v>0.61538461538461497</v>
      </c>
      <c r="N27" s="178">
        <v>0.69230769230769196</v>
      </c>
      <c r="O27" s="42">
        <f t="shared" ref="O27:P27" si="28">PERCENTILE($B$3:$B$196,M27)</f>
        <v>0.25617631942846142</v>
      </c>
      <c r="P27" s="42">
        <f t="shared" si="28"/>
        <v>0.27049243377881765</v>
      </c>
      <c r="Q27" s="42">
        <f t="shared" ref="Q27:R27" si="29">PERCENTILE($C$3:$C$196,M27)</f>
        <v>6.1311656381476114E-2</v>
      </c>
      <c r="R27" s="42">
        <f t="shared" si="29"/>
        <v>6.7899586826884184E-2</v>
      </c>
      <c r="S27" s="179">
        <f t="shared" ref="S27:T27" si="30">PERCENTILE($D$3:$D$414,M27)</f>
        <v>0.25641587953705225</v>
      </c>
      <c r="T27" s="179">
        <f t="shared" si="30"/>
        <v>0.27152605459057066</v>
      </c>
      <c r="U27" s="179">
        <f t="shared" ref="U27:V27" si="31">PERCENTILE($E$3:$E$414,M27)</f>
        <v>6.434855769230766</v>
      </c>
      <c r="V27" s="179">
        <f t="shared" si="31"/>
        <v>6.6</v>
      </c>
      <c r="W27" s="179">
        <f t="shared" ref="W27:X27" si="32">PERCENTILE($F$3:$F$414,M27)</f>
        <v>3.997692307692307</v>
      </c>
      <c r="X27" s="179">
        <f t="shared" si="32"/>
        <v>4.1161538461538454</v>
      </c>
      <c r="Y27" s="179">
        <f t="shared" ref="Y27:Z27" si="33">PERCENTILE($H$3:$H$414,M27)</f>
        <v>6.4091305094852586</v>
      </c>
      <c r="Z27" s="179">
        <f t="shared" si="33"/>
        <v>6.5451872989480684</v>
      </c>
      <c r="AA27" s="179" t="e">
        <f t="shared" ref="AA27:AB27" si="34">PERCENTILE($G$3:$G$414,M27)</f>
        <v>#N/A</v>
      </c>
      <c r="AB27" s="179" t="e">
        <f t="shared" si="34"/>
        <v>#N/A</v>
      </c>
    </row>
    <row r="28" spans="1:28" ht="15.75" customHeight="1" x14ac:dyDescent="0.2">
      <c r="A28" s="34" t="s">
        <v>141</v>
      </c>
      <c r="B28" s="42">
        <v>0.22398014580425005</v>
      </c>
      <c r="C28" s="42">
        <v>6.8675698092341725E-2</v>
      </c>
      <c r="D28" s="175">
        <v>0.48407643312101911</v>
      </c>
      <c r="E28" s="175">
        <v>7.4</v>
      </c>
      <c r="F28" s="175">
        <v>4.59</v>
      </c>
      <c r="G28" s="175" t="e">
        <f>VLOOKUP(A28,Overall!$1:$1048576,33,FALSE)</f>
        <v>#N/A</v>
      </c>
      <c r="H28" s="175">
        <v>7.9779005524861875</v>
      </c>
      <c r="I28" s="176">
        <v>1444</v>
      </c>
      <c r="J28" s="176">
        <v>181</v>
      </c>
      <c r="L28" s="180" t="s">
        <v>580</v>
      </c>
      <c r="M28" s="178">
        <v>0.53846153846153799</v>
      </c>
      <c r="N28" s="178">
        <v>0.61538461538461497</v>
      </c>
      <c r="O28" s="42">
        <f t="shared" ref="O28:P28" si="35">PERCENTILE($B$3:$B$196,M28)</f>
        <v>0.23500756760748112</v>
      </c>
      <c r="P28" s="42">
        <f t="shared" si="35"/>
        <v>0.25617631942846142</v>
      </c>
      <c r="Q28" s="42">
        <f t="shared" ref="Q28:R28" si="36">PERCENTILE($C$3:$C$196,M28)</f>
        <v>5.3815669524640154E-2</v>
      </c>
      <c r="R28" s="42">
        <f t="shared" si="36"/>
        <v>6.1311656381476114E-2</v>
      </c>
      <c r="S28" s="179">
        <f t="shared" ref="S28:T28" si="37">PERCENTILE($D$3:$D$414,M28)</f>
        <v>0.24050100829515644</v>
      </c>
      <c r="T28" s="179">
        <f t="shared" si="37"/>
        <v>0.25641587953705225</v>
      </c>
      <c r="U28" s="179">
        <f t="shared" ref="U28:V28" si="38">PERCENTILE($E$3:$E$414,M28)</f>
        <v>6.2</v>
      </c>
      <c r="V28" s="179">
        <f t="shared" si="38"/>
        <v>6.434855769230766</v>
      </c>
      <c r="W28" s="179">
        <f t="shared" ref="W28:X28" si="39">PERCENTILE($F$3:$F$414,M28)</f>
        <v>3.89</v>
      </c>
      <c r="X28" s="179">
        <f t="shared" si="39"/>
        <v>3.997692307692307</v>
      </c>
      <c r="Y28" s="179">
        <f t="shared" ref="Y28:Z28" si="40">PERCENTILE($H$3:$H$414,M28)</f>
        <v>6.2133219501489005</v>
      </c>
      <c r="Z28" s="179">
        <f t="shared" si="40"/>
        <v>6.4091305094852586</v>
      </c>
      <c r="AA28" s="179" t="e">
        <f t="shared" ref="AA28:AB28" si="41">PERCENTILE($G$3:$G$414,M28)</f>
        <v>#N/A</v>
      </c>
      <c r="AB28" s="179" t="e">
        <f t="shared" si="41"/>
        <v>#N/A</v>
      </c>
    </row>
    <row r="29" spans="1:28" ht="15.75" customHeight="1" x14ac:dyDescent="0.2">
      <c r="A29" s="34" t="s">
        <v>68</v>
      </c>
      <c r="B29" s="42">
        <v>0.45124153498871333</v>
      </c>
      <c r="C29" s="42">
        <v>6.3430127041742279E-2</v>
      </c>
      <c r="D29" s="175">
        <v>0.17982456140350878</v>
      </c>
      <c r="E29" s="175">
        <v>7.7</v>
      </c>
      <c r="F29" s="175">
        <v>5.19</v>
      </c>
      <c r="G29" s="175" t="e">
        <f>VLOOKUP(A29,Overall!$1:$1048576,33,FALSE)</f>
        <v>#N/A</v>
      </c>
      <c r="H29" s="175">
        <v>7.80859375</v>
      </c>
      <c r="I29" s="176">
        <v>1999</v>
      </c>
      <c r="J29" s="176">
        <v>256</v>
      </c>
      <c r="L29" s="181" t="s">
        <v>581</v>
      </c>
      <c r="M29" s="178">
        <v>0.46153846153846101</v>
      </c>
      <c r="N29" s="178">
        <v>0.53846153846153799</v>
      </c>
      <c r="O29" s="42">
        <f t="shared" ref="O29:P29" si="42">PERCENTILE($B$3:$B$196,M29)</f>
        <v>0.22095283263688845</v>
      </c>
      <c r="P29" s="42">
        <f t="shared" si="42"/>
        <v>0.23500756760748112</v>
      </c>
      <c r="Q29" s="42">
        <f t="shared" ref="Q29:R29" si="43">PERCENTILE($C$3:$C$196,M29)</f>
        <v>4.5575881427262328E-2</v>
      </c>
      <c r="R29" s="42">
        <f t="shared" si="43"/>
        <v>5.3815669524640154E-2</v>
      </c>
      <c r="S29" s="179">
        <f t="shared" ref="S29:T29" si="44">PERCENTILE($D$3:$D$414,M29)</f>
        <v>0.22442101963243066</v>
      </c>
      <c r="T29" s="179">
        <f t="shared" si="44"/>
        <v>0.24050100829515644</v>
      </c>
      <c r="U29" s="179">
        <f t="shared" ref="U29:V29" si="45">PERCENTILE($E$3:$E$414,M29)</f>
        <v>6.1</v>
      </c>
      <c r="V29" s="179">
        <f t="shared" si="45"/>
        <v>6.2</v>
      </c>
      <c r="W29" s="179">
        <f t="shared" ref="W29:X29" si="46">PERCENTILE($F$3:$F$414,M29)</f>
        <v>3.76</v>
      </c>
      <c r="X29" s="179">
        <f t="shared" si="46"/>
        <v>3.89</v>
      </c>
      <c r="Y29" s="179">
        <f t="shared" ref="Y29:Z29" si="47">PERCENTILE($H$3:$H$414,M29)</f>
        <v>6.015177224736048</v>
      </c>
      <c r="Z29" s="179">
        <f t="shared" si="47"/>
        <v>6.2133219501489005</v>
      </c>
      <c r="AA29" s="179" t="e">
        <f t="shared" ref="AA29:AB29" si="48">PERCENTILE($G$3:$G$414,M29)</f>
        <v>#N/A</v>
      </c>
      <c r="AB29" s="179" t="e">
        <f t="shared" si="48"/>
        <v>#N/A</v>
      </c>
    </row>
    <row r="30" spans="1:28" ht="15.75" customHeight="1" x14ac:dyDescent="0.2">
      <c r="A30" s="34" t="s">
        <v>63</v>
      </c>
      <c r="B30" s="42">
        <v>0.39949748743718594</v>
      </c>
      <c r="C30" s="42">
        <v>0.13146887159533074</v>
      </c>
      <c r="D30" s="175">
        <v>0.17460317460317459</v>
      </c>
      <c r="E30" s="175">
        <v>7.1</v>
      </c>
      <c r="F30" s="175">
        <v>3.29</v>
      </c>
      <c r="G30" s="175" t="e">
        <f>VLOOKUP(A30,Overall!$1:$1048576,33,FALSE)</f>
        <v>#N/A</v>
      </c>
      <c r="H30" s="175">
        <v>6.5793103448275865</v>
      </c>
      <c r="I30" s="176">
        <v>1908</v>
      </c>
      <c r="J30" s="176">
        <v>290</v>
      </c>
      <c r="L30" s="181" t="s">
        <v>582</v>
      </c>
      <c r="M30" s="178">
        <v>0.38461538461538503</v>
      </c>
      <c r="N30" s="178">
        <v>0.46153846153846101</v>
      </c>
      <c r="O30" s="42">
        <f t="shared" ref="O30:P30" si="49">PERCENTILE($B$3:$B$196,M30)</f>
        <v>0.20361809437652867</v>
      </c>
      <c r="P30" s="42">
        <f t="shared" si="49"/>
        <v>0.22095283263688845</v>
      </c>
      <c r="Q30" s="42">
        <f t="shared" ref="Q30:R30" si="50">PERCENTILE($C$3:$C$196,M30)</f>
        <v>4.0646068713888241E-2</v>
      </c>
      <c r="R30" s="42">
        <f t="shared" si="50"/>
        <v>4.5575881427262328E-2</v>
      </c>
      <c r="S30" s="179">
        <f t="shared" ref="S30:T30" si="51">PERCENTILE($D$3:$D$414,M30)</f>
        <v>0.20953996659823496</v>
      </c>
      <c r="T30" s="179">
        <f t="shared" si="51"/>
        <v>0.22442101963243066</v>
      </c>
      <c r="U30" s="179">
        <f t="shared" ref="U30:V30" si="52">PERCENTILE($E$3:$E$414,M30)</f>
        <v>5.9</v>
      </c>
      <c r="V30" s="179">
        <f t="shared" si="52"/>
        <v>6.1</v>
      </c>
      <c r="W30" s="179">
        <f t="shared" ref="W30:X30" si="53">PERCENTILE($F$3:$F$414,M30)</f>
        <v>3.6146153846153859</v>
      </c>
      <c r="X30" s="179">
        <f t="shared" si="53"/>
        <v>3.76</v>
      </c>
      <c r="Y30" s="179">
        <f t="shared" ref="Y30:Z30" si="54">PERCENTILE($H$3:$H$414,M30)</f>
        <v>5.7048174048174083</v>
      </c>
      <c r="Z30" s="179">
        <f t="shared" si="54"/>
        <v>6.015177224736048</v>
      </c>
      <c r="AA30" s="179" t="e">
        <f t="shared" ref="AA30:AB30" si="55">PERCENTILE($G$3:$G$414,M30)</f>
        <v>#N/A</v>
      </c>
      <c r="AB30" s="179" t="e">
        <f t="shared" si="55"/>
        <v>#N/A</v>
      </c>
    </row>
    <row r="31" spans="1:28" ht="15.75" customHeight="1" x14ac:dyDescent="0.2">
      <c r="A31" s="34" t="s">
        <v>70</v>
      </c>
      <c r="B31" s="42">
        <v>0.25305047143649473</v>
      </c>
      <c r="C31" s="42">
        <v>0.11712626995645864</v>
      </c>
      <c r="D31" s="175">
        <v>0.25668449197860965</v>
      </c>
      <c r="E31" s="175">
        <v>6.9</v>
      </c>
      <c r="F31" s="175">
        <v>3.82</v>
      </c>
      <c r="G31" s="175" t="e">
        <f>VLOOKUP(A31,Overall!$1:$1048576,33,FALSE)</f>
        <v>#N/A</v>
      </c>
      <c r="H31" s="175">
        <v>8.1473214285714288</v>
      </c>
      <c r="I31" s="176">
        <v>1825</v>
      </c>
      <c r="J31" s="176">
        <v>224</v>
      </c>
      <c r="L31" s="181" t="s">
        <v>583</v>
      </c>
      <c r="M31" s="178">
        <v>0.30769230769230799</v>
      </c>
      <c r="N31" s="178">
        <v>0.38461538461538503</v>
      </c>
      <c r="O31" s="42">
        <f t="shared" ref="O31:P31" si="56">PERCENTILE($B$3:$B$196,M31)</f>
        <v>0.17824356717776119</v>
      </c>
      <c r="P31" s="42">
        <f t="shared" si="56"/>
        <v>0.20361809437652867</v>
      </c>
      <c r="Q31" s="42">
        <f t="shared" ref="Q31:R31" si="57">PERCENTILE($C$3:$C$196,M31)</f>
        <v>3.5589815885154877E-2</v>
      </c>
      <c r="R31" s="42">
        <f t="shared" si="57"/>
        <v>4.0646068713888241E-2</v>
      </c>
      <c r="S31" s="179">
        <f t="shared" ref="S31:T31" si="58">PERCENTILE($D$3:$D$414,M31)</f>
        <v>0.198330000293612</v>
      </c>
      <c r="T31" s="179">
        <f t="shared" si="58"/>
        <v>0.20953996659823496</v>
      </c>
      <c r="U31" s="179">
        <f t="shared" ref="U31:V31" si="59">PERCENTILE($E$3:$E$414,M31)</f>
        <v>5.8</v>
      </c>
      <c r="V31" s="179">
        <f t="shared" si="59"/>
        <v>5.9</v>
      </c>
      <c r="W31" s="179">
        <f t="shared" ref="W31:X31" si="60">PERCENTILE($F$3:$F$414,M31)</f>
        <v>3.5238461538461543</v>
      </c>
      <c r="X31" s="179">
        <f t="shared" si="60"/>
        <v>3.6146153846153859</v>
      </c>
      <c r="Y31" s="179">
        <f t="shared" ref="Y31:Z31" si="61">PERCENTILE($H$3:$H$414,M31)</f>
        <v>5.499583551315733</v>
      </c>
      <c r="Z31" s="179">
        <f t="shared" si="61"/>
        <v>5.7048174048174083</v>
      </c>
      <c r="AA31" s="179" t="e">
        <f t="shared" ref="AA31:AB31" si="62">PERCENTILE($G$3:$G$414,M31)</f>
        <v>#N/A</v>
      </c>
      <c r="AB31" s="179" t="e">
        <f t="shared" si="62"/>
        <v>#N/A</v>
      </c>
    </row>
    <row r="32" spans="1:28" ht="15.75" customHeight="1" x14ac:dyDescent="0.2">
      <c r="A32" s="34" t="s">
        <v>88</v>
      </c>
      <c r="B32" s="42">
        <v>0.20263440036759076</v>
      </c>
      <c r="C32" s="42">
        <v>2.4123633622314362E-2</v>
      </c>
      <c r="D32" s="175">
        <v>0.22929936305732485</v>
      </c>
      <c r="E32" s="175">
        <v>8</v>
      </c>
      <c r="F32" s="175">
        <v>4.03</v>
      </c>
      <c r="G32" s="175" t="e">
        <f>VLOOKUP(A32,Overall!$1:$1048576,33,FALSE)</f>
        <v>#N/A</v>
      </c>
      <c r="H32" s="175">
        <v>8.0181818181818176</v>
      </c>
      <c r="I32" s="176">
        <v>1323</v>
      </c>
      <c r="J32" s="176">
        <v>165</v>
      </c>
      <c r="L32" s="182" t="s">
        <v>584</v>
      </c>
      <c r="M32" s="178">
        <v>0.230769230769231</v>
      </c>
      <c r="N32" s="178">
        <v>0.30769230769230799</v>
      </c>
      <c r="O32" s="42">
        <f t="shared" ref="O32:P32" si="63">PERCENTILE($B$3:$B$196,M32)</f>
        <v>0.16687384099513317</v>
      </c>
      <c r="P32" s="42">
        <f t="shared" si="63"/>
        <v>0.17824356717776119</v>
      </c>
      <c r="Q32" s="42">
        <f t="shared" ref="Q32:R32" si="64">PERCENTILE($C$3:$C$196,M32)</f>
        <v>2.6344896029036394E-2</v>
      </c>
      <c r="R32" s="42">
        <f t="shared" si="64"/>
        <v>3.5589815885154877E-2</v>
      </c>
      <c r="S32" s="179">
        <f t="shared" ref="S32:T32" si="65">PERCENTILE($D$3:$D$414,M32)</f>
        <v>0.18348699600935747</v>
      </c>
      <c r="T32" s="179">
        <f t="shared" si="65"/>
        <v>0.198330000293612</v>
      </c>
      <c r="U32" s="179">
        <f t="shared" ref="U32:V32" si="66">PERCENTILE($E$3:$E$414,M32)</f>
        <v>5.5</v>
      </c>
      <c r="V32" s="179">
        <f t="shared" si="66"/>
        <v>5.8</v>
      </c>
      <c r="W32" s="179">
        <f t="shared" ref="W32:X32" si="67">PERCENTILE($F$3:$F$414,M32)</f>
        <v>3.37</v>
      </c>
      <c r="X32" s="179">
        <f t="shared" si="67"/>
        <v>3.5238461538461543</v>
      </c>
      <c r="Y32" s="179">
        <f t="shared" ref="Y32:Z32" si="68">PERCENTILE($H$3:$H$414,M32)</f>
        <v>5.3243056538603097</v>
      </c>
      <c r="Z32" s="179">
        <f t="shared" si="68"/>
        <v>5.499583551315733</v>
      </c>
      <c r="AA32" s="179" t="e">
        <f t="shared" ref="AA32:AB32" si="69">PERCENTILE($G$3:$G$414,M32)</f>
        <v>#N/A</v>
      </c>
      <c r="AB32" s="179" t="e">
        <f t="shared" si="69"/>
        <v>#N/A</v>
      </c>
    </row>
    <row r="33" spans="1:28" ht="15.75" customHeight="1" x14ac:dyDescent="0.2">
      <c r="A33" s="34" t="s">
        <v>232</v>
      </c>
      <c r="B33" s="42">
        <v>0.21682500766166105</v>
      </c>
      <c r="C33" s="42">
        <v>6.2511474205984949E-2</v>
      </c>
      <c r="D33" s="175">
        <v>0.28846153846153844</v>
      </c>
      <c r="E33" s="175">
        <v>6.4545454545454541</v>
      </c>
      <c r="F33" s="175">
        <v>4.53</v>
      </c>
      <c r="G33" s="175" t="e">
        <f>VLOOKUP(A33,Overall!$1:$1048576,33,FALSE)</f>
        <v>#N/A</v>
      </c>
      <c r="H33" s="175">
        <v>6.4318181818181817</v>
      </c>
      <c r="I33" s="176">
        <v>1132</v>
      </c>
      <c r="J33" s="176">
        <v>176</v>
      </c>
      <c r="L33" s="182" t="s">
        <v>585</v>
      </c>
      <c r="M33" s="178">
        <v>0.15384615384615399</v>
      </c>
      <c r="N33" s="178">
        <v>0.230769230769231</v>
      </c>
      <c r="O33" s="42">
        <f t="shared" ref="O33:P33" si="70">PERCENTILE($B$3:$B$196,M33)</f>
        <v>0.15028732527625874</v>
      </c>
      <c r="P33" s="42">
        <f t="shared" si="70"/>
        <v>0.16687384099513317</v>
      </c>
      <c r="Q33" s="42">
        <f t="shared" ref="Q33:R33" si="71">PERCENTILE($C$3:$C$196,M33)</f>
        <v>2.1426265736349429E-2</v>
      </c>
      <c r="R33" s="42">
        <f t="shared" si="71"/>
        <v>2.6344896029036394E-2</v>
      </c>
      <c r="S33" s="179">
        <f t="shared" ref="S33:T33" si="72">PERCENTILE($D$3:$D$414,M33)</f>
        <v>0.16814212951734184</v>
      </c>
      <c r="T33" s="179">
        <f t="shared" si="72"/>
        <v>0.18348699600935747</v>
      </c>
      <c r="U33" s="179">
        <f t="shared" ref="U33:V33" si="73">PERCENTILE($E$3:$E$414,M33)</f>
        <v>5.3</v>
      </c>
      <c r="V33" s="179">
        <f t="shared" si="73"/>
        <v>5.5</v>
      </c>
      <c r="W33" s="179">
        <f t="shared" ref="W33:X33" si="74">PERCENTILE($F$3:$F$414,M33)</f>
        <v>3.2869230769230771</v>
      </c>
      <c r="X33" s="179">
        <f t="shared" si="74"/>
        <v>3.37</v>
      </c>
      <c r="Y33" s="179">
        <f t="shared" ref="Y33:Z33" si="75">PERCENTILE($H$3:$H$414,M33)</f>
        <v>5.1381628080657205</v>
      </c>
      <c r="Z33" s="179">
        <f t="shared" si="75"/>
        <v>5.3243056538603097</v>
      </c>
      <c r="AA33" s="179" t="e">
        <f t="shared" ref="AA33:AB33" si="76">PERCENTILE($G$3:$G$414,M33)</f>
        <v>#N/A</v>
      </c>
      <c r="AB33" s="179" t="e">
        <f t="shared" si="76"/>
        <v>#N/A</v>
      </c>
    </row>
    <row r="34" spans="1:28" ht="15.75" customHeight="1" x14ac:dyDescent="0.2">
      <c r="A34" s="34" t="s">
        <v>276</v>
      </c>
      <c r="B34" s="42">
        <v>0.26291402093701732</v>
      </c>
      <c r="C34" s="42">
        <v>4.3422184006878764E-2</v>
      </c>
      <c r="D34" s="175">
        <v>0.21359223300970873</v>
      </c>
      <c r="E34" s="175">
        <v>6.9</v>
      </c>
      <c r="F34" s="175">
        <v>4.95</v>
      </c>
      <c r="G34" s="175" t="e">
        <f>VLOOKUP(A34,Overall!$1:$1048576,33,FALSE)</f>
        <v>#N/A</v>
      </c>
      <c r="H34" s="175">
        <v>6.9954337899543377</v>
      </c>
      <c r="I34" s="176">
        <v>1532</v>
      </c>
      <c r="J34" s="176">
        <v>219</v>
      </c>
      <c r="L34" s="182" t="s">
        <v>586</v>
      </c>
      <c r="M34" s="178">
        <v>7.6923076923076802E-2</v>
      </c>
      <c r="N34" s="178">
        <v>0.15384615384615399</v>
      </c>
      <c r="O34" s="42">
        <f t="shared" ref="O34:P34" si="77">PERCENTILE($B$3:$B$196,M34)</f>
        <v>0.11778853497738126</v>
      </c>
      <c r="P34" s="42">
        <f t="shared" si="77"/>
        <v>0.15028732527625874</v>
      </c>
      <c r="Q34" s="42">
        <f t="shared" ref="Q34:R34" si="78">PERCENTILE($C$3:$C$196,M34)</f>
        <v>1.3487312789861681E-2</v>
      </c>
      <c r="R34" s="42">
        <f t="shared" si="78"/>
        <v>2.1426265736349429E-2</v>
      </c>
      <c r="S34" s="179">
        <f t="shared" ref="S34:T34" si="79">PERCENTILE($D$3:$D$414,M34)</f>
        <v>0.14761904761904762</v>
      </c>
      <c r="T34" s="179">
        <f t="shared" si="79"/>
        <v>0.16814212951734184</v>
      </c>
      <c r="U34" s="179">
        <f t="shared" ref="U34:V34" si="80">PERCENTILE($E$3:$E$414,M34)</f>
        <v>5.0999999999999996</v>
      </c>
      <c r="V34" s="179">
        <f t="shared" si="80"/>
        <v>5.3</v>
      </c>
      <c r="W34" s="179">
        <f t="shared" ref="W34:X34" si="81">PERCENTILE($F$3:$F$414,M34)</f>
        <v>3.0469230769230764</v>
      </c>
      <c r="X34" s="179">
        <f t="shared" si="81"/>
        <v>3.2869230769230771</v>
      </c>
      <c r="Y34" s="179">
        <f t="shared" ref="Y34:Z34" si="82">PERCENTILE($H$3:$H$414,M34)</f>
        <v>4.8118037990378406</v>
      </c>
      <c r="Z34" s="179">
        <f t="shared" si="82"/>
        <v>5.1381628080657205</v>
      </c>
      <c r="AA34" s="179" t="e">
        <f t="shared" ref="AA34:AB34" si="83">PERCENTILE($G$3:$G$414,M34)</f>
        <v>#N/A</v>
      </c>
      <c r="AB34" s="179" t="e">
        <f t="shared" si="83"/>
        <v>#N/A</v>
      </c>
    </row>
    <row r="35" spans="1:28" ht="15.75" customHeight="1" x14ac:dyDescent="0.2">
      <c r="A35" s="34" t="s">
        <v>368</v>
      </c>
      <c r="B35" s="42">
        <v>0.16549324269644738</v>
      </c>
      <c r="C35" s="42">
        <v>1.7935578330893119E-2</v>
      </c>
      <c r="D35" s="175">
        <v>0.23622047244094488</v>
      </c>
      <c r="E35" s="175">
        <v>5.8</v>
      </c>
      <c r="F35" s="175">
        <v>3.37</v>
      </c>
      <c r="G35" s="175" t="e">
        <f>VLOOKUP(A35,Overall!$1:$1048576,33,FALSE)</f>
        <v>#N/A</v>
      </c>
      <c r="H35" s="175">
        <v>6.0147058823529411</v>
      </c>
      <c r="I35" s="176">
        <v>818</v>
      </c>
      <c r="J35" s="176">
        <v>136</v>
      </c>
      <c r="L35" s="183" t="s">
        <v>587</v>
      </c>
      <c r="M35" s="178">
        <v>-1.2434497875801799E-16</v>
      </c>
      <c r="N35" s="178">
        <v>7.6923076923076802E-2</v>
      </c>
      <c r="O35" s="42">
        <v>0</v>
      </c>
      <c r="P35" s="42">
        <f>PERCENTILE($B$3:$B$196,N35)</f>
        <v>0.11778853497738126</v>
      </c>
      <c r="Q35" s="42">
        <v>0</v>
      </c>
      <c r="R35" s="42">
        <f>PERCENTILE($C$3:$C$196,N35)</f>
        <v>1.3487312789861681E-2</v>
      </c>
      <c r="S35" s="179">
        <v>0</v>
      </c>
      <c r="T35" s="179">
        <f>PERCENTILE($D$3:$D$414,N35)</f>
        <v>0.14761904761904762</v>
      </c>
      <c r="U35" s="179">
        <v>0</v>
      </c>
      <c r="V35" s="179">
        <f>PERCENTILE($E$3:$E$414,N35)</f>
        <v>5.0999999999999996</v>
      </c>
      <c r="W35" s="179">
        <v>0</v>
      </c>
      <c r="X35" s="179">
        <f>PERCENTILE($F$3:$F$414,N35)</f>
        <v>3.0469230769230764</v>
      </c>
      <c r="Y35" s="179">
        <v>0</v>
      </c>
      <c r="Z35" s="179">
        <f>PERCENTILE($H$3:$H$414,N35)</f>
        <v>4.8118037990378406</v>
      </c>
      <c r="AA35" s="179">
        <v>0</v>
      </c>
      <c r="AB35" s="179" t="e">
        <f>PERCENTILE($G$3:$G$414,N35)</f>
        <v>#N/A</v>
      </c>
    </row>
    <row r="36" spans="1:28" ht="15.75" customHeight="1" x14ac:dyDescent="0.2">
      <c r="A36" s="34" t="s">
        <v>106</v>
      </c>
      <c r="B36" s="42">
        <v>0.25550100018185123</v>
      </c>
      <c r="C36" s="42">
        <v>4.5502645502645503E-2</v>
      </c>
      <c r="D36" s="175">
        <v>0.21363636363636362</v>
      </c>
      <c r="E36" s="175">
        <v>6.2</v>
      </c>
      <c r="F36" s="175">
        <v>4.97</v>
      </c>
      <c r="G36" s="175" t="e">
        <f>VLOOKUP(A36,Overall!$1:$1048576,33,FALSE)</f>
        <v>#N/A</v>
      </c>
      <c r="H36" s="175">
        <v>6.3288288288288292</v>
      </c>
      <c r="I36" s="176">
        <v>1405</v>
      </c>
      <c r="J36" s="176">
        <v>222</v>
      </c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</row>
    <row r="37" spans="1:28" ht="15.75" customHeight="1" x14ac:dyDescent="0.2">
      <c r="A37" s="34" t="s">
        <v>285</v>
      </c>
      <c r="B37" s="42">
        <v>0.32088437406632808</v>
      </c>
      <c r="C37" s="42">
        <v>0</v>
      </c>
      <c r="D37" s="175">
        <v>0.33571428571428569</v>
      </c>
      <c r="E37" s="175">
        <v>7.7</v>
      </c>
      <c r="F37" s="175">
        <v>4.74</v>
      </c>
      <c r="G37" s="175" t="e">
        <f>VLOOKUP(A37,Overall!$1:$1048576,33,FALSE)</f>
        <v>#N/A</v>
      </c>
      <c r="H37" s="175">
        <v>7.6714285714285717</v>
      </c>
      <c r="I37" s="176">
        <v>1074</v>
      </c>
      <c r="J37" s="176">
        <v>140</v>
      </c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</row>
    <row r="38" spans="1:28" ht="15.75" customHeight="1" x14ac:dyDescent="0.2">
      <c r="A38" s="34" t="s">
        <v>237</v>
      </c>
      <c r="B38" s="42">
        <v>0.29724919093851132</v>
      </c>
      <c r="C38" s="42">
        <v>5.3033504376697856E-2</v>
      </c>
      <c r="D38" s="175">
        <v>0.26839826839826841</v>
      </c>
      <c r="E38" s="175">
        <v>6.9</v>
      </c>
      <c r="F38" s="175">
        <v>4.55</v>
      </c>
      <c r="G38" s="175" t="e">
        <f>VLOOKUP(A38,Overall!$1:$1048576,33,FALSE)</f>
        <v>#N/A</v>
      </c>
      <c r="H38" s="175">
        <v>7.2608695652173916</v>
      </c>
      <c r="I38" s="176">
        <v>1837</v>
      </c>
      <c r="J38" s="176">
        <v>253</v>
      </c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</row>
    <row r="39" spans="1:28" ht="15.75" customHeight="1" x14ac:dyDescent="0.2">
      <c r="A39" s="34" t="s">
        <v>223</v>
      </c>
      <c r="B39" s="42">
        <v>0.27053783912422658</v>
      </c>
      <c r="C39" s="42">
        <v>8.094085091663783E-2</v>
      </c>
      <c r="D39" s="175">
        <v>0.33689839572192515</v>
      </c>
      <c r="E39" s="175">
        <v>6.5666666666666664</v>
      </c>
      <c r="F39" s="175">
        <v>5.07</v>
      </c>
      <c r="G39" s="175" t="e">
        <f>VLOOKUP(A39,Overall!$1:$1048576,33,FALSE)</f>
        <v>#N/A</v>
      </c>
      <c r="H39" s="175">
        <v>6.7028301886792452</v>
      </c>
      <c r="I39" s="176">
        <v>1421</v>
      </c>
      <c r="J39" s="176">
        <v>212</v>
      </c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</row>
    <row r="40" spans="1:28" ht="15.75" customHeight="1" x14ac:dyDescent="0.2">
      <c r="A40" s="34" t="s">
        <v>132</v>
      </c>
      <c r="B40" s="42">
        <v>0.17322999581064097</v>
      </c>
      <c r="C40" s="42">
        <v>3.8900895338067308E-2</v>
      </c>
      <c r="D40" s="175">
        <v>0.31304347826086959</v>
      </c>
      <c r="E40" s="175">
        <v>6</v>
      </c>
      <c r="F40" s="175">
        <v>3.67</v>
      </c>
      <c r="G40" s="175" t="e">
        <f>VLOOKUP(A40,Overall!$1:$1048576,33,FALSE)</f>
        <v>#N/A</v>
      </c>
      <c r="H40" s="175">
        <v>6.4108527131782944</v>
      </c>
      <c r="I40" s="176">
        <v>827</v>
      </c>
      <c r="J40" s="176">
        <v>129</v>
      </c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</row>
    <row r="41" spans="1:28" ht="15.75" customHeight="1" x14ac:dyDescent="0.2">
      <c r="A41" s="34" t="s">
        <v>286</v>
      </c>
      <c r="B41" s="42">
        <v>0.23504755763340318</v>
      </c>
      <c r="C41" s="42">
        <v>4.091193004372267E-2</v>
      </c>
      <c r="D41" s="175">
        <v>0.1962962962962963</v>
      </c>
      <c r="E41" s="175">
        <v>6.1</v>
      </c>
      <c r="F41" s="175">
        <v>4.34</v>
      </c>
      <c r="G41" s="175" t="e">
        <f>VLOOKUP(A41,Overall!$1:$1048576,33,FALSE)</f>
        <v>#N/A</v>
      </c>
      <c r="H41" s="175">
        <v>5.0625</v>
      </c>
      <c r="I41" s="176">
        <v>1458</v>
      </c>
      <c r="J41" s="176">
        <v>288</v>
      </c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</row>
    <row r="42" spans="1:28" ht="15.75" customHeight="1" x14ac:dyDescent="0.2">
      <c r="A42" s="34" t="s">
        <v>224</v>
      </c>
      <c r="B42" s="42">
        <v>0.30872603476079558</v>
      </c>
      <c r="C42" s="42">
        <v>2.6986052152819892E-2</v>
      </c>
      <c r="D42" s="175">
        <v>0.33587786259541985</v>
      </c>
      <c r="E42" s="175">
        <v>6.2</v>
      </c>
      <c r="F42" s="175">
        <v>4.46</v>
      </c>
      <c r="G42" s="175" t="e">
        <f>VLOOKUP(A42,Overall!$1:$1048576,33,FALSE)</f>
        <v>#N/A</v>
      </c>
      <c r="H42" s="175">
        <v>6.2654545454545456</v>
      </c>
      <c r="I42" s="176">
        <v>1723</v>
      </c>
      <c r="J42" s="176">
        <v>275</v>
      </c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</row>
    <row r="43" spans="1:28" ht="15.75" customHeight="1" x14ac:dyDescent="0.2">
      <c r="A43" s="34" t="s">
        <v>222</v>
      </c>
      <c r="B43" s="42">
        <v>0.32071027360028992</v>
      </c>
      <c r="C43" s="42">
        <v>8.1341107871720122E-2</v>
      </c>
      <c r="D43" s="175">
        <v>0.30278884462151395</v>
      </c>
      <c r="E43" s="175">
        <v>5.8</v>
      </c>
      <c r="F43" s="175">
        <v>3.34</v>
      </c>
      <c r="G43" s="175" t="e">
        <f>VLOOKUP(A43,Overall!$1:$1048576,33,FALSE)</f>
        <v>#N/A</v>
      </c>
      <c r="H43" s="175">
        <v>6.145833333333333</v>
      </c>
      <c r="I43" s="176">
        <v>1770</v>
      </c>
      <c r="J43" s="176">
        <v>288</v>
      </c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</row>
    <row r="44" spans="1:28" ht="15.75" customHeight="1" x14ac:dyDescent="0.2">
      <c r="A44" s="34" t="s">
        <v>85</v>
      </c>
      <c r="B44" s="42">
        <v>5.9136212624584718E-2</v>
      </c>
      <c r="C44" s="42">
        <v>2.1061158363710007E-3</v>
      </c>
      <c r="D44" s="175">
        <v>0.24324324324324326</v>
      </c>
      <c r="E44" s="175">
        <v>7</v>
      </c>
      <c r="F44" s="175">
        <v>5.16</v>
      </c>
      <c r="G44" s="175" t="e">
        <f>VLOOKUP(A44,Overall!$1:$1048576,33,FALSE)</f>
        <v>#N/A</v>
      </c>
      <c r="H44" s="175">
        <v>7.0263157894736841</v>
      </c>
      <c r="I44" s="176">
        <v>267</v>
      </c>
      <c r="J44" s="176">
        <v>38</v>
      </c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</row>
    <row r="45" spans="1:28" ht="15.75" customHeight="1" x14ac:dyDescent="0.2">
      <c r="A45" s="34" t="s">
        <v>146</v>
      </c>
      <c r="B45" s="42">
        <v>0.23225030084235859</v>
      </c>
      <c r="C45" s="42">
        <v>4.5238095238095237E-2</v>
      </c>
      <c r="D45" s="175">
        <v>0.28448275862068967</v>
      </c>
      <c r="E45" s="175">
        <v>7.5</v>
      </c>
      <c r="F45" s="175">
        <v>4.04</v>
      </c>
      <c r="G45" s="175" t="e">
        <f>VLOOKUP(A45,Overall!$1:$1048576,33,FALSE)</f>
        <v>#N/A</v>
      </c>
      <c r="H45" s="175">
        <v>7.5390625</v>
      </c>
      <c r="I45" s="176">
        <v>965</v>
      </c>
      <c r="J45" s="176">
        <v>128</v>
      </c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</row>
    <row r="46" spans="1:28" ht="15.75" customHeight="1" x14ac:dyDescent="0.2">
      <c r="A46" s="34" t="s">
        <v>218</v>
      </c>
      <c r="B46" s="42">
        <v>0.22089648500483716</v>
      </c>
      <c r="C46" s="42">
        <v>0.12131147540983607</v>
      </c>
      <c r="D46" s="175">
        <v>0.25165562913907286</v>
      </c>
      <c r="E46" s="175">
        <v>6.1</v>
      </c>
      <c r="F46" s="175">
        <v>3.39</v>
      </c>
      <c r="G46" s="175" t="e">
        <f>VLOOKUP(A46,Overall!$1:$1048576,33,FALSE)</f>
        <v>#N/A</v>
      </c>
      <c r="H46" s="175">
        <v>7.0256410256410255</v>
      </c>
      <c r="I46" s="176">
        <v>1370</v>
      </c>
      <c r="J46" s="176">
        <v>195</v>
      </c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</row>
    <row r="47" spans="1:28" ht="15.75" customHeight="1" x14ac:dyDescent="0.2">
      <c r="A47" s="34" t="s">
        <v>331</v>
      </c>
      <c r="B47" s="42">
        <v>0.22650520211495823</v>
      </c>
      <c r="C47" s="42">
        <v>1.9182481751824819E-2</v>
      </c>
      <c r="D47" s="175">
        <v>0.30456852791878175</v>
      </c>
      <c r="E47" s="175">
        <v>6.4</v>
      </c>
      <c r="F47" s="175">
        <v>3.95</v>
      </c>
      <c r="G47" s="175" t="e">
        <f>VLOOKUP(A47,Overall!$1:$1048576,33,FALSE)</f>
        <v>#N/A</v>
      </c>
      <c r="H47" s="175">
        <v>6.4466019417475726</v>
      </c>
      <c r="I47" s="176">
        <v>1328</v>
      </c>
      <c r="J47" s="176">
        <v>206</v>
      </c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</row>
    <row r="48" spans="1:28" ht="15.75" customHeight="1" x14ac:dyDescent="0.2">
      <c r="A48" s="34" t="s">
        <v>320</v>
      </c>
      <c r="B48" s="42">
        <v>0.30072018268048478</v>
      </c>
      <c r="C48" s="42">
        <v>2.4677296886864084E-3</v>
      </c>
      <c r="D48" s="175">
        <v>0.3261802575107296</v>
      </c>
      <c r="E48" s="175">
        <v>7.3</v>
      </c>
      <c r="F48" s="175">
        <v>4.72</v>
      </c>
      <c r="G48" s="175" t="e">
        <f>VLOOKUP(A48,Overall!$1:$1048576,33,FALSE)</f>
        <v>#N/A</v>
      </c>
      <c r="H48" s="175">
        <v>7.2851063829787233</v>
      </c>
      <c r="I48" s="176">
        <v>1712</v>
      </c>
      <c r="J48" s="176">
        <v>235</v>
      </c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</row>
    <row r="49" spans="1:10" ht="15.75" customHeight="1" x14ac:dyDescent="0.2">
      <c r="A49" s="34" t="s">
        <v>80</v>
      </c>
      <c r="B49" s="42">
        <v>0.35486495281483893</v>
      </c>
      <c r="C49" s="42">
        <v>8.0956678700361009E-2</v>
      </c>
      <c r="D49" s="175">
        <v>0.19871794871794871</v>
      </c>
      <c r="E49" s="175">
        <v>9.4</v>
      </c>
      <c r="F49" s="175">
        <v>3.54</v>
      </c>
      <c r="G49" s="175" t="e">
        <f>VLOOKUP(A49,Overall!$1:$1048576,33,FALSE)</f>
        <v>#N/A</v>
      </c>
      <c r="H49" s="175">
        <v>6.2136752136752138</v>
      </c>
      <c r="I49" s="176">
        <v>2181</v>
      </c>
      <c r="J49" s="176">
        <v>351</v>
      </c>
    </row>
    <row r="50" spans="1:10" ht="15.75" customHeight="1" x14ac:dyDescent="0.2">
      <c r="A50" s="34" t="s">
        <v>588</v>
      </c>
      <c r="B50" s="42">
        <v>0.29944547134935307</v>
      </c>
      <c r="C50" s="42">
        <v>7.4439802506646405E-2</v>
      </c>
      <c r="D50" s="175">
        <v>0.26020408163265307</v>
      </c>
      <c r="E50" s="175">
        <v>6.8</v>
      </c>
      <c r="F50" s="175">
        <v>4.0199999999999996</v>
      </c>
      <c r="G50" s="175" t="e">
        <f>VLOOKUP(A50,Overall!$1:$1048576,33,FALSE)</f>
        <v>#N/A</v>
      </c>
      <c r="H50" s="175">
        <v>5.5862068965517242</v>
      </c>
      <c r="I50" s="176">
        <v>1296</v>
      </c>
      <c r="J50" s="176">
        <v>232</v>
      </c>
    </row>
    <row r="51" spans="1:10" ht="15.75" customHeight="1" x14ac:dyDescent="0.2">
      <c r="A51" s="34" t="s">
        <v>72</v>
      </c>
      <c r="B51" s="42">
        <v>0.2124812030075188</v>
      </c>
      <c r="C51" s="42">
        <v>5.4029241754505269E-2</v>
      </c>
      <c r="D51" s="175">
        <v>0.2413793103448276</v>
      </c>
      <c r="E51" s="175">
        <v>6.8</v>
      </c>
      <c r="F51" s="175">
        <v>3.85</v>
      </c>
      <c r="G51" s="175" t="e">
        <f>VLOOKUP(A51,Overall!$1:$1048576,33,FALSE)</f>
        <v>#N/A</v>
      </c>
      <c r="H51" s="175">
        <v>6.9950495049504955</v>
      </c>
      <c r="I51" s="176">
        <v>1413</v>
      </c>
      <c r="J51" s="176">
        <v>202</v>
      </c>
    </row>
    <row r="52" spans="1:10" ht="15.75" customHeight="1" x14ac:dyDescent="0.2">
      <c r="A52" s="34" t="s">
        <v>339</v>
      </c>
      <c r="B52" s="42">
        <v>0.14067220543806647</v>
      </c>
      <c r="C52" s="42">
        <v>4.0401621223286659E-2</v>
      </c>
      <c r="D52" s="175">
        <v>0.22549019607843138</v>
      </c>
      <c r="E52" s="175">
        <v>6.6</v>
      </c>
      <c r="F52" s="175">
        <v>4.79</v>
      </c>
      <c r="G52" s="175" t="e">
        <f>VLOOKUP(A52,Overall!$1:$1048576,33,FALSE)</f>
        <v>#N/A</v>
      </c>
      <c r="H52" s="175">
        <v>6.208333333333333</v>
      </c>
      <c r="I52" s="176">
        <v>745</v>
      </c>
      <c r="J52" s="176">
        <v>120</v>
      </c>
    </row>
    <row r="53" spans="1:10" ht="15.75" customHeight="1" x14ac:dyDescent="0.2">
      <c r="A53" s="34" t="s">
        <v>71</v>
      </c>
      <c r="B53" s="42">
        <v>0.23932506887052341</v>
      </c>
      <c r="C53" s="42">
        <v>9.4309507286606531E-2</v>
      </c>
      <c r="D53" s="175">
        <v>0.18055555555555555</v>
      </c>
      <c r="E53" s="175">
        <v>9.6</v>
      </c>
      <c r="F53" s="175">
        <v>2.95</v>
      </c>
      <c r="G53" s="175" t="e">
        <f>VLOOKUP(A53,Overall!$1:$1048576,33,FALSE)</f>
        <v>#N/A</v>
      </c>
      <c r="H53" s="175">
        <v>5.8649789029535864</v>
      </c>
      <c r="I53" s="176">
        <v>1390</v>
      </c>
      <c r="J53" s="176">
        <v>237</v>
      </c>
    </row>
    <row r="54" spans="1:10" ht="15.75" customHeight="1" x14ac:dyDescent="0.2">
      <c r="A54" s="34" t="s">
        <v>113</v>
      </c>
      <c r="B54" s="42">
        <v>0.24710200927357032</v>
      </c>
      <c r="C54" s="42">
        <v>2.9924433249370275E-2</v>
      </c>
      <c r="D54" s="175">
        <v>0.17525773195876287</v>
      </c>
      <c r="E54" s="175">
        <v>6.3</v>
      </c>
      <c r="F54" s="175">
        <v>3.92</v>
      </c>
      <c r="G54" s="175" t="e">
        <f>VLOOKUP(A54,Overall!$1:$1048576,33,FALSE)</f>
        <v>#N/A</v>
      </c>
      <c r="H54" s="175">
        <v>6.5255102040816331</v>
      </c>
      <c r="I54" s="176">
        <v>1279</v>
      </c>
      <c r="J54" s="176">
        <v>196</v>
      </c>
    </row>
    <row r="55" spans="1:10" ht="15.75" customHeight="1" x14ac:dyDescent="0.2">
      <c r="A55" s="34" t="s">
        <v>83</v>
      </c>
      <c r="B55" s="42">
        <v>0.17522340984755563</v>
      </c>
      <c r="C55" s="42">
        <v>3.3534505379165573E-2</v>
      </c>
      <c r="D55" s="175">
        <v>0.32413793103448274</v>
      </c>
      <c r="E55" s="175">
        <v>6.7</v>
      </c>
      <c r="F55" s="175">
        <v>4.0999999999999996</v>
      </c>
      <c r="G55" s="175" t="e">
        <f>VLOOKUP(A55,Overall!$1:$1048576,33,FALSE)</f>
        <v>#N/A</v>
      </c>
      <c r="H55" s="175">
        <v>5.882352941176471</v>
      </c>
      <c r="I55" s="176">
        <v>1000</v>
      </c>
      <c r="J55" s="176">
        <v>170</v>
      </c>
    </row>
    <row r="56" spans="1:10" ht="15.75" customHeight="1" x14ac:dyDescent="0.2">
      <c r="A56" s="34" t="s">
        <v>217</v>
      </c>
      <c r="B56" s="42">
        <v>0.25066357000663569</v>
      </c>
      <c r="C56" s="42">
        <v>0.12654232424677186</v>
      </c>
      <c r="D56" s="175">
        <v>0.26506024096385544</v>
      </c>
      <c r="E56" s="175">
        <v>7.8</v>
      </c>
      <c r="F56" s="175">
        <v>5.07</v>
      </c>
      <c r="G56" s="175" t="e">
        <f>VLOOKUP(A56,Overall!$1:$1048576,33,FALSE)</f>
        <v>#N/A</v>
      </c>
      <c r="H56" s="175">
        <v>7.0607476635514015</v>
      </c>
      <c r="I56" s="176">
        <v>1511</v>
      </c>
      <c r="J56" s="176">
        <v>214</v>
      </c>
    </row>
    <row r="57" spans="1:10" ht="15.75" customHeight="1" x14ac:dyDescent="0.2">
      <c r="A57" s="34" t="s">
        <v>323</v>
      </c>
      <c r="B57" s="42">
        <v>0.17639015496809479</v>
      </c>
      <c r="C57" s="42">
        <v>8.2982791586998089E-2</v>
      </c>
      <c r="D57" s="175">
        <v>0.3258426966292135</v>
      </c>
      <c r="E57" s="175">
        <v>6.3</v>
      </c>
      <c r="F57" s="175">
        <v>4.6100000000000003</v>
      </c>
      <c r="G57" s="175" t="e">
        <f>VLOOKUP(A57,Overall!$1:$1048576,33,FALSE)</f>
        <v>#N/A</v>
      </c>
      <c r="H57" s="175">
        <v>7.166666666666667</v>
      </c>
      <c r="I57" s="176">
        <v>774</v>
      </c>
      <c r="J57" s="176">
        <v>108</v>
      </c>
    </row>
    <row r="58" spans="1:10" ht="15.75" customHeight="1" x14ac:dyDescent="0.2">
      <c r="A58" s="34" t="s">
        <v>84</v>
      </c>
      <c r="B58" s="42">
        <v>0.15573238064306594</v>
      </c>
      <c r="C58" s="42">
        <v>2.6056665118439386E-2</v>
      </c>
      <c r="D58" s="175">
        <v>0.14473684210526316</v>
      </c>
      <c r="E58" s="175">
        <v>6.7</v>
      </c>
      <c r="F58" s="175">
        <v>3.6</v>
      </c>
      <c r="G58" s="175" t="e">
        <f>VLOOKUP(A58,Overall!$1:$1048576,33,FALSE)</f>
        <v>#N/A</v>
      </c>
      <c r="H58" s="175">
        <v>5.6745562130177518</v>
      </c>
      <c r="I58" s="176">
        <v>959</v>
      </c>
      <c r="J58" s="176">
        <v>169</v>
      </c>
    </row>
    <row r="59" spans="1:10" ht="15.75" customHeight="1" x14ac:dyDescent="0.2">
      <c r="A59" s="34" t="s">
        <v>121</v>
      </c>
      <c r="B59" s="42">
        <v>0.19716832721552177</v>
      </c>
      <c r="C59" s="42">
        <v>3.9737077980280845E-2</v>
      </c>
      <c r="D59" s="175">
        <v>0.12658227848101267</v>
      </c>
      <c r="E59" s="175">
        <v>9.1999999999999993</v>
      </c>
      <c r="F59" s="175">
        <v>4.92</v>
      </c>
      <c r="G59" s="175" t="e">
        <f>VLOOKUP(A59,Overall!$1:$1048576,33,FALSE)</f>
        <v>#N/A</v>
      </c>
      <c r="H59" s="175">
        <v>7.0062111801242235</v>
      </c>
      <c r="I59" s="176">
        <v>1128</v>
      </c>
      <c r="J59" s="176">
        <v>161</v>
      </c>
    </row>
    <row r="60" spans="1:10" ht="15.75" customHeight="1" x14ac:dyDescent="0.2">
      <c r="A60" s="34" t="s">
        <v>367</v>
      </c>
      <c r="B60" s="42">
        <v>0.21551994973295632</v>
      </c>
      <c r="C60" s="42">
        <v>2.4229074889867842E-2</v>
      </c>
      <c r="D60" s="175">
        <v>0.19680851063829788</v>
      </c>
      <c r="E60" s="175">
        <v>6.4</v>
      </c>
      <c r="F60" s="175">
        <v>3.52</v>
      </c>
      <c r="G60" s="175" t="e">
        <f>VLOOKUP(A60,Overall!$1:$1048576,33,FALSE)</f>
        <v>#N/A</v>
      </c>
      <c r="H60" s="175">
        <v>6.4716981132075473</v>
      </c>
      <c r="I60" s="176">
        <v>1372</v>
      </c>
      <c r="J60" s="176">
        <v>212</v>
      </c>
    </row>
    <row r="61" spans="1:10" ht="15.75" customHeight="1" x14ac:dyDescent="0.2">
      <c r="A61" s="34" t="s">
        <v>287</v>
      </c>
      <c r="B61" s="42">
        <v>0.30730050933786079</v>
      </c>
      <c r="C61" s="42">
        <v>3.7678415380133994E-2</v>
      </c>
      <c r="D61" s="175">
        <v>0.28000000000000003</v>
      </c>
      <c r="E61" s="175">
        <v>7.6</v>
      </c>
      <c r="F61" s="175">
        <v>4.72</v>
      </c>
      <c r="G61" s="175" t="e">
        <f>VLOOKUP(A61,Overall!$1:$1048576,33,FALSE)</f>
        <v>#N/A</v>
      </c>
      <c r="H61" s="175">
        <v>5.9735973597359733</v>
      </c>
      <c r="I61" s="176">
        <v>1810</v>
      </c>
      <c r="J61" s="176">
        <v>303</v>
      </c>
    </row>
    <row r="62" spans="1:10" ht="15.75" customHeight="1" x14ac:dyDescent="0.2">
      <c r="A62" s="34" t="s">
        <v>77</v>
      </c>
      <c r="B62" s="42">
        <v>0.31801712779973651</v>
      </c>
      <c r="C62" s="42">
        <v>1.3579669473027751E-2</v>
      </c>
      <c r="D62" s="175">
        <v>0.14040114613180515</v>
      </c>
      <c r="E62" s="175">
        <v>5.8</v>
      </c>
      <c r="F62" s="175">
        <v>3.19</v>
      </c>
      <c r="G62" s="175" t="e">
        <f>VLOOKUP(A62,Overall!$1:$1048576,33,FALSE)</f>
        <v>#N/A</v>
      </c>
      <c r="H62" s="175">
        <v>5.408963585434174</v>
      </c>
      <c r="I62" s="176">
        <v>1931</v>
      </c>
      <c r="J62" s="176">
        <v>357</v>
      </c>
    </row>
    <row r="63" spans="1:10" ht="15.75" customHeight="1" x14ac:dyDescent="0.2">
      <c r="A63" s="34" t="s">
        <v>94</v>
      </c>
      <c r="B63" s="42">
        <v>0.28558967201674806</v>
      </c>
      <c r="C63" s="42">
        <v>5.6804374240583232E-2</v>
      </c>
      <c r="D63" s="175">
        <v>0.21810699588477367</v>
      </c>
      <c r="E63" s="175">
        <v>6.1</v>
      </c>
      <c r="F63" s="175">
        <v>4.08</v>
      </c>
      <c r="G63" s="175" t="e">
        <f>VLOOKUP(A63,Overall!$1:$1048576,33,FALSE)</f>
        <v>#N/A</v>
      </c>
      <c r="H63" s="175">
        <v>6.3449612403100772</v>
      </c>
      <c r="I63" s="176">
        <v>1637</v>
      </c>
      <c r="J63" s="176">
        <v>258</v>
      </c>
    </row>
    <row r="64" spans="1:10" ht="15.75" customHeight="1" x14ac:dyDescent="0.2">
      <c r="A64" s="34" t="s">
        <v>118</v>
      </c>
      <c r="B64" s="42">
        <v>0.21821837302814723</v>
      </c>
      <c r="C64" s="42">
        <v>6.2366013071895425E-2</v>
      </c>
      <c r="D64" s="175">
        <v>0.31125827814569534</v>
      </c>
      <c r="E64" s="175">
        <v>6.9</v>
      </c>
      <c r="F64" s="175">
        <v>5.07</v>
      </c>
      <c r="G64" s="175" t="e">
        <f>VLOOKUP(A64,Overall!$1:$1048576,33,FALSE)</f>
        <v>#N/A</v>
      </c>
      <c r="H64" s="175">
        <v>8.6036585365853657</v>
      </c>
      <c r="I64" s="176">
        <v>1411</v>
      </c>
      <c r="J64" s="176">
        <v>164</v>
      </c>
    </row>
    <row r="65" spans="1:10" ht="15.75" customHeight="1" x14ac:dyDescent="0.2">
      <c r="A65" s="34" t="s">
        <v>75</v>
      </c>
      <c r="B65" s="42">
        <v>0.29456193353474319</v>
      </c>
      <c r="C65" s="42">
        <v>6.7027729636048528E-2</v>
      </c>
      <c r="D65" s="175">
        <v>0.16379310344827586</v>
      </c>
      <c r="E65" s="175">
        <v>7.5</v>
      </c>
      <c r="F65" s="175">
        <v>4.2</v>
      </c>
      <c r="G65" s="175" t="e">
        <f>VLOOKUP(A65,Overall!$1:$1048576,33,FALSE)</f>
        <v>#N/A</v>
      </c>
      <c r="H65" s="175">
        <v>5.2298850574712645</v>
      </c>
      <c r="I65" s="176">
        <v>1365</v>
      </c>
      <c r="J65" s="176">
        <v>261</v>
      </c>
    </row>
    <row r="66" spans="1:10" ht="15.75" customHeight="1" x14ac:dyDescent="0.2">
      <c r="A66" s="34" t="s">
        <v>365</v>
      </c>
      <c r="B66" s="42">
        <v>0.13557024233180817</v>
      </c>
      <c r="C66" s="42">
        <v>4.6373564827779337E-2</v>
      </c>
      <c r="D66" s="175">
        <v>0.20183486238532111</v>
      </c>
      <c r="E66" s="175">
        <v>5.7</v>
      </c>
      <c r="F66" s="175">
        <v>3.84</v>
      </c>
      <c r="G66" s="175" t="e">
        <f>VLOOKUP(A66,Overall!$1:$1048576,33,FALSE)</f>
        <v>#N/A</v>
      </c>
      <c r="H66" s="175">
        <v>5.9701492537313436</v>
      </c>
      <c r="I66" s="176">
        <v>800</v>
      </c>
      <c r="J66" s="176">
        <v>134</v>
      </c>
    </row>
    <row r="67" spans="1:10" ht="15.75" customHeight="1" x14ac:dyDescent="0.2">
      <c r="A67" s="34" t="s">
        <v>353</v>
      </c>
      <c r="B67" s="42">
        <v>0.11308965948141206</v>
      </c>
      <c r="C67" s="42">
        <v>2.2949902043101034E-2</v>
      </c>
      <c r="D67" s="175">
        <v>0.18461538461538463</v>
      </c>
      <c r="E67" s="175">
        <v>4.9000000000000004</v>
      </c>
      <c r="F67" s="175">
        <v>2.59</v>
      </c>
      <c r="G67" s="175" t="e">
        <f>VLOOKUP(A67,Overall!$1:$1048576,33,FALSE)</f>
        <v>#N/A</v>
      </c>
      <c r="H67" s="175">
        <v>5.0277777777777777</v>
      </c>
      <c r="I67" s="176">
        <v>724</v>
      </c>
      <c r="J67" s="176">
        <v>144</v>
      </c>
    </row>
    <row r="68" spans="1:10" ht="15.75" customHeight="1" x14ac:dyDescent="0.2">
      <c r="A68" s="34" t="s">
        <v>230</v>
      </c>
      <c r="B68" s="42">
        <v>0.25451343020695727</v>
      </c>
      <c r="C68" s="42">
        <v>8.6872586872586879E-2</v>
      </c>
      <c r="D68" s="175">
        <v>0.33707865168539325</v>
      </c>
      <c r="E68" s="175">
        <v>5.5</v>
      </c>
      <c r="F68" s="175">
        <v>4.16</v>
      </c>
      <c r="G68" s="175" t="e">
        <f>VLOOKUP(A68,Overall!$1:$1048576,33,FALSE)</f>
        <v>#N/A</v>
      </c>
      <c r="H68" s="175">
        <v>5.5576923076923075</v>
      </c>
      <c r="I68" s="176">
        <v>1156</v>
      </c>
      <c r="J68" s="176">
        <v>208</v>
      </c>
    </row>
    <row r="69" spans="1:10" ht="15.75" customHeight="1" x14ac:dyDescent="0.2">
      <c r="A69" s="34" t="s">
        <v>96</v>
      </c>
      <c r="B69" s="42">
        <v>0.23305974422599732</v>
      </c>
      <c r="C69" s="42">
        <v>4.2742742742742736E-2</v>
      </c>
      <c r="D69" s="175">
        <v>0.22905027932960895</v>
      </c>
      <c r="E69" s="175">
        <v>7.3</v>
      </c>
      <c r="F69" s="175">
        <v>4.93</v>
      </c>
      <c r="G69" s="175" t="e">
        <f>VLOOKUP(A69,Overall!$1:$1048576,33,FALSE)</f>
        <v>#N/A</v>
      </c>
      <c r="H69" s="175">
        <v>6.1050000000000004</v>
      </c>
      <c r="I69" s="176">
        <v>1221</v>
      </c>
      <c r="J69" s="176">
        <v>200</v>
      </c>
    </row>
    <row r="70" spans="1:10" ht="15.75" customHeight="1" x14ac:dyDescent="0.2">
      <c r="A70" s="34" t="s">
        <v>64</v>
      </c>
      <c r="B70" s="42">
        <v>0.44297520661157025</v>
      </c>
      <c r="C70" s="42">
        <v>0.15408823529411766</v>
      </c>
      <c r="D70" s="175">
        <v>0.29118773946360155</v>
      </c>
      <c r="E70" s="175">
        <v>7.9</v>
      </c>
      <c r="F70" s="175">
        <v>4.6500000000000004</v>
      </c>
      <c r="G70" s="175" t="e">
        <f>VLOOKUP(A70,Overall!$1:$1048576,33,FALSE)</f>
        <v>#N/A</v>
      </c>
      <c r="H70" s="175">
        <v>6.2119205298013247</v>
      </c>
      <c r="I70" s="176">
        <v>1876</v>
      </c>
      <c r="J70" s="176">
        <v>302</v>
      </c>
    </row>
    <row r="71" spans="1:10" ht="15.75" customHeight="1" x14ac:dyDescent="0.2">
      <c r="A71" s="34" t="s">
        <v>589</v>
      </c>
      <c r="B71" s="42">
        <v>8.2087072116982393E-2</v>
      </c>
      <c r="C71" s="42">
        <v>3.4867503486750349E-3</v>
      </c>
      <c r="D71" s="175">
        <v>0.18032786885245902</v>
      </c>
      <c r="E71" s="175">
        <v>4.8666666666666663</v>
      </c>
      <c r="F71" s="175">
        <v>3.23</v>
      </c>
      <c r="G71" s="175" t="e">
        <f>VLOOKUP(A71,Overall!$1:$1048576,33,FALSE)</f>
        <v>#N/A</v>
      </c>
      <c r="H71" s="175">
        <v>3.8</v>
      </c>
      <c r="I71" s="176">
        <v>247</v>
      </c>
      <c r="J71" s="176">
        <v>65</v>
      </c>
    </row>
    <row r="72" spans="1:10" ht="15.75" customHeight="1" x14ac:dyDescent="0.2">
      <c r="A72" s="34" t="s">
        <v>114</v>
      </c>
      <c r="B72" s="42">
        <v>0.25064322469982847</v>
      </c>
      <c r="C72" s="42">
        <v>7.6965517241379303E-2</v>
      </c>
      <c r="D72" s="175">
        <v>0.17682926829268292</v>
      </c>
      <c r="E72" s="175">
        <v>6</v>
      </c>
      <c r="F72" s="175">
        <v>4.0599999999999996</v>
      </c>
      <c r="G72" s="175" t="e">
        <f>VLOOKUP(A72,Overall!$1:$1048576,33,FALSE)</f>
        <v>#N/A</v>
      </c>
      <c r="H72" s="175">
        <v>6.8764705882352946</v>
      </c>
      <c r="I72" s="176">
        <v>1169</v>
      </c>
      <c r="J72" s="176">
        <v>170</v>
      </c>
    </row>
    <row r="73" spans="1:10" ht="15.75" customHeight="1" x14ac:dyDescent="0.2">
      <c r="A73" s="34" t="s">
        <v>361</v>
      </c>
      <c r="B73" s="42">
        <v>0.27041978522616333</v>
      </c>
      <c r="C73" s="42">
        <v>3.0696114062063178E-2</v>
      </c>
      <c r="D73" s="175">
        <v>0.15771812080536912</v>
      </c>
      <c r="E73" s="175">
        <v>5.8</v>
      </c>
      <c r="F73" s="175">
        <v>3.23</v>
      </c>
      <c r="G73" s="175" t="e">
        <f>VLOOKUP(A73,Overall!$1:$1048576,33,FALSE)</f>
        <v>#N/A</v>
      </c>
      <c r="H73" s="175">
        <v>5.1775700934579438</v>
      </c>
      <c r="I73" s="176">
        <v>1662</v>
      </c>
      <c r="J73" s="176">
        <v>321</v>
      </c>
    </row>
    <row r="74" spans="1:10" ht="15.75" customHeight="1" x14ac:dyDescent="0.2">
      <c r="A74" s="34" t="s">
        <v>144</v>
      </c>
      <c r="B74" s="42">
        <v>0.14462193823216188</v>
      </c>
      <c r="C74" s="42">
        <v>1.7760910815939279E-2</v>
      </c>
      <c r="D74" s="175">
        <v>0.16541353383458646</v>
      </c>
      <c r="E74" s="175">
        <v>6.4</v>
      </c>
      <c r="F74" s="175">
        <v>3.96</v>
      </c>
      <c r="G74" s="175" t="e">
        <f>VLOOKUP(A74,Overall!$1:$1048576,33,FALSE)</f>
        <v>#N/A</v>
      </c>
      <c r="H74" s="175">
        <v>4.8156028368794326</v>
      </c>
      <c r="I74" s="176">
        <v>679</v>
      </c>
      <c r="J74" s="176">
        <v>141</v>
      </c>
    </row>
    <row r="75" spans="1:10" ht="15.75" customHeight="1" x14ac:dyDescent="0.2">
      <c r="A75" s="34" t="s">
        <v>79</v>
      </c>
      <c r="B75" s="42">
        <v>0.1559488347643245</v>
      </c>
      <c r="C75" s="42">
        <v>6.1401207032274994E-2</v>
      </c>
      <c r="D75" s="175">
        <v>0.21848739495798319</v>
      </c>
      <c r="E75" s="175">
        <v>6</v>
      </c>
      <c r="F75" s="175">
        <v>3.32</v>
      </c>
      <c r="G75" s="175" t="e">
        <f>VLOOKUP(A75,Overall!$1:$1048576,33,FALSE)</f>
        <v>#N/A</v>
      </c>
      <c r="H75" s="175">
        <v>5.973154362416107</v>
      </c>
      <c r="I75" s="176">
        <v>890</v>
      </c>
      <c r="J75" s="176">
        <v>149</v>
      </c>
    </row>
    <row r="76" spans="1:10" ht="15.75" customHeight="1" x14ac:dyDescent="0.2">
      <c r="A76" s="34" t="s">
        <v>154</v>
      </c>
      <c r="B76" s="42">
        <v>6.8945760122230706E-2</v>
      </c>
      <c r="C76" s="42">
        <v>6.8370165745856356E-3</v>
      </c>
      <c r="D76" s="175">
        <v>0.14754098360655737</v>
      </c>
      <c r="E76" s="175">
        <v>7.2</v>
      </c>
      <c r="F76" s="175">
        <v>3.31</v>
      </c>
      <c r="G76" s="175" t="e">
        <f>VLOOKUP(A76,Overall!$1:$1048576,33,FALSE)</f>
        <v>#N/A</v>
      </c>
      <c r="H76" s="175">
        <v>5.640625</v>
      </c>
      <c r="I76" s="176">
        <v>361</v>
      </c>
      <c r="J76" s="176">
        <v>64</v>
      </c>
    </row>
    <row r="77" spans="1:10" ht="15.75" customHeight="1" x14ac:dyDescent="0.2">
      <c r="A77" s="34" t="s">
        <v>120</v>
      </c>
      <c r="B77" s="42">
        <v>0.33240906866742781</v>
      </c>
      <c r="C77" s="42">
        <v>8.5870889159561509E-2</v>
      </c>
      <c r="D77" s="175">
        <v>0.17407407407407408</v>
      </c>
      <c r="E77" s="175">
        <v>6.5</v>
      </c>
      <c r="F77" s="175">
        <v>3.79</v>
      </c>
      <c r="G77" s="175" t="e">
        <f>VLOOKUP(A77,Overall!$1:$1048576,33,FALSE)</f>
        <v>#N/A</v>
      </c>
      <c r="H77" s="175">
        <v>7.2269503546099294</v>
      </c>
      <c r="I77" s="176">
        <v>2038</v>
      </c>
      <c r="J77" s="176">
        <v>282</v>
      </c>
    </row>
    <row r="78" spans="1:10" ht="15.75" customHeight="1" x14ac:dyDescent="0.2">
      <c r="A78" s="34" t="s">
        <v>93</v>
      </c>
      <c r="B78" s="42">
        <v>0.11339874537558307</v>
      </c>
      <c r="C78" s="42">
        <v>4.0251107828655833E-2</v>
      </c>
      <c r="D78" s="175">
        <v>0.12903225806451613</v>
      </c>
      <c r="E78" s="175">
        <v>6.5</v>
      </c>
      <c r="F78" s="175">
        <v>4.75</v>
      </c>
      <c r="G78" s="175" t="e">
        <f>VLOOKUP(A78,Overall!$1:$1048576,33,FALSE)</f>
        <v>#N/A</v>
      </c>
      <c r="H78" s="175">
        <v>5</v>
      </c>
      <c r="I78" s="176">
        <v>705</v>
      </c>
      <c r="J78" s="176">
        <v>141</v>
      </c>
    </row>
    <row r="79" spans="1:10" ht="15.75" customHeight="1" x14ac:dyDescent="0.2">
      <c r="A79" s="34" t="s">
        <v>107</v>
      </c>
      <c r="B79" s="42">
        <v>0.23860076575008701</v>
      </c>
      <c r="C79" s="42">
        <v>1.2658227848101266E-2</v>
      </c>
      <c r="D79" s="175">
        <v>0.36363636363636365</v>
      </c>
      <c r="E79" s="175">
        <v>6.3</v>
      </c>
      <c r="F79" s="175">
        <v>3.89</v>
      </c>
      <c r="G79" s="175" t="e">
        <f>VLOOKUP(A79,Overall!$1:$1048576,33,FALSE)</f>
        <v>#N/A</v>
      </c>
      <c r="H79" s="175">
        <v>5.1931818181818183</v>
      </c>
      <c r="I79" s="176">
        <v>1371</v>
      </c>
      <c r="J79" s="176">
        <v>264</v>
      </c>
    </row>
    <row r="80" spans="1:10" ht="15.75" customHeight="1" x14ac:dyDescent="0.2">
      <c r="A80" s="34" t="s">
        <v>82</v>
      </c>
      <c r="B80" s="42">
        <v>0.26719056974459726</v>
      </c>
      <c r="C80" s="42">
        <v>3.2286119985800492E-2</v>
      </c>
      <c r="D80" s="175">
        <v>0.14761904761904762</v>
      </c>
      <c r="E80" s="175">
        <v>6.6</v>
      </c>
      <c r="F80" s="175">
        <v>3.42</v>
      </c>
      <c r="G80" s="175" t="e">
        <f>VLOOKUP(A80,Overall!$1:$1048576,33,FALSE)</f>
        <v>#N/A</v>
      </c>
      <c r="H80" s="175">
        <v>6.8310502283105023</v>
      </c>
      <c r="I80" s="176">
        <v>1496</v>
      </c>
      <c r="J80" s="176">
        <v>219</v>
      </c>
    </row>
    <row r="81" spans="1:10" ht="15.75" customHeight="1" x14ac:dyDescent="0.2">
      <c r="A81" s="34" t="s">
        <v>280</v>
      </c>
      <c r="B81" s="42">
        <v>0.21481359829200197</v>
      </c>
      <c r="C81" s="42">
        <v>5.7129963898916974E-2</v>
      </c>
      <c r="D81" s="175">
        <v>0.26229508196721313</v>
      </c>
      <c r="E81" s="175">
        <v>6</v>
      </c>
      <c r="F81" s="175">
        <v>3.86</v>
      </c>
      <c r="G81" s="175" t="e">
        <f>VLOOKUP(A81,Overall!$1:$1048576,33,FALSE)</f>
        <v>#N/A</v>
      </c>
      <c r="H81" s="175">
        <v>6.6395939086294415</v>
      </c>
      <c r="I81" s="176">
        <v>1308</v>
      </c>
      <c r="J81" s="176">
        <v>197</v>
      </c>
    </row>
    <row r="82" spans="1:10" ht="15.75" customHeight="1" x14ac:dyDescent="0.2">
      <c r="A82" s="34" t="s">
        <v>65</v>
      </c>
      <c r="B82" s="42">
        <v>0.20202020202020202</v>
      </c>
      <c r="C82" s="42">
        <v>0.14865637507146942</v>
      </c>
      <c r="D82" s="175">
        <v>0.25242718446601942</v>
      </c>
      <c r="E82" s="175">
        <v>6.6</v>
      </c>
      <c r="F82" s="175">
        <v>3.78</v>
      </c>
      <c r="G82" s="175" t="e">
        <f>VLOOKUP(A82,Overall!$1:$1048576,33,FALSE)</f>
        <v>#N/A</v>
      </c>
      <c r="H82" s="175">
        <v>6.895104895104895</v>
      </c>
      <c r="I82" s="176">
        <v>986</v>
      </c>
      <c r="J82" s="176">
        <v>143</v>
      </c>
    </row>
    <row r="83" spans="1:10" ht="15.75" customHeight="1" x14ac:dyDescent="0.2">
      <c r="A83" s="34" t="s">
        <v>99</v>
      </c>
      <c r="B83" s="42">
        <v>0.22602739726027396</v>
      </c>
      <c r="C83" s="42">
        <v>6.1913219994925148E-2</v>
      </c>
      <c r="D83" s="175">
        <v>0.20645161290322581</v>
      </c>
      <c r="E83" s="175">
        <v>6.5</v>
      </c>
      <c r="F83" s="175">
        <v>3.34</v>
      </c>
      <c r="G83" s="175" t="e">
        <f>VLOOKUP(A83,Overall!$1:$1048576,33,FALSE)</f>
        <v>#N/A</v>
      </c>
      <c r="H83" s="175">
        <v>6.8901098901098905</v>
      </c>
      <c r="I83" s="176">
        <v>1254</v>
      </c>
      <c r="J83" s="176">
        <v>182</v>
      </c>
    </row>
    <row r="84" spans="1:10" ht="15.75" customHeight="1" x14ac:dyDescent="0.2">
      <c r="A84" s="34" t="s">
        <v>281</v>
      </c>
      <c r="B84" s="42">
        <v>0.36017106731126813</v>
      </c>
      <c r="C84" s="42">
        <v>0.10968379446640317</v>
      </c>
      <c r="D84" s="175">
        <v>0.21033210332103322</v>
      </c>
      <c r="E84" s="175">
        <v>5.9</v>
      </c>
      <c r="F84" s="175">
        <v>3.38</v>
      </c>
      <c r="G84" s="175" t="e">
        <f>VLOOKUP(A84,Overall!$1:$1048576,33,FALSE)</f>
        <v>#N/A</v>
      </c>
      <c r="H84" s="175">
        <v>5.9969040247678018</v>
      </c>
      <c r="I84" s="176">
        <v>1937</v>
      </c>
      <c r="J84" s="176">
        <v>323</v>
      </c>
    </row>
    <row r="85" spans="1:10" ht="15.75" customHeight="1" x14ac:dyDescent="0.2">
      <c r="A85" s="34" t="s">
        <v>129</v>
      </c>
      <c r="B85" s="42">
        <v>0.30327537403962801</v>
      </c>
      <c r="C85" s="42">
        <v>6.704668838219327E-2</v>
      </c>
      <c r="D85" s="175">
        <v>0.2425249169435216</v>
      </c>
      <c r="E85" s="175">
        <v>6.7</v>
      </c>
      <c r="F85" s="175">
        <v>4.01</v>
      </c>
      <c r="G85" s="175" t="e">
        <f>VLOOKUP(A85,Overall!$1:$1048576,33,FALSE)</f>
        <v>#N/A</v>
      </c>
      <c r="H85" s="175">
        <v>6.9444444444444446</v>
      </c>
      <c r="I85" s="176">
        <v>2250</v>
      </c>
      <c r="J85" s="176">
        <v>324</v>
      </c>
    </row>
    <row r="86" spans="1:10" ht="15.75" customHeight="1" x14ac:dyDescent="0.2">
      <c r="A86" s="34" t="s">
        <v>306</v>
      </c>
      <c r="B86" s="42">
        <v>0.3100883310088331</v>
      </c>
      <c r="C86" s="42">
        <v>5.3381962864721487E-2</v>
      </c>
      <c r="D86" s="175">
        <v>0.13333333333333333</v>
      </c>
      <c r="E86" s="175">
        <v>5.8085106382978724</v>
      </c>
      <c r="F86" s="175">
        <v>4.51</v>
      </c>
      <c r="G86" s="175" t="e">
        <f>VLOOKUP(A86,Overall!$1:$1048576,33,FALSE)</f>
        <v>#N/A</v>
      </c>
      <c r="H86" s="175">
        <v>5.628691983122363</v>
      </c>
      <c r="I86" s="176">
        <v>1334</v>
      </c>
      <c r="J86" s="176">
        <v>237</v>
      </c>
    </row>
    <row r="87" spans="1:10" ht="15.75" customHeight="1" x14ac:dyDescent="0.2">
      <c r="A87" s="34" t="s">
        <v>333</v>
      </c>
      <c r="B87" s="42">
        <v>0.12626849484855526</v>
      </c>
      <c r="C87" s="42">
        <v>6.2989745269470127E-3</v>
      </c>
      <c r="D87" s="175">
        <v>0.24793388429752067</v>
      </c>
      <c r="E87" s="175">
        <v>6.9069767441860463</v>
      </c>
      <c r="F87" s="175">
        <v>4.12</v>
      </c>
      <c r="G87" s="175" t="e">
        <f>VLOOKUP(A87,Overall!$1:$1048576,33,FALSE)</f>
        <v>#N/A</v>
      </c>
      <c r="H87" s="175">
        <v>6.52</v>
      </c>
      <c r="I87" s="176">
        <v>815</v>
      </c>
      <c r="J87" s="176">
        <v>125</v>
      </c>
    </row>
    <row r="88" spans="1:10" ht="15.75" customHeight="1" x14ac:dyDescent="0.2">
      <c r="A88" s="34" t="s">
        <v>329</v>
      </c>
      <c r="B88" s="42">
        <v>0.25965463108320253</v>
      </c>
      <c r="C88" s="42">
        <v>8.6028007638446854E-2</v>
      </c>
      <c r="D88" s="175">
        <v>0.27272727272727271</v>
      </c>
      <c r="E88" s="175">
        <v>5.0999999999999996</v>
      </c>
      <c r="F88" s="175">
        <v>3.36</v>
      </c>
      <c r="G88" s="175" t="e">
        <f>VLOOKUP(A88,Overall!$1:$1048576,33,FALSE)</f>
        <v>#N/A</v>
      </c>
      <c r="H88" s="175">
        <v>5.3701298701298699</v>
      </c>
      <c r="I88" s="176">
        <v>827</v>
      </c>
      <c r="J88" s="176">
        <v>154</v>
      </c>
    </row>
    <row r="89" spans="1:10" ht="15.75" customHeight="1" x14ac:dyDescent="0.2">
      <c r="A89" s="34" t="s">
        <v>74</v>
      </c>
      <c r="B89" s="42">
        <v>0.16209095951192456</v>
      </c>
      <c r="C89" s="42">
        <v>2.3076923076923078E-2</v>
      </c>
      <c r="D89" s="175">
        <v>0.15816326530612246</v>
      </c>
      <c r="E89" s="175">
        <v>6.5</v>
      </c>
      <c r="F89" s="175">
        <v>3.61</v>
      </c>
      <c r="G89" s="175" t="e">
        <f>VLOOKUP(A89,Overall!$1:$1048576,33,FALSE)</f>
        <v>#N/A</v>
      </c>
      <c r="H89" s="175">
        <v>5.674757281553398</v>
      </c>
      <c r="I89" s="176">
        <v>1169</v>
      </c>
      <c r="J89" s="176">
        <v>206</v>
      </c>
    </row>
    <row r="90" spans="1:10" ht="15.75" customHeight="1" x14ac:dyDescent="0.2">
      <c r="A90" s="34" t="s">
        <v>303</v>
      </c>
      <c r="B90" s="42">
        <v>0.15557638238050608</v>
      </c>
      <c r="C90" s="42">
        <v>6.1013154212146654E-2</v>
      </c>
      <c r="D90" s="175">
        <v>0.34090909090909088</v>
      </c>
      <c r="E90" s="175">
        <v>5.9</v>
      </c>
      <c r="F90" s="175">
        <v>4.1399999999999997</v>
      </c>
      <c r="G90" s="175" t="e">
        <f>VLOOKUP(A90,Overall!$1:$1048576,33,FALSE)</f>
        <v>#N/A</v>
      </c>
      <c r="H90" s="175">
        <v>6.0731707317073171</v>
      </c>
      <c r="I90" s="176">
        <v>996</v>
      </c>
      <c r="J90" s="176">
        <v>164</v>
      </c>
    </row>
    <row r="91" spans="1:10" ht="15.75" customHeight="1" x14ac:dyDescent="0.2">
      <c r="A91" s="34" t="s">
        <v>312</v>
      </c>
      <c r="B91" s="42">
        <v>0.16955332725615316</v>
      </c>
      <c r="C91" s="42">
        <v>3.4034416826003826E-2</v>
      </c>
      <c r="D91" s="175">
        <v>0.15032679738562091</v>
      </c>
      <c r="E91" s="175">
        <v>6.2</v>
      </c>
      <c r="F91" s="175">
        <v>3.31</v>
      </c>
      <c r="G91" s="175" t="e">
        <f>VLOOKUP(A91,Overall!$1:$1048576,33,FALSE)</f>
        <v>#N/A</v>
      </c>
      <c r="H91" s="175">
        <v>4.5365853658536581</v>
      </c>
      <c r="I91" s="176">
        <v>744</v>
      </c>
      <c r="J91" s="176">
        <v>164</v>
      </c>
    </row>
    <row r="92" spans="1:10" ht="15.75" customHeight="1" x14ac:dyDescent="0.2">
      <c r="A92" s="34" t="s">
        <v>321</v>
      </c>
      <c r="B92" s="42">
        <v>0.22473637961335677</v>
      </c>
      <c r="C92" s="42">
        <v>5.3575857792476228E-2</v>
      </c>
      <c r="D92" s="175">
        <v>0.19014084507042253</v>
      </c>
      <c r="E92" s="175">
        <v>6.2</v>
      </c>
      <c r="F92" s="175">
        <v>4.57</v>
      </c>
      <c r="G92" s="175" t="e">
        <f>VLOOKUP(A92,Overall!$1:$1048576,33,FALSE)</f>
        <v>#N/A</v>
      </c>
      <c r="H92" s="175">
        <v>6.1626506024096388</v>
      </c>
      <c r="I92" s="176">
        <v>1023</v>
      </c>
      <c r="J92" s="176">
        <v>166</v>
      </c>
    </row>
    <row r="93" spans="1:10" ht="15.75" customHeight="1" x14ac:dyDescent="0.2">
      <c r="A93" s="34" t="s">
        <v>354</v>
      </c>
      <c r="B93" s="42">
        <v>0.10047303689687796</v>
      </c>
      <c r="C93" s="42">
        <v>4.3787425149700602E-3</v>
      </c>
      <c r="D93" s="175">
        <v>0.26506024096385544</v>
      </c>
      <c r="E93" s="175">
        <v>6.6</v>
      </c>
      <c r="F93" s="175">
        <v>3.07</v>
      </c>
      <c r="G93" s="175" t="e">
        <f>VLOOKUP(A93,Overall!$1:$1048576,33,FALSE)</f>
        <v>#N/A</v>
      </c>
      <c r="H93" s="175">
        <v>5.9662921348314608</v>
      </c>
      <c r="I93" s="176">
        <v>531</v>
      </c>
      <c r="J93" s="176">
        <v>89</v>
      </c>
    </row>
    <row r="94" spans="1:10" ht="15.75" customHeight="1" x14ac:dyDescent="0.2">
      <c r="A94" s="34" t="s">
        <v>81</v>
      </c>
      <c r="B94" s="42">
        <v>0.41522005961774505</v>
      </c>
      <c r="C94" s="42">
        <v>7.5827978250123579E-2</v>
      </c>
      <c r="D94" s="175">
        <v>0.21142857142857144</v>
      </c>
      <c r="E94" s="175">
        <v>6.8</v>
      </c>
      <c r="F94" s="175">
        <v>3.39</v>
      </c>
      <c r="G94" s="175" t="e">
        <f>VLOOKUP(A94,Overall!$1:$1048576,33,FALSE)</f>
        <v>#N/A</v>
      </c>
      <c r="H94" s="175">
        <v>6.2811671087533156</v>
      </c>
      <c r="I94" s="176">
        <v>2368</v>
      </c>
      <c r="J94" s="176">
        <v>377</v>
      </c>
    </row>
    <row r="95" spans="1:10" ht="15.75" customHeight="1" x14ac:dyDescent="0.2">
      <c r="A95" s="34" t="s">
        <v>344</v>
      </c>
      <c r="B95" s="42">
        <v>0.26362460742656568</v>
      </c>
      <c r="C95" s="42">
        <v>6.8637304167898316E-2</v>
      </c>
      <c r="D95" s="175">
        <v>0.16935483870967741</v>
      </c>
      <c r="E95" s="175">
        <v>6.5</v>
      </c>
      <c r="F95" s="175">
        <v>2.97</v>
      </c>
      <c r="G95" s="175" t="e">
        <f>VLOOKUP(A95,Overall!$1:$1048576,33,FALSE)</f>
        <v>#N/A</v>
      </c>
      <c r="H95" s="175">
        <v>5.0964285714285715</v>
      </c>
      <c r="I95" s="176">
        <v>1427</v>
      </c>
      <c r="J95" s="176">
        <v>280</v>
      </c>
    </row>
    <row r="96" spans="1:10" ht="15.75" customHeight="1" x14ac:dyDescent="0.2">
      <c r="A96" s="34" t="s">
        <v>316</v>
      </c>
      <c r="B96" s="42">
        <v>0.31659594530881657</v>
      </c>
      <c r="C96" s="42">
        <v>6.3625240342597464E-2</v>
      </c>
      <c r="D96" s="175">
        <v>0.27510917030567683</v>
      </c>
      <c r="E96" s="175">
        <v>6.070484581497797</v>
      </c>
      <c r="F96" s="175">
        <v>4.17</v>
      </c>
      <c r="G96" s="175" t="e">
        <f>VLOOKUP(A96,Overall!$1:$1048576,33,FALSE)</f>
        <v>#N/A</v>
      </c>
      <c r="H96" s="175">
        <v>5.24609375</v>
      </c>
      <c r="I96" s="176">
        <v>1343</v>
      </c>
      <c r="J96" s="176">
        <v>256</v>
      </c>
    </row>
    <row r="97" spans="1:10" ht="15.75" customHeight="1" x14ac:dyDescent="0.2">
      <c r="A97" s="34" t="s">
        <v>67</v>
      </c>
      <c r="B97" s="42">
        <v>0.19519401221193619</v>
      </c>
      <c r="C97" s="42">
        <v>6.4007014467338891E-2</v>
      </c>
      <c r="D97" s="175">
        <v>0.16279069767441862</v>
      </c>
      <c r="E97" s="175">
        <v>6.6</v>
      </c>
      <c r="F97" s="175">
        <v>3.65</v>
      </c>
      <c r="G97" s="175" t="e">
        <f>VLOOKUP(A97,Overall!$1:$1048576,33,FALSE)</f>
        <v>#N/A</v>
      </c>
      <c r="H97" s="175">
        <v>6.8819444444444446</v>
      </c>
      <c r="I97" s="176">
        <v>991</v>
      </c>
      <c r="J97" s="176">
        <v>144</v>
      </c>
    </row>
    <row r="98" spans="1:10" ht="15.75" customHeight="1" x14ac:dyDescent="0.2">
      <c r="A98" s="34" t="s">
        <v>305</v>
      </c>
      <c r="B98" s="42">
        <v>0.2741380756647932</v>
      </c>
      <c r="C98" s="42">
        <v>8.4853808507968365E-2</v>
      </c>
      <c r="D98" s="175">
        <v>0.26041666666666669</v>
      </c>
      <c r="E98" s="175">
        <v>6</v>
      </c>
      <c r="F98" s="175">
        <v>4.57</v>
      </c>
      <c r="G98" s="175" t="e">
        <f>VLOOKUP(A98,Overall!$1:$1048576,33,FALSE)</f>
        <v>#N/A</v>
      </c>
      <c r="H98" s="175">
        <v>6.6693877551020408</v>
      </c>
      <c r="I98" s="176">
        <v>1634</v>
      </c>
      <c r="J98" s="176">
        <v>245</v>
      </c>
    </row>
    <row r="99" spans="1:10" ht="15.75" customHeight="1" x14ac:dyDescent="0.2">
      <c r="A99" s="34" t="s">
        <v>127</v>
      </c>
      <c r="B99" s="42">
        <v>0.25135655522492562</v>
      </c>
      <c r="C99" s="42">
        <v>6.9186418962203719E-2</v>
      </c>
      <c r="D99" s="175">
        <v>0.20304568527918782</v>
      </c>
      <c r="E99" s="175">
        <v>6.4</v>
      </c>
      <c r="F99" s="175">
        <v>3.89</v>
      </c>
      <c r="G99" s="175" t="e">
        <f>VLOOKUP(A99,Overall!$1:$1048576,33,FALSE)</f>
        <v>#N/A</v>
      </c>
      <c r="H99" s="175">
        <v>6.497737556561086</v>
      </c>
      <c r="I99" s="176">
        <v>1436</v>
      </c>
      <c r="J99" s="176">
        <v>221</v>
      </c>
    </row>
    <row r="100" spans="1:10" ht="15.75" customHeight="1" x14ac:dyDescent="0.2">
      <c r="A100" s="34" t="s">
        <v>116</v>
      </c>
      <c r="B100" s="42">
        <v>0.1771667246780369</v>
      </c>
      <c r="C100" s="42">
        <v>3.5021097046413499E-2</v>
      </c>
      <c r="D100" s="175">
        <v>0.24812030075187969</v>
      </c>
      <c r="E100" s="175">
        <v>6.4</v>
      </c>
      <c r="F100" s="175">
        <v>3.92</v>
      </c>
      <c r="G100" s="175" t="e">
        <f>VLOOKUP(A100,Overall!$1:$1048576,33,FALSE)</f>
        <v>#N/A</v>
      </c>
      <c r="H100" s="175">
        <v>7.5970149253731343</v>
      </c>
      <c r="I100" s="176">
        <v>1018</v>
      </c>
      <c r="J100" s="176">
        <v>134</v>
      </c>
    </row>
    <row r="101" spans="1:10" ht="15.75" customHeight="1" x14ac:dyDescent="0.2">
      <c r="A101" s="34" t="s">
        <v>259</v>
      </c>
      <c r="B101" s="42">
        <v>0.25684272821423287</v>
      </c>
      <c r="C101" s="42">
        <v>3.7931861804222644E-2</v>
      </c>
      <c r="D101" s="175">
        <v>0.22222222222222221</v>
      </c>
      <c r="E101" s="175">
        <v>6.1</v>
      </c>
      <c r="F101" s="175">
        <v>3.9</v>
      </c>
      <c r="G101" s="175" t="e">
        <f>VLOOKUP(A101,Overall!$1:$1048576,33,FALSE)</f>
        <v>#N/A</v>
      </c>
      <c r="H101" s="175">
        <v>6.3127272727272725</v>
      </c>
      <c r="I101" s="176">
        <v>1736</v>
      </c>
      <c r="J101" s="176">
        <v>275</v>
      </c>
    </row>
    <row r="102" spans="1:10" ht="15.75" customHeight="1" x14ac:dyDescent="0.2">
      <c r="A102" s="34" t="s">
        <v>363</v>
      </c>
      <c r="B102" s="42">
        <v>0.17063762196505558</v>
      </c>
      <c r="C102" s="42">
        <v>1.4707730986800754E-2</v>
      </c>
      <c r="D102" s="175">
        <v>0.28125</v>
      </c>
      <c r="E102" s="175">
        <v>6.8</v>
      </c>
      <c r="F102" s="175">
        <v>4.1500000000000004</v>
      </c>
      <c r="G102" s="175" t="e">
        <f>VLOOKUP(A102,Overall!$1:$1048576,33,FALSE)</f>
        <v>#N/A</v>
      </c>
      <c r="H102" s="175">
        <v>5.4492753623188408</v>
      </c>
      <c r="I102" s="176">
        <v>752</v>
      </c>
      <c r="J102" s="176">
        <v>138</v>
      </c>
    </row>
    <row r="103" spans="1:10" ht="15.75" customHeight="1" x14ac:dyDescent="0.2">
      <c r="A103" s="34" t="s">
        <v>69</v>
      </c>
      <c r="B103" s="42">
        <v>0.15311735255158168</v>
      </c>
      <c r="C103" s="42">
        <v>3.9518369867242976E-2</v>
      </c>
      <c r="D103" s="175">
        <v>0.37349397590361444</v>
      </c>
      <c r="E103" s="175">
        <v>6.7</v>
      </c>
      <c r="F103" s="175">
        <v>4</v>
      </c>
      <c r="G103" s="175" t="e">
        <f>VLOOKUP(A103,Overall!$1:$1048576,33,FALSE)</f>
        <v>#N/A</v>
      </c>
      <c r="H103" s="175">
        <v>7.104166666666667</v>
      </c>
      <c r="I103" s="176">
        <v>682</v>
      </c>
      <c r="J103" s="176">
        <v>96</v>
      </c>
    </row>
    <row r="104" spans="1:10" ht="15.75" customHeight="1" x14ac:dyDescent="0.2">
      <c r="A104" s="34" t="s">
        <v>275</v>
      </c>
      <c r="B104" s="42">
        <v>0.27153404429860539</v>
      </c>
      <c r="C104" s="42">
        <v>7.8208955223880605E-2</v>
      </c>
      <c r="D104" s="175">
        <v>0.21568627450980393</v>
      </c>
      <c r="E104" s="175">
        <v>6.1</v>
      </c>
      <c r="F104" s="175">
        <v>4.1100000000000003</v>
      </c>
      <c r="G104" s="175" t="e">
        <f>VLOOKUP(A104,Overall!$1:$1048576,33,FALSE)</f>
        <v>#N/A</v>
      </c>
      <c r="H104" s="175">
        <v>5.4937759336099585</v>
      </c>
      <c r="I104" s="176">
        <v>1324</v>
      </c>
      <c r="J104" s="176">
        <v>241</v>
      </c>
    </row>
    <row r="105" spans="1:10" ht="15.75" customHeight="1" x14ac:dyDescent="0.2">
      <c r="A105" s="34" t="s">
        <v>124</v>
      </c>
      <c r="B105" s="42">
        <v>1.4904809619238476E-2</v>
      </c>
      <c r="C105" s="42">
        <v>4.9930898321816387E-2</v>
      </c>
      <c r="D105" s="175">
        <v>0.45454545454545453</v>
      </c>
      <c r="E105" s="175">
        <v>6.2</v>
      </c>
      <c r="F105" s="175">
        <v>3.89</v>
      </c>
      <c r="G105" s="175" t="e">
        <f>VLOOKUP(A105,Overall!$1:$1048576,33,FALSE)</f>
        <v>#N/A</v>
      </c>
      <c r="H105" s="175">
        <v>10.818181818181818</v>
      </c>
      <c r="I105" s="176">
        <v>119</v>
      </c>
      <c r="J105" s="176">
        <v>11</v>
      </c>
    </row>
    <row r="106" spans="1:10" ht="15.75" customHeight="1" x14ac:dyDescent="0.2">
      <c r="A106" s="34" t="s">
        <v>325</v>
      </c>
      <c r="B106" s="42">
        <v>0.3404381290704559</v>
      </c>
      <c r="C106" s="42">
        <v>2.1105951878429716E-2</v>
      </c>
      <c r="D106" s="175">
        <v>0.21875</v>
      </c>
      <c r="E106" s="175">
        <v>5.4</v>
      </c>
      <c r="F106" s="175">
        <v>4.9000000000000004</v>
      </c>
      <c r="G106" s="175" t="e">
        <f>VLOOKUP(A106,Overall!$1:$1048576,33,FALSE)</f>
        <v>#N/A</v>
      </c>
      <c r="H106" s="175">
        <v>5.2752293577981648</v>
      </c>
      <c r="I106" s="176">
        <v>1725</v>
      </c>
      <c r="J106" s="176">
        <v>327</v>
      </c>
    </row>
    <row r="107" spans="1:10" ht="15.75" customHeight="1" x14ac:dyDescent="0.2">
      <c r="A107" s="34" t="s">
        <v>108</v>
      </c>
      <c r="B107" s="42">
        <v>0.23204134366925064</v>
      </c>
      <c r="C107" s="42">
        <v>1.9613425232244533E-2</v>
      </c>
      <c r="D107" s="175">
        <v>0.17374517374517376</v>
      </c>
      <c r="E107" s="175">
        <v>6.2</v>
      </c>
      <c r="F107" s="175">
        <v>3.57</v>
      </c>
      <c r="G107" s="175" t="e">
        <f>VLOOKUP(A107,Overall!$1:$1048576,33,FALSE)</f>
        <v>#N/A</v>
      </c>
      <c r="H107" s="175">
        <v>5.1412213740458013</v>
      </c>
      <c r="I107" s="176">
        <v>1347</v>
      </c>
      <c r="J107" s="176">
        <v>262</v>
      </c>
    </row>
    <row r="108" spans="1:10" ht="15.75" customHeight="1" x14ac:dyDescent="0.2">
      <c r="A108" s="34" t="s">
        <v>252</v>
      </c>
      <c r="B108" s="42">
        <v>0.17610126242277729</v>
      </c>
      <c r="C108" s="42">
        <v>4.1353906032805109E-2</v>
      </c>
      <c r="D108" s="175">
        <v>0.24305555555555555</v>
      </c>
      <c r="E108" s="175">
        <v>7</v>
      </c>
      <c r="F108" s="175">
        <v>4.3</v>
      </c>
      <c r="G108" s="175" t="e">
        <f>VLOOKUP(A108,Overall!$1:$1048576,33,FALSE)</f>
        <v>#N/A</v>
      </c>
      <c r="H108" s="175">
        <v>6.7243589743589745</v>
      </c>
      <c r="I108" s="176">
        <v>1049</v>
      </c>
      <c r="J108" s="176">
        <v>156</v>
      </c>
    </row>
    <row r="109" spans="1:10" ht="15.75" customHeight="1" x14ac:dyDescent="0.2">
      <c r="A109" s="34" t="s">
        <v>87</v>
      </c>
      <c r="B109" s="42">
        <v>0.21044570378312147</v>
      </c>
      <c r="C109" s="42">
        <v>1.1307953260459858E-2</v>
      </c>
      <c r="D109" s="175">
        <v>0.23766816143497757</v>
      </c>
      <c r="E109" s="175">
        <v>6</v>
      </c>
      <c r="F109" s="175">
        <v>3.76</v>
      </c>
      <c r="G109" s="175" t="e">
        <f>VLOOKUP(A109,Overall!$1:$1048576,33,FALSE)</f>
        <v>#N/A</v>
      </c>
      <c r="H109" s="175">
        <v>6.0528634361233484</v>
      </c>
      <c r="I109" s="176">
        <v>1374</v>
      </c>
      <c r="J109" s="176">
        <v>227</v>
      </c>
    </row>
    <row r="110" spans="1:10" ht="15.75" customHeight="1" x14ac:dyDescent="0.2">
      <c r="A110" s="34" t="s">
        <v>341</v>
      </c>
      <c r="B110" s="42">
        <v>0.27719626168224298</v>
      </c>
      <c r="C110" s="42">
        <v>5.3849222177901876E-2</v>
      </c>
      <c r="D110" s="175">
        <v>0.1492063492063492</v>
      </c>
      <c r="E110" s="175">
        <v>6.5</v>
      </c>
      <c r="F110" s="175">
        <v>2.77</v>
      </c>
      <c r="G110" s="175" t="e">
        <f>VLOOKUP(A110,Overall!$1:$1048576,33,FALSE)</f>
        <v>#N/A</v>
      </c>
      <c r="H110" s="175">
        <v>4.5490797546012267</v>
      </c>
      <c r="I110" s="176">
        <v>1483</v>
      </c>
      <c r="J110" s="176">
        <v>326</v>
      </c>
    </row>
    <row r="111" spans="1:10" ht="15.75" customHeight="1" x14ac:dyDescent="0.2">
      <c r="A111" s="34" t="s">
        <v>356</v>
      </c>
      <c r="B111" s="42">
        <v>0.17127564674397858</v>
      </c>
      <c r="C111" s="42">
        <v>3.1726662599145819E-2</v>
      </c>
      <c r="D111" s="175">
        <v>0.22916666666666666</v>
      </c>
      <c r="E111" s="175">
        <v>5.9</v>
      </c>
      <c r="F111" s="175">
        <v>3.81</v>
      </c>
      <c r="G111" s="175" t="e">
        <f>VLOOKUP(A111,Overall!$1:$1048576,33,FALSE)</f>
        <v>#N/A</v>
      </c>
      <c r="H111" s="175">
        <v>6.0377358490566042</v>
      </c>
      <c r="I111" s="176">
        <v>960</v>
      </c>
      <c r="J111" s="176">
        <v>159</v>
      </c>
    </row>
    <row r="112" spans="1:10" ht="15.75" customHeight="1" x14ac:dyDescent="0.2">
      <c r="A112" s="34" t="s">
        <v>248</v>
      </c>
      <c r="B112" s="42">
        <v>0.25643753990210683</v>
      </c>
      <c r="C112" s="42">
        <v>7.5509388733519769E-2</v>
      </c>
      <c r="D112" s="175">
        <v>0.3146067415730337</v>
      </c>
      <c r="E112" s="175">
        <v>5.7</v>
      </c>
      <c r="F112" s="175">
        <v>3.63</v>
      </c>
      <c r="G112" s="175" t="e">
        <f>VLOOKUP(A112,Overall!$1:$1048576,33,FALSE)</f>
        <v>#N/A</v>
      </c>
      <c r="H112" s="175">
        <v>5.9359605911330053</v>
      </c>
      <c r="I112" s="176">
        <v>1205</v>
      </c>
      <c r="J112" s="176">
        <v>203</v>
      </c>
    </row>
    <row r="113" spans="1:10" ht="15.75" customHeight="1" x14ac:dyDescent="0.2">
      <c r="A113" s="34" t="s">
        <v>95</v>
      </c>
      <c r="B113" s="42">
        <v>0.29807692307692307</v>
      </c>
      <c r="C113" s="42">
        <v>9.0789473684210531E-2</v>
      </c>
      <c r="D113" s="175">
        <v>0.13636363636363635</v>
      </c>
      <c r="E113" s="175">
        <v>5.0999999999999996</v>
      </c>
      <c r="F113" s="175">
        <v>3.6</v>
      </c>
      <c r="G113" s="175" t="e">
        <f>VLOOKUP(A113,Overall!$1:$1048576,33,FALSE)</f>
        <v>#N/A</v>
      </c>
      <c r="H113" s="175">
        <v>4.790909090909091</v>
      </c>
      <c r="I113" s="176">
        <v>1581</v>
      </c>
      <c r="J113" s="176">
        <v>330</v>
      </c>
    </row>
    <row r="114" spans="1:10" ht="15.75" customHeight="1" x14ac:dyDescent="0.2">
      <c r="A114" s="34" t="s">
        <v>105</v>
      </c>
      <c r="B114" s="42">
        <v>0.13729246487867178</v>
      </c>
      <c r="C114" s="42">
        <v>4.2027194066749075E-2</v>
      </c>
      <c r="D114" s="175">
        <v>0.1476510067114094</v>
      </c>
      <c r="E114" s="175">
        <v>7.4</v>
      </c>
      <c r="F114" s="175">
        <v>4.84</v>
      </c>
      <c r="G114" s="175" t="e">
        <f>VLOOKUP(A114,Overall!$1:$1048576,33,FALSE)</f>
        <v>#N/A</v>
      </c>
      <c r="H114" s="175">
        <v>6.9805194805194803</v>
      </c>
      <c r="I114" s="176">
        <v>1075</v>
      </c>
      <c r="J114" s="176">
        <v>154</v>
      </c>
    </row>
    <row r="115" spans="1:10" ht="15.75" customHeight="1" x14ac:dyDescent="0.2">
      <c r="A115" s="34" t="s">
        <v>130</v>
      </c>
      <c r="B115" s="42">
        <v>0.2575357950263753</v>
      </c>
      <c r="C115" s="42">
        <v>5.8206381144006891E-2</v>
      </c>
      <c r="D115" s="175">
        <v>0.32900432900432902</v>
      </c>
      <c r="E115" s="175">
        <v>4.9000000000000004</v>
      </c>
      <c r="F115" s="175">
        <v>3.91</v>
      </c>
      <c r="G115" s="175" t="e">
        <f>VLOOKUP(A115,Overall!$1:$1048576,33,FALSE)</f>
        <v>#N/A</v>
      </c>
      <c r="H115" s="175">
        <v>5.2375478927203067</v>
      </c>
      <c r="I115" s="176">
        <v>1367</v>
      </c>
      <c r="J115" s="176">
        <v>261</v>
      </c>
    </row>
    <row r="116" spans="1:10" ht="15.75" customHeight="1" x14ac:dyDescent="0.2">
      <c r="A116" s="34" t="s">
        <v>117</v>
      </c>
      <c r="B116" s="42">
        <v>0.15349123346662566</v>
      </c>
      <c r="C116" s="42">
        <v>1.541708043694141E-2</v>
      </c>
      <c r="D116" s="175">
        <v>0.21518987341772153</v>
      </c>
      <c r="E116" s="175">
        <v>5.9</v>
      </c>
      <c r="F116" s="175">
        <v>3.19</v>
      </c>
      <c r="G116" s="175" t="e">
        <f>VLOOKUP(A116,Overall!$1:$1048576,33,FALSE)</f>
        <v>#N/A</v>
      </c>
      <c r="H116" s="175">
        <v>6.0484848484848488</v>
      </c>
      <c r="I116" s="176">
        <v>998</v>
      </c>
      <c r="J116" s="176">
        <v>165</v>
      </c>
    </row>
    <row r="117" spans="1:10" ht="15.75" customHeight="1" x14ac:dyDescent="0.2">
      <c r="A117" s="34" t="s">
        <v>268</v>
      </c>
      <c r="B117" s="42">
        <v>0.32976746294365622</v>
      </c>
      <c r="C117" s="42">
        <v>0.11778391740584558</v>
      </c>
      <c r="D117" s="175">
        <v>0.25888324873096447</v>
      </c>
      <c r="E117" s="175">
        <v>5.7</v>
      </c>
      <c r="F117" s="175">
        <v>3.81</v>
      </c>
      <c r="G117" s="175" t="e">
        <f>VLOOKUP(A117,Overall!$1:$1048576,33,FALSE)</f>
        <v>#N/A</v>
      </c>
      <c r="H117" s="175">
        <v>6.3537117903930129</v>
      </c>
      <c r="I117" s="176">
        <v>1455</v>
      </c>
      <c r="J117" s="176">
        <v>229</v>
      </c>
    </row>
    <row r="118" spans="1:10" ht="15.75" customHeight="1" x14ac:dyDescent="0.2">
      <c r="A118" s="34" t="s">
        <v>128</v>
      </c>
      <c r="B118" s="42">
        <v>0.21956368754398312</v>
      </c>
      <c r="C118" s="42">
        <v>7.5199203187250999E-2</v>
      </c>
      <c r="D118" s="175">
        <v>0.33177570093457942</v>
      </c>
      <c r="E118" s="175">
        <v>6.6</v>
      </c>
      <c r="F118" s="175">
        <v>3.65</v>
      </c>
      <c r="G118" s="175" t="e">
        <f>VLOOKUP(A118,Overall!$1:$1048576,33,FALSE)</f>
        <v>#N/A</v>
      </c>
      <c r="H118" s="175">
        <v>6.95910780669145</v>
      </c>
      <c r="I118" s="176">
        <v>1872</v>
      </c>
      <c r="J118" s="176">
        <v>269</v>
      </c>
    </row>
    <row r="119" spans="1:10" ht="15.75" customHeight="1" x14ac:dyDescent="0.2">
      <c r="A119" s="34" t="s">
        <v>231</v>
      </c>
      <c r="B119" s="42">
        <v>0.2563789152024446</v>
      </c>
      <c r="C119" s="42">
        <v>7.8886310904872387E-2</v>
      </c>
      <c r="D119" s="175">
        <v>0.26804123711340205</v>
      </c>
      <c r="E119" s="175">
        <v>7</v>
      </c>
      <c r="F119" s="175">
        <v>4.1500000000000004</v>
      </c>
      <c r="G119" s="175" t="e">
        <f>VLOOKUP(A119,Overall!$1:$1048576,33,FALSE)</f>
        <v>#N/A</v>
      </c>
      <c r="H119" s="175">
        <v>7.2640692640692643</v>
      </c>
      <c r="I119" s="176">
        <v>1678</v>
      </c>
      <c r="J119" s="176">
        <v>231</v>
      </c>
    </row>
    <row r="120" spans="1:10" ht="15.75" customHeight="1" x14ac:dyDescent="0.2">
      <c r="A120" s="34" t="s">
        <v>131</v>
      </c>
      <c r="B120" s="42">
        <v>0.29953379953379955</v>
      </c>
      <c r="C120" s="42">
        <v>0.10321619077502353</v>
      </c>
      <c r="D120" s="175">
        <v>0.38034188034188032</v>
      </c>
      <c r="E120" s="175">
        <v>6.1</v>
      </c>
      <c r="F120" s="175">
        <v>4.45</v>
      </c>
      <c r="G120" s="175" t="e">
        <f>VLOOKUP(A120,Overall!$1:$1048576,33,FALSE)</f>
        <v>#N/A</v>
      </c>
      <c r="H120" s="175">
        <v>6.8664122137404577</v>
      </c>
      <c r="I120" s="176">
        <v>1799</v>
      </c>
      <c r="J120" s="176">
        <v>262</v>
      </c>
    </row>
    <row r="121" spans="1:10" ht="15.75" customHeight="1" x14ac:dyDescent="0.2">
      <c r="A121" s="34" t="s">
        <v>257</v>
      </c>
      <c r="B121" s="42">
        <v>0.2981225109046084</v>
      </c>
      <c r="C121" s="42">
        <v>4.5388601036269433E-2</v>
      </c>
      <c r="D121" s="175">
        <v>0.1908713692946058</v>
      </c>
      <c r="E121" s="175">
        <v>5.9</v>
      </c>
      <c r="F121" s="175">
        <v>3.6</v>
      </c>
      <c r="G121" s="175" t="e">
        <f>VLOOKUP(A121,Overall!$1:$1048576,33,FALSE)</f>
        <v>#N/A</v>
      </c>
      <c r="H121" s="175">
        <v>6.2134387351778653</v>
      </c>
      <c r="I121" s="176">
        <v>1572</v>
      </c>
      <c r="J121" s="176">
        <v>253</v>
      </c>
    </row>
    <row r="122" spans="1:10" ht="15.75" customHeight="1" x14ac:dyDescent="0.2">
      <c r="A122" s="34" t="s">
        <v>145</v>
      </c>
      <c r="B122" s="42">
        <v>0.32320055904961564</v>
      </c>
      <c r="C122" s="42">
        <v>3.8505747126436778E-2</v>
      </c>
      <c r="D122" s="175">
        <v>0.20300751879699247</v>
      </c>
      <c r="E122" s="175">
        <v>6.5</v>
      </c>
      <c r="F122" s="175">
        <v>3.67</v>
      </c>
      <c r="G122" s="175" t="e">
        <f>VLOOKUP(A122,Overall!$1:$1048576,33,FALSE)</f>
        <v>#N/A</v>
      </c>
      <c r="H122" s="175">
        <v>6.5140845070422539</v>
      </c>
      <c r="I122" s="176">
        <v>925</v>
      </c>
      <c r="J122" s="176">
        <v>142</v>
      </c>
    </row>
    <row r="123" spans="1:10" ht="15.75" customHeight="1" x14ac:dyDescent="0.2">
      <c r="A123" s="34" t="s">
        <v>91</v>
      </c>
      <c r="B123" s="42">
        <v>0.21505193257279073</v>
      </c>
      <c r="C123" s="42">
        <v>3.8212290502793296E-2</v>
      </c>
      <c r="D123" s="175">
        <v>0.18877551020408162</v>
      </c>
      <c r="E123" s="175">
        <v>5.7</v>
      </c>
      <c r="F123" s="175">
        <v>3.76</v>
      </c>
      <c r="G123" s="175" t="e">
        <f>VLOOKUP(A123,Overall!$1:$1048576,33,FALSE)</f>
        <v>#N/A</v>
      </c>
      <c r="H123" s="175">
        <v>5.6891891891891895</v>
      </c>
      <c r="I123" s="176">
        <v>1263</v>
      </c>
      <c r="J123" s="176">
        <v>222</v>
      </c>
    </row>
    <row r="124" spans="1:10" ht="15.75" customHeight="1" x14ac:dyDescent="0.2">
      <c r="A124" s="34" t="s">
        <v>249</v>
      </c>
      <c r="B124" s="42">
        <v>0.28594015116458432</v>
      </c>
      <c r="C124" s="42">
        <v>4.8005409060175794E-2</v>
      </c>
      <c r="D124" s="175">
        <v>0.30622009569377989</v>
      </c>
      <c r="E124" s="175">
        <v>6.4</v>
      </c>
      <c r="F124" s="175">
        <v>4.2699999999999996</v>
      </c>
      <c r="G124" s="175" t="e">
        <f>VLOOKUP(A124,Overall!$1:$1048576,33,FALSE)</f>
        <v>#N/A</v>
      </c>
      <c r="H124" s="175">
        <v>6.5619469026548671</v>
      </c>
      <c r="I124" s="176">
        <v>1483</v>
      </c>
      <c r="J124" s="176">
        <v>226</v>
      </c>
    </row>
    <row r="125" spans="1:10" ht="15.75" customHeight="1" x14ac:dyDescent="0.2">
      <c r="A125" s="34" t="s">
        <v>345</v>
      </c>
      <c r="B125" s="42">
        <v>0.1685700099304866</v>
      </c>
      <c r="C125" s="42">
        <v>1.1215791834903545E-2</v>
      </c>
      <c r="D125" s="175">
        <v>7.2289156626506021E-2</v>
      </c>
      <c r="E125" s="175">
        <v>4.5</v>
      </c>
      <c r="F125" s="175">
        <v>2.99</v>
      </c>
      <c r="G125" s="175" t="e">
        <f>VLOOKUP(A125,Overall!$1:$1048576,33,FALSE)</f>
        <v>#N/A</v>
      </c>
      <c r="H125" s="175">
        <v>3.7932960893854748</v>
      </c>
      <c r="I125" s="176">
        <v>679</v>
      </c>
      <c r="J125" s="176">
        <v>179</v>
      </c>
    </row>
    <row r="126" spans="1:10" ht="15.75" customHeight="1" x14ac:dyDescent="0.2">
      <c r="A126" s="34" t="s">
        <v>265</v>
      </c>
      <c r="B126" s="42">
        <v>0.36024844720496896</v>
      </c>
      <c r="C126" s="42">
        <v>0.21236133122028525</v>
      </c>
      <c r="D126" s="175">
        <v>0.23181818181818181</v>
      </c>
      <c r="E126" s="175">
        <v>5.0999999999999996</v>
      </c>
      <c r="F126" s="175">
        <v>3.6</v>
      </c>
      <c r="G126" s="175" t="e">
        <f>VLOOKUP(A126,Overall!$1:$1048576,33,FALSE)</f>
        <v>#N/A</v>
      </c>
      <c r="H126" s="175">
        <v>5.2919708029197077</v>
      </c>
      <c r="I126" s="176">
        <v>1450</v>
      </c>
      <c r="J126" s="176">
        <v>274</v>
      </c>
    </row>
    <row r="127" spans="1:10" ht="15.75" customHeight="1" x14ac:dyDescent="0.2">
      <c r="A127" s="34" t="s">
        <v>136</v>
      </c>
      <c r="B127" s="42">
        <v>0.29212321686996073</v>
      </c>
      <c r="C127" s="42">
        <v>9.0911901081916532E-2</v>
      </c>
      <c r="D127" s="175">
        <v>0.24505928853754941</v>
      </c>
      <c r="E127" s="175">
        <v>5.5</v>
      </c>
      <c r="F127" s="175">
        <v>3.43</v>
      </c>
      <c r="G127" s="175" t="e">
        <f>VLOOKUP(A127,Overall!$1:$1048576,33,FALSE)</f>
        <v>#N/A</v>
      </c>
      <c r="H127" s="175">
        <v>4.7898305084745765</v>
      </c>
      <c r="I127" s="176">
        <v>1413</v>
      </c>
      <c r="J127" s="176">
        <v>295</v>
      </c>
    </row>
    <row r="128" spans="1:10" ht="15.75" customHeight="1" x14ac:dyDescent="0.2">
      <c r="A128" s="34" t="s">
        <v>126</v>
      </c>
      <c r="B128" s="42">
        <v>0.37015663643858204</v>
      </c>
      <c r="C128" s="42">
        <v>8.6723768736616705E-2</v>
      </c>
      <c r="D128" s="175">
        <v>0.27187499999999998</v>
      </c>
      <c r="E128" s="175">
        <v>7.1</v>
      </c>
      <c r="F128" s="175">
        <v>4.28</v>
      </c>
      <c r="G128" s="175" t="e">
        <f>VLOOKUP(A128,Overall!$1:$1048576,33,FALSE)</f>
        <v>#N/A</v>
      </c>
      <c r="H128" s="175">
        <v>6.4884393063583818</v>
      </c>
      <c r="I128" s="176">
        <v>2245</v>
      </c>
      <c r="J128" s="176">
        <v>346</v>
      </c>
    </row>
    <row r="129" spans="1:10" ht="15.75" customHeight="1" x14ac:dyDescent="0.2">
      <c r="A129" s="34" t="s">
        <v>140</v>
      </c>
      <c r="B129" s="42">
        <v>0.22040112141470777</v>
      </c>
      <c r="C129" s="42">
        <v>4.3352223190932876E-2</v>
      </c>
      <c r="D129" s="175">
        <v>0.29078014184397161</v>
      </c>
      <c r="E129" s="175">
        <v>6.2</v>
      </c>
      <c r="F129" s="175">
        <v>4.04</v>
      </c>
      <c r="G129" s="175" t="e">
        <f>VLOOKUP(A129,Overall!$1:$1048576,33,FALSE)</f>
        <v>#N/A</v>
      </c>
      <c r="H129" s="175">
        <v>6.5095541401273884</v>
      </c>
      <c r="I129" s="176">
        <v>1022</v>
      </c>
      <c r="J129" s="176">
        <v>157</v>
      </c>
    </row>
    <row r="130" spans="1:10" ht="15.75" customHeight="1" x14ac:dyDescent="0.2">
      <c r="A130" s="34" t="s">
        <v>73</v>
      </c>
      <c r="B130" s="42">
        <v>0.27852737085582113</v>
      </c>
      <c r="C130" s="42">
        <v>2.0132141469102215E-2</v>
      </c>
      <c r="D130" s="175">
        <v>0.23504273504273504</v>
      </c>
      <c r="E130" s="175">
        <v>5.8</v>
      </c>
      <c r="F130" s="175">
        <v>3.31</v>
      </c>
      <c r="G130" s="175" t="e">
        <f>VLOOKUP(A130,Overall!$1:$1048576,33,FALSE)</f>
        <v>#N/A</v>
      </c>
      <c r="H130" s="175">
        <v>6.020833333333333</v>
      </c>
      <c r="I130" s="176">
        <v>1445</v>
      </c>
      <c r="J130" s="176">
        <v>240</v>
      </c>
    </row>
    <row r="131" spans="1:10" ht="15.75" customHeight="1" x14ac:dyDescent="0.2">
      <c r="A131" s="34" t="s">
        <v>352</v>
      </c>
      <c r="B131" s="42">
        <v>0.28276678504989006</v>
      </c>
      <c r="C131" s="42">
        <v>2.3425958494548014E-2</v>
      </c>
      <c r="D131" s="175">
        <v>0.18217054263565891</v>
      </c>
      <c r="E131" s="175">
        <v>6.2</v>
      </c>
      <c r="F131" s="175">
        <v>3.92</v>
      </c>
      <c r="G131" s="175" t="e">
        <f>VLOOKUP(A131,Overall!$1:$1048576,33,FALSE)</f>
        <v>#N/A</v>
      </c>
      <c r="H131" s="175">
        <v>6.1925925925925922</v>
      </c>
      <c r="I131" s="176">
        <v>1672</v>
      </c>
      <c r="J131" s="176">
        <v>270</v>
      </c>
    </row>
    <row r="132" spans="1:10" ht="15.75" customHeight="1" x14ac:dyDescent="0.2">
      <c r="A132" s="34" t="s">
        <v>282</v>
      </c>
      <c r="B132" s="42">
        <v>0.32986525669452499</v>
      </c>
      <c r="C132" s="42">
        <v>0.11391245334238209</v>
      </c>
      <c r="D132" s="175">
        <v>0.19587628865979381</v>
      </c>
      <c r="E132" s="175">
        <v>6</v>
      </c>
      <c r="F132" s="175">
        <v>2.97</v>
      </c>
      <c r="G132" s="175" t="e">
        <f>VLOOKUP(A132,Overall!$1:$1048576,33,FALSE)</f>
        <v>#N/A</v>
      </c>
      <c r="H132" s="175">
        <v>5.7904191616766463</v>
      </c>
      <c r="I132" s="176">
        <v>1934</v>
      </c>
      <c r="J132" s="176">
        <v>334</v>
      </c>
    </row>
    <row r="133" spans="1:10" ht="15.75" customHeight="1" x14ac:dyDescent="0.2">
      <c r="A133" s="34" t="s">
        <v>300</v>
      </c>
      <c r="B133" s="42">
        <v>0.32808090310442145</v>
      </c>
      <c r="C133" s="42">
        <v>9.797699325664419E-2</v>
      </c>
      <c r="D133" s="175">
        <v>0.1484375</v>
      </c>
      <c r="E133" s="175">
        <v>5.4</v>
      </c>
      <c r="F133" s="175">
        <v>3.26</v>
      </c>
      <c r="G133" s="175" t="e">
        <f>VLOOKUP(A133,Overall!$1:$1048576,33,FALSE)</f>
        <v>#N/A</v>
      </c>
      <c r="H133" s="175">
        <v>4.8606271777003487</v>
      </c>
      <c r="I133" s="176">
        <v>1395</v>
      </c>
      <c r="J133" s="176">
        <v>287</v>
      </c>
    </row>
    <row r="134" spans="1:10" ht="15.75" customHeight="1" x14ac:dyDescent="0.2">
      <c r="A134" s="34" t="s">
        <v>151</v>
      </c>
      <c r="B134" s="42">
        <v>7.8033137359700688E-2</v>
      </c>
      <c r="C134" s="42">
        <v>7.1801166001841055E-2</v>
      </c>
      <c r="D134" s="175">
        <v>0.2</v>
      </c>
      <c r="E134" s="175">
        <v>5.5</v>
      </c>
      <c r="F134" s="175">
        <v>3.05</v>
      </c>
      <c r="G134" s="175" t="e">
        <f>VLOOKUP(A134,Overall!$1:$1048576,33,FALSE)</f>
        <v>#N/A</v>
      </c>
      <c r="H134" s="175">
        <v>7.6842105263157894</v>
      </c>
      <c r="I134" s="176">
        <v>292</v>
      </c>
      <c r="J134" s="176">
        <v>38</v>
      </c>
    </row>
    <row r="135" spans="1:10" ht="15.75" customHeight="1" x14ac:dyDescent="0.2">
      <c r="A135" s="34" t="s">
        <v>97</v>
      </c>
      <c r="B135" s="42">
        <v>0.32717391304347826</v>
      </c>
      <c r="C135" s="42">
        <v>8.1640499839794933E-2</v>
      </c>
      <c r="D135" s="175">
        <v>0.20564516129032259</v>
      </c>
      <c r="E135" s="175">
        <v>5.7</v>
      </c>
      <c r="F135" s="175">
        <v>3.15</v>
      </c>
      <c r="G135" s="175" t="e">
        <f>VLOOKUP(A135,Overall!$1:$1048576,33,FALSE)</f>
        <v>#N/A</v>
      </c>
      <c r="H135" s="175">
        <v>6.270833333333333</v>
      </c>
      <c r="I135" s="176">
        <v>1806</v>
      </c>
      <c r="J135" s="176">
        <v>288</v>
      </c>
    </row>
    <row r="136" spans="1:10" ht="15.75" customHeight="1" x14ac:dyDescent="0.2">
      <c r="A136" s="34" t="s">
        <v>346</v>
      </c>
      <c r="B136" s="42">
        <v>0.14900291283889761</v>
      </c>
      <c r="C136" s="42">
        <v>6.2617172853393327E-2</v>
      </c>
      <c r="D136" s="175">
        <v>0.20754716981132076</v>
      </c>
      <c r="E136" s="175">
        <v>5.3</v>
      </c>
      <c r="F136" s="175">
        <v>3.36</v>
      </c>
      <c r="G136" s="175" t="e">
        <f>VLOOKUP(A136,Overall!$1:$1048576,33,FALSE)</f>
        <v>#N/A</v>
      </c>
      <c r="H136" s="175">
        <v>5.1953125</v>
      </c>
      <c r="I136" s="176">
        <v>665</v>
      </c>
      <c r="J136" s="176">
        <v>128</v>
      </c>
    </row>
    <row r="137" spans="1:10" ht="15.75" customHeight="1" x14ac:dyDescent="0.2">
      <c r="A137" s="34" t="s">
        <v>357</v>
      </c>
      <c r="B137" s="42">
        <v>0.21706645694062132</v>
      </c>
      <c r="C137" s="42">
        <v>2.552149178255373E-2</v>
      </c>
      <c r="D137" s="175">
        <v>0.16042780748663102</v>
      </c>
      <c r="E137" s="175">
        <v>5.7</v>
      </c>
      <c r="F137" s="175">
        <v>3.47</v>
      </c>
      <c r="G137" s="175" t="e">
        <f>VLOOKUP(A137,Overall!$1:$1048576,33,FALSE)</f>
        <v>#N/A</v>
      </c>
      <c r="H137" s="175">
        <v>5.4117647058823533</v>
      </c>
      <c r="I137" s="176">
        <v>1104</v>
      </c>
      <c r="J137" s="176">
        <v>204</v>
      </c>
    </row>
    <row r="138" spans="1:10" ht="15.75" customHeight="1" x14ac:dyDescent="0.2">
      <c r="A138" s="34" t="s">
        <v>338</v>
      </c>
      <c r="B138" s="42">
        <v>0.31876883340507967</v>
      </c>
      <c r="C138" s="42">
        <v>8.6040357260999012E-2</v>
      </c>
      <c r="D138" s="175">
        <v>0.20465116279069767</v>
      </c>
      <c r="E138" s="175">
        <v>5.5</v>
      </c>
      <c r="F138" s="175">
        <v>3.56</v>
      </c>
      <c r="G138" s="175" t="e">
        <f>VLOOKUP(A138,Overall!$1:$1048576,33,FALSE)</f>
        <v>#N/A</v>
      </c>
      <c r="H138" s="175">
        <v>5.8769841269841274</v>
      </c>
      <c r="I138" s="176">
        <v>1481</v>
      </c>
      <c r="J138" s="176">
        <v>252</v>
      </c>
    </row>
    <row r="139" spans="1:10" ht="15.75" customHeight="1" x14ac:dyDescent="0.2">
      <c r="A139" s="34" t="s">
        <v>318</v>
      </c>
      <c r="B139" s="42">
        <v>0.18129545070184339</v>
      </c>
      <c r="C139" s="42">
        <v>9.3070699964825893E-2</v>
      </c>
      <c r="D139" s="175">
        <v>0.33333333333333331</v>
      </c>
      <c r="E139" s="175">
        <v>5.2</v>
      </c>
      <c r="F139" s="175">
        <v>3.42</v>
      </c>
      <c r="G139" s="175" t="e">
        <f>VLOOKUP(A139,Overall!$1:$1048576,33,FALSE)</f>
        <v>#N/A</v>
      </c>
      <c r="H139" s="175">
        <v>6.0909090909090908</v>
      </c>
      <c r="I139" s="176">
        <v>1072</v>
      </c>
      <c r="J139" s="176">
        <v>176</v>
      </c>
    </row>
    <row r="140" spans="1:10" ht="15.75" customHeight="1" x14ac:dyDescent="0.2">
      <c r="A140" s="34" t="s">
        <v>260</v>
      </c>
      <c r="B140" s="42">
        <v>0.37987012987012986</v>
      </c>
      <c r="C140" s="42">
        <v>8.7177624409734839E-2</v>
      </c>
      <c r="D140" s="175">
        <v>0.24924012158054712</v>
      </c>
      <c r="E140" s="175">
        <v>5.9</v>
      </c>
      <c r="F140" s="175">
        <v>4.1399999999999997</v>
      </c>
      <c r="G140" s="175" t="e">
        <f>VLOOKUP(A140,Overall!$1:$1048576,33,FALSE)</f>
        <v>#N/A</v>
      </c>
      <c r="H140" s="175">
        <v>5.2584269662921352</v>
      </c>
      <c r="I140" s="176">
        <v>1872</v>
      </c>
      <c r="J140" s="176">
        <v>356</v>
      </c>
    </row>
    <row r="141" spans="1:10" ht="15.75" customHeight="1" x14ac:dyDescent="0.2">
      <c r="A141" s="34" t="s">
        <v>336</v>
      </c>
      <c r="B141" s="42">
        <v>0.18092499400910617</v>
      </c>
      <c r="C141" s="42">
        <v>2.9767251939567169E-2</v>
      </c>
      <c r="D141" s="175">
        <v>0.21604938271604937</v>
      </c>
      <c r="E141" s="175">
        <v>4.2</v>
      </c>
      <c r="F141" s="175">
        <v>3.28</v>
      </c>
      <c r="G141" s="175" t="e">
        <f>VLOOKUP(A141,Overall!$1:$1048576,33,FALSE)</f>
        <v>#N/A</v>
      </c>
      <c r="H141" s="175">
        <v>4.4152046783625734</v>
      </c>
      <c r="I141" s="176">
        <v>755</v>
      </c>
      <c r="J141" s="176">
        <v>171</v>
      </c>
    </row>
    <row r="142" spans="1:10" ht="15.75" customHeight="1" x14ac:dyDescent="0.2">
      <c r="A142" s="34" t="s">
        <v>362</v>
      </c>
      <c r="B142" s="42">
        <v>0.11530014641288433</v>
      </c>
      <c r="C142" s="42">
        <v>8.2032547326469623E-3</v>
      </c>
      <c r="D142" s="175">
        <v>0.28999999999999998</v>
      </c>
      <c r="E142" s="175">
        <v>5.9</v>
      </c>
      <c r="F142" s="175">
        <v>4.46</v>
      </c>
      <c r="G142" s="175" t="e">
        <f>VLOOKUP(A142,Overall!$1:$1048576,33,FALSE)</f>
        <v>#N/A</v>
      </c>
      <c r="H142" s="175">
        <v>6</v>
      </c>
      <c r="I142" s="176">
        <v>630</v>
      </c>
      <c r="J142" s="176">
        <v>105</v>
      </c>
    </row>
    <row r="143" spans="1:10" ht="15.75" customHeight="1" x14ac:dyDescent="0.2">
      <c r="A143" s="34" t="s">
        <v>261</v>
      </c>
      <c r="B143" s="42">
        <v>0.23719958202716823</v>
      </c>
      <c r="C143" s="42">
        <v>3.6499766027140855E-2</v>
      </c>
      <c r="D143" s="175">
        <v>0.11627906976744186</v>
      </c>
      <c r="E143" s="175">
        <v>5.8911290322580649</v>
      </c>
      <c r="F143" s="175">
        <v>3.36</v>
      </c>
      <c r="G143" s="175" t="e">
        <f>VLOOKUP(A143,Overall!$1:$1048576,33,FALSE)</f>
        <v>#N/A</v>
      </c>
      <c r="H143" s="175">
        <v>4.9708029197080288</v>
      </c>
      <c r="I143" s="176">
        <v>1362</v>
      </c>
      <c r="J143" s="176">
        <v>274</v>
      </c>
    </row>
    <row r="144" spans="1:10" ht="15.75" customHeight="1" x14ac:dyDescent="0.2">
      <c r="A144" s="34" t="s">
        <v>125</v>
      </c>
      <c r="B144" s="42">
        <v>0.14190450786876502</v>
      </c>
      <c r="C144" s="42">
        <v>2.1568627450980392E-2</v>
      </c>
      <c r="D144" s="175">
        <v>0.20930232558139536</v>
      </c>
      <c r="E144" s="175">
        <v>6.2</v>
      </c>
      <c r="F144" s="175">
        <v>3.65</v>
      </c>
      <c r="G144" s="175" t="e">
        <f>VLOOKUP(A144,Overall!$1:$1048576,33,FALSE)</f>
        <v>#N/A</v>
      </c>
      <c r="H144" s="175">
        <v>6.1502890173410405</v>
      </c>
      <c r="I144" s="176">
        <v>1064</v>
      </c>
      <c r="J144" s="176">
        <v>173</v>
      </c>
    </row>
    <row r="145" spans="1:10" ht="15.75" customHeight="1" x14ac:dyDescent="0.2">
      <c r="A145" s="34" t="s">
        <v>371</v>
      </c>
      <c r="B145" s="42">
        <v>8.0930703085483058E-2</v>
      </c>
      <c r="C145" s="42">
        <v>1.5639122014202714E-2</v>
      </c>
      <c r="D145" s="175">
        <v>0.16455696202531644</v>
      </c>
      <c r="E145" s="175">
        <v>5.4</v>
      </c>
      <c r="F145" s="175">
        <v>3.08</v>
      </c>
      <c r="G145" s="175" t="e">
        <f>VLOOKUP(A145,Overall!$1:$1048576,33,FALSE)</f>
        <v>#N/A</v>
      </c>
      <c r="H145" s="175">
        <v>5.5813953488372094</v>
      </c>
      <c r="I145" s="176">
        <v>480</v>
      </c>
      <c r="J145" s="176">
        <v>86</v>
      </c>
    </row>
    <row r="146" spans="1:10" ht="15.75" customHeight="1" x14ac:dyDescent="0.2">
      <c r="A146" s="34" t="s">
        <v>240</v>
      </c>
      <c r="B146" s="42">
        <v>0.26542974339406661</v>
      </c>
      <c r="C146" s="42">
        <v>5.4083064982247547E-2</v>
      </c>
      <c r="D146" s="175">
        <v>0.27071823204419887</v>
      </c>
      <c r="E146" s="175">
        <v>5.4</v>
      </c>
      <c r="F146" s="175">
        <v>3.77</v>
      </c>
      <c r="G146" s="175" t="e">
        <f>VLOOKUP(A146,Overall!$1:$1048576,33,FALSE)</f>
        <v>#N/A</v>
      </c>
      <c r="H146" s="175">
        <v>5.3253588516746415</v>
      </c>
      <c r="I146" s="176">
        <v>1113</v>
      </c>
      <c r="J146" s="176">
        <v>209</v>
      </c>
    </row>
    <row r="147" spans="1:10" ht="15.75" customHeight="1" x14ac:dyDescent="0.2">
      <c r="A147" s="34" t="s">
        <v>234</v>
      </c>
      <c r="B147" s="42">
        <v>0.37166405023547883</v>
      </c>
      <c r="C147" s="42">
        <v>4.1213768115942025E-2</v>
      </c>
      <c r="D147" s="175">
        <v>0.25552050473186122</v>
      </c>
      <c r="E147" s="175">
        <v>5.4</v>
      </c>
      <c r="F147" s="175">
        <v>3.48</v>
      </c>
      <c r="G147" s="175" t="e">
        <f>VLOOKUP(A147,Overall!$1:$1048576,33,FALSE)</f>
        <v>#N/A</v>
      </c>
      <c r="H147" s="175">
        <v>5.7393939393939393</v>
      </c>
      <c r="I147" s="176">
        <v>1894</v>
      </c>
      <c r="J147" s="176">
        <v>330</v>
      </c>
    </row>
    <row r="148" spans="1:10" ht="15.75" customHeight="1" x14ac:dyDescent="0.2">
      <c r="A148" s="34" t="s">
        <v>134</v>
      </c>
      <c r="B148" s="42">
        <v>0.23233360723089563</v>
      </c>
      <c r="C148" s="42">
        <v>1.9683626875407697E-2</v>
      </c>
      <c r="D148" s="175">
        <v>0.19213973799126638</v>
      </c>
      <c r="E148" s="175">
        <v>5.5</v>
      </c>
      <c r="F148" s="175">
        <v>2.85</v>
      </c>
      <c r="G148" s="175" t="e">
        <f>VLOOKUP(A148,Overall!$1:$1048576,33,FALSE)</f>
        <v>#N/A</v>
      </c>
      <c r="H148" s="175">
        <v>4.7125000000000004</v>
      </c>
      <c r="I148" s="176">
        <v>1131</v>
      </c>
      <c r="J148" s="176">
        <v>240</v>
      </c>
    </row>
    <row r="149" spans="1:10" ht="15.75" customHeight="1" x14ac:dyDescent="0.2">
      <c r="A149" s="34" t="s">
        <v>119</v>
      </c>
      <c r="B149" s="42">
        <v>0.21656649135987979</v>
      </c>
      <c r="C149" s="42">
        <v>1.1040339702760084E-2</v>
      </c>
      <c r="D149" s="175">
        <v>0.14761904761904762</v>
      </c>
      <c r="E149" s="175">
        <v>5.2</v>
      </c>
      <c r="F149" s="175">
        <v>3.34</v>
      </c>
      <c r="G149" s="175" t="e">
        <f>VLOOKUP(A149,Overall!$1:$1048576,33,FALSE)</f>
        <v>#N/A</v>
      </c>
      <c r="H149" s="175">
        <v>5.4644549763033172</v>
      </c>
      <c r="I149" s="176">
        <v>1153</v>
      </c>
      <c r="J149" s="176">
        <v>211</v>
      </c>
    </row>
    <row r="150" spans="1:10" ht="15.75" customHeight="1" x14ac:dyDescent="0.2">
      <c r="A150" s="34" t="s">
        <v>332</v>
      </c>
      <c r="B150" s="42">
        <v>0.20357901845121057</v>
      </c>
      <c r="C150" s="42">
        <v>9.6257274457346179E-2</v>
      </c>
      <c r="D150" s="175">
        <v>0.20422535211267606</v>
      </c>
      <c r="E150" s="175">
        <v>5.2834224598930479</v>
      </c>
      <c r="F150" s="175">
        <v>3.76</v>
      </c>
      <c r="G150" s="175" t="e">
        <f>VLOOKUP(A150,Overall!$1:$1048576,33,FALSE)</f>
        <v>#N/A</v>
      </c>
      <c r="H150" s="175">
        <v>5.6944444444444446</v>
      </c>
      <c r="I150" s="176">
        <v>1025</v>
      </c>
      <c r="J150" s="176">
        <v>180</v>
      </c>
    </row>
    <row r="151" spans="1:10" ht="15.75" customHeight="1" x14ac:dyDescent="0.2">
      <c r="A151" s="34" t="s">
        <v>251</v>
      </c>
      <c r="B151" s="42">
        <v>0.15085817524841916</v>
      </c>
      <c r="C151" s="42">
        <v>7.2525145579671782E-2</v>
      </c>
      <c r="D151" s="175">
        <v>0.22123893805309736</v>
      </c>
      <c r="E151" s="175">
        <v>6.7</v>
      </c>
      <c r="F151" s="175">
        <v>3.91</v>
      </c>
      <c r="G151" s="175" t="e">
        <f>VLOOKUP(A151,Overall!$1:$1048576,33,FALSE)</f>
        <v>#N/A</v>
      </c>
      <c r="H151" s="175">
        <v>7.1571428571428575</v>
      </c>
      <c r="I151" s="176">
        <v>1002</v>
      </c>
      <c r="J151" s="176">
        <v>140</v>
      </c>
    </row>
    <row r="152" spans="1:10" ht="15.75" customHeight="1" x14ac:dyDescent="0.2">
      <c r="A152" s="34" t="s">
        <v>98</v>
      </c>
      <c r="B152" s="42">
        <v>0.1357142857142857</v>
      </c>
      <c r="C152" s="42">
        <v>2.3270156438026476E-2</v>
      </c>
      <c r="D152" s="175">
        <v>8.2802547770700632E-2</v>
      </c>
      <c r="E152" s="175">
        <v>4.3</v>
      </c>
      <c r="F152" s="175">
        <v>2.74</v>
      </c>
      <c r="G152" s="175" t="e">
        <f>VLOOKUP(A152,Overall!$1:$1048576,33,FALSE)</f>
        <v>#N/A</v>
      </c>
      <c r="H152" s="175">
        <v>4.2937853107344637</v>
      </c>
      <c r="I152" s="176">
        <v>760</v>
      </c>
      <c r="J152" s="176">
        <v>177</v>
      </c>
    </row>
    <row r="153" spans="1:10" ht="15.75" customHeight="1" x14ac:dyDescent="0.2">
      <c r="A153" s="34" t="s">
        <v>309</v>
      </c>
      <c r="B153" s="42">
        <v>0.20030035667354984</v>
      </c>
      <c r="C153" s="42">
        <v>3.7039106145251396E-2</v>
      </c>
      <c r="D153" s="175">
        <v>0.22435897435897437</v>
      </c>
      <c r="E153" s="175">
        <v>5.8</v>
      </c>
      <c r="F153" s="175">
        <v>3.71</v>
      </c>
      <c r="G153" s="175" t="e">
        <f>VLOOKUP(A153,Overall!$1:$1048576,33,FALSE)</f>
        <v>#N/A</v>
      </c>
      <c r="H153" s="175">
        <v>5.9943820224719104</v>
      </c>
      <c r="I153" s="176">
        <v>1067</v>
      </c>
      <c r="J153" s="176">
        <v>178</v>
      </c>
    </row>
    <row r="154" spans="1:10" ht="15.75" customHeight="1" x14ac:dyDescent="0.2">
      <c r="A154" s="34" t="s">
        <v>290</v>
      </c>
      <c r="B154" s="42">
        <v>0.26160337552742619</v>
      </c>
      <c r="C154" s="42">
        <v>6.47129909365559E-2</v>
      </c>
      <c r="D154" s="175">
        <v>0.27358490566037735</v>
      </c>
      <c r="E154" s="175">
        <v>6.5</v>
      </c>
      <c r="F154" s="175">
        <v>3.43</v>
      </c>
      <c r="G154" s="175" t="e">
        <f>VLOOKUP(A154,Overall!$1:$1048576,33,FALSE)</f>
        <v>#N/A</v>
      </c>
      <c r="H154" s="175">
        <v>6.5528455284552845</v>
      </c>
      <c r="I154" s="176">
        <v>1612</v>
      </c>
      <c r="J154" s="176">
        <v>246</v>
      </c>
    </row>
    <row r="155" spans="1:10" ht="15.75" customHeight="1" x14ac:dyDescent="0.2">
      <c r="A155" s="34" t="s">
        <v>264</v>
      </c>
      <c r="B155" s="42">
        <v>0.14121663563004347</v>
      </c>
      <c r="C155" s="42">
        <v>3.9768019884009936E-2</v>
      </c>
      <c r="D155" s="175">
        <v>0.48936170212765956</v>
      </c>
      <c r="E155" s="175">
        <v>5.9</v>
      </c>
      <c r="F155" s="175">
        <v>4.28</v>
      </c>
      <c r="G155" s="175" t="e">
        <f>VLOOKUP(A155,Overall!$1:$1048576,33,FALSE)</f>
        <v>#N/A</v>
      </c>
      <c r="H155" s="175">
        <v>6.7407407407407405</v>
      </c>
      <c r="I155" s="176">
        <v>728</v>
      </c>
      <c r="J155" s="176">
        <v>108</v>
      </c>
    </row>
    <row r="156" spans="1:10" ht="15.75" customHeight="1" x14ac:dyDescent="0.2">
      <c r="A156" s="34" t="s">
        <v>152</v>
      </c>
      <c r="B156" s="42">
        <v>0.24742826204656199</v>
      </c>
      <c r="C156" s="42">
        <v>4.5492957746478872E-2</v>
      </c>
      <c r="D156" s="175">
        <v>0.32183908045977011</v>
      </c>
      <c r="E156" s="175">
        <v>5.9</v>
      </c>
      <c r="F156" s="175">
        <v>4.3499999999999996</v>
      </c>
      <c r="G156" s="175" t="e">
        <f>VLOOKUP(A156,Overall!$1:$1048576,33,FALSE)</f>
        <v>#N/A</v>
      </c>
      <c r="H156" s="175">
        <v>4.6161616161616159</v>
      </c>
      <c r="I156" s="176">
        <v>457</v>
      </c>
      <c r="J156" s="176">
        <v>99</v>
      </c>
    </row>
    <row r="157" spans="1:10" ht="15.75" customHeight="1" x14ac:dyDescent="0.2">
      <c r="A157" s="34" t="s">
        <v>101</v>
      </c>
      <c r="B157" s="42">
        <v>0.30833094760950475</v>
      </c>
      <c r="C157" s="42">
        <v>0.14347408829174665</v>
      </c>
      <c r="D157" s="175">
        <v>0.20105820105820105</v>
      </c>
      <c r="E157" s="175">
        <v>6.2</v>
      </c>
      <c r="F157" s="175">
        <v>4.28</v>
      </c>
      <c r="G157" s="175" t="e">
        <f>VLOOKUP(A157,Overall!$1:$1048576,33,FALSE)</f>
        <v>#N/A</v>
      </c>
      <c r="H157" s="175">
        <v>4.7654867256637168</v>
      </c>
      <c r="I157" s="176">
        <v>1077</v>
      </c>
      <c r="J157" s="176">
        <v>226</v>
      </c>
    </row>
    <row r="158" spans="1:10" ht="15.75" customHeight="1" x14ac:dyDescent="0.2">
      <c r="A158" s="34" t="s">
        <v>310</v>
      </c>
      <c r="B158" s="42">
        <v>0.16901911738431302</v>
      </c>
      <c r="C158" s="42">
        <v>6.9053708439897693E-2</v>
      </c>
      <c r="D158" s="175">
        <v>0.18181818181818182</v>
      </c>
      <c r="E158" s="175">
        <v>6.1</v>
      </c>
      <c r="F158" s="175">
        <v>3.73</v>
      </c>
      <c r="G158" s="175" t="e">
        <f>VLOOKUP(A158,Overall!$1:$1048576,33,FALSE)</f>
        <v>#N/A</v>
      </c>
      <c r="H158" s="175">
        <v>5.4682080924855487</v>
      </c>
      <c r="I158" s="176">
        <v>946</v>
      </c>
      <c r="J158" s="176">
        <v>173</v>
      </c>
    </row>
    <row r="159" spans="1:10" ht="15.75" customHeight="1" x14ac:dyDescent="0.2">
      <c r="A159" s="34" t="s">
        <v>250</v>
      </c>
      <c r="B159" s="42">
        <v>0.21331792031829669</v>
      </c>
      <c r="C159" s="42">
        <v>6.8432648354816134E-2</v>
      </c>
      <c r="D159" s="175">
        <v>0.36898395721925131</v>
      </c>
      <c r="E159" s="175">
        <v>6.7770700636942678</v>
      </c>
      <c r="F159" s="175">
        <v>4.3600000000000003</v>
      </c>
      <c r="G159" s="175" t="e">
        <f>VLOOKUP(A159,Overall!$1:$1048576,33,FALSE)</f>
        <v>#N/A</v>
      </c>
      <c r="H159" s="175">
        <v>6.5850622406639001</v>
      </c>
      <c r="I159" s="176">
        <v>1587</v>
      </c>
      <c r="J159" s="176">
        <v>241</v>
      </c>
    </row>
    <row r="160" spans="1:10" ht="15.75" customHeight="1" x14ac:dyDescent="0.2">
      <c r="A160" s="34" t="s">
        <v>327</v>
      </c>
      <c r="B160" s="42">
        <v>0.16805721096543505</v>
      </c>
      <c r="C160" s="42">
        <v>0.1490782122905028</v>
      </c>
      <c r="D160" s="175">
        <v>0.19230769230769232</v>
      </c>
      <c r="E160" s="175">
        <v>6.1</v>
      </c>
      <c r="F160" s="175">
        <v>3.49</v>
      </c>
      <c r="G160" s="175" t="e">
        <f>VLOOKUP(A160,Overall!$1:$1048576,33,FALSE)</f>
        <v>#N/A</v>
      </c>
      <c r="H160" s="175">
        <v>6.4934210526315788</v>
      </c>
      <c r="I160" s="176">
        <v>987</v>
      </c>
      <c r="J160" s="176">
        <v>152</v>
      </c>
    </row>
    <row r="161" spans="1:10" ht="15.75" customHeight="1" x14ac:dyDescent="0.2">
      <c r="A161" s="34" t="s">
        <v>102</v>
      </c>
      <c r="B161" s="42">
        <v>0.17741575541173846</v>
      </c>
      <c r="C161" s="42">
        <v>6.9371196754563894E-2</v>
      </c>
      <c r="D161" s="175">
        <v>9.4017094017094016E-2</v>
      </c>
      <c r="E161" s="175">
        <v>5.3</v>
      </c>
      <c r="F161" s="175">
        <v>3.16</v>
      </c>
      <c r="G161" s="175" t="e">
        <f>VLOOKUP(A161,Overall!$1:$1048576,33,FALSE)</f>
        <v>#N/A</v>
      </c>
      <c r="H161" s="175">
        <v>6.2598425196850398</v>
      </c>
      <c r="I161" s="176">
        <v>795</v>
      </c>
      <c r="J161" s="176">
        <v>127</v>
      </c>
    </row>
    <row r="162" spans="1:10" ht="15.75" customHeight="1" x14ac:dyDescent="0.2">
      <c r="A162" s="34" t="s">
        <v>350</v>
      </c>
      <c r="B162" s="42">
        <v>0.15385700183330983</v>
      </c>
      <c r="C162" s="42">
        <v>3.6566147031263312E-2</v>
      </c>
      <c r="D162" s="175">
        <v>0.19863013698630136</v>
      </c>
      <c r="E162" s="175">
        <v>6.1</v>
      </c>
      <c r="F162" s="175">
        <v>3.53</v>
      </c>
      <c r="G162" s="175" t="e">
        <f>VLOOKUP(A162,Overall!$1:$1048576,33,FALSE)</f>
        <v>#N/A</v>
      </c>
      <c r="H162" s="175">
        <v>6.5329341317365266</v>
      </c>
      <c r="I162" s="176">
        <v>1091</v>
      </c>
      <c r="J162" s="176">
        <v>167</v>
      </c>
    </row>
    <row r="163" spans="1:10" ht="15.75" customHeight="1" x14ac:dyDescent="0.2">
      <c r="A163" s="34" t="s">
        <v>210</v>
      </c>
      <c r="B163" s="42">
        <v>0.33828796561604585</v>
      </c>
      <c r="C163" s="42">
        <v>9.0057361376673042E-2</v>
      </c>
      <c r="D163" s="175">
        <v>0.40466926070038911</v>
      </c>
      <c r="E163" s="175">
        <v>6.1</v>
      </c>
      <c r="F163" s="175">
        <v>4.17</v>
      </c>
      <c r="G163" s="175" t="e">
        <f>VLOOKUP(A163,Overall!$1:$1048576,33,FALSE)</f>
        <v>#N/A</v>
      </c>
      <c r="H163" s="175">
        <v>6.8442028985507246</v>
      </c>
      <c r="I163" s="176">
        <v>1889</v>
      </c>
      <c r="J163" s="176">
        <v>276</v>
      </c>
    </row>
    <row r="164" spans="1:10" ht="15.75" customHeight="1" x14ac:dyDescent="0.2">
      <c r="A164" s="34" t="s">
        <v>307</v>
      </c>
      <c r="B164" s="42">
        <v>0.19667525169749475</v>
      </c>
      <c r="C164" s="42">
        <v>5.0374490983129731E-2</v>
      </c>
      <c r="D164" s="175">
        <v>0.23353293413173654</v>
      </c>
      <c r="E164" s="175">
        <v>5.2871972318339102</v>
      </c>
      <c r="F164" s="175">
        <v>4.0199999999999996</v>
      </c>
      <c r="G164" s="175" t="e">
        <f>VLOOKUP(A164,Overall!$1:$1048576,33,FALSE)</f>
        <v>#N/A</v>
      </c>
      <c r="H164" s="175">
        <v>5.4782608695652177</v>
      </c>
      <c r="I164" s="176">
        <v>1008</v>
      </c>
      <c r="J164" s="176">
        <v>184</v>
      </c>
    </row>
    <row r="165" spans="1:10" ht="15.75" customHeight="1" x14ac:dyDescent="0.2">
      <c r="A165" s="34" t="s">
        <v>319</v>
      </c>
      <c r="B165" s="42">
        <v>0.18231155778894473</v>
      </c>
      <c r="C165" s="42">
        <v>4.0566310314937876E-2</v>
      </c>
      <c r="D165" s="175">
        <v>0.34532374100719426</v>
      </c>
      <c r="E165" s="175">
        <v>5.5</v>
      </c>
      <c r="F165" s="175">
        <v>3.41</v>
      </c>
      <c r="G165" s="175" t="e">
        <f>VLOOKUP(A165,Overall!$1:$1048576,33,FALSE)</f>
        <v>#N/A</v>
      </c>
      <c r="H165" s="175">
        <v>5.6687500000000002</v>
      </c>
      <c r="I165" s="176">
        <v>907</v>
      </c>
      <c r="J165" s="176">
        <v>160</v>
      </c>
    </row>
    <row r="166" spans="1:10" ht="15.75" customHeight="1" x14ac:dyDescent="0.2">
      <c r="A166" s="34" t="s">
        <v>328</v>
      </c>
      <c r="B166" s="42">
        <v>8.1719375663969918E-2</v>
      </c>
      <c r="C166" s="42">
        <v>2.601263470828688E-2</v>
      </c>
      <c r="D166" s="175">
        <v>0.20408163265306123</v>
      </c>
      <c r="E166" s="175">
        <v>6.4453125</v>
      </c>
      <c r="F166" s="175">
        <v>4.37</v>
      </c>
      <c r="G166" s="175" t="e">
        <f>VLOOKUP(A166,Overall!$1:$1048576,33,FALSE)</f>
        <v>#N/A</v>
      </c>
      <c r="H166" s="175">
        <v>3.7735849056603774</v>
      </c>
      <c r="I166" s="176">
        <v>200</v>
      </c>
      <c r="J166" s="176">
        <v>53</v>
      </c>
    </row>
    <row r="167" spans="1:10" ht="15.75" customHeight="1" x14ac:dyDescent="0.2">
      <c r="A167" s="34" t="s">
        <v>122</v>
      </c>
      <c r="B167" s="42">
        <v>0.15269515053181901</v>
      </c>
      <c r="C167" s="42">
        <v>2.7377521613832854E-2</v>
      </c>
      <c r="D167" s="175">
        <v>0.32061068702290074</v>
      </c>
      <c r="E167" s="175">
        <v>5.9</v>
      </c>
      <c r="F167" s="175">
        <v>3.99</v>
      </c>
      <c r="G167" s="175" t="e">
        <f>VLOOKUP(A167,Overall!$1:$1048576,33,FALSE)</f>
        <v>#N/A</v>
      </c>
      <c r="H167" s="175">
        <v>6.3684210526315788</v>
      </c>
      <c r="I167" s="176">
        <v>847</v>
      </c>
      <c r="J167" s="176">
        <v>133</v>
      </c>
    </row>
    <row r="168" spans="1:10" ht="15.75" customHeight="1" x14ac:dyDescent="0.2">
      <c r="A168" s="34" t="s">
        <v>278</v>
      </c>
      <c r="B168" s="42">
        <v>0.24345785959213137</v>
      </c>
      <c r="C168" s="42">
        <v>9.7766884531590409E-2</v>
      </c>
      <c r="D168" s="175">
        <v>0.28431372549019607</v>
      </c>
      <c r="E168" s="175">
        <v>5.3</v>
      </c>
      <c r="F168" s="175">
        <v>3.71</v>
      </c>
      <c r="G168" s="175" t="e">
        <f>VLOOKUP(A168,Overall!$1:$1048576,33,FALSE)</f>
        <v>#N/A</v>
      </c>
      <c r="H168" s="175">
        <v>5.4837398373983737</v>
      </c>
      <c r="I168" s="176">
        <v>1349</v>
      </c>
      <c r="J168" s="176">
        <v>246</v>
      </c>
    </row>
    <row r="169" spans="1:10" ht="15.75" customHeight="1" x14ac:dyDescent="0.2">
      <c r="A169" s="34" t="s">
        <v>340</v>
      </c>
      <c r="B169" s="42">
        <v>0.191441014959288</v>
      </c>
      <c r="C169" s="42">
        <v>8.2305042279987473E-2</v>
      </c>
      <c r="D169" s="175">
        <v>0.25850340136054423</v>
      </c>
      <c r="E169" s="175">
        <v>5.6</v>
      </c>
      <c r="F169" s="175">
        <v>3.3</v>
      </c>
      <c r="G169" s="175" t="e">
        <f>VLOOKUP(A169,Overall!$1:$1048576,33,FALSE)</f>
        <v>#N/A</v>
      </c>
      <c r="H169" s="175">
        <v>5.6166666666666663</v>
      </c>
      <c r="I169" s="176">
        <v>1011</v>
      </c>
      <c r="J169" s="176">
        <v>180</v>
      </c>
    </row>
    <row r="170" spans="1:10" ht="15.75" customHeight="1" x14ac:dyDescent="0.2">
      <c r="A170" s="34" t="s">
        <v>364</v>
      </c>
      <c r="B170" s="42">
        <v>0.13354006201860558</v>
      </c>
      <c r="C170" s="42">
        <v>2.7234583598219963E-2</v>
      </c>
      <c r="D170" s="175">
        <v>0.29710144927536231</v>
      </c>
      <c r="E170" s="175">
        <v>4.9000000000000004</v>
      </c>
      <c r="F170" s="175">
        <v>3.09</v>
      </c>
      <c r="G170" s="175" t="e">
        <f>VLOOKUP(A170,Overall!$1:$1048576,33,FALSE)</f>
        <v>#N/A</v>
      </c>
      <c r="H170" s="175">
        <v>4.975155279503106</v>
      </c>
      <c r="I170" s="176">
        <v>801</v>
      </c>
      <c r="J170" s="176">
        <v>161</v>
      </c>
    </row>
    <row r="171" spans="1:10" ht="15.75" customHeight="1" x14ac:dyDescent="0.2">
      <c r="A171" s="34" t="s">
        <v>155</v>
      </c>
      <c r="B171" s="42">
        <v>0.19401330376940132</v>
      </c>
      <c r="C171" s="42">
        <v>5.9262363788767806E-2</v>
      </c>
      <c r="D171" s="175">
        <v>0.1736111111111111</v>
      </c>
      <c r="E171" s="175">
        <v>5.3</v>
      </c>
      <c r="F171" s="175">
        <v>3.57</v>
      </c>
      <c r="G171" s="175" t="e">
        <f>VLOOKUP(A171,Overall!$1:$1048576,33,FALSE)</f>
        <v>#N/A</v>
      </c>
      <c r="H171" s="175">
        <v>5.537974683544304</v>
      </c>
      <c r="I171" s="176">
        <v>875</v>
      </c>
      <c r="J171" s="176">
        <v>158</v>
      </c>
    </row>
    <row r="172" spans="1:10" ht="15.75" customHeight="1" x14ac:dyDescent="0.2">
      <c r="A172" s="34" t="s">
        <v>359</v>
      </c>
      <c r="B172" s="42">
        <v>0.21538173652694612</v>
      </c>
      <c r="C172" s="42">
        <v>0.12514177693761816</v>
      </c>
      <c r="D172" s="175">
        <v>0.14583333333333334</v>
      </c>
      <c r="E172" s="175">
        <v>5.7</v>
      </c>
      <c r="F172" s="175">
        <v>2.97</v>
      </c>
      <c r="G172" s="175" t="e">
        <f>VLOOKUP(A172,Overall!$1:$1048576,33,FALSE)</f>
        <v>#N/A</v>
      </c>
      <c r="H172" s="175">
        <v>6.8922155688622757</v>
      </c>
      <c r="I172" s="176">
        <v>1151</v>
      </c>
      <c r="J172" s="176">
        <v>167</v>
      </c>
    </row>
    <row r="173" spans="1:10" ht="15.75" customHeight="1" x14ac:dyDescent="0.2">
      <c r="A173" s="34" t="s">
        <v>111</v>
      </c>
      <c r="B173" s="42">
        <v>0.26581854703716101</v>
      </c>
      <c r="C173" s="42">
        <v>2.9623287671232876E-2</v>
      </c>
      <c r="D173" s="175">
        <v>0.2251655629139073</v>
      </c>
      <c r="E173" s="175">
        <v>5.0999999999999996</v>
      </c>
      <c r="F173" s="175">
        <v>3.23</v>
      </c>
      <c r="G173" s="175" t="e">
        <f>VLOOKUP(A173,Overall!$1:$1048576,33,FALSE)</f>
        <v>#N/A</v>
      </c>
      <c r="H173" s="175">
        <v>5.1391585760517797</v>
      </c>
      <c r="I173" s="176">
        <v>1588</v>
      </c>
      <c r="J173" s="176">
        <v>309</v>
      </c>
    </row>
    <row r="174" spans="1:10" ht="15.75" customHeight="1" x14ac:dyDescent="0.2">
      <c r="A174" s="34" t="s">
        <v>301</v>
      </c>
      <c r="B174" s="42">
        <v>0.22388059701492538</v>
      </c>
      <c r="C174" s="42">
        <v>1.5129151291512915E-2</v>
      </c>
      <c r="D174" s="175">
        <v>0.36</v>
      </c>
      <c r="E174" s="175">
        <v>6.1</v>
      </c>
      <c r="F174" s="175">
        <v>3.94</v>
      </c>
      <c r="G174" s="175" t="e">
        <f>VLOOKUP(A174,Overall!$1:$1048576,33,FALSE)</f>
        <v>#N/A</v>
      </c>
      <c r="H174" s="175">
        <v>5.25</v>
      </c>
      <c r="I174" s="176">
        <v>945</v>
      </c>
      <c r="J174" s="176">
        <v>180</v>
      </c>
    </row>
    <row r="175" spans="1:10" ht="15.75" customHeight="1" x14ac:dyDescent="0.2">
      <c r="A175" s="34" t="s">
        <v>349</v>
      </c>
      <c r="B175" s="42">
        <v>0.19582992641046607</v>
      </c>
      <c r="C175" s="42">
        <v>4.7135842880523734E-2</v>
      </c>
      <c r="D175" s="175">
        <v>0.28104575163398693</v>
      </c>
      <c r="E175" s="175">
        <v>5.4</v>
      </c>
      <c r="F175" s="175">
        <v>3.89</v>
      </c>
      <c r="G175" s="175" t="e">
        <f>VLOOKUP(A175,Overall!$1:$1048576,33,FALSE)</f>
        <v>#N/A</v>
      </c>
      <c r="H175" s="175">
        <v>5.4742857142857142</v>
      </c>
      <c r="I175" s="176">
        <v>958</v>
      </c>
      <c r="J175" s="176">
        <v>175</v>
      </c>
    </row>
    <row r="176" spans="1:10" ht="15.75" customHeight="1" x14ac:dyDescent="0.2">
      <c r="A176" s="34" t="s">
        <v>78</v>
      </c>
      <c r="B176" s="42">
        <v>0.16863004632693582</v>
      </c>
      <c r="C176" s="42">
        <v>2.5693751247754044E-2</v>
      </c>
      <c r="D176" s="175">
        <v>0.2413793103448276</v>
      </c>
      <c r="E176" s="175">
        <v>5.4</v>
      </c>
      <c r="F176" s="175">
        <v>3.32</v>
      </c>
      <c r="G176" s="175" t="e">
        <f>VLOOKUP(A176,Overall!$1:$1048576,33,FALSE)</f>
        <v>#N/A</v>
      </c>
      <c r="H176" s="175">
        <v>5.0555555555555554</v>
      </c>
      <c r="I176" s="176">
        <v>1274</v>
      </c>
      <c r="J176" s="176">
        <v>252</v>
      </c>
    </row>
    <row r="177" spans="1:10" ht="15.75" customHeight="1" x14ac:dyDescent="0.2">
      <c r="A177" s="34" t="s">
        <v>366</v>
      </c>
      <c r="B177" s="42">
        <v>0.16509775524981898</v>
      </c>
      <c r="C177" s="42">
        <v>2.3947750362844702E-2</v>
      </c>
      <c r="D177" s="175">
        <v>0.23204419889502761</v>
      </c>
      <c r="E177" s="175">
        <v>4.8</v>
      </c>
      <c r="F177" s="175">
        <v>3.03</v>
      </c>
      <c r="G177" s="175" t="e">
        <f>VLOOKUP(A177,Overall!$1:$1048576,33,FALSE)</f>
        <v>#N/A</v>
      </c>
      <c r="H177" s="175">
        <v>4.6294416243654819</v>
      </c>
      <c r="I177" s="176">
        <v>912</v>
      </c>
      <c r="J177" s="176">
        <v>197</v>
      </c>
    </row>
    <row r="178" spans="1:10" ht="15.75" customHeight="1" x14ac:dyDescent="0.2">
      <c r="A178" s="34" t="s">
        <v>288</v>
      </c>
      <c r="B178" s="42">
        <v>0.12319703586079132</v>
      </c>
      <c r="C178" s="42">
        <v>1.9057702488088937E-2</v>
      </c>
      <c r="D178" s="175">
        <v>0.22981366459627328</v>
      </c>
      <c r="E178" s="175">
        <v>5.4</v>
      </c>
      <c r="F178" s="175">
        <v>3.6</v>
      </c>
      <c r="G178" s="175" t="e">
        <f>VLOOKUP(A178,Overall!$1:$1048576,33,FALSE)</f>
        <v>#N/A</v>
      </c>
      <c r="H178" s="175">
        <v>5.5088757396449708</v>
      </c>
      <c r="I178" s="176">
        <v>931</v>
      </c>
      <c r="J178" s="176">
        <v>169</v>
      </c>
    </row>
    <row r="179" spans="1:10" ht="15.75" customHeight="1" x14ac:dyDescent="0.2">
      <c r="A179" s="34" t="s">
        <v>272</v>
      </c>
      <c r="B179" s="42">
        <v>0.22162900422150481</v>
      </c>
      <c r="C179" s="42">
        <v>7.5853765323992989E-2</v>
      </c>
      <c r="D179" s="175">
        <v>0.16167664670658682</v>
      </c>
      <c r="E179" s="175">
        <v>5.5497630331753554</v>
      </c>
      <c r="F179" s="175">
        <v>3.37</v>
      </c>
      <c r="G179" s="175" t="e">
        <f>VLOOKUP(A179,Overall!$1:$1048576,33,FALSE)</f>
        <v>#N/A</v>
      </c>
      <c r="H179" s="175">
        <v>5.4090909090909092</v>
      </c>
      <c r="I179" s="176">
        <v>1071</v>
      </c>
      <c r="J179" s="176">
        <v>198</v>
      </c>
    </row>
    <row r="180" spans="1:10" ht="15.75" customHeight="1" x14ac:dyDescent="0.2">
      <c r="A180" s="34" t="s">
        <v>294</v>
      </c>
      <c r="B180" s="42">
        <v>0.2010178117048346</v>
      </c>
      <c r="C180" s="42">
        <v>4.8513192796314386E-2</v>
      </c>
      <c r="D180" s="175">
        <v>0.27071823204419887</v>
      </c>
      <c r="E180" s="175">
        <v>5.8648648648648649</v>
      </c>
      <c r="F180" s="175">
        <v>3.5</v>
      </c>
      <c r="G180" s="175" t="e">
        <f>VLOOKUP(A180,Overall!$1:$1048576,33,FALSE)</f>
        <v>#N/A</v>
      </c>
      <c r="H180" s="175">
        <v>5.2666666666666666</v>
      </c>
      <c r="I180" s="176">
        <v>1027</v>
      </c>
      <c r="J180" s="176">
        <v>195</v>
      </c>
    </row>
    <row r="181" spans="1:10" ht="15.75" customHeight="1" x14ac:dyDescent="0.2">
      <c r="A181" s="34" t="s">
        <v>258</v>
      </c>
      <c r="B181" s="42">
        <v>0.22381537621193501</v>
      </c>
      <c r="C181" s="42">
        <v>5.8348117484723044E-2</v>
      </c>
      <c r="D181" s="175">
        <v>0.29151291512915128</v>
      </c>
      <c r="E181" s="175">
        <v>5.3</v>
      </c>
      <c r="F181" s="175">
        <v>4.05</v>
      </c>
      <c r="G181" s="175" t="e">
        <f>VLOOKUP(A181,Overall!$1:$1048576,33,FALSE)</f>
        <v>#N/A</v>
      </c>
      <c r="H181" s="175">
        <v>5.356209150326797</v>
      </c>
      <c r="I181" s="176">
        <v>1639</v>
      </c>
      <c r="J181" s="176">
        <v>306</v>
      </c>
    </row>
    <row r="182" spans="1:10" ht="15.75" customHeight="1" x14ac:dyDescent="0.2">
      <c r="A182" s="34" t="s">
        <v>115</v>
      </c>
      <c r="B182" s="42">
        <v>0.33169899808143255</v>
      </c>
      <c r="C182" s="42">
        <v>5.0023820867079564E-2</v>
      </c>
      <c r="D182" s="175">
        <v>0.15972222222222221</v>
      </c>
      <c r="E182" s="175">
        <v>5.0999999999999996</v>
      </c>
      <c r="F182" s="175">
        <v>3.36</v>
      </c>
      <c r="G182" s="175" t="e">
        <f>VLOOKUP(A182,Overall!$1:$1048576,33,FALSE)</f>
        <v>#N/A</v>
      </c>
      <c r="H182" s="175">
        <v>5.3287671232876717</v>
      </c>
      <c r="I182" s="176">
        <v>1556</v>
      </c>
      <c r="J182" s="176">
        <v>292</v>
      </c>
    </row>
    <row r="183" spans="1:10" ht="15.75" customHeight="1" x14ac:dyDescent="0.2">
      <c r="A183" s="34" t="s">
        <v>330</v>
      </c>
      <c r="B183" s="42">
        <v>0.34524047096387944</v>
      </c>
      <c r="C183" s="42">
        <v>6.9903999999999994E-2</v>
      </c>
      <c r="D183" s="175">
        <v>0.15562913907284767</v>
      </c>
      <c r="E183" s="175">
        <v>5.0999999999999996</v>
      </c>
      <c r="F183" s="175">
        <v>3.24</v>
      </c>
      <c r="G183" s="175" t="e">
        <f>VLOOKUP(A183,Overall!$1:$1048576,33,FALSE)</f>
        <v>#N/A</v>
      </c>
      <c r="H183" s="175">
        <v>5.3230769230769228</v>
      </c>
      <c r="I183" s="176">
        <v>1730</v>
      </c>
      <c r="J183" s="176">
        <v>325</v>
      </c>
    </row>
    <row r="184" spans="1:10" ht="15.75" customHeight="1" x14ac:dyDescent="0.2">
      <c r="A184" s="34" t="s">
        <v>370</v>
      </c>
      <c r="B184" s="42">
        <v>0.12576858580212411</v>
      </c>
      <c r="C184" s="42">
        <v>3.9229340761374187E-3</v>
      </c>
      <c r="D184" s="175">
        <v>0.21249999999999999</v>
      </c>
      <c r="E184" s="175">
        <v>5.5</v>
      </c>
      <c r="F184" s="175">
        <v>3.89</v>
      </c>
      <c r="G184" s="175" t="e">
        <f>VLOOKUP(A184,Overall!$1:$1048576,33,FALSE)</f>
        <v>#N/A</v>
      </c>
      <c r="H184" s="175">
        <v>5.5555555555555554</v>
      </c>
      <c r="I184" s="176">
        <v>450</v>
      </c>
      <c r="J184" s="176">
        <v>81</v>
      </c>
    </row>
    <row r="185" spans="1:10" ht="15.75" customHeight="1" x14ac:dyDescent="0.2">
      <c r="A185" s="34" t="s">
        <v>89</v>
      </c>
      <c r="B185" s="42">
        <v>0.25098845484738258</v>
      </c>
      <c r="C185" s="42">
        <v>5.9075604530149983E-2</v>
      </c>
      <c r="D185" s="175">
        <v>0.17543859649122806</v>
      </c>
      <c r="E185" s="175">
        <v>4.9000000000000004</v>
      </c>
      <c r="F185" s="175">
        <v>2.98</v>
      </c>
      <c r="G185" s="175" t="e">
        <f>VLOOKUP(A185,Overall!$1:$1048576,33,FALSE)</f>
        <v>#N/A</v>
      </c>
      <c r="H185" s="175">
        <v>5.1359223300970873</v>
      </c>
      <c r="I185" s="176">
        <v>1587</v>
      </c>
      <c r="J185" s="176">
        <v>309</v>
      </c>
    </row>
    <row r="186" spans="1:10" ht="15.75" customHeight="1" x14ac:dyDescent="0.2">
      <c r="A186" s="34" t="s">
        <v>139</v>
      </c>
      <c r="B186" s="42">
        <v>0.26828575486436584</v>
      </c>
      <c r="C186" s="42">
        <v>9.1280068728522332E-2</v>
      </c>
      <c r="D186" s="175">
        <v>0.28174603174603174</v>
      </c>
      <c r="E186" s="175">
        <v>5.9</v>
      </c>
      <c r="F186" s="175">
        <v>3.57</v>
      </c>
      <c r="G186" s="175" t="e">
        <f>VLOOKUP(A186,Overall!$1:$1048576,33,FALSE)</f>
        <v>#N/A</v>
      </c>
      <c r="H186" s="175">
        <v>6.4033898305084742</v>
      </c>
      <c r="I186" s="176">
        <v>1889</v>
      </c>
      <c r="J186" s="176">
        <v>295</v>
      </c>
    </row>
    <row r="187" spans="1:10" ht="15.75" customHeight="1" x14ac:dyDescent="0.2">
      <c r="A187" s="34" t="s">
        <v>270</v>
      </c>
      <c r="B187" s="42">
        <v>0.15221003655699569</v>
      </c>
      <c r="C187" s="42">
        <v>6.5375302663438259E-2</v>
      </c>
      <c r="D187" s="175">
        <v>0.39</v>
      </c>
      <c r="E187" s="175">
        <v>5.7</v>
      </c>
      <c r="F187" s="175">
        <v>3.65</v>
      </c>
      <c r="G187" s="175" t="e">
        <f>VLOOKUP(A187,Overall!$1:$1048576,33,FALSE)</f>
        <v>#N/A</v>
      </c>
      <c r="H187" s="175">
        <v>7.6974789915966388</v>
      </c>
      <c r="I187" s="176">
        <v>916</v>
      </c>
      <c r="J187" s="176">
        <v>119</v>
      </c>
    </row>
    <row r="188" spans="1:10" ht="15.75" customHeight="1" x14ac:dyDescent="0.2">
      <c r="A188" s="34" t="s">
        <v>104</v>
      </c>
      <c r="B188" s="42">
        <v>0.28467758656437903</v>
      </c>
      <c r="C188" s="42">
        <v>4.5114942528735637E-2</v>
      </c>
      <c r="D188" s="175">
        <v>0.38671875</v>
      </c>
      <c r="E188" s="175">
        <v>5.0999999999999996</v>
      </c>
      <c r="F188" s="175">
        <v>3.67</v>
      </c>
      <c r="G188" s="175" t="e">
        <f>VLOOKUP(A188,Overall!$1:$1048576,33,FALSE)</f>
        <v>#N/A</v>
      </c>
      <c r="H188" s="175">
        <v>5.301158301158301</v>
      </c>
      <c r="I188" s="176">
        <v>1373</v>
      </c>
      <c r="J188" s="176">
        <v>259</v>
      </c>
    </row>
    <row r="189" spans="1:10" ht="15.75" customHeight="1" x14ac:dyDescent="0.2">
      <c r="A189" s="34" t="s">
        <v>369</v>
      </c>
      <c r="B189" s="42">
        <v>7.9847053531264062E-2</v>
      </c>
      <c r="C189" s="42">
        <v>3.3644992208528124E-2</v>
      </c>
      <c r="D189" s="175">
        <v>0.11538461538461539</v>
      </c>
      <c r="E189" s="175">
        <v>4.5</v>
      </c>
      <c r="F189" s="175">
        <v>3.07</v>
      </c>
      <c r="G189" s="175" t="e">
        <f>VLOOKUP(A189,Overall!$1:$1048576,33,FALSE)</f>
        <v>#N/A</v>
      </c>
      <c r="H189" s="175">
        <v>4.382716049382716</v>
      </c>
      <c r="I189" s="176">
        <v>355</v>
      </c>
      <c r="J189" s="176">
        <v>81</v>
      </c>
    </row>
    <row r="190" spans="1:10" ht="15.75" customHeight="1" x14ac:dyDescent="0.2">
      <c r="A190" s="34" t="s">
        <v>358</v>
      </c>
      <c r="B190" s="42">
        <v>0.11000611995104038</v>
      </c>
      <c r="C190" s="42">
        <v>1.0475781026081972E-2</v>
      </c>
      <c r="D190" s="175">
        <v>0.20422535211267606</v>
      </c>
      <c r="E190" s="175">
        <v>5.4</v>
      </c>
      <c r="F190" s="175">
        <v>3.81</v>
      </c>
      <c r="G190" s="175" t="e">
        <f>VLOOKUP(A190,Overall!$1:$1048576,33,FALSE)</f>
        <v>#N/A</v>
      </c>
      <c r="H190" s="175">
        <v>4.8581081081081079</v>
      </c>
      <c r="I190" s="176">
        <v>719</v>
      </c>
      <c r="J190" s="176">
        <v>148</v>
      </c>
    </row>
    <row r="191" spans="1:10" ht="15.75" customHeight="1" x14ac:dyDescent="0.2">
      <c r="A191" s="34" t="s">
        <v>150</v>
      </c>
      <c r="B191" s="42">
        <v>0.2708955223880597</v>
      </c>
      <c r="C191" s="42">
        <v>3.7481259370314844E-2</v>
      </c>
      <c r="D191" s="175">
        <v>0.19431279620853081</v>
      </c>
      <c r="E191" s="175">
        <v>4.7</v>
      </c>
      <c r="F191" s="175">
        <v>2.91</v>
      </c>
      <c r="G191" s="175" t="e">
        <f>VLOOKUP(A191,Overall!$1:$1048576,33,FALSE)</f>
        <v>#N/A</v>
      </c>
      <c r="H191" s="175">
        <v>4.8185840707964598</v>
      </c>
      <c r="I191" s="176">
        <v>1089</v>
      </c>
      <c r="J191" s="176">
        <v>226</v>
      </c>
    </row>
    <row r="192" spans="1:10" ht="15.75" customHeight="1" x14ac:dyDescent="0.2">
      <c r="A192" s="34" t="s">
        <v>372</v>
      </c>
      <c r="B192" s="42">
        <v>0.15513320337881742</v>
      </c>
      <c r="C192" s="42">
        <v>3.2808838299296955E-2</v>
      </c>
      <c r="D192" s="175">
        <v>0.19487179487179487</v>
      </c>
      <c r="E192" s="175">
        <v>5</v>
      </c>
      <c r="F192" s="175">
        <v>2.81</v>
      </c>
      <c r="G192" s="175" t="e">
        <f>VLOOKUP(A192,Overall!$1:$1048576,33,FALSE)</f>
        <v>#N/A</v>
      </c>
      <c r="H192" s="175">
        <v>4.6813725490196081</v>
      </c>
      <c r="I192" s="176">
        <v>955</v>
      </c>
      <c r="J192" s="176">
        <v>204</v>
      </c>
    </row>
    <row r="193" spans="1:10" ht="15.75" customHeight="1" x14ac:dyDescent="0.2">
      <c r="A193" s="34" t="s">
        <v>292</v>
      </c>
      <c r="B193" s="42">
        <v>0.17733138220034589</v>
      </c>
      <c r="C193" s="42">
        <v>0.11471715122830742</v>
      </c>
      <c r="D193" s="175">
        <v>0.29801324503311261</v>
      </c>
      <c r="E193" s="175">
        <v>5.7</v>
      </c>
      <c r="F193" s="175">
        <v>3.76</v>
      </c>
      <c r="G193" s="175" t="e">
        <f>VLOOKUP(A193,Overall!$1:$1048576,33,FALSE)</f>
        <v>#N/A</v>
      </c>
      <c r="H193" s="175">
        <v>6.9067357512953365</v>
      </c>
      <c r="I193" s="176">
        <v>1333</v>
      </c>
      <c r="J193" s="176">
        <v>193</v>
      </c>
    </row>
    <row r="194" spans="1:10" ht="15.75" customHeight="1" x14ac:dyDescent="0.2">
      <c r="A194" s="34" t="s">
        <v>302</v>
      </c>
      <c r="B194" s="42">
        <v>0.22526096033402923</v>
      </c>
      <c r="C194" s="42">
        <v>1.9347037484885126E-2</v>
      </c>
      <c r="D194" s="175">
        <v>0.17535545023696683</v>
      </c>
      <c r="E194" s="175">
        <v>4.8</v>
      </c>
      <c r="F194" s="175">
        <v>3.03</v>
      </c>
      <c r="G194" s="175" t="e">
        <f>VLOOKUP(A194,Overall!$1:$1048576,33,FALSE)</f>
        <v>#N/A</v>
      </c>
      <c r="H194" s="175">
        <v>4.882352941176471</v>
      </c>
      <c r="I194" s="176">
        <v>1079</v>
      </c>
      <c r="J194" s="176">
        <v>221</v>
      </c>
    </row>
    <row r="195" spans="1:10" ht="15.75" customHeight="1" x14ac:dyDescent="0.2">
      <c r="A195" s="34" t="s">
        <v>103</v>
      </c>
      <c r="B195" s="42">
        <v>0.1532567049808429</v>
      </c>
      <c r="C195" s="42">
        <v>6.1804697156983932E-2</v>
      </c>
      <c r="D195" s="175">
        <v>0.27272727272727271</v>
      </c>
      <c r="E195" s="175">
        <v>6.2</v>
      </c>
      <c r="F195" s="175">
        <v>4.07</v>
      </c>
      <c r="G195" s="175" t="e">
        <f>VLOOKUP(A195,Overall!$1:$1048576,33,FALSE)</f>
        <v>#N/A</v>
      </c>
      <c r="H195" s="175">
        <v>9.5238095238095237</v>
      </c>
      <c r="I195" s="176">
        <v>1200</v>
      </c>
      <c r="J195" s="176">
        <v>126</v>
      </c>
    </row>
    <row r="196" spans="1:10" ht="15.75" customHeight="1" x14ac:dyDescent="0.2">
      <c r="A196" s="34" t="s">
        <v>149</v>
      </c>
      <c r="B196" s="42">
        <v>6.9838498472282851E-2</v>
      </c>
      <c r="C196" s="42">
        <v>5.7922769640479363E-2</v>
      </c>
      <c r="D196" s="175">
        <v>0.3125</v>
      </c>
      <c r="E196" s="175">
        <v>4.5999999999999996</v>
      </c>
      <c r="F196" s="175">
        <v>2.44</v>
      </c>
      <c r="G196" s="175" t="e">
        <f>VLOOKUP(A196,Overall!$1:$1048576,33,FALSE)</f>
        <v>#N/A</v>
      </c>
      <c r="H196" s="175">
        <v>6.4</v>
      </c>
      <c r="I196" s="176">
        <v>160</v>
      </c>
      <c r="J196" s="176">
        <v>25</v>
      </c>
    </row>
    <row r="197" spans="1:10" ht="15.75" customHeight="1" x14ac:dyDescent="0.2"/>
    <row r="198" spans="1:10" ht="15.75" customHeight="1" x14ac:dyDescent="0.2"/>
    <row r="199" spans="1:10" ht="15.75" customHeight="1" x14ac:dyDescent="0.2"/>
    <row r="200" spans="1:10" ht="15.75" customHeight="1" x14ac:dyDescent="0.2"/>
    <row r="201" spans="1:10" ht="15.75" customHeight="1" x14ac:dyDescent="0.2"/>
    <row r="202" spans="1:10" ht="15.75" customHeight="1" x14ac:dyDescent="0.2"/>
    <row r="203" spans="1:10" ht="15.75" customHeight="1" x14ac:dyDescent="0.2"/>
    <row r="204" spans="1:10" ht="15.75" customHeight="1" x14ac:dyDescent="0.2"/>
    <row r="205" spans="1:10" ht="15.75" customHeight="1" x14ac:dyDescent="0.2"/>
    <row r="206" spans="1:10" ht="15.75" customHeight="1" x14ac:dyDescent="0.2"/>
    <row r="207" spans="1:10" ht="15.75" customHeight="1" x14ac:dyDescent="0.2"/>
    <row r="208" spans="1:10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2:J2" xr:uid="{00000000-0009-0000-0000-00000E000000}">
    <sortState xmlns:xlrd2="http://schemas.microsoft.com/office/spreadsheetml/2017/richdata2" ref="A2:J2">
      <sortCondition descending="1" ref="G2"/>
    </sortState>
  </autoFilter>
  <mergeCells count="1">
    <mergeCell ref="O22:P22"/>
  </mergeCells>
  <conditionalFormatting sqref="A3:A196">
    <cfRule type="expression" dxfId="60" priority="1" stopIfTrue="1">
      <formula>AQ5&gt;14</formula>
    </cfRule>
    <cfRule type="expression" dxfId="59" priority="2">
      <formula>AND(AQ5&gt;=12,AQ5&lt;14)</formula>
    </cfRule>
    <cfRule type="expression" dxfId="58" priority="3" stopIfTrue="1">
      <formula>AND(AQ5&gt;=11,AQ5&lt;12)</formula>
    </cfRule>
    <cfRule type="expression" dxfId="57" priority="4">
      <formula>AND(AQ5&gt;=9,AQ5&lt;11)</formula>
    </cfRule>
    <cfRule type="expression" dxfId="56" priority="5">
      <formula>AND(AQ5&gt;=7,AQ5&lt;9)</formula>
    </cfRule>
    <cfRule type="expression" dxfId="55" priority="6" stopIfTrue="1">
      <formula>AND(AQ5&gt;=5,AQ5&lt;7)</formula>
    </cfRule>
    <cfRule type="expression" dxfId="54" priority="7">
      <formula>AQ5&lt;5</formula>
    </cfRule>
  </conditionalFormatting>
  <conditionalFormatting sqref="B2:B196">
    <cfRule type="cellIs" dxfId="53" priority="8" operator="equal">
      <formula>0</formula>
    </cfRule>
    <cfRule type="cellIs" dxfId="52" priority="9" operator="between">
      <formula>0.15</formula>
      <formula>0.1999</formula>
    </cfRule>
    <cfRule type="colorScale" priority="10">
      <colorScale>
        <cfvo type="formula" val="0.14999"/>
        <cfvo type="formula" val="0.15"/>
        <cfvo type="formula" val="0.4"/>
        <color rgb="FFFACACA"/>
        <color rgb="FFB5F694"/>
        <color rgb="FF00C059"/>
      </colorScale>
    </cfRule>
  </conditionalFormatting>
  <conditionalFormatting sqref="C3:C19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">
    <cfRule type="expression" dxfId="51" priority="12" stopIfTrue="1">
      <formula>#REF!&gt;12.5</formula>
    </cfRule>
    <cfRule type="expression" dxfId="50" priority="13" stopIfTrue="1">
      <formula>AND(#REF!&gt;11.995,#REF!&lt;12.5)</formula>
    </cfRule>
    <cfRule type="expression" dxfId="49" priority="14" stopIfTrue="1">
      <formula>AND(#REF!&gt;11,#REF!&lt;11.995)</formula>
    </cfRule>
    <cfRule type="expression" dxfId="48" priority="15" stopIfTrue="1">
      <formula>AND(#REF!&gt;10,#REF!&lt;10.999)</formula>
    </cfRule>
    <cfRule type="expression" dxfId="47" priority="16" stopIfTrue="1">
      <formula>AND(#REF!&gt;9,#REF!&lt;9.999)</formula>
    </cfRule>
    <cfRule type="expression" dxfId="46" priority="17" stopIfTrue="1">
      <formula>AND(#REF!&gt;8,#REF!&lt;8.999)</formula>
    </cfRule>
    <cfRule type="expression" dxfId="45" priority="18" stopIfTrue="1">
      <formula>AND(#REF!&gt;=7,#REF!&lt;7.999)</formula>
    </cfRule>
    <cfRule type="expression" dxfId="44" priority="19">
      <formula>#REF!&lt;7</formula>
    </cfRule>
  </conditionalFormatting>
  <conditionalFormatting sqref="M3:N3">
    <cfRule type="colorScale" priority="20">
      <colorScale>
        <cfvo type="formula" val="0.1999"/>
        <cfvo type="formula" val="0.2"/>
        <cfvo type="formula" val="0.4"/>
        <color rgb="FFFACACA"/>
        <color rgb="FFD7F397"/>
        <color rgb="FF00B050"/>
      </colorScale>
    </cfRule>
  </conditionalFormatting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S999"/>
  <sheetViews>
    <sheetView zoomScale="80" zoomScaleNormal="80" workbookViewId="0">
      <selection sqref="A1:XFD1048576"/>
    </sheetView>
  </sheetViews>
  <sheetFormatPr baseColWidth="10" defaultColWidth="14.5" defaultRowHeight="15" customHeight="1" x14ac:dyDescent="0.2"/>
  <cols>
    <col min="1" max="1" width="8.5" customWidth="1"/>
    <col min="2" max="2" width="17.5" customWidth="1"/>
    <col min="3" max="3" width="12" customWidth="1"/>
    <col min="4" max="4" width="20.1640625" customWidth="1"/>
    <col min="5" max="5" width="10.83203125" customWidth="1"/>
    <col min="6" max="6" width="11.5" customWidth="1"/>
    <col min="7" max="7" width="7.5" customWidth="1"/>
    <col min="8" max="8" width="8" customWidth="1"/>
    <col min="9" max="9" width="12.6640625" customWidth="1"/>
    <col min="10" max="10" width="10" customWidth="1"/>
    <col min="11" max="11" width="10.5" customWidth="1"/>
    <col min="12" max="12" width="11.33203125" customWidth="1"/>
    <col min="13" max="13" width="12.5" customWidth="1"/>
    <col min="14" max="20" width="9.83203125" customWidth="1"/>
    <col min="21" max="22" width="11" customWidth="1"/>
    <col min="23" max="23" width="10" customWidth="1"/>
    <col min="24" max="24" width="11" customWidth="1"/>
    <col min="25" max="25" width="9.33203125" customWidth="1"/>
    <col min="26" max="26" width="9.5" customWidth="1"/>
    <col min="27" max="27" width="7.6640625" customWidth="1"/>
    <col min="28" max="28" width="10.1640625" customWidth="1"/>
    <col min="29" max="29" width="7.33203125" customWidth="1"/>
    <col min="30" max="30" width="7.5" customWidth="1"/>
    <col min="31" max="31" width="9.83203125" customWidth="1"/>
    <col min="32" max="32" width="11.5" customWidth="1"/>
    <col min="33" max="33" width="10.83203125" customWidth="1"/>
    <col min="34" max="34" width="11" customWidth="1"/>
    <col min="35" max="35" width="10.33203125" customWidth="1"/>
    <col min="36" max="36" width="10.5" customWidth="1"/>
    <col min="37" max="37" width="10.1640625" customWidth="1"/>
    <col min="38" max="39" width="8.5" customWidth="1"/>
    <col min="40" max="40" width="10.83203125" customWidth="1"/>
    <col min="41" max="41" width="7.6640625" customWidth="1"/>
    <col min="42" max="42" width="9.5" customWidth="1"/>
    <col min="43" max="43" width="12" customWidth="1"/>
    <col min="44" max="44" width="12.6640625" customWidth="1"/>
    <col min="45" max="45" width="12.33203125" customWidth="1"/>
    <col min="46" max="46" width="12.1640625" customWidth="1"/>
    <col min="47" max="47" width="6.6640625" customWidth="1"/>
    <col min="48" max="48" width="8" customWidth="1"/>
    <col min="49" max="49" width="7.33203125" customWidth="1"/>
    <col min="50" max="50" width="7.5" customWidth="1"/>
    <col min="51" max="51" width="9.83203125" customWidth="1"/>
    <col min="52" max="52" width="11.5" customWidth="1"/>
    <col min="53" max="53" width="10.83203125" customWidth="1"/>
    <col min="54" max="54" width="12.6640625" customWidth="1"/>
    <col min="55" max="55" width="8.1640625" customWidth="1"/>
    <col min="56" max="56" width="11.33203125" customWidth="1"/>
    <col min="57" max="57" width="13" customWidth="1"/>
    <col min="58" max="58" width="12" customWidth="1"/>
    <col min="59" max="59" width="12.6640625" customWidth="1"/>
    <col min="60" max="60" width="12.33203125" customWidth="1"/>
    <col min="61" max="61" width="12.1640625" customWidth="1"/>
    <col min="62" max="62" width="6.6640625" customWidth="1"/>
    <col min="63" max="63" width="8" customWidth="1"/>
    <col min="64" max="64" width="7.33203125" customWidth="1"/>
    <col min="65" max="65" width="7.5" customWidth="1"/>
    <col min="66" max="66" width="9.83203125" customWidth="1"/>
    <col min="67" max="67" width="11.5" customWidth="1"/>
    <col min="68" max="68" width="10.83203125" customWidth="1"/>
    <col min="69" max="69" width="12.6640625" customWidth="1"/>
    <col min="70" max="70" width="8.1640625" customWidth="1"/>
    <col min="71" max="71" width="11.33203125" customWidth="1"/>
    <col min="72" max="72" width="13" customWidth="1"/>
    <col min="73" max="73" width="12" customWidth="1"/>
    <col min="74" max="74" width="12.6640625" customWidth="1"/>
    <col min="75" max="75" width="12.33203125" customWidth="1"/>
    <col min="76" max="76" width="12.1640625" customWidth="1"/>
    <col min="77" max="77" width="6.6640625" customWidth="1"/>
    <col min="78" max="78" width="8" customWidth="1"/>
    <col min="79" max="79" width="7.33203125" customWidth="1"/>
    <col min="80" max="80" width="7.5" customWidth="1"/>
    <col min="81" max="81" width="9.83203125" customWidth="1"/>
    <col min="82" max="82" width="11.5" customWidth="1"/>
    <col min="83" max="83" width="10.83203125" customWidth="1"/>
    <col min="84" max="84" width="12.6640625" customWidth="1"/>
    <col min="85" max="85" width="8.1640625" customWidth="1"/>
    <col min="86" max="86" width="11.33203125" customWidth="1"/>
    <col min="87" max="87" width="13" customWidth="1"/>
    <col min="88" max="88" width="12" customWidth="1"/>
    <col min="89" max="89" width="12.6640625" customWidth="1"/>
    <col min="90" max="90" width="12.33203125" customWidth="1"/>
    <col min="91" max="91" width="12.1640625" customWidth="1"/>
    <col min="92" max="92" width="6.6640625" customWidth="1"/>
    <col min="93" max="93" width="8" customWidth="1"/>
    <col min="94" max="94" width="7.33203125" customWidth="1"/>
    <col min="95" max="95" width="7.5" customWidth="1"/>
    <col min="96" max="96" width="9.83203125" customWidth="1"/>
    <col min="97" max="97" width="11.5" customWidth="1"/>
    <col min="98" max="98" width="10.83203125" customWidth="1"/>
    <col min="99" max="99" width="12.6640625" customWidth="1"/>
    <col min="100" max="100" width="8.1640625" customWidth="1"/>
    <col min="101" max="101" width="11.33203125" customWidth="1"/>
    <col min="102" max="102" width="13" customWidth="1"/>
    <col min="103" max="103" width="12" customWidth="1"/>
    <col min="104" max="104" width="12.6640625" customWidth="1"/>
    <col min="105" max="105" width="12.33203125" customWidth="1"/>
    <col min="106" max="106" width="12.1640625" customWidth="1"/>
    <col min="107" max="107" width="6.6640625" customWidth="1"/>
    <col min="108" max="108" width="8" customWidth="1"/>
    <col min="109" max="109" width="7.33203125" customWidth="1"/>
    <col min="110" max="110" width="7.5" customWidth="1"/>
    <col min="111" max="111" width="9.83203125" customWidth="1"/>
    <col min="112" max="112" width="11.5" customWidth="1"/>
    <col min="113" max="113" width="10.83203125" customWidth="1"/>
    <col min="114" max="114" width="12.6640625" customWidth="1"/>
    <col min="115" max="115" width="8.1640625" customWidth="1"/>
    <col min="116" max="116" width="11.33203125" customWidth="1"/>
    <col min="117" max="117" width="13" customWidth="1"/>
    <col min="118" max="118" width="4.5" customWidth="1"/>
    <col min="119" max="119" width="3.5" customWidth="1"/>
    <col min="120" max="120" width="16.5" customWidth="1"/>
    <col min="121" max="121" width="9.83203125" customWidth="1"/>
    <col min="122" max="122" width="13.1640625" customWidth="1"/>
    <col min="123" max="123" width="10.5" customWidth="1"/>
  </cols>
  <sheetData>
    <row r="1" spans="1:123" x14ac:dyDescent="0.2">
      <c r="A1" s="259"/>
      <c r="B1" s="251"/>
      <c r="C1" s="253"/>
      <c r="D1" s="254" t="s">
        <v>156</v>
      </c>
      <c r="E1" s="251"/>
      <c r="F1" s="251"/>
      <c r="G1" s="251"/>
      <c r="H1" s="251"/>
      <c r="I1" s="251"/>
      <c r="J1" s="251"/>
      <c r="K1" s="251"/>
      <c r="L1" s="251"/>
      <c r="M1" s="253"/>
      <c r="N1" s="255" t="s">
        <v>157</v>
      </c>
      <c r="O1" s="251"/>
      <c r="P1" s="251"/>
      <c r="Q1" s="251"/>
      <c r="R1" s="251"/>
      <c r="S1" s="251"/>
      <c r="T1" s="251"/>
      <c r="U1" s="251"/>
      <c r="V1" s="251"/>
      <c r="W1" s="251"/>
      <c r="X1" s="253"/>
      <c r="Y1" s="256" t="s">
        <v>158</v>
      </c>
      <c r="Z1" s="251"/>
      <c r="AA1" s="251"/>
      <c r="AB1" s="251"/>
      <c r="AC1" s="251"/>
      <c r="AD1" s="251"/>
      <c r="AE1" s="251"/>
      <c r="AF1" s="253"/>
      <c r="AG1" s="257" t="s">
        <v>159</v>
      </c>
      <c r="AH1" s="251"/>
      <c r="AI1" s="251"/>
      <c r="AJ1" s="251"/>
      <c r="AK1" s="251"/>
      <c r="AL1" s="251"/>
      <c r="AM1" s="251"/>
      <c r="AN1" s="251"/>
      <c r="AO1" s="251"/>
      <c r="AP1" s="253"/>
      <c r="AQ1" s="247" t="s">
        <v>533</v>
      </c>
      <c r="AR1" s="248"/>
      <c r="AS1" s="248"/>
      <c r="AT1" s="248"/>
      <c r="AU1" s="248"/>
      <c r="AV1" s="248"/>
      <c r="AW1" s="248"/>
      <c r="AX1" s="248"/>
      <c r="AY1" s="248"/>
      <c r="AZ1" s="248"/>
      <c r="BA1" s="248"/>
      <c r="BB1" s="248"/>
      <c r="BC1" s="248"/>
      <c r="BD1" s="248"/>
      <c r="BE1" s="249"/>
      <c r="BF1" s="247" t="s">
        <v>541</v>
      </c>
      <c r="BG1" s="248"/>
      <c r="BH1" s="248"/>
      <c r="BI1" s="248"/>
      <c r="BJ1" s="248"/>
      <c r="BK1" s="248"/>
      <c r="BL1" s="248"/>
      <c r="BM1" s="248"/>
      <c r="BN1" s="248"/>
      <c r="BO1" s="248"/>
      <c r="BP1" s="248"/>
      <c r="BQ1" s="248"/>
      <c r="BR1" s="248"/>
      <c r="BS1" s="248"/>
      <c r="BT1" s="249"/>
      <c r="BU1" s="247" t="s">
        <v>548</v>
      </c>
      <c r="BV1" s="248"/>
      <c r="BW1" s="248"/>
      <c r="BX1" s="248"/>
      <c r="BY1" s="248"/>
      <c r="BZ1" s="248"/>
      <c r="CA1" s="248"/>
      <c r="CB1" s="248"/>
      <c r="CC1" s="248"/>
      <c r="CD1" s="248"/>
      <c r="CE1" s="248"/>
      <c r="CF1" s="248"/>
      <c r="CG1" s="248"/>
      <c r="CH1" s="248"/>
      <c r="CI1" s="249"/>
      <c r="CJ1" s="247" t="s">
        <v>553</v>
      </c>
      <c r="CK1" s="248"/>
      <c r="CL1" s="248"/>
      <c r="CM1" s="248"/>
      <c r="CN1" s="248"/>
      <c r="CO1" s="248"/>
      <c r="CP1" s="248"/>
      <c r="CQ1" s="248"/>
      <c r="CR1" s="248"/>
      <c r="CS1" s="248"/>
      <c r="CT1" s="248"/>
      <c r="CU1" s="248"/>
      <c r="CV1" s="248"/>
      <c r="CW1" s="248"/>
      <c r="CX1" s="249"/>
      <c r="CY1" s="247" t="s">
        <v>590</v>
      </c>
      <c r="CZ1" s="248"/>
      <c r="DA1" s="248"/>
      <c r="DB1" s="248"/>
      <c r="DC1" s="248"/>
      <c r="DD1" s="248"/>
      <c r="DE1" s="248"/>
      <c r="DF1" s="248"/>
      <c r="DG1" s="248"/>
      <c r="DH1" s="248"/>
      <c r="DI1" s="248"/>
      <c r="DJ1" s="248"/>
      <c r="DK1" s="248"/>
      <c r="DL1" s="248"/>
      <c r="DM1" s="249"/>
      <c r="DN1" s="184"/>
      <c r="DO1" s="184"/>
      <c r="DP1" s="184"/>
      <c r="DQ1" s="184"/>
      <c r="DR1" s="184"/>
      <c r="DS1" s="184"/>
    </row>
    <row r="2" spans="1:123" ht="16" thickBot="1" x14ac:dyDescent="0.25">
      <c r="A2" s="15" t="s">
        <v>56</v>
      </c>
      <c r="B2" s="16" t="s">
        <v>58</v>
      </c>
      <c r="C2" s="17" t="s">
        <v>2</v>
      </c>
      <c r="D2" s="115" t="s">
        <v>168</v>
      </c>
      <c r="E2" s="19" t="s">
        <v>24</v>
      </c>
      <c r="F2" s="19" t="s">
        <v>28</v>
      </c>
      <c r="G2" s="19" t="s">
        <v>30</v>
      </c>
      <c r="H2" s="19" t="s">
        <v>57</v>
      </c>
      <c r="I2" s="19" t="s">
        <v>34</v>
      </c>
      <c r="J2" s="19" t="s">
        <v>170</v>
      </c>
      <c r="K2" s="19" t="s">
        <v>171</v>
      </c>
      <c r="L2" s="19" t="s">
        <v>172</v>
      </c>
      <c r="M2" s="20" t="s">
        <v>22</v>
      </c>
      <c r="N2" s="21" t="s">
        <v>36</v>
      </c>
      <c r="O2" s="22" t="s">
        <v>38</v>
      </c>
      <c r="P2" s="22" t="s">
        <v>40</v>
      </c>
      <c r="Q2" s="22" t="s">
        <v>42</v>
      </c>
      <c r="R2" s="22" t="s">
        <v>44</v>
      </c>
      <c r="S2" s="22" t="s">
        <v>18</v>
      </c>
      <c r="T2" s="22" t="s">
        <v>20</v>
      </c>
      <c r="U2" s="22" t="s">
        <v>173</v>
      </c>
      <c r="V2" s="22" t="s">
        <v>174</v>
      </c>
      <c r="W2" s="22" t="s">
        <v>175</v>
      </c>
      <c r="X2" s="23" t="s">
        <v>176</v>
      </c>
      <c r="Y2" s="24" t="s">
        <v>177</v>
      </c>
      <c r="Z2" s="25" t="s">
        <v>178</v>
      </c>
      <c r="AA2" s="25" t="s">
        <v>179</v>
      </c>
      <c r="AB2" s="25" t="s">
        <v>180</v>
      </c>
      <c r="AC2" s="25" t="s">
        <v>8</v>
      </c>
      <c r="AD2" s="25" t="s">
        <v>12</v>
      </c>
      <c r="AE2" s="25" t="s">
        <v>10</v>
      </c>
      <c r="AF2" s="26" t="s">
        <v>14</v>
      </c>
      <c r="AG2" s="27" t="s">
        <v>183</v>
      </c>
      <c r="AH2" s="28" t="s">
        <v>176</v>
      </c>
      <c r="AI2" s="28" t="s">
        <v>185</v>
      </c>
      <c r="AJ2" s="28" t="s">
        <v>186</v>
      </c>
      <c r="AK2" s="28" t="s">
        <v>180</v>
      </c>
      <c r="AL2" s="28" t="s">
        <v>187</v>
      </c>
      <c r="AM2" s="28" t="s">
        <v>188</v>
      </c>
      <c r="AN2" s="28" t="s">
        <v>189</v>
      </c>
      <c r="AO2" s="28" t="s">
        <v>26</v>
      </c>
      <c r="AP2" s="29" t="s">
        <v>16</v>
      </c>
      <c r="AQ2" s="30" t="s">
        <v>190</v>
      </c>
      <c r="AR2" s="31" t="s">
        <v>191</v>
      </c>
      <c r="AS2" s="31" t="s">
        <v>192</v>
      </c>
      <c r="AT2" s="31" t="s">
        <v>193</v>
      </c>
      <c r="AU2" s="31" t="s">
        <v>194</v>
      </c>
      <c r="AV2" s="31" t="s">
        <v>195</v>
      </c>
      <c r="AW2" s="31" t="s">
        <v>8</v>
      </c>
      <c r="AX2" s="31" t="s">
        <v>12</v>
      </c>
      <c r="AY2" s="31" t="s">
        <v>10</v>
      </c>
      <c r="AZ2" s="31" t="s">
        <v>14</v>
      </c>
      <c r="BA2" s="31" t="s">
        <v>196</v>
      </c>
      <c r="BB2" s="31" t="s">
        <v>191</v>
      </c>
      <c r="BC2" s="31" t="s">
        <v>197</v>
      </c>
      <c r="BD2" s="31" t="s">
        <v>198</v>
      </c>
      <c r="BE2" s="32" t="s">
        <v>199</v>
      </c>
      <c r="BF2" s="30" t="s">
        <v>190</v>
      </c>
      <c r="BG2" s="31" t="s">
        <v>191</v>
      </c>
      <c r="BH2" s="31" t="s">
        <v>192</v>
      </c>
      <c r="BI2" s="31" t="s">
        <v>193</v>
      </c>
      <c r="BJ2" s="31" t="s">
        <v>194</v>
      </c>
      <c r="BK2" s="31" t="s">
        <v>195</v>
      </c>
      <c r="BL2" s="31" t="s">
        <v>8</v>
      </c>
      <c r="BM2" s="31" t="s">
        <v>12</v>
      </c>
      <c r="BN2" s="31" t="s">
        <v>10</v>
      </c>
      <c r="BO2" s="31" t="s">
        <v>14</v>
      </c>
      <c r="BP2" s="31" t="s">
        <v>196</v>
      </c>
      <c r="BQ2" s="31" t="s">
        <v>191</v>
      </c>
      <c r="BR2" s="31" t="s">
        <v>197</v>
      </c>
      <c r="BS2" s="31" t="s">
        <v>198</v>
      </c>
      <c r="BT2" s="32" t="s">
        <v>199</v>
      </c>
      <c r="BU2" s="30" t="s">
        <v>190</v>
      </c>
      <c r="BV2" s="31" t="s">
        <v>191</v>
      </c>
      <c r="BW2" s="31" t="s">
        <v>192</v>
      </c>
      <c r="BX2" s="31" t="s">
        <v>193</v>
      </c>
      <c r="BY2" s="31" t="s">
        <v>194</v>
      </c>
      <c r="BZ2" s="31" t="s">
        <v>195</v>
      </c>
      <c r="CA2" s="31" t="s">
        <v>8</v>
      </c>
      <c r="CB2" s="31" t="s">
        <v>12</v>
      </c>
      <c r="CC2" s="31" t="s">
        <v>10</v>
      </c>
      <c r="CD2" s="31" t="s">
        <v>14</v>
      </c>
      <c r="CE2" s="31" t="s">
        <v>196</v>
      </c>
      <c r="CF2" s="31" t="s">
        <v>191</v>
      </c>
      <c r="CG2" s="31" t="s">
        <v>197</v>
      </c>
      <c r="CH2" s="31" t="s">
        <v>198</v>
      </c>
      <c r="CI2" s="32" t="s">
        <v>199</v>
      </c>
      <c r="CJ2" s="30" t="s">
        <v>190</v>
      </c>
      <c r="CK2" s="31" t="s">
        <v>191</v>
      </c>
      <c r="CL2" s="31" t="s">
        <v>192</v>
      </c>
      <c r="CM2" s="31" t="s">
        <v>193</v>
      </c>
      <c r="CN2" s="31" t="s">
        <v>194</v>
      </c>
      <c r="CO2" s="31" t="s">
        <v>195</v>
      </c>
      <c r="CP2" s="31" t="s">
        <v>8</v>
      </c>
      <c r="CQ2" s="31" t="s">
        <v>12</v>
      </c>
      <c r="CR2" s="31" t="s">
        <v>10</v>
      </c>
      <c r="CS2" s="31" t="s">
        <v>14</v>
      </c>
      <c r="CT2" s="31" t="s">
        <v>196</v>
      </c>
      <c r="CU2" s="31" t="s">
        <v>191</v>
      </c>
      <c r="CV2" s="31" t="s">
        <v>197</v>
      </c>
      <c r="CW2" s="31" t="s">
        <v>198</v>
      </c>
      <c r="CX2" s="32" t="s">
        <v>199</v>
      </c>
      <c r="CY2" s="30" t="s">
        <v>190</v>
      </c>
      <c r="CZ2" s="31" t="s">
        <v>191</v>
      </c>
      <c r="DA2" s="31" t="s">
        <v>192</v>
      </c>
      <c r="DB2" s="31" t="s">
        <v>193</v>
      </c>
      <c r="DC2" s="31" t="s">
        <v>194</v>
      </c>
      <c r="DD2" s="31" t="s">
        <v>195</v>
      </c>
      <c r="DE2" s="31" t="s">
        <v>8</v>
      </c>
      <c r="DF2" s="31" t="s">
        <v>12</v>
      </c>
      <c r="DG2" s="31" t="s">
        <v>10</v>
      </c>
      <c r="DH2" s="31" t="s">
        <v>14</v>
      </c>
      <c r="DI2" s="31" t="s">
        <v>196</v>
      </c>
      <c r="DJ2" s="31" t="s">
        <v>191</v>
      </c>
      <c r="DK2" s="31" t="s">
        <v>197</v>
      </c>
      <c r="DL2" s="31" t="s">
        <v>198</v>
      </c>
      <c r="DM2" s="32" t="s">
        <v>199</v>
      </c>
      <c r="DN2" s="185"/>
      <c r="DO2" s="185"/>
      <c r="DP2" s="185" t="s">
        <v>379</v>
      </c>
      <c r="DQ2" s="185" t="s">
        <v>380</v>
      </c>
      <c r="DR2" s="184" t="s">
        <v>381</v>
      </c>
      <c r="DS2" s="185" t="s">
        <v>382</v>
      </c>
    </row>
    <row r="3" spans="1:123" x14ac:dyDescent="0.2">
      <c r="A3" s="33">
        <v>1</v>
      </c>
      <c r="B3" s="34" t="s">
        <v>223</v>
      </c>
      <c r="C3" s="116">
        <v>11.633333333333333</v>
      </c>
      <c r="D3" s="117" t="s">
        <v>436</v>
      </c>
      <c r="E3" s="37">
        <v>3</v>
      </c>
      <c r="F3" s="118">
        <v>37823</v>
      </c>
      <c r="G3" s="119">
        <v>22.202739726027396</v>
      </c>
      <c r="H3" s="39" t="s">
        <v>385</v>
      </c>
      <c r="I3" s="119">
        <v>20.783561643835615</v>
      </c>
      <c r="J3" s="120">
        <v>72</v>
      </c>
      <c r="K3" s="120">
        <v>216</v>
      </c>
      <c r="L3" s="120">
        <v>4.55</v>
      </c>
      <c r="M3" s="40">
        <v>2</v>
      </c>
      <c r="N3" s="121">
        <v>0</v>
      </c>
      <c r="O3" s="122">
        <v>0</v>
      </c>
      <c r="P3" s="122">
        <v>9.1219397363465154E-2</v>
      </c>
      <c r="Q3" s="122">
        <v>7.7813248204309668E-2</v>
      </c>
      <c r="R3" s="122">
        <v>0.27053783912422658</v>
      </c>
      <c r="S3" s="42">
        <v>0.27053783912422658</v>
      </c>
      <c r="T3" s="42">
        <v>0.24348405521180391</v>
      </c>
      <c r="U3" s="42">
        <v>2.1896082376612617E-2</v>
      </c>
      <c r="V3" s="42">
        <v>8.9934278796264255E-2</v>
      </c>
      <c r="W3" s="42">
        <v>8.9934278796264255E-2</v>
      </c>
      <c r="X3" s="43">
        <v>8.094085091663783E-2</v>
      </c>
      <c r="Y3" s="44">
        <v>20.136986301369863</v>
      </c>
      <c r="Z3" s="170">
        <v>100.79480759748448</v>
      </c>
      <c r="AA3" s="45">
        <v>29.291666666666664</v>
      </c>
      <c r="AB3" s="45">
        <v>0.33689839572192515</v>
      </c>
      <c r="AC3" s="45">
        <v>6.5666666666666664</v>
      </c>
      <c r="AD3" s="45">
        <v>140.30000000000001</v>
      </c>
      <c r="AE3" s="45">
        <v>5.07</v>
      </c>
      <c r="AF3" s="45">
        <v>54.3</v>
      </c>
      <c r="AG3" s="128">
        <v>6</v>
      </c>
      <c r="AH3" s="49">
        <v>8</v>
      </c>
      <c r="AI3" s="49">
        <v>4</v>
      </c>
      <c r="AJ3" s="49">
        <v>6</v>
      </c>
      <c r="AK3" s="49">
        <v>9</v>
      </c>
      <c r="AL3" s="124">
        <v>6</v>
      </c>
      <c r="AM3" s="49">
        <v>7</v>
      </c>
      <c r="AN3" s="49">
        <v>8</v>
      </c>
      <c r="AO3" s="49">
        <v>7</v>
      </c>
      <c r="AP3" s="50">
        <v>1</v>
      </c>
      <c r="AQ3" s="51"/>
      <c r="AR3" s="52">
        <v>1</v>
      </c>
      <c r="AS3" s="52"/>
      <c r="AT3" s="52"/>
      <c r="AU3" s="52"/>
      <c r="AV3" s="52"/>
      <c r="AW3" s="53"/>
      <c r="AX3" s="52"/>
      <c r="AY3" s="52"/>
      <c r="AZ3" s="52"/>
      <c r="BA3" s="52"/>
      <c r="BB3" s="52">
        <v>1</v>
      </c>
      <c r="BC3" s="52"/>
      <c r="BD3" s="52"/>
      <c r="BE3" s="54"/>
      <c r="BF3" s="51"/>
      <c r="BG3" s="52">
        <v>1</v>
      </c>
      <c r="BH3" s="52"/>
      <c r="BI3" s="52"/>
      <c r="BJ3" s="52"/>
      <c r="BK3" s="52"/>
      <c r="BL3" s="53"/>
      <c r="BM3" s="52"/>
      <c r="BN3" s="52"/>
      <c r="BO3" s="52"/>
      <c r="BP3" s="52"/>
      <c r="BQ3" s="52">
        <v>1</v>
      </c>
      <c r="BR3" s="52"/>
      <c r="BS3" s="52"/>
      <c r="BT3" s="54"/>
      <c r="BU3" s="51">
        <v>143</v>
      </c>
      <c r="BV3" s="52">
        <v>797.6</v>
      </c>
      <c r="BW3" s="52">
        <v>1</v>
      </c>
      <c r="BX3" s="52">
        <v>8.4</v>
      </c>
      <c r="BY3" s="52">
        <v>21</v>
      </c>
      <c r="BZ3" s="52">
        <v>11</v>
      </c>
      <c r="CA3" s="52">
        <v>6.8095238095238093</v>
      </c>
      <c r="CB3" s="52">
        <v>281.39999999999998</v>
      </c>
      <c r="CC3" s="52">
        <v>4.76</v>
      </c>
      <c r="CD3" s="52">
        <v>39.9</v>
      </c>
      <c r="CE3" s="52">
        <v>12</v>
      </c>
      <c r="CF3" s="52">
        <v>901.6</v>
      </c>
      <c r="CG3" s="52">
        <v>1</v>
      </c>
      <c r="CH3" s="52">
        <v>0</v>
      </c>
      <c r="CI3" s="54">
        <v>9.6</v>
      </c>
      <c r="CJ3" s="51">
        <v>197</v>
      </c>
      <c r="CK3" s="52">
        <v>1317.3999999999999</v>
      </c>
      <c r="CL3" s="52">
        <v>5</v>
      </c>
      <c r="CM3" s="52">
        <v>15.400000000000002</v>
      </c>
      <c r="CN3" s="52">
        <v>30</v>
      </c>
      <c r="CO3" s="52">
        <v>8</v>
      </c>
      <c r="CP3" s="52">
        <v>6.5666666666666664</v>
      </c>
      <c r="CQ3" s="52">
        <v>126.7</v>
      </c>
      <c r="CR3" s="52">
        <v>5.07</v>
      </c>
      <c r="CS3" s="52">
        <v>54.3</v>
      </c>
      <c r="CT3" s="52">
        <v>37</v>
      </c>
      <c r="CU3" s="52">
        <v>1689.8</v>
      </c>
      <c r="CV3" s="52">
        <v>2</v>
      </c>
      <c r="CW3" s="52">
        <v>1</v>
      </c>
      <c r="CX3" s="54">
        <v>11.9</v>
      </c>
      <c r="CY3" s="51">
        <v>1135</v>
      </c>
      <c r="CZ3" s="52">
        <v>2072.4</v>
      </c>
      <c r="DA3" s="52">
        <v>10</v>
      </c>
      <c r="DB3" s="52">
        <v>23.1</v>
      </c>
      <c r="DC3" s="52">
        <v>187</v>
      </c>
      <c r="DD3" s="52">
        <v>63</v>
      </c>
      <c r="DE3" s="52">
        <v>6.1</v>
      </c>
      <c r="DF3" s="52">
        <v>140.30000000000001</v>
      </c>
      <c r="DG3" s="53">
        <v>3.91</v>
      </c>
      <c r="DH3" s="52">
        <v>43.3</v>
      </c>
      <c r="DI3" s="52">
        <v>286</v>
      </c>
      <c r="DJ3" s="52">
        <v>3180.1000000000004</v>
      </c>
      <c r="DK3" s="52">
        <v>25</v>
      </c>
      <c r="DL3" s="52">
        <v>1</v>
      </c>
      <c r="DM3" s="54">
        <v>19.8</v>
      </c>
      <c r="DO3" s="11">
        <v>1</v>
      </c>
      <c r="DP3" s="42" t="s">
        <v>386</v>
      </c>
      <c r="DQ3" s="7">
        <v>1</v>
      </c>
      <c r="DR3" s="130">
        <v>43708</v>
      </c>
      <c r="DS3" s="127">
        <v>45409</v>
      </c>
    </row>
    <row r="4" spans="1:123" x14ac:dyDescent="0.2">
      <c r="A4" s="33">
        <v>2</v>
      </c>
      <c r="B4" s="34" t="s">
        <v>232</v>
      </c>
      <c r="C4" s="116">
        <v>10.25</v>
      </c>
      <c r="D4" s="117" t="s">
        <v>413</v>
      </c>
      <c r="E4" s="37">
        <v>4</v>
      </c>
      <c r="F4" s="118">
        <v>37460</v>
      </c>
      <c r="G4" s="119">
        <v>23.197260273972603</v>
      </c>
      <c r="H4" s="39" t="s">
        <v>498</v>
      </c>
      <c r="I4" s="119">
        <v>21.778082191780822</v>
      </c>
      <c r="J4" s="120">
        <v>72</v>
      </c>
      <c r="K4" s="120">
        <v>216</v>
      </c>
      <c r="L4" s="120">
        <v>4.3899999999999997</v>
      </c>
      <c r="M4" s="40">
        <v>3</v>
      </c>
      <c r="N4" s="121">
        <v>0</v>
      </c>
      <c r="O4" s="122">
        <v>0</v>
      </c>
      <c r="P4" s="122">
        <v>2.7129039867893372E-2</v>
      </c>
      <c r="Q4" s="122">
        <v>0.18043488619577822</v>
      </c>
      <c r="R4" s="122">
        <v>0.21682500766166105</v>
      </c>
      <c r="S4" s="42">
        <v>0.21682500766166105</v>
      </c>
      <c r="T4" s="42">
        <v>0.19514250689549495</v>
      </c>
      <c r="U4" s="42">
        <v>4.0425895348175145E-2</v>
      </c>
      <c r="V4" s="42">
        <v>6.9457193562205491E-2</v>
      </c>
      <c r="W4" s="42">
        <v>6.9457193562205491E-2</v>
      </c>
      <c r="X4" s="43">
        <v>6.2511474205984949E-2</v>
      </c>
      <c r="Y4" s="44">
        <v>20.134246575342466</v>
      </c>
      <c r="Z4" s="170">
        <v>116.31230593059369</v>
      </c>
      <c r="AA4" s="45">
        <v>29.291666666666664</v>
      </c>
      <c r="AB4" s="45">
        <v>0.51298701298701299</v>
      </c>
      <c r="AC4" s="45">
        <v>6.4545454545454541</v>
      </c>
      <c r="AD4" s="45">
        <v>226.6</v>
      </c>
      <c r="AE4" s="45">
        <v>4.53</v>
      </c>
      <c r="AF4" s="45">
        <v>56.1</v>
      </c>
      <c r="AG4" s="128">
        <v>3</v>
      </c>
      <c r="AH4" s="49">
        <v>6</v>
      </c>
      <c r="AI4" s="49">
        <v>4</v>
      </c>
      <c r="AJ4" s="49">
        <v>10</v>
      </c>
      <c r="AK4" s="49">
        <v>10</v>
      </c>
      <c r="AL4" s="49">
        <v>6</v>
      </c>
      <c r="AM4" s="49">
        <v>10</v>
      </c>
      <c r="AN4" s="49">
        <v>7</v>
      </c>
      <c r="AO4" s="49">
        <v>6</v>
      </c>
      <c r="AP4" s="50">
        <v>0</v>
      </c>
      <c r="AQ4" s="56"/>
      <c r="AR4" s="57">
        <v>1</v>
      </c>
      <c r="AS4" s="57"/>
      <c r="AT4" s="57"/>
      <c r="AU4" s="57"/>
      <c r="AV4" s="57"/>
      <c r="AW4" s="58"/>
      <c r="AX4" s="57"/>
      <c r="AY4" s="57"/>
      <c r="AZ4" s="57"/>
      <c r="BA4" s="57"/>
      <c r="BB4" s="57">
        <v>1</v>
      </c>
      <c r="BC4" s="57"/>
      <c r="BD4" s="57"/>
      <c r="BE4" s="59"/>
      <c r="BF4" s="56"/>
      <c r="BG4" s="57">
        <v>1</v>
      </c>
      <c r="BH4" s="57"/>
      <c r="BI4" s="57"/>
      <c r="BJ4" s="57"/>
      <c r="BK4" s="57"/>
      <c r="BL4" s="58"/>
      <c r="BM4" s="57"/>
      <c r="BN4" s="57"/>
      <c r="BO4" s="57"/>
      <c r="BP4" s="57"/>
      <c r="BQ4" s="57">
        <v>1</v>
      </c>
      <c r="BR4" s="57"/>
      <c r="BS4" s="57"/>
      <c r="BT4" s="59"/>
      <c r="BU4" s="56">
        <v>22</v>
      </c>
      <c r="BV4" s="57">
        <v>404.8</v>
      </c>
      <c r="BW4" s="57">
        <v>1</v>
      </c>
      <c r="BX4" s="57">
        <v>5</v>
      </c>
      <c r="BY4" s="57">
        <v>6</v>
      </c>
      <c r="BZ4" s="57">
        <v>0</v>
      </c>
      <c r="CA4" s="58">
        <v>3.6666666666666665</v>
      </c>
      <c r="CB4" s="57">
        <v>0</v>
      </c>
      <c r="CC4" s="57">
        <v>0.83</v>
      </c>
      <c r="CD4" s="57">
        <v>0</v>
      </c>
      <c r="CE4" s="57">
        <v>1</v>
      </c>
      <c r="CF4" s="57">
        <v>443</v>
      </c>
      <c r="CG4" s="57"/>
      <c r="CH4" s="57"/>
      <c r="CI4" s="59">
        <v>3</v>
      </c>
      <c r="CJ4" s="56">
        <v>994</v>
      </c>
      <c r="CK4" s="57">
        <v>2783.2999999999997</v>
      </c>
      <c r="CL4" s="57">
        <v>9</v>
      </c>
      <c r="CM4" s="57">
        <v>32.5</v>
      </c>
      <c r="CN4" s="57">
        <v>154</v>
      </c>
      <c r="CO4" s="57">
        <v>79</v>
      </c>
      <c r="CP4" s="58">
        <v>6.4545454545454541</v>
      </c>
      <c r="CQ4" s="57">
        <v>226.6</v>
      </c>
      <c r="CR4" s="58">
        <v>4.53</v>
      </c>
      <c r="CS4" s="57">
        <v>56.1</v>
      </c>
      <c r="CT4" s="57">
        <v>142</v>
      </c>
      <c r="CU4" s="57">
        <v>3512.6</v>
      </c>
      <c r="CV4" s="57">
        <v>12</v>
      </c>
      <c r="CW4" s="57">
        <v>0</v>
      </c>
      <c r="CX4" s="59">
        <v>28.6</v>
      </c>
      <c r="CY4" s="56">
        <v>905</v>
      </c>
      <c r="CZ4" s="57">
        <v>1952.6</v>
      </c>
      <c r="DA4" s="57">
        <v>14</v>
      </c>
      <c r="DB4" s="57">
        <v>29.9</v>
      </c>
      <c r="DC4" s="57">
        <v>156</v>
      </c>
      <c r="DD4" s="57">
        <v>45</v>
      </c>
      <c r="DE4" s="57">
        <v>5.8</v>
      </c>
      <c r="DF4" s="57">
        <v>106.4</v>
      </c>
      <c r="DG4" s="58">
        <v>3.53</v>
      </c>
      <c r="DH4" s="57">
        <v>53.9</v>
      </c>
      <c r="DI4" s="57">
        <v>227</v>
      </c>
      <c r="DJ4" s="57">
        <v>3268.2000000000003</v>
      </c>
      <c r="DK4" s="57">
        <v>20</v>
      </c>
      <c r="DL4" s="57">
        <v>1</v>
      </c>
      <c r="DM4" s="59">
        <v>23.400000000000002</v>
      </c>
      <c r="DO4" s="11">
        <v>2</v>
      </c>
      <c r="DP4" s="42" t="s">
        <v>390</v>
      </c>
      <c r="DQ4" s="7">
        <v>1</v>
      </c>
      <c r="DR4" s="130">
        <v>44075</v>
      </c>
    </row>
    <row r="5" spans="1:123" x14ac:dyDescent="0.2">
      <c r="A5" s="33">
        <v>3</v>
      </c>
      <c r="B5" s="34" t="s">
        <v>240</v>
      </c>
      <c r="C5" s="116">
        <v>9.9944444444444454</v>
      </c>
      <c r="D5" s="117" t="s">
        <v>388</v>
      </c>
      <c r="E5" s="37">
        <v>2</v>
      </c>
      <c r="F5" s="118">
        <v>38006</v>
      </c>
      <c r="G5" s="119">
        <v>21.701369863013699</v>
      </c>
      <c r="H5" s="39" t="s">
        <v>385</v>
      </c>
      <c r="I5" s="119">
        <v>20.282191780821918</v>
      </c>
      <c r="J5" s="120">
        <v>74</v>
      </c>
      <c r="K5" s="120">
        <v>245</v>
      </c>
      <c r="L5" s="120">
        <v>4.59</v>
      </c>
      <c r="M5" s="40">
        <v>4</v>
      </c>
      <c r="N5" s="121">
        <v>0</v>
      </c>
      <c r="O5" s="122">
        <v>0</v>
      </c>
      <c r="P5" s="122">
        <v>0.29109435317353444</v>
      </c>
      <c r="Q5" s="122">
        <v>0.30848918225155841</v>
      </c>
      <c r="R5" s="122">
        <v>0.26542974339406661</v>
      </c>
      <c r="S5" s="42">
        <v>0.28695946282281248</v>
      </c>
      <c r="T5" s="42">
        <v>0.28695946282281248</v>
      </c>
      <c r="U5" s="42">
        <v>4.7152702212549864E-2</v>
      </c>
      <c r="V5" s="42">
        <v>5.4083064982247547E-2</v>
      </c>
      <c r="W5" s="42">
        <v>5.4083064982247547E-2</v>
      </c>
      <c r="X5" s="43">
        <v>5.4083064982247547E-2</v>
      </c>
      <c r="Y5" s="44">
        <v>17.624657534246577</v>
      </c>
      <c r="Z5" s="170">
        <v>110.3939664692558</v>
      </c>
      <c r="AA5" s="45">
        <v>31.452702702702705</v>
      </c>
      <c r="AB5" s="45">
        <v>0.27071823204419887</v>
      </c>
      <c r="AC5" s="45">
        <v>5.4</v>
      </c>
      <c r="AD5" s="45">
        <v>109.1</v>
      </c>
      <c r="AE5" s="45">
        <v>4.4800000000000004</v>
      </c>
      <c r="AF5" s="45">
        <v>47.9</v>
      </c>
      <c r="AG5" s="128">
        <v>8</v>
      </c>
      <c r="AH5" s="49">
        <v>6</v>
      </c>
      <c r="AI5" s="49">
        <v>10</v>
      </c>
      <c r="AJ5" s="49">
        <v>9</v>
      </c>
      <c r="AK5" s="49">
        <v>7</v>
      </c>
      <c r="AL5" s="49">
        <v>2</v>
      </c>
      <c r="AM5" s="49">
        <v>5</v>
      </c>
      <c r="AN5" s="49">
        <v>7</v>
      </c>
      <c r="AO5" s="49">
        <v>4</v>
      </c>
      <c r="AP5" s="50">
        <v>0.25</v>
      </c>
      <c r="AQ5" s="56"/>
      <c r="AR5" s="57">
        <v>1</v>
      </c>
      <c r="AS5" s="57"/>
      <c r="AT5" s="57"/>
      <c r="AU5" s="57"/>
      <c r="AV5" s="57"/>
      <c r="AW5" s="58"/>
      <c r="AX5" s="57"/>
      <c r="AY5" s="57"/>
      <c r="AZ5" s="57"/>
      <c r="BA5" s="57"/>
      <c r="BB5" s="57">
        <v>1</v>
      </c>
      <c r="BC5" s="57"/>
      <c r="BD5" s="57"/>
      <c r="BE5" s="59"/>
      <c r="BF5" s="56"/>
      <c r="BG5" s="57">
        <v>1</v>
      </c>
      <c r="BH5" s="57"/>
      <c r="BI5" s="57"/>
      <c r="BJ5" s="57"/>
      <c r="BK5" s="57"/>
      <c r="BL5" s="58"/>
      <c r="BM5" s="57"/>
      <c r="BN5" s="57"/>
      <c r="BO5" s="57"/>
      <c r="BP5" s="57"/>
      <c r="BQ5" s="57">
        <v>1</v>
      </c>
      <c r="BR5" s="57"/>
      <c r="BS5" s="57"/>
      <c r="BT5" s="59"/>
      <c r="BU5" s="56">
        <v>1258</v>
      </c>
      <c r="BV5" s="57">
        <v>2533.1999999999998</v>
      </c>
      <c r="BW5" s="57">
        <v>12</v>
      </c>
      <c r="BX5" s="57">
        <v>24</v>
      </c>
      <c r="BY5" s="57">
        <v>185</v>
      </c>
      <c r="BZ5" s="57">
        <v>45</v>
      </c>
      <c r="CA5" s="58">
        <v>6.8</v>
      </c>
      <c r="CB5" s="57">
        <v>109.1</v>
      </c>
      <c r="CC5" s="57">
        <v>4.4800000000000004</v>
      </c>
      <c r="CD5" s="57">
        <v>47.9</v>
      </c>
      <c r="CE5" s="57">
        <v>39</v>
      </c>
      <c r="CF5" s="57">
        <v>1922.3999999999999</v>
      </c>
      <c r="CG5" s="57">
        <v>8</v>
      </c>
      <c r="CH5" s="57">
        <v>0</v>
      </c>
      <c r="CI5" s="59">
        <v>9.6000000000000014</v>
      </c>
      <c r="CJ5" s="56">
        <v>1242</v>
      </c>
      <c r="CK5" s="57">
        <v>2157.6000000000004</v>
      </c>
      <c r="CL5" s="57">
        <v>11</v>
      </c>
      <c r="CM5" s="57">
        <v>19.200000000000003</v>
      </c>
      <c r="CN5" s="57">
        <v>230</v>
      </c>
      <c r="CO5" s="57">
        <v>51</v>
      </c>
      <c r="CP5" s="58">
        <v>5.4</v>
      </c>
      <c r="CQ5" s="57">
        <v>64.8</v>
      </c>
      <c r="CR5" s="58">
        <v>2.92</v>
      </c>
      <c r="CS5" s="57">
        <v>40.299999999999997</v>
      </c>
      <c r="CT5" s="57">
        <v>104</v>
      </c>
      <c r="CU5" s="57">
        <v>2205.6000000000004</v>
      </c>
      <c r="CV5" s="57">
        <v>13</v>
      </c>
      <c r="CW5" s="57">
        <v>0</v>
      </c>
      <c r="CX5" s="59">
        <v>19.200000000000003</v>
      </c>
      <c r="CY5" s="56">
        <v>982</v>
      </c>
      <c r="CZ5" s="57">
        <v>1771</v>
      </c>
      <c r="DA5" s="57">
        <v>12</v>
      </c>
      <c r="DB5" s="57">
        <v>18.7</v>
      </c>
      <c r="DC5" s="57">
        <v>181</v>
      </c>
      <c r="DD5" s="57">
        <v>49</v>
      </c>
      <c r="DE5" s="57">
        <v>5.4</v>
      </c>
      <c r="DF5" s="57">
        <v>99.2</v>
      </c>
      <c r="DG5" s="58">
        <v>3.77</v>
      </c>
      <c r="DH5" s="57">
        <v>40.4</v>
      </c>
      <c r="DI5" s="57">
        <v>131</v>
      </c>
      <c r="DJ5" s="57">
        <v>2422.1999999999998</v>
      </c>
      <c r="DK5" s="57">
        <v>28</v>
      </c>
      <c r="DL5" s="57">
        <v>0</v>
      </c>
      <c r="DM5" s="59">
        <v>12.100000000000001</v>
      </c>
      <c r="DN5" s="171"/>
      <c r="DO5" s="5">
        <v>3</v>
      </c>
      <c r="DP5" s="42" t="s">
        <v>393</v>
      </c>
      <c r="DQ5" s="7">
        <v>0.9</v>
      </c>
      <c r="DR5" s="130">
        <v>44439</v>
      </c>
    </row>
    <row r="6" spans="1:123" x14ac:dyDescent="0.2">
      <c r="A6" s="33">
        <v>4</v>
      </c>
      <c r="B6" s="34" t="s">
        <v>250</v>
      </c>
      <c r="C6" s="116">
        <v>9.7722222222222221</v>
      </c>
      <c r="D6" s="117" t="s">
        <v>515</v>
      </c>
      <c r="E6" s="37">
        <v>5</v>
      </c>
      <c r="F6" s="118">
        <v>37487</v>
      </c>
      <c r="G6" s="119">
        <v>23.123287671232877</v>
      </c>
      <c r="H6" s="39" t="s">
        <v>385</v>
      </c>
      <c r="I6" s="119">
        <v>21.704109589041096</v>
      </c>
      <c r="J6" s="120">
        <v>69</v>
      </c>
      <c r="K6" s="120">
        <v>192</v>
      </c>
      <c r="L6" s="120">
        <v>4.55</v>
      </c>
      <c r="M6" s="40">
        <v>4</v>
      </c>
      <c r="N6" s="121">
        <v>0</v>
      </c>
      <c r="O6" s="122">
        <v>0</v>
      </c>
      <c r="P6" s="122">
        <v>0.17806070670726079</v>
      </c>
      <c r="Q6" s="122">
        <v>0.20913365499861702</v>
      </c>
      <c r="R6" s="122">
        <v>0.21331792031829669</v>
      </c>
      <c r="S6" s="42">
        <v>0.21331792031829669</v>
      </c>
      <c r="T6" s="42">
        <v>0.18132023227055219</v>
      </c>
      <c r="U6" s="42">
        <v>8.0218236819360411E-2</v>
      </c>
      <c r="V6" s="42">
        <v>8.0508998064489565E-2</v>
      </c>
      <c r="W6" s="42">
        <v>8.0508998064489565E-2</v>
      </c>
      <c r="X6" s="43">
        <v>6.8432648354816134E-2</v>
      </c>
      <c r="Y6" s="44">
        <v>19.046575342465754</v>
      </c>
      <c r="Z6" s="170">
        <v>89.595384531097309</v>
      </c>
      <c r="AA6" s="45">
        <v>28.350346565847513</v>
      </c>
      <c r="AB6" s="45">
        <v>0.42038216560509556</v>
      </c>
      <c r="AC6" s="45">
        <v>6.7770700636942678</v>
      </c>
      <c r="AD6" s="45">
        <v>170.1</v>
      </c>
      <c r="AE6" s="45">
        <v>4.3600000000000003</v>
      </c>
      <c r="AF6" s="45">
        <v>39.299999999999997</v>
      </c>
      <c r="AG6" s="128">
        <v>3</v>
      </c>
      <c r="AH6" s="49">
        <v>7</v>
      </c>
      <c r="AI6" s="49">
        <v>8</v>
      </c>
      <c r="AJ6" s="49">
        <v>2</v>
      </c>
      <c r="AK6" s="49">
        <v>10</v>
      </c>
      <c r="AL6" s="49">
        <v>7</v>
      </c>
      <c r="AM6" s="49">
        <v>8</v>
      </c>
      <c r="AN6" s="49">
        <v>6</v>
      </c>
      <c r="AO6" s="49">
        <v>4</v>
      </c>
      <c r="AP6" s="50">
        <v>1</v>
      </c>
      <c r="AQ6" s="56"/>
      <c r="AR6" s="57">
        <v>1</v>
      </c>
      <c r="AS6" s="57"/>
      <c r="AT6" s="57"/>
      <c r="AU6" s="57"/>
      <c r="AV6" s="57"/>
      <c r="AW6" s="58"/>
      <c r="AX6" s="57"/>
      <c r="AY6" s="57"/>
      <c r="AZ6" s="57"/>
      <c r="BA6" s="57"/>
      <c r="BB6" s="57">
        <v>1</v>
      </c>
      <c r="BC6" s="57"/>
      <c r="BD6" s="57"/>
      <c r="BE6" s="59"/>
      <c r="BF6" s="56"/>
      <c r="BG6" s="57">
        <v>1</v>
      </c>
      <c r="BH6" s="57"/>
      <c r="BI6" s="57"/>
      <c r="BJ6" s="57"/>
      <c r="BK6" s="57"/>
      <c r="BL6" s="58"/>
      <c r="BM6" s="57"/>
      <c r="BN6" s="57"/>
      <c r="BO6" s="57"/>
      <c r="BP6" s="57"/>
      <c r="BQ6" s="57">
        <v>1</v>
      </c>
      <c r="BR6" s="57"/>
      <c r="BS6" s="57"/>
      <c r="BT6" s="59"/>
      <c r="BU6" s="56">
        <v>696</v>
      </c>
      <c r="BV6" s="57">
        <v>2391.6000000000004</v>
      </c>
      <c r="BW6" s="57">
        <v>4</v>
      </c>
      <c r="BX6" s="57">
        <v>25.200000000000003</v>
      </c>
      <c r="BY6" s="57">
        <v>132</v>
      </c>
      <c r="BZ6" s="57">
        <v>36</v>
      </c>
      <c r="CA6" s="58">
        <v>5.2727272727272725</v>
      </c>
      <c r="CB6" s="57">
        <v>82.5</v>
      </c>
      <c r="CC6" s="57">
        <v>2.91</v>
      </c>
      <c r="CD6" s="57">
        <v>32</v>
      </c>
      <c r="CE6" s="57">
        <v>76</v>
      </c>
      <c r="CF6" s="57">
        <v>1944</v>
      </c>
      <c r="CG6" s="57">
        <v>9</v>
      </c>
      <c r="CH6" s="57">
        <v>0</v>
      </c>
      <c r="CI6" s="59">
        <v>10.8</v>
      </c>
      <c r="CJ6" s="56">
        <v>1064</v>
      </c>
      <c r="CK6" s="57">
        <v>2805.4</v>
      </c>
      <c r="CL6" s="57">
        <v>5</v>
      </c>
      <c r="CM6" s="57">
        <v>33.800000000000004</v>
      </c>
      <c r="CN6" s="57">
        <v>157</v>
      </c>
      <c r="CO6" s="57">
        <v>66</v>
      </c>
      <c r="CP6" s="58">
        <v>6.7770700636942678</v>
      </c>
      <c r="CQ6" s="57">
        <v>170.1</v>
      </c>
      <c r="CR6" s="58">
        <v>4.3600000000000003</v>
      </c>
      <c r="CS6" s="57">
        <v>38.1</v>
      </c>
      <c r="CT6" s="57">
        <v>297</v>
      </c>
      <c r="CU6" s="57">
        <v>3702.4</v>
      </c>
      <c r="CV6" s="57">
        <v>30</v>
      </c>
      <c r="CW6" s="57">
        <v>3</v>
      </c>
      <c r="CX6" s="59">
        <v>29.9</v>
      </c>
      <c r="CY6" s="56">
        <v>1196</v>
      </c>
      <c r="CZ6" s="57">
        <v>2583</v>
      </c>
      <c r="DA6" s="57">
        <v>11</v>
      </c>
      <c r="DB6" s="57">
        <v>33.6</v>
      </c>
      <c r="DC6" s="57">
        <v>187</v>
      </c>
      <c r="DD6" s="57">
        <v>69</v>
      </c>
      <c r="DE6" s="57">
        <v>6.4</v>
      </c>
      <c r="DF6" s="57">
        <v>148.80000000000001</v>
      </c>
      <c r="DG6" s="58">
        <v>3.98</v>
      </c>
      <c r="DH6" s="57">
        <v>39.299999999999997</v>
      </c>
      <c r="DI6" s="57">
        <v>391</v>
      </c>
      <c r="DJ6" s="57">
        <v>4856.5999999999995</v>
      </c>
      <c r="DK6" s="57">
        <v>54</v>
      </c>
      <c r="DL6" s="57">
        <v>2</v>
      </c>
      <c r="DM6" s="59">
        <v>49</v>
      </c>
      <c r="DN6" s="171"/>
      <c r="DO6" s="5">
        <v>4</v>
      </c>
      <c r="DP6" s="42" t="s">
        <v>396</v>
      </c>
      <c r="DQ6" s="7">
        <v>0.9</v>
      </c>
      <c r="DR6" s="130">
        <v>44809</v>
      </c>
    </row>
    <row r="7" spans="1:123" x14ac:dyDescent="0.2">
      <c r="A7" s="33">
        <v>5</v>
      </c>
      <c r="B7" s="34" t="s">
        <v>239</v>
      </c>
      <c r="C7" s="116">
        <v>9.5055555555555564</v>
      </c>
      <c r="D7" s="117" t="s">
        <v>410</v>
      </c>
      <c r="E7" s="37">
        <v>5</v>
      </c>
      <c r="F7" s="118">
        <v>36896</v>
      </c>
      <c r="G7" s="119">
        <v>24.742465753424657</v>
      </c>
      <c r="H7" s="39" t="s">
        <v>498</v>
      </c>
      <c r="I7" s="119">
        <v>23.323287671232876</v>
      </c>
      <c r="J7" s="120">
        <v>69</v>
      </c>
      <c r="K7" s="120">
        <v>220</v>
      </c>
      <c r="L7" s="120">
        <v>4.46</v>
      </c>
      <c r="M7" s="40">
        <v>3</v>
      </c>
      <c r="N7" s="121">
        <v>0</v>
      </c>
      <c r="O7" s="122">
        <v>0</v>
      </c>
      <c r="P7" s="122">
        <v>7.3071136900924136E-2</v>
      </c>
      <c r="Q7" s="122">
        <v>0.21647307286166845</v>
      </c>
      <c r="R7" s="122">
        <v>0.2037483474609223</v>
      </c>
      <c r="S7" s="42">
        <v>0.21011071016129537</v>
      </c>
      <c r="T7" s="42">
        <v>0.17859410363710107</v>
      </c>
      <c r="U7" s="42">
        <v>7.3931623931623933E-2</v>
      </c>
      <c r="V7" s="42">
        <v>6.3336063336063342E-2</v>
      </c>
      <c r="W7" s="42">
        <v>6.8633843633843644E-2</v>
      </c>
      <c r="X7" s="43">
        <v>5.8338767088767098E-2</v>
      </c>
      <c r="Y7" s="44">
        <v>21.67945205479452</v>
      </c>
      <c r="Z7" s="170">
        <v>111.20216474658046</v>
      </c>
      <c r="AA7" s="45">
        <v>32.484772106700277</v>
      </c>
      <c r="AB7" s="45">
        <v>0.40869565217391307</v>
      </c>
      <c r="AC7" s="45">
        <v>7.1</v>
      </c>
      <c r="AD7" s="45">
        <v>177</v>
      </c>
      <c r="AE7" s="45">
        <v>4.05</v>
      </c>
      <c r="AF7" s="45">
        <v>56.7</v>
      </c>
      <c r="AG7" s="128">
        <v>3</v>
      </c>
      <c r="AH7" s="49">
        <v>6</v>
      </c>
      <c r="AI7" s="49">
        <v>2</v>
      </c>
      <c r="AJ7" s="49">
        <v>9</v>
      </c>
      <c r="AK7" s="49">
        <v>10</v>
      </c>
      <c r="AL7" s="49">
        <v>8</v>
      </c>
      <c r="AM7" s="49">
        <v>8</v>
      </c>
      <c r="AN7" s="49">
        <v>5</v>
      </c>
      <c r="AO7" s="49">
        <v>6</v>
      </c>
      <c r="AP7" s="50">
        <v>0</v>
      </c>
      <c r="AQ7" s="56"/>
      <c r="AR7" s="57">
        <v>1</v>
      </c>
      <c r="AS7" s="57"/>
      <c r="AT7" s="57"/>
      <c r="AU7" s="57"/>
      <c r="AV7" s="57"/>
      <c r="AW7" s="58"/>
      <c r="AX7" s="57"/>
      <c r="AY7" s="57"/>
      <c r="AZ7" s="57"/>
      <c r="BA7" s="57"/>
      <c r="BB7" s="57">
        <v>1</v>
      </c>
      <c r="BC7" s="57"/>
      <c r="BD7" s="57"/>
      <c r="BE7" s="59"/>
      <c r="BF7" s="56"/>
      <c r="BG7" s="57">
        <v>1</v>
      </c>
      <c r="BH7" s="57"/>
      <c r="BI7" s="57"/>
      <c r="BJ7" s="57"/>
      <c r="BK7" s="57"/>
      <c r="BL7" s="58"/>
      <c r="BM7" s="57"/>
      <c r="BN7" s="57"/>
      <c r="BO7" s="57"/>
      <c r="BP7" s="57"/>
      <c r="BQ7" s="57">
        <v>1</v>
      </c>
      <c r="BR7" s="57"/>
      <c r="BS7" s="57"/>
      <c r="BT7" s="59"/>
      <c r="BU7" s="56">
        <v>228</v>
      </c>
      <c r="BV7" s="57">
        <v>1509.1999999999998</v>
      </c>
      <c r="BW7" s="57">
        <v>1</v>
      </c>
      <c r="BX7" s="57">
        <v>7.6999999999999993</v>
      </c>
      <c r="BY7" s="57">
        <v>64</v>
      </c>
      <c r="BZ7" s="57">
        <v>9</v>
      </c>
      <c r="CA7" s="58">
        <v>3.5625</v>
      </c>
      <c r="CB7" s="57">
        <v>36.700000000000003</v>
      </c>
      <c r="CC7" s="57">
        <v>2.23</v>
      </c>
      <c r="CD7" s="57">
        <v>45.2</v>
      </c>
      <c r="CE7" s="57">
        <v>44</v>
      </c>
      <c r="CF7" s="57">
        <v>2213.1999999999998</v>
      </c>
      <c r="CG7" s="57">
        <v>3</v>
      </c>
      <c r="CH7" s="57">
        <v>0</v>
      </c>
      <c r="CI7" s="59">
        <v>18.7</v>
      </c>
      <c r="CJ7" s="56">
        <v>565</v>
      </c>
      <c r="CK7" s="57">
        <v>1069.2</v>
      </c>
      <c r="CL7" s="57">
        <v>9</v>
      </c>
      <c r="CM7" s="57">
        <v>18.900000000000002</v>
      </c>
      <c r="CN7" s="57">
        <v>110</v>
      </c>
      <c r="CO7" s="57">
        <v>39</v>
      </c>
      <c r="CP7" s="58">
        <v>5.1363636363636367</v>
      </c>
      <c r="CQ7" s="57">
        <v>135.9</v>
      </c>
      <c r="CR7" s="58">
        <v>4.05</v>
      </c>
      <c r="CS7" s="57">
        <v>48.1</v>
      </c>
      <c r="CT7" s="57">
        <v>173</v>
      </c>
      <c r="CU7" s="57">
        <v>2340</v>
      </c>
      <c r="CV7" s="57">
        <v>18</v>
      </c>
      <c r="CW7" s="57">
        <v>2</v>
      </c>
      <c r="CX7" s="59">
        <v>16.2</v>
      </c>
      <c r="CY7" s="56">
        <v>816</v>
      </c>
      <c r="CZ7" s="57">
        <v>1480.6</v>
      </c>
      <c r="DA7" s="57">
        <v>9</v>
      </c>
      <c r="DB7" s="57">
        <v>27.5</v>
      </c>
      <c r="DC7" s="57">
        <v>115</v>
      </c>
      <c r="DD7" s="57">
        <v>47</v>
      </c>
      <c r="DE7" s="57">
        <v>7.1</v>
      </c>
      <c r="DF7" s="57">
        <v>177</v>
      </c>
      <c r="DG7" s="58">
        <v>3.97</v>
      </c>
      <c r="DH7" s="57">
        <v>56.7</v>
      </c>
      <c r="DI7" s="57">
        <v>232</v>
      </c>
      <c r="DJ7" s="57">
        <v>3663</v>
      </c>
      <c r="DK7" s="57">
        <v>13</v>
      </c>
      <c r="DL7" s="57">
        <v>0</v>
      </c>
      <c r="DM7" s="59">
        <v>30.799999999999997</v>
      </c>
      <c r="DN7" s="171"/>
      <c r="DO7" s="5">
        <v>5</v>
      </c>
      <c r="DP7" s="42" t="s">
        <v>399</v>
      </c>
      <c r="DQ7" s="7">
        <v>0.85</v>
      </c>
      <c r="DR7" s="130">
        <v>45173</v>
      </c>
    </row>
    <row r="8" spans="1:123" x14ac:dyDescent="0.2">
      <c r="A8" s="33">
        <v>6</v>
      </c>
      <c r="B8" s="34" t="s">
        <v>247</v>
      </c>
      <c r="C8" s="116">
        <v>8.8777777777777782</v>
      </c>
      <c r="D8" s="117" t="s">
        <v>495</v>
      </c>
      <c r="E8" s="37">
        <v>1</v>
      </c>
      <c r="F8" s="118">
        <v>37712</v>
      </c>
      <c r="G8" s="119">
        <v>22.506849315068493</v>
      </c>
      <c r="H8" s="39" t="s">
        <v>385</v>
      </c>
      <c r="I8" s="119">
        <v>21.087671232876712</v>
      </c>
      <c r="J8" s="120">
        <v>70</v>
      </c>
      <c r="K8" s="120">
        <v>210</v>
      </c>
      <c r="L8" s="120">
        <v>4.38</v>
      </c>
      <c r="M8" s="40">
        <v>4</v>
      </c>
      <c r="N8" s="121">
        <v>0</v>
      </c>
      <c r="O8" s="122">
        <v>0</v>
      </c>
      <c r="P8" s="122">
        <v>0.10075507866376791</v>
      </c>
      <c r="Q8" s="122">
        <v>6.1029153494906917E-2</v>
      </c>
      <c r="R8" s="122">
        <v>0.21409970238095238</v>
      </c>
      <c r="S8" s="42">
        <v>0.21409970238095238</v>
      </c>
      <c r="T8" s="42">
        <v>0.21409970238095238</v>
      </c>
      <c r="U8" s="42">
        <v>1.8871040030193663E-3</v>
      </c>
      <c r="V8" s="42">
        <v>4.8314144736842111E-2</v>
      </c>
      <c r="W8" s="42">
        <v>4.8314144736842111E-2</v>
      </c>
      <c r="X8" s="43">
        <v>4.8314144736842111E-2</v>
      </c>
      <c r="Y8" s="44">
        <v>20.44109589041096</v>
      </c>
      <c r="Z8" s="170">
        <v>114.11765752465939</v>
      </c>
      <c r="AA8" s="45">
        <v>30.12857142857143</v>
      </c>
      <c r="AB8" s="45">
        <v>0.31617647058823528</v>
      </c>
      <c r="AC8" s="45">
        <v>7.4</v>
      </c>
      <c r="AD8" s="45">
        <v>132.19999999999999</v>
      </c>
      <c r="AE8" s="45">
        <v>4.3499999999999996</v>
      </c>
      <c r="AF8" s="45">
        <v>52.1</v>
      </c>
      <c r="AG8" s="128">
        <v>4</v>
      </c>
      <c r="AH8" s="49">
        <v>5</v>
      </c>
      <c r="AI8" s="49">
        <v>4</v>
      </c>
      <c r="AJ8" s="49">
        <v>10</v>
      </c>
      <c r="AK8" s="49">
        <v>8</v>
      </c>
      <c r="AL8" s="49">
        <v>8</v>
      </c>
      <c r="AM8" s="49">
        <v>7</v>
      </c>
      <c r="AN8" s="49">
        <v>6</v>
      </c>
      <c r="AO8" s="49">
        <v>4</v>
      </c>
      <c r="AP8" s="50">
        <v>0</v>
      </c>
      <c r="AQ8" s="56"/>
      <c r="AR8" s="57">
        <v>1</v>
      </c>
      <c r="AS8" s="57"/>
      <c r="AT8" s="57"/>
      <c r="AU8" s="57"/>
      <c r="AV8" s="57"/>
      <c r="AW8" s="57"/>
      <c r="AX8" s="57"/>
      <c r="AY8" s="57"/>
      <c r="AZ8" s="57"/>
      <c r="BA8" s="57"/>
      <c r="BB8" s="57">
        <v>1</v>
      </c>
      <c r="BC8" s="57"/>
      <c r="BD8" s="57"/>
      <c r="BE8" s="59"/>
      <c r="BF8" s="56"/>
      <c r="BG8" s="57">
        <v>1</v>
      </c>
      <c r="BH8" s="57"/>
      <c r="BI8" s="57"/>
      <c r="BJ8" s="57"/>
      <c r="BK8" s="57"/>
      <c r="BL8" s="57"/>
      <c r="BM8" s="57"/>
      <c r="BN8" s="57"/>
      <c r="BO8" s="57"/>
      <c r="BP8" s="57"/>
      <c r="BQ8" s="57">
        <v>1</v>
      </c>
      <c r="BR8" s="57"/>
      <c r="BS8" s="57"/>
      <c r="BT8" s="59"/>
      <c r="BU8" s="56">
        <v>409</v>
      </c>
      <c r="BV8" s="57">
        <v>1963.8</v>
      </c>
      <c r="BW8" s="57">
        <v>4</v>
      </c>
      <c r="BX8" s="57">
        <v>20.7</v>
      </c>
      <c r="BY8" s="57">
        <v>85</v>
      </c>
      <c r="BZ8" s="57">
        <v>17</v>
      </c>
      <c r="CA8" s="57">
        <v>4.8</v>
      </c>
      <c r="CB8" s="57">
        <v>55.8</v>
      </c>
      <c r="CC8" s="57">
        <v>2.67</v>
      </c>
      <c r="CD8" s="57">
        <v>16.600000000000001</v>
      </c>
      <c r="CE8" s="57">
        <v>22</v>
      </c>
      <c r="CF8" s="57">
        <v>2313.9</v>
      </c>
      <c r="CG8" s="57">
        <v>6</v>
      </c>
      <c r="CH8" s="57">
        <v>0</v>
      </c>
      <c r="CI8" s="59">
        <v>22.5</v>
      </c>
      <c r="CJ8" s="56">
        <v>409</v>
      </c>
      <c r="CK8" s="57">
        <v>2593.5</v>
      </c>
      <c r="CL8" s="57">
        <v>10</v>
      </c>
      <c r="CM8" s="57">
        <v>40.300000000000004</v>
      </c>
      <c r="CN8" s="57">
        <v>146</v>
      </c>
      <c r="CO8" s="57">
        <v>36</v>
      </c>
      <c r="CP8" s="57">
        <v>6</v>
      </c>
      <c r="CQ8" s="57">
        <v>91.3</v>
      </c>
      <c r="CR8" s="57">
        <v>3.75</v>
      </c>
      <c r="CS8" s="57">
        <v>36.299999999999997</v>
      </c>
      <c r="CT8" s="57">
        <v>8</v>
      </c>
      <c r="CU8" s="57">
        <v>4239.3</v>
      </c>
      <c r="CV8" s="57">
        <v>2</v>
      </c>
      <c r="CW8" s="57">
        <v>0</v>
      </c>
      <c r="CX8" s="59">
        <v>37.699999999999996</v>
      </c>
      <c r="CY8" s="56">
        <v>1010</v>
      </c>
      <c r="CZ8" s="57">
        <v>2457.6000000000004</v>
      </c>
      <c r="DA8" s="57">
        <v>4</v>
      </c>
      <c r="DB8" s="57">
        <v>21.6</v>
      </c>
      <c r="DC8" s="57">
        <v>136</v>
      </c>
      <c r="DD8" s="57">
        <v>43</v>
      </c>
      <c r="DE8" s="57">
        <v>7.4</v>
      </c>
      <c r="DF8" s="57">
        <v>132.19999999999999</v>
      </c>
      <c r="DG8" s="58">
        <v>4.3499999999999996</v>
      </c>
      <c r="DH8" s="57">
        <v>52.1</v>
      </c>
      <c r="DI8" s="57">
        <v>141</v>
      </c>
      <c r="DJ8" s="57">
        <v>2918.3999999999996</v>
      </c>
      <c r="DK8" s="57">
        <v>22</v>
      </c>
      <c r="DL8" s="57">
        <v>0</v>
      </c>
      <c r="DM8" s="59">
        <v>20.399999999999999</v>
      </c>
      <c r="DN8" s="171"/>
      <c r="DO8" s="5">
        <v>6</v>
      </c>
      <c r="DP8" s="42" t="s">
        <v>402</v>
      </c>
      <c r="DQ8" s="7">
        <v>0.75</v>
      </c>
    </row>
    <row r="9" spans="1:123" x14ac:dyDescent="0.2">
      <c r="A9" s="33">
        <v>7</v>
      </c>
      <c r="B9" s="34" t="s">
        <v>261</v>
      </c>
      <c r="C9" s="116">
        <v>8.8722222222222218</v>
      </c>
      <c r="D9" s="117" t="s">
        <v>511</v>
      </c>
      <c r="E9" s="37">
        <v>2</v>
      </c>
      <c r="F9" s="118">
        <v>36855</v>
      </c>
      <c r="G9" s="119">
        <v>24.854794520547944</v>
      </c>
      <c r="H9" s="39" t="s">
        <v>389</v>
      </c>
      <c r="I9" s="119">
        <v>23.435616438356163</v>
      </c>
      <c r="J9" s="120">
        <v>68</v>
      </c>
      <c r="K9" s="120">
        <v>205</v>
      </c>
      <c r="L9" s="120">
        <v>4.53</v>
      </c>
      <c r="M9" s="40">
        <v>3</v>
      </c>
      <c r="N9" s="121">
        <v>0</v>
      </c>
      <c r="O9" s="122">
        <v>6.5565171780750067E-2</v>
      </c>
      <c r="P9" s="122">
        <v>0.20405476566614009</v>
      </c>
      <c r="Q9" s="122">
        <v>0.2802600988084859</v>
      </c>
      <c r="R9" s="122">
        <v>0.23719958202716823</v>
      </c>
      <c r="S9" s="42">
        <v>0.25872984041782709</v>
      </c>
      <c r="T9" s="42">
        <v>0.25872984041782709</v>
      </c>
      <c r="U9" s="42">
        <v>3.1074730938305289E-2</v>
      </c>
      <c r="V9" s="42">
        <v>3.6499766027140855E-2</v>
      </c>
      <c r="W9" s="42">
        <v>3.6499766027140855E-2</v>
      </c>
      <c r="X9" s="43">
        <v>3.6499766027140855E-2</v>
      </c>
      <c r="Y9" s="44">
        <v>20.778082191780822</v>
      </c>
      <c r="Z9" s="170">
        <v>97.362350204073607</v>
      </c>
      <c r="AA9" s="45">
        <v>31.166738754325259</v>
      </c>
      <c r="AB9" s="45">
        <v>0.34027777777777779</v>
      </c>
      <c r="AC9" s="45">
        <v>5.8911290322580649</v>
      </c>
      <c r="AD9" s="45">
        <v>132.6</v>
      </c>
      <c r="AE9" s="45">
        <v>3.84</v>
      </c>
      <c r="AF9" s="45">
        <v>47</v>
      </c>
      <c r="AG9" s="128">
        <v>6</v>
      </c>
      <c r="AH9" s="49">
        <v>3</v>
      </c>
      <c r="AI9" s="49">
        <v>3</v>
      </c>
      <c r="AJ9" s="49">
        <v>4</v>
      </c>
      <c r="AK9" s="49">
        <v>9</v>
      </c>
      <c r="AL9" s="49">
        <v>4</v>
      </c>
      <c r="AM9" s="49">
        <v>7</v>
      </c>
      <c r="AN9" s="49">
        <v>3</v>
      </c>
      <c r="AO9" s="49">
        <v>6</v>
      </c>
      <c r="AP9" s="50">
        <v>1</v>
      </c>
      <c r="AQ9" s="56"/>
      <c r="AR9" s="57">
        <v>1</v>
      </c>
      <c r="AS9" s="57"/>
      <c r="AT9" s="57"/>
      <c r="AU9" s="57"/>
      <c r="AV9" s="57"/>
      <c r="AW9" s="58"/>
      <c r="AX9" s="57"/>
      <c r="AY9" s="57"/>
      <c r="AZ9" s="57"/>
      <c r="BA9" s="57"/>
      <c r="BB9" s="57">
        <v>1</v>
      </c>
      <c r="BC9" s="57"/>
      <c r="BD9" s="57"/>
      <c r="BE9" s="59"/>
      <c r="BF9" s="56">
        <v>77</v>
      </c>
      <c r="BG9" s="57">
        <v>786</v>
      </c>
      <c r="BH9" s="57">
        <v>2</v>
      </c>
      <c r="BI9" s="57">
        <v>12</v>
      </c>
      <c r="BJ9" s="57">
        <v>26</v>
      </c>
      <c r="BK9" s="57">
        <v>1</v>
      </c>
      <c r="BL9" s="58">
        <v>2.9615384615384617</v>
      </c>
      <c r="BM9" s="57">
        <v>36.5</v>
      </c>
      <c r="BN9" s="57">
        <v>1.88</v>
      </c>
      <c r="BO9" s="57">
        <v>19.5</v>
      </c>
      <c r="BP9" s="57">
        <v>73</v>
      </c>
      <c r="BQ9" s="57">
        <v>1501.8000000000002</v>
      </c>
      <c r="BR9" s="57">
        <v>5</v>
      </c>
      <c r="BS9" s="57">
        <v>0</v>
      </c>
      <c r="BT9" s="59">
        <v>9</v>
      </c>
      <c r="BU9" s="56">
        <v>944</v>
      </c>
      <c r="BV9" s="57">
        <v>2572.8000000000002</v>
      </c>
      <c r="BW9" s="57">
        <v>11</v>
      </c>
      <c r="BX9" s="57">
        <v>33.599999999999994</v>
      </c>
      <c r="BY9" s="57">
        <v>144</v>
      </c>
      <c r="BZ9" s="57">
        <v>49</v>
      </c>
      <c r="CA9" s="58">
        <v>6.5555555555555554</v>
      </c>
      <c r="CB9" s="57">
        <v>132.6</v>
      </c>
      <c r="CC9" s="57">
        <v>3.84</v>
      </c>
      <c r="CD9" s="57">
        <v>47</v>
      </c>
      <c r="CE9" s="57">
        <v>141</v>
      </c>
      <c r="CF9" s="57">
        <v>2744.3999999999996</v>
      </c>
      <c r="CG9" s="57">
        <v>24</v>
      </c>
      <c r="CH9" s="57">
        <v>1</v>
      </c>
      <c r="CI9" s="59">
        <v>18</v>
      </c>
      <c r="CJ9" s="56">
        <v>1461</v>
      </c>
      <c r="CK9" s="57">
        <v>2866.8</v>
      </c>
      <c r="CL9" s="57">
        <v>18</v>
      </c>
      <c r="CM9" s="57">
        <v>34.799999999999997</v>
      </c>
      <c r="CN9" s="57">
        <v>248</v>
      </c>
      <c r="CO9" s="57">
        <v>73</v>
      </c>
      <c r="CP9" s="58">
        <v>5.8911290322580649</v>
      </c>
      <c r="CQ9" s="57">
        <v>97.6</v>
      </c>
      <c r="CR9" s="58">
        <v>3.36</v>
      </c>
      <c r="CS9" s="57">
        <v>40.9</v>
      </c>
      <c r="CT9" s="57">
        <v>82</v>
      </c>
      <c r="CU9" s="57">
        <v>2638.8</v>
      </c>
      <c r="CV9" s="57">
        <v>10</v>
      </c>
      <c r="CW9" s="57">
        <v>1</v>
      </c>
      <c r="CX9" s="59">
        <v>20.399999999999999</v>
      </c>
      <c r="CY9" s="56">
        <v>1245</v>
      </c>
      <c r="CZ9" s="57">
        <v>2536.5</v>
      </c>
      <c r="DA9" s="57">
        <v>27</v>
      </c>
      <c r="DB9" s="57">
        <v>40.5</v>
      </c>
      <c r="DC9" s="57">
        <v>258</v>
      </c>
      <c r="DD9" s="57">
        <v>30</v>
      </c>
      <c r="DE9" s="57">
        <v>4.8</v>
      </c>
      <c r="DF9" s="57">
        <v>27.4</v>
      </c>
      <c r="DG9" s="58">
        <v>2.42</v>
      </c>
      <c r="DH9" s="57">
        <v>31.8</v>
      </c>
      <c r="DI9" s="57">
        <v>117</v>
      </c>
      <c r="DJ9" s="57">
        <v>3205.5</v>
      </c>
      <c r="DK9" s="57">
        <v>16</v>
      </c>
      <c r="DL9" s="57">
        <v>1</v>
      </c>
      <c r="DM9" s="59">
        <v>24</v>
      </c>
      <c r="DN9" s="171"/>
      <c r="DO9" s="5">
        <v>7</v>
      </c>
      <c r="DP9" s="42" t="s">
        <v>405</v>
      </c>
      <c r="DQ9" s="7">
        <v>0.75</v>
      </c>
    </row>
    <row r="10" spans="1:123" x14ac:dyDescent="0.2">
      <c r="A10" s="33">
        <v>8</v>
      </c>
      <c r="B10" s="34" t="s">
        <v>249</v>
      </c>
      <c r="C10" s="116">
        <v>8.8000000000000007</v>
      </c>
      <c r="D10" s="117" t="s">
        <v>449</v>
      </c>
      <c r="E10" s="37">
        <v>2</v>
      </c>
      <c r="F10" s="118">
        <v>37870</v>
      </c>
      <c r="G10" s="119">
        <v>22.073972602739726</v>
      </c>
      <c r="H10" s="39" t="s">
        <v>385</v>
      </c>
      <c r="I10" s="119">
        <v>20.654794520547945</v>
      </c>
      <c r="J10" s="120">
        <v>71</v>
      </c>
      <c r="K10" s="120">
        <v>221</v>
      </c>
      <c r="L10" s="120">
        <v>4.59</v>
      </c>
      <c r="M10" s="40">
        <v>5</v>
      </c>
      <c r="N10" s="121">
        <v>0</v>
      </c>
      <c r="O10" s="122">
        <v>0</v>
      </c>
      <c r="P10" s="122">
        <v>7.0307007265057425E-2</v>
      </c>
      <c r="Q10" s="122">
        <v>0.20211237525725159</v>
      </c>
      <c r="R10" s="122">
        <v>0.28594015116458432</v>
      </c>
      <c r="S10" s="42">
        <v>0.28594015116458432</v>
      </c>
      <c r="T10" s="42">
        <v>0.28594015116458432</v>
      </c>
      <c r="U10" s="42">
        <v>5.0143000408572599E-2</v>
      </c>
      <c r="V10" s="42">
        <v>4.8005409060175794E-2</v>
      </c>
      <c r="W10" s="42">
        <v>4.9074204734374197E-2</v>
      </c>
      <c r="X10" s="43">
        <v>4.9074204734374197E-2</v>
      </c>
      <c r="Y10" s="44">
        <v>19.010958904109589</v>
      </c>
      <c r="Z10" s="170">
        <v>99.579863631451161</v>
      </c>
      <c r="AA10" s="45">
        <v>30.819877008530053</v>
      </c>
      <c r="AB10" s="45">
        <v>0.30622009569377989</v>
      </c>
      <c r="AC10" s="45">
        <v>6.4</v>
      </c>
      <c r="AD10" s="45">
        <v>126.5</v>
      </c>
      <c r="AE10" s="45">
        <v>4.2699999999999996</v>
      </c>
      <c r="AF10" s="45">
        <v>44.1</v>
      </c>
      <c r="AG10" s="128">
        <v>8</v>
      </c>
      <c r="AH10" s="49">
        <v>5</v>
      </c>
      <c r="AI10" s="49">
        <v>8</v>
      </c>
      <c r="AJ10" s="49">
        <v>5</v>
      </c>
      <c r="AK10" s="49">
        <v>8</v>
      </c>
      <c r="AL10" s="49">
        <v>6</v>
      </c>
      <c r="AM10" s="49">
        <v>6</v>
      </c>
      <c r="AN10" s="49">
        <v>6</v>
      </c>
      <c r="AO10" s="49">
        <v>3</v>
      </c>
      <c r="AP10" s="50">
        <v>0</v>
      </c>
      <c r="AQ10" s="56"/>
      <c r="AR10" s="57">
        <v>1</v>
      </c>
      <c r="AS10" s="57"/>
      <c r="AT10" s="57"/>
      <c r="AU10" s="57"/>
      <c r="AV10" s="57"/>
      <c r="AW10" s="58"/>
      <c r="AX10" s="57"/>
      <c r="AY10" s="57"/>
      <c r="AZ10" s="57"/>
      <c r="BA10" s="57"/>
      <c r="BB10" s="57">
        <v>1</v>
      </c>
      <c r="BC10" s="57"/>
      <c r="BD10" s="57"/>
      <c r="BE10" s="59"/>
      <c r="BF10" s="56"/>
      <c r="BG10" s="57">
        <v>1</v>
      </c>
      <c r="BH10" s="57"/>
      <c r="BI10" s="57"/>
      <c r="BJ10" s="57"/>
      <c r="BK10" s="57"/>
      <c r="BL10" s="58"/>
      <c r="BM10" s="57"/>
      <c r="BN10" s="57"/>
      <c r="BO10" s="57"/>
      <c r="BP10" s="57"/>
      <c r="BQ10" s="57">
        <v>1</v>
      </c>
      <c r="BR10" s="57"/>
      <c r="BS10" s="57"/>
      <c r="BT10" s="59"/>
      <c r="BU10" s="56">
        <v>60</v>
      </c>
      <c r="BV10" s="57">
        <v>288.39999999999998</v>
      </c>
      <c r="BW10" s="57">
        <v>0</v>
      </c>
      <c r="BX10" s="57">
        <v>3.6</v>
      </c>
      <c r="BY10" s="57">
        <v>7</v>
      </c>
      <c r="BZ10" s="57">
        <v>1</v>
      </c>
      <c r="CA10" s="58">
        <v>8.5714285714285712</v>
      </c>
      <c r="CB10" s="57">
        <v>89.8</v>
      </c>
      <c r="CC10" s="57">
        <v>6.29</v>
      </c>
      <c r="CD10" s="57">
        <v>35</v>
      </c>
      <c r="CE10" s="57"/>
      <c r="CF10" s="57">
        <v>565</v>
      </c>
      <c r="CG10" s="57"/>
      <c r="CH10" s="57"/>
      <c r="CI10" s="59">
        <v>4.5999999999999996</v>
      </c>
      <c r="CJ10" s="56">
        <v>906</v>
      </c>
      <c r="CK10" s="57">
        <v>2458.2999999999997</v>
      </c>
      <c r="CL10" s="57">
        <v>11</v>
      </c>
      <c r="CM10" s="57">
        <v>24.7</v>
      </c>
      <c r="CN10" s="57">
        <v>156</v>
      </c>
      <c r="CO10" s="57">
        <v>39</v>
      </c>
      <c r="CP10" s="58">
        <v>5.8076923076923075</v>
      </c>
      <c r="CQ10" s="57">
        <v>92.8</v>
      </c>
      <c r="CR10" s="58">
        <v>3.65</v>
      </c>
      <c r="CS10" s="57">
        <v>29.4</v>
      </c>
      <c r="CT10" s="57">
        <v>135</v>
      </c>
      <c r="CU10" s="57">
        <v>2692.2999999999997</v>
      </c>
      <c r="CV10" s="57">
        <v>9</v>
      </c>
      <c r="CW10" s="57">
        <v>1</v>
      </c>
      <c r="CX10" s="59">
        <v>24.7</v>
      </c>
      <c r="CY10" s="56">
        <v>1341</v>
      </c>
      <c r="CZ10" s="57">
        <v>2228.3999999999996</v>
      </c>
      <c r="DA10" s="57">
        <v>18</v>
      </c>
      <c r="DB10" s="57">
        <v>26.400000000000002</v>
      </c>
      <c r="DC10" s="57">
        <v>209</v>
      </c>
      <c r="DD10" s="57">
        <v>64</v>
      </c>
      <c r="DE10" s="57">
        <v>6.4</v>
      </c>
      <c r="DF10" s="57">
        <v>126.5</v>
      </c>
      <c r="DG10" s="58">
        <v>4.2699999999999996</v>
      </c>
      <c r="DH10" s="57">
        <v>44.1</v>
      </c>
      <c r="DI10" s="57">
        <v>142</v>
      </c>
      <c r="DJ10" s="57">
        <v>2958</v>
      </c>
      <c r="DK10" s="57">
        <v>17</v>
      </c>
      <c r="DL10" s="57">
        <v>0</v>
      </c>
      <c r="DM10" s="59">
        <v>28.799999999999997</v>
      </c>
      <c r="DN10" s="171"/>
      <c r="DO10" s="5">
        <v>8</v>
      </c>
      <c r="DP10" s="42" t="s">
        <v>408</v>
      </c>
      <c r="DQ10" s="7">
        <v>0.65</v>
      </c>
      <c r="DR10" s="131"/>
    </row>
    <row r="11" spans="1:123" x14ac:dyDescent="0.2">
      <c r="A11" s="33">
        <v>9</v>
      </c>
      <c r="B11" s="34" t="s">
        <v>268</v>
      </c>
      <c r="C11" s="116">
        <v>7.7611111111111111</v>
      </c>
      <c r="D11" s="117" t="s">
        <v>529</v>
      </c>
      <c r="E11" s="37">
        <v>1</v>
      </c>
      <c r="F11" s="118">
        <v>36475</v>
      </c>
      <c r="G11" s="119">
        <v>25.895890410958906</v>
      </c>
      <c r="H11" s="39" t="s">
        <v>469</v>
      </c>
      <c r="I11" s="119">
        <v>24.476712328767125</v>
      </c>
      <c r="J11" s="120">
        <v>68</v>
      </c>
      <c r="K11" s="120">
        <v>211</v>
      </c>
      <c r="L11" s="120">
        <v>4.5199999999999996</v>
      </c>
      <c r="M11" s="40">
        <v>4</v>
      </c>
      <c r="N11" s="121">
        <v>0.23815588385124806</v>
      </c>
      <c r="O11" s="122">
        <v>0.32756813417190778</v>
      </c>
      <c r="P11" s="122">
        <v>0.25362318840579706</v>
      </c>
      <c r="Q11" s="122">
        <v>0.2911386328725038</v>
      </c>
      <c r="R11" s="122">
        <v>0.32976746294365622</v>
      </c>
      <c r="S11" s="42">
        <v>0.32976746294365622</v>
      </c>
      <c r="T11" s="42">
        <v>0.32976746294365622</v>
      </c>
      <c r="U11" s="42">
        <v>7.5191315180637111E-2</v>
      </c>
      <c r="V11" s="42">
        <v>0.11778391740584558</v>
      </c>
      <c r="W11" s="42">
        <v>0.11778391740584558</v>
      </c>
      <c r="X11" s="43">
        <v>0.11778391740584558</v>
      </c>
      <c r="Y11" s="44">
        <v>19.816438356164383</v>
      </c>
      <c r="Z11" s="170">
        <v>101.10175901589727</v>
      </c>
      <c r="AA11" s="45">
        <v>32.078935986159166</v>
      </c>
      <c r="AB11" s="45">
        <v>0.27272727272727271</v>
      </c>
      <c r="AC11" s="45">
        <v>5.7</v>
      </c>
      <c r="AD11" s="45">
        <v>96.6</v>
      </c>
      <c r="AE11" s="45">
        <v>3.81</v>
      </c>
      <c r="AF11" s="45">
        <v>44.7</v>
      </c>
      <c r="AG11" s="128">
        <v>8</v>
      </c>
      <c r="AH11" s="49">
        <v>9</v>
      </c>
      <c r="AI11" s="49">
        <v>5</v>
      </c>
      <c r="AJ11" s="49">
        <v>6</v>
      </c>
      <c r="AK11" s="49">
        <v>7</v>
      </c>
      <c r="AL11" s="49">
        <v>3</v>
      </c>
      <c r="AM11" s="49">
        <v>4</v>
      </c>
      <c r="AN11" s="49">
        <v>3</v>
      </c>
      <c r="AO11" s="49">
        <v>4</v>
      </c>
      <c r="AP11" s="50">
        <v>0</v>
      </c>
      <c r="AQ11" s="56">
        <v>941</v>
      </c>
      <c r="AR11" s="57">
        <v>1653.6000000000001</v>
      </c>
      <c r="AS11" s="57">
        <v>8</v>
      </c>
      <c r="AT11" s="57">
        <v>14.399999999999999</v>
      </c>
      <c r="AU11" s="57">
        <v>192</v>
      </c>
      <c r="AV11" s="57">
        <v>46</v>
      </c>
      <c r="AW11" s="57">
        <v>4.901041666666667</v>
      </c>
      <c r="AX11" s="57">
        <v>78.599999999999994</v>
      </c>
      <c r="AY11" s="57">
        <v>3.39</v>
      </c>
      <c r="AZ11" s="57">
        <v>27.2</v>
      </c>
      <c r="BA11" s="57">
        <v>181</v>
      </c>
      <c r="BB11" s="57">
        <v>3057.6000000000004</v>
      </c>
      <c r="BC11" s="57">
        <v>15</v>
      </c>
      <c r="BD11" s="57">
        <v>2</v>
      </c>
      <c r="BE11" s="59">
        <v>24</v>
      </c>
      <c r="BF11" s="56">
        <v>313</v>
      </c>
      <c r="BG11" s="57">
        <v>572.4</v>
      </c>
      <c r="BH11" s="57">
        <v>1</v>
      </c>
      <c r="BI11" s="57">
        <v>2.8</v>
      </c>
      <c r="BJ11" s="57">
        <v>75</v>
      </c>
      <c r="BK11" s="57">
        <v>23</v>
      </c>
      <c r="BL11" s="57">
        <v>4.1733333333333329</v>
      </c>
      <c r="BM11" s="57">
        <v>97</v>
      </c>
      <c r="BN11" s="57">
        <v>3.01</v>
      </c>
      <c r="BO11" s="57">
        <v>33.5</v>
      </c>
      <c r="BP11" s="57">
        <v>62</v>
      </c>
      <c r="BQ11" s="57">
        <v>572.4</v>
      </c>
      <c r="BR11" s="57">
        <v>12</v>
      </c>
      <c r="BS11" s="57">
        <v>0</v>
      </c>
      <c r="BT11" s="59">
        <v>6.4</v>
      </c>
      <c r="BU11" s="56">
        <v>211</v>
      </c>
      <c r="BV11" s="57">
        <v>370.5</v>
      </c>
      <c r="BW11" s="57">
        <v>1</v>
      </c>
      <c r="BX11" s="57">
        <v>2.0999999999999996</v>
      </c>
      <c r="BY11" s="57">
        <v>44</v>
      </c>
      <c r="BZ11" s="57">
        <v>12</v>
      </c>
      <c r="CA11" s="57">
        <v>4.7954545454545459</v>
      </c>
      <c r="CB11" s="57">
        <v>89.8</v>
      </c>
      <c r="CC11" s="57">
        <v>3.39</v>
      </c>
      <c r="CD11" s="57">
        <v>19.399999999999999</v>
      </c>
      <c r="CE11" s="57">
        <v>27</v>
      </c>
      <c r="CF11" s="57">
        <v>567.90000000000009</v>
      </c>
      <c r="CG11" s="57">
        <v>5</v>
      </c>
      <c r="CH11" s="57">
        <v>0</v>
      </c>
      <c r="CI11" s="59">
        <v>3.3000000000000003</v>
      </c>
      <c r="CJ11" s="56">
        <v>1044</v>
      </c>
      <c r="CK11" s="57">
        <v>1918.8000000000002</v>
      </c>
      <c r="CL11" s="57">
        <v>5</v>
      </c>
      <c r="CM11" s="57">
        <v>13.200000000000001</v>
      </c>
      <c r="CN11" s="57">
        <v>233</v>
      </c>
      <c r="CO11" s="57">
        <v>54</v>
      </c>
      <c r="CP11" s="57">
        <v>4.4806866952789699</v>
      </c>
      <c r="CQ11" s="57">
        <v>72.400000000000006</v>
      </c>
      <c r="CR11" s="57">
        <v>3.16</v>
      </c>
      <c r="CS11" s="57">
        <v>34</v>
      </c>
      <c r="CT11" s="57">
        <v>169</v>
      </c>
      <c r="CU11" s="57">
        <v>2247.6000000000004</v>
      </c>
      <c r="CV11" s="57">
        <v>29</v>
      </c>
      <c r="CW11" s="57">
        <v>3</v>
      </c>
      <c r="CX11" s="59">
        <v>21.6</v>
      </c>
      <c r="CY11" s="56">
        <v>1131</v>
      </c>
      <c r="CZ11" s="57">
        <v>1661.3999999999999</v>
      </c>
      <c r="DA11" s="57">
        <v>14</v>
      </c>
      <c r="DB11" s="57">
        <v>18.2</v>
      </c>
      <c r="DC11" s="57">
        <v>197</v>
      </c>
      <c r="DD11" s="57">
        <v>51</v>
      </c>
      <c r="DE11" s="57">
        <v>5.7</v>
      </c>
      <c r="DF11" s="57">
        <v>96.6</v>
      </c>
      <c r="DG11" s="58">
        <v>3.81</v>
      </c>
      <c r="DH11" s="57">
        <v>44.7</v>
      </c>
      <c r="DI11" s="57">
        <v>324</v>
      </c>
      <c r="DJ11" s="57">
        <v>2750.7999999999997</v>
      </c>
      <c r="DK11" s="57">
        <v>32</v>
      </c>
      <c r="DL11" s="57">
        <v>7</v>
      </c>
      <c r="DM11" s="59">
        <v>24.7</v>
      </c>
      <c r="DO11" s="5">
        <v>9</v>
      </c>
      <c r="DP11" s="42" t="s">
        <v>411</v>
      </c>
      <c r="DQ11" s="7">
        <v>0.65</v>
      </c>
      <c r="DR11" s="131"/>
    </row>
    <row r="12" spans="1:123" x14ac:dyDescent="0.2">
      <c r="A12" s="33">
        <v>10</v>
      </c>
      <c r="B12" s="34" t="s">
        <v>272</v>
      </c>
      <c r="C12" s="116">
        <v>7.5666666666666664</v>
      </c>
      <c r="D12" s="117" t="s">
        <v>490</v>
      </c>
      <c r="E12" s="37">
        <v>4</v>
      </c>
      <c r="F12" s="118">
        <v>37497</v>
      </c>
      <c r="G12" s="119">
        <v>23.095890410958905</v>
      </c>
      <c r="H12" s="39" t="s">
        <v>385</v>
      </c>
      <c r="I12" s="119">
        <v>21.676712328767124</v>
      </c>
      <c r="J12" s="132">
        <v>71</v>
      </c>
      <c r="K12" s="132">
        <v>206</v>
      </c>
      <c r="L12" s="120">
        <v>4.55</v>
      </c>
      <c r="M12" s="40">
        <v>4</v>
      </c>
      <c r="N12" s="121">
        <v>0</v>
      </c>
      <c r="O12" s="122">
        <v>0</v>
      </c>
      <c r="P12" s="122">
        <v>0.23725055432372505</v>
      </c>
      <c r="Q12" s="122">
        <v>0.24511681348142475</v>
      </c>
      <c r="R12" s="122">
        <v>0.22162900422150481</v>
      </c>
      <c r="S12" s="42">
        <v>0.23337290885146478</v>
      </c>
      <c r="T12" s="42">
        <v>0.21003561796631831</v>
      </c>
      <c r="U12" s="42">
        <v>7.2842389968035409E-2</v>
      </c>
      <c r="V12" s="42">
        <v>8.4281961471103325E-2</v>
      </c>
      <c r="W12" s="42">
        <v>8.4281961471103325E-2</v>
      </c>
      <c r="X12" s="43">
        <v>7.5853765323992989E-2</v>
      </c>
      <c r="Y12" s="44">
        <v>19.019178082191782</v>
      </c>
      <c r="Z12" s="170">
        <v>96.128381319823163</v>
      </c>
      <c r="AA12" s="45">
        <v>28.728030152747472</v>
      </c>
      <c r="AB12" s="45">
        <v>0.23648648648648649</v>
      </c>
      <c r="AC12" s="45">
        <v>5.5497630331753554</v>
      </c>
      <c r="AD12" s="45">
        <v>76.5</v>
      </c>
      <c r="AE12" s="45">
        <v>3.37</v>
      </c>
      <c r="AF12" s="45">
        <v>34.799999999999997</v>
      </c>
      <c r="AG12" s="128">
        <v>4</v>
      </c>
      <c r="AH12" s="49">
        <v>8</v>
      </c>
      <c r="AI12" s="49">
        <v>8</v>
      </c>
      <c r="AJ12" s="49">
        <v>4</v>
      </c>
      <c r="AK12" s="49">
        <v>5</v>
      </c>
      <c r="AL12" s="49">
        <v>3</v>
      </c>
      <c r="AM12" s="49">
        <v>2</v>
      </c>
      <c r="AN12" s="49">
        <v>1</v>
      </c>
      <c r="AO12" s="49">
        <v>4</v>
      </c>
      <c r="AP12" s="50">
        <v>0.5</v>
      </c>
      <c r="AQ12" s="56"/>
      <c r="AR12" s="57">
        <v>1</v>
      </c>
      <c r="AS12" s="57"/>
      <c r="AT12" s="57"/>
      <c r="AU12" s="57"/>
      <c r="AV12" s="57"/>
      <c r="AW12" s="58"/>
      <c r="AX12" s="57"/>
      <c r="AY12" s="57"/>
      <c r="AZ12" s="57"/>
      <c r="BA12" s="57"/>
      <c r="BB12" s="57">
        <v>1</v>
      </c>
      <c r="BC12" s="57"/>
      <c r="BD12" s="57"/>
      <c r="BE12" s="59"/>
      <c r="BF12" s="56"/>
      <c r="BG12" s="57">
        <v>1</v>
      </c>
      <c r="BH12" s="57"/>
      <c r="BI12" s="57"/>
      <c r="BJ12" s="57"/>
      <c r="BK12" s="57"/>
      <c r="BL12" s="58"/>
      <c r="BM12" s="57"/>
      <c r="BN12" s="57"/>
      <c r="BO12" s="57"/>
      <c r="BP12" s="57"/>
      <c r="BQ12" s="57">
        <v>1</v>
      </c>
      <c r="BR12" s="57"/>
      <c r="BS12" s="57"/>
      <c r="BT12" s="59"/>
      <c r="BU12" s="56">
        <v>740</v>
      </c>
      <c r="BV12" s="57">
        <v>1696</v>
      </c>
      <c r="BW12" s="57">
        <v>11</v>
      </c>
      <c r="BX12" s="57">
        <v>20</v>
      </c>
      <c r="BY12" s="57">
        <v>148</v>
      </c>
      <c r="BZ12" s="57">
        <v>35</v>
      </c>
      <c r="CA12" s="58">
        <v>5</v>
      </c>
      <c r="CB12" s="57">
        <v>76.5</v>
      </c>
      <c r="CC12" s="57">
        <v>3.06</v>
      </c>
      <c r="CD12" s="57">
        <v>28.9</v>
      </c>
      <c r="CE12" s="57">
        <v>116</v>
      </c>
      <c r="CF12" s="57">
        <v>1912</v>
      </c>
      <c r="CG12" s="57">
        <v>16</v>
      </c>
      <c r="CH12" s="57">
        <v>0</v>
      </c>
      <c r="CI12" s="59">
        <v>9</v>
      </c>
      <c r="CJ12" s="56">
        <v>1171</v>
      </c>
      <c r="CK12" s="57">
        <v>2490.6</v>
      </c>
      <c r="CL12" s="57">
        <v>15</v>
      </c>
      <c r="CM12" s="57">
        <v>30.800000000000004</v>
      </c>
      <c r="CN12" s="57">
        <v>211</v>
      </c>
      <c r="CO12" s="57">
        <v>49</v>
      </c>
      <c r="CP12" s="58">
        <v>5.5497630331753554</v>
      </c>
      <c r="CQ12" s="57">
        <v>76.2</v>
      </c>
      <c r="CR12" s="58">
        <v>3.37</v>
      </c>
      <c r="CS12" s="57">
        <v>32.700000000000003</v>
      </c>
      <c r="CT12" s="57">
        <v>237</v>
      </c>
      <c r="CU12" s="57">
        <v>3253.6</v>
      </c>
      <c r="CV12" s="57">
        <v>37</v>
      </c>
      <c r="CW12" s="57">
        <v>0</v>
      </c>
      <c r="CX12" s="59">
        <v>23.8</v>
      </c>
      <c r="CY12" s="56">
        <v>840</v>
      </c>
      <c r="CZ12" s="57">
        <v>2091.6000000000004</v>
      </c>
      <c r="DA12" s="57">
        <v>5</v>
      </c>
      <c r="DB12" s="57">
        <v>21.6</v>
      </c>
      <c r="DC12" s="57">
        <v>167</v>
      </c>
      <c r="DD12" s="57">
        <v>27</v>
      </c>
      <c r="DE12" s="57">
        <v>5</v>
      </c>
      <c r="DF12" s="57">
        <v>51.5</v>
      </c>
      <c r="DG12" s="58">
        <v>2.92</v>
      </c>
      <c r="DH12" s="57">
        <v>34.799999999999997</v>
      </c>
      <c r="DI12" s="57">
        <v>231</v>
      </c>
      <c r="DJ12" s="57">
        <v>2740.8</v>
      </c>
      <c r="DK12" s="57">
        <v>31</v>
      </c>
      <c r="DL12" s="57">
        <v>2</v>
      </c>
      <c r="DM12" s="59">
        <v>18</v>
      </c>
      <c r="DO12" s="5">
        <v>10</v>
      </c>
      <c r="DP12" s="42" t="s">
        <v>414</v>
      </c>
      <c r="DQ12" s="7">
        <v>0.6</v>
      </c>
    </row>
    <row r="13" spans="1:123" x14ac:dyDescent="0.2">
      <c r="A13" s="33">
        <v>11</v>
      </c>
      <c r="B13" s="34" t="s">
        <v>271</v>
      </c>
      <c r="C13" s="116">
        <v>7.2166666666666668</v>
      </c>
      <c r="D13" s="117" t="s">
        <v>430</v>
      </c>
      <c r="E13" s="37">
        <v>2</v>
      </c>
      <c r="F13" s="118">
        <v>36487</v>
      </c>
      <c r="G13" s="119">
        <v>25.863013698630137</v>
      </c>
      <c r="H13" s="39" t="s">
        <v>469</v>
      </c>
      <c r="I13" s="119">
        <v>24.443835616438356</v>
      </c>
      <c r="J13" s="120">
        <v>71</v>
      </c>
      <c r="K13" s="120">
        <v>209</v>
      </c>
      <c r="L13" s="120">
        <v>4.4800000000000004</v>
      </c>
      <c r="M13" s="40">
        <v>5</v>
      </c>
      <c r="N13" s="121">
        <v>0.13180816455032007</v>
      </c>
      <c r="O13" s="122">
        <v>5.9685295713510576E-2</v>
      </c>
      <c r="P13" s="122">
        <v>8.5744247733020793E-2</v>
      </c>
      <c r="Q13" s="122">
        <v>6.0030015007503747E-2</v>
      </c>
      <c r="R13" s="122">
        <v>0.20366696148973301</v>
      </c>
      <c r="S13" s="42">
        <v>0.20366696148973301</v>
      </c>
      <c r="T13" s="42">
        <v>0.20366696148973301</v>
      </c>
      <c r="U13" s="42">
        <v>5.0727608116417293E-2</v>
      </c>
      <c r="V13" s="42">
        <v>5.9400826446280995E-2</v>
      </c>
      <c r="W13" s="42">
        <v>5.9400826446280995E-2</v>
      </c>
      <c r="X13" s="43">
        <v>5.9400826446280995E-2</v>
      </c>
      <c r="Y13" s="44">
        <v>23.797260273972604</v>
      </c>
      <c r="Z13" s="170">
        <v>103.76818623953884</v>
      </c>
      <c r="AA13" s="45">
        <v>29.146399523903987</v>
      </c>
      <c r="AB13" s="45">
        <v>0.47058823529411764</v>
      </c>
      <c r="AC13" s="45">
        <v>8.117647058823529</v>
      </c>
      <c r="AD13" s="45">
        <v>163.5</v>
      </c>
      <c r="AE13" s="45">
        <v>4.4400000000000004</v>
      </c>
      <c r="AF13" s="45">
        <v>52.9</v>
      </c>
      <c r="AG13" s="128">
        <v>4</v>
      </c>
      <c r="AH13" s="49">
        <v>6</v>
      </c>
      <c r="AI13" s="49">
        <v>0</v>
      </c>
      <c r="AJ13" s="49">
        <v>7</v>
      </c>
      <c r="AK13" s="49">
        <v>10</v>
      </c>
      <c r="AL13" s="49">
        <v>9</v>
      </c>
      <c r="AM13" s="49">
        <v>8</v>
      </c>
      <c r="AN13" s="49">
        <v>6</v>
      </c>
      <c r="AO13" s="49">
        <v>3</v>
      </c>
      <c r="AP13" s="50">
        <v>0</v>
      </c>
      <c r="AQ13" s="56">
        <v>39</v>
      </c>
      <c r="AR13" s="57">
        <v>1788.8</v>
      </c>
      <c r="AS13" s="57">
        <v>16.900000000000002</v>
      </c>
      <c r="AT13" s="57">
        <v>16.900000000000002</v>
      </c>
      <c r="AU13" s="57">
        <v>6</v>
      </c>
      <c r="AV13" s="57">
        <v>0</v>
      </c>
      <c r="AW13" s="57">
        <v>6.5</v>
      </c>
      <c r="AX13" s="57">
        <v>66.7</v>
      </c>
      <c r="AY13" s="57">
        <v>2</v>
      </c>
      <c r="AZ13" s="57">
        <v>59</v>
      </c>
      <c r="BA13" s="57">
        <v>589</v>
      </c>
      <c r="BB13" s="57">
        <v>2975.7000000000003</v>
      </c>
      <c r="BC13" s="57">
        <v>36</v>
      </c>
      <c r="BD13" s="57">
        <v>3</v>
      </c>
      <c r="BE13" s="59">
        <v>15.6</v>
      </c>
      <c r="BF13" s="56">
        <v>22</v>
      </c>
      <c r="BG13" s="57">
        <v>1368</v>
      </c>
      <c r="BH13" s="57">
        <v>0</v>
      </c>
      <c r="BI13" s="57"/>
      <c r="BJ13" s="57">
        <v>2</v>
      </c>
      <c r="BK13" s="57">
        <v>0</v>
      </c>
      <c r="BL13" s="57">
        <v>11</v>
      </c>
      <c r="BM13" s="57">
        <v>46.9</v>
      </c>
      <c r="BN13" s="57">
        <v>2.5</v>
      </c>
      <c r="BO13" s="57">
        <v>95.5</v>
      </c>
      <c r="BP13" s="57">
        <v>154</v>
      </c>
      <c r="BQ13" s="57">
        <v>1580.8</v>
      </c>
      <c r="BR13" s="57">
        <v>14</v>
      </c>
      <c r="BS13" s="57">
        <v>1</v>
      </c>
      <c r="BT13" s="59">
        <v>8.8000000000000007</v>
      </c>
      <c r="BU13" s="56">
        <v>39</v>
      </c>
      <c r="BV13" s="57">
        <v>1609.3999999999999</v>
      </c>
      <c r="BW13" s="57">
        <v>1</v>
      </c>
      <c r="BX13" s="57">
        <v>16.900000000000002</v>
      </c>
      <c r="BY13" s="57">
        <v>8</v>
      </c>
      <c r="BZ13" s="57">
        <v>3</v>
      </c>
      <c r="CA13" s="57">
        <v>4.875</v>
      </c>
      <c r="CB13" s="57">
        <v>52.3</v>
      </c>
      <c r="CC13" s="57">
        <v>2.88</v>
      </c>
      <c r="CD13" s="57">
        <v>0</v>
      </c>
      <c r="CE13" s="57">
        <v>100</v>
      </c>
      <c r="CF13" s="57">
        <v>11.700000000000001</v>
      </c>
      <c r="CG13" s="57">
        <v>14</v>
      </c>
      <c r="CH13" s="57">
        <v>1</v>
      </c>
      <c r="CI13" s="59">
        <v>11.700000000000001</v>
      </c>
      <c r="CJ13" s="56">
        <v>138</v>
      </c>
      <c r="CK13" s="57">
        <v>1694</v>
      </c>
      <c r="CL13" s="57">
        <v>0</v>
      </c>
      <c r="CM13" s="57">
        <v>16.8</v>
      </c>
      <c r="CN13" s="57">
        <v>17</v>
      </c>
      <c r="CO13" s="57">
        <v>8</v>
      </c>
      <c r="CP13" s="57">
        <v>8.117647058823529</v>
      </c>
      <c r="CQ13" s="57">
        <v>120.7</v>
      </c>
      <c r="CR13" s="57">
        <v>4.18</v>
      </c>
      <c r="CS13" s="57">
        <v>52.9</v>
      </c>
      <c r="CT13" s="57">
        <v>198</v>
      </c>
      <c r="CU13" s="57">
        <v>3903.2000000000003</v>
      </c>
      <c r="CV13" s="57">
        <v>28</v>
      </c>
      <c r="CW13" s="57">
        <v>0</v>
      </c>
      <c r="CX13" s="59">
        <v>26.599999999999998</v>
      </c>
      <c r="CY13" s="56">
        <v>714</v>
      </c>
      <c r="CZ13" s="57">
        <v>1860.1</v>
      </c>
      <c r="DA13" s="57">
        <v>8</v>
      </c>
      <c r="DB13" s="57">
        <v>18.7</v>
      </c>
      <c r="DC13" s="57">
        <v>114</v>
      </c>
      <c r="DD13" s="57">
        <v>46</v>
      </c>
      <c r="DE13" s="57">
        <v>6.2631578947368425</v>
      </c>
      <c r="DF13" s="57">
        <v>163.5</v>
      </c>
      <c r="DG13" s="58">
        <v>4.4400000000000004</v>
      </c>
      <c r="DH13" s="57">
        <v>49.6</v>
      </c>
      <c r="DI13" s="57">
        <v>138</v>
      </c>
      <c r="DJ13" s="57">
        <v>2323.1999999999998</v>
      </c>
      <c r="DK13" s="57">
        <v>19</v>
      </c>
      <c r="DL13" s="57">
        <v>0</v>
      </c>
      <c r="DM13" s="59">
        <v>14.3</v>
      </c>
      <c r="DO13" s="11">
        <v>11</v>
      </c>
      <c r="DP13" s="42" t="s">
        <v>417</v>
      </c>
      <c r="DQ13" s="7">
        <v>0.55000000000000004</v>
      </c>
    </row>
    <row r="14" spans="1:123" x14ac:dyDescent="0.2">
      <c r="A14" s="33">
        <v>12</v>
      </c>
      <c r="B14" s="34" t="s">
        <v>279</v>
      </c>
      <c r="C14" s="116">
        <v>7.1999999999999993</v>
      </c>
      <c r="D14" s="117" t="s">
        <v>438</v>
      </c>
      <c r="E14" s="37">
        <v>4</v>
      </c>
      <c r="F14" s="118">
        <v>36705</v>
      </c>
      <c r="G14" s="119">
        <v>25.265753424657536</v>
      </c>
      <c r="H14" s="39" t="s">
        <v>469</v>
      </c>
      <c r="I14" s="119">
        <v>23.846575342465755</v>
      </c>
      <c r="J14" s="120">
        <v>72</v>
      </c>
      <c r="K14" s="120">
        <v>221</v>
      </c>
      <c r="L14" s="120">
        <v>4.33</v>
      </c>
      <c r="M14" s="40">
        <v>4</v>
      </c>
      <c r="N14" s="121">
        <v>9.2208390963577688E-3</v>
      </c>
      <c r="O14" s="122">
        <v>0.10416666666666666</v>
      </c>
      <c r="P14" s="122">
        <v>0.19584709768758848</v>
      </c>
      <c r="Q14" s="122">
        <v>0.11459479281261457</v>
      </c>
      <c r="R14" s="122">
        <v>0.17964690091888358</v>
      </c>
      <c r="S14" s="42">
        <v>0.18774699930323602</v>
      </c>
      <c r="T14" s="42">
        <v>0.16897229937291242</v>
      </c>
      <c r="U14" s="42">
        <v>5.2140007254261871E-2</v>
      </c>
      <c r="V14" s="42">
        <v>7.0643642072213506E-2</v>
      </c>
      <c r="W14" s="42">
        <v>7.0643642072213506E-2</v>
      </c>
      <c r="X14" s="43">
        <v>6.3579277864992151E-2</v>
      </c>
      <c r="Y14" s="44">
        <v>21.18904109589041</v>
      </c>
      <c r="Z14" s="170">
        <v>125.73919741084096</v>
      </c>
      <c r="AA14" s="45">
        <v>29.969714506172842</v>
      </c>
      <c r="AB14" s="45">
        <v>0.2608695652173913</v>
      </c>
      <c r="AC14" s="45">
        <v>6.1363636363636367</v>
      </c>
      <c r="AD14" s="45">
        <v>104.2</v>
      </c>
      <c r="AE14" s="45">
        <v>4.1100000000000003</v>
      </c>
      <c r="AF14" s="45">
        <v>60.6</v>
      </c>
      <c r="AG14" s="128">
        <v>2</v>
      </c>
      <c r="AH14" s="49">
        <v>7</v>
      </c>
      <c r="AI14" s="49">
        <v>3</v>
      </c>
      <c r="AJ14" s="49">
        <v>10</v>
      </c>
      <c r="AK14" s="49">
        <v>7</v>
      </c>
      <c r="AL14" s="49">
        <v>5</v>
      </c>
      <c r="AM14" s="49">
        <v>4</v>
      </c>
      <c r="AN14" s="49">
        <v>5</v>
      </c>
      <c r="AO14" s="49">
        <v>4</v>
      </c>
      <c r="AP14" s="50">
        <v>0.25</v>
      </c>
      <c r="AQ14" s="56">
        <v>1</v>
      </c>
      <c r="AR14" s="57">
        <v>233.7</v>
      </c>
      <c r="AS14" s="57">
        <v>2.7</v>
      </c>
      <c r="AT14" s="57">
        <v>2.7</v>
      </c>
      <c r="AU14" s="57">
        <v>1</v>
      </c>
      <c r="AV14" s="57">
        <v>0</v>
      </c>
      <c r="AW14" s="57">
        <v>1</v>
      </c>
      <c r="AX14" s="57">
        <v>0</v>
      </c>
      <c r="AY14" s="57">
        <v>3</v>
      </c>
      <c r="AZ14" s="57">
        <v>0</v>
      </c>
      <c r="BA14" s="57">
        <v>3</v>
      </c>
      <c r="BB14" s="57">
        <v>200.1</v>
      </c>
      <c r="BC14" s="57">
        <v>1</v>
      </c>
      <c r="BD14" s="57">
        <v>0</v>
      </c>
      <c r="BE14" s="59">
        <v>1.3</v>
      </c>
      <c r="BF14" s="56">
        <v>36</v>
      </c>
      <c r="BG14" s="57">
        <v>164.6</v>
      </c>
      <c r="BH14" s="57">
        <v>0</v>
      </c>
      <c r="BI14" s="57"/>
      <c r="BJ14" s="57">
        <v>11</v>
      </c>
      <c r="BK14" s="57">
        <v>3</v>
      </c>
      <c r="BL14" s="57">
        <v>3.2727272727272729</v>
      </c>
      <c r="BM14" s="57">
        <v>47.1</v>
      </c>
      <c r="BN14" s="57">
        <v>1.73</v>
      </c>
      <c r="BO14" s="57">
        <v>0</v>
      </c>
      <c r="BP14" s="57"/>
      <c r="BQ14" s="57">
        <v>181</v>
      </c>
      <c r="BR14" s="57"/>
      <c r="BS14" s="57"/>
      <c r="BT14" s="59">
        <v>1.4</v>
      </c>
      <c r="BU14" s="56">
        <v>160</v>
      </c>
      <c r="BV14" s="57">
        <v>844.4</v>
      </c>
      <c r="BW14" s="57">
        <v>1</v>
      </c>
      <c r="BX14" s="57">
        <v>8</v>
      </c>
      <c r="BY14" s="57">
        <v>23</v>
      </c>
      <c r="BZ14" s="57">
        <v>6</v>
      </c>
      <c r="CA14" s="57">
        <v>6.9565217391304346</v>
      </c>
      <c r="CB14" s="57">
        <v>62.6</v>
      </c>
      <c r="CC14" s="57">
        <v>2.61</v>
      </c>
      <c r="CD14" s="57">
        <v>60.6</v>
      </c>
      <c r="CE14" s="57">
        <v>6</v>
      </c>
      <c r="CF14" s="57">
        <v>3.2</v>
      </c>
      <c r="CG14" s="57">
        <v>2</v>
      </c>
      <c r="CH14" s="57">
        <v>0</v>
      </c>
      <c r="CI14" s="59">
        <v>3.2</v>
      </c>
      <c r="CJ14" s="56">
        <v>385</v>
      </c>
      <c r="CK14" s="57">
        <v>2157.6000000000004</v>
      </c>
      <c r="CL14" s="57">
        <v>5</v>
      </c>
      <c r="CM14" s="57">
        <v>19.200000000000003</v>
      </c>
      <c r="CN14" s="57">
        <v>64</v>
      </c>
      <c r="CO14" s="57">
        <v>14</v>
      </c>
      <c r="CP14" s="57">
        <v>6.015625</v>
      </c>
      <c r="CQ14" s="57">
        <v>62.5</v>
      </c>
      <c r="CR14" s="57">
        <v>3.38</v>
      </c>
      <c r="CS14" s="57">
        <v>49.4</v>
      </c>
      <c r="CT14" s="57">
        <v>115</v>
      </c>
      <c r="CU14" s="57">
        <v>2205.6000000000004</v>
      </c>
      <c r="CV14" s="57">
        <v>17</v>
      </c>
      <c r="CW14" s="57">
        <v>1</v>
      </c>
      <c r="CX14" s="59">
        <v>19.200000000000003</v>
      </c>
      <c r="CY14" s="56">
        <v>810</v>
      </c>
      <c r="CZ14" s="57">
        <v>2499</v>
      </c>
      <c r="DA14" s="57">
        <v>11</v>
      </c>
      <c r="DB14" s="57">
        <v>30.800000000000004</v>
      </c>
      <c r="DC14" s="57">
        <v>132</v>
      </c>
      <c r="DD14" s="57">
        <v>30</v>
      </c>
      <c r="DE14" s="57">
        <v>6.1363636363636367</v>
      </c>
      <c r="DF14" s="57">
        <v>104.2</v>
      </c>
      <c r="DG14" s="58">
        <v>4.1100000000000003</v>
      </c>
      <c r="DH14" s="57">
        <v>48.6</v>
      </c>
      <c r="DI14" s="57">
        <v>234</v>
      </c>
      <c r="DJ14" s="57">
        <v>3312.4</v>
      </c>
      <c r="DK14" s="57">
        <v>22</v>
      </c>
      <c r="DL14" s="57">
        <v>0</v>
      </c>
      <c r="DM14" s="59">
        <v>22.400000000000002</v>
      </c>
      <c r="DO14" s="11">
        <v>12</v>
      </c>
      <c r="DP14" s="42" t="s">
        <v>420</v>
      </c>
      <c r="DQ14" s="7">
        <v>0.5</v>
      </c>
    </row>
    <row r="15" spans="1:123" x14ac:dyDescent="0.2">
      <c r="A15" s="33">
        <v>13</v>
      </c>
      <c r="B15" s="34" t="s">
        <v>284</v>
      </c>
      <c r="C15" s="116">
        <v>6.8999999999999995</v>
      </c>
      <c r="D15" s="117" t="s">
        <v>538</v>
      </c>
      <c r="E15" s="37">
        <v>5</v>
      </c>
      <c r="F15" s="118">
        <v>36840</v>
      </c>
      <c r="G15" s="119">
        <v>24.895890410958906</v>
      </c>
      <c r="H15" s="39" t="s">
        <v>469</v>
      </c>
      <c r="I15" s="119">
        <v>23.476712328767125</v>
      </c>
      <c r="J15" s="120">
        <v>70</v>
      </c>
      <c r="K15" s="120">
        <v>210</v>
      </c>
      <c r="L15" s="120">
        <v>4.51</v>
      </c>
      <c r="M15" s="40">
        <v>0</v>
      </c>
      <c r="N15" s="121">
        <v>5.5966296311593895E-2</v>
      </c>
      <c r="O15" s="122">
        <v>0.13806172171088252</v>
      </c>
      <c r="P15" s="122">
        <v>0.41184573002754821</v>
      </c>
      <c r="Q15" s="122">
        <v>0.22181109645928873</v>
      </c>
      <c r="R15" s="122">
        <v>0.13750000000000001</v>
      </c>
      <c r="S15" s="42">
        <v>0.27467286501377408</v>
      </c>
      <c r="T15" s="42">
        <v>0.23347193526170795</v>
      </c>
      <c r="U15" s="42">
        <v>9.9645957058017376E-2</v>
      </c>
      <c r="V15" s="42">
        <v>0.10022705157314304</v>
      </c>
      <c r="W15" s="42">
        <v>0.10022705157314304</v>
      </c>
      <c r="X15" s="43">
        <v>8.5192993837171591E-2</v>
      </c>
      <c r="Y15" s="44">
        <v>20.81917808219178</v>
      </c>
      <c r="Z15" s="170">
        <v>101.51801629838111</v>
      </c>
      <c r="AA15" s="45">
        <v>30.12857142857143</v>
      </c>
      <c r="AB15" s="45">
        <v>0.38738738738738737</v>
      </c>
      <c r="AC15" s="45">
        <v>7.0090090090090094</v>
      </c>
      <c r="AD15" s="45">
        <v>204</v>
      </c>
      <c r="AE15" s="45">
        <v>4.66</v>
      </c>
      <c r="AF15" s="45">
        <v>46.3</v>
      </c>
      <c r="AG15" s="128">
        <v>5</v>
      </c>
      <c r="AH15" s="49">
        <v>8</v>
      </c>
      <c r="AI15" s="49">
        <v>3</v>
      </c>
      <c r="AJ15" s="49">
        <v>6</v>
      </c>
      <c r="AK15" s="49">
        <v>10</v>
      </c>
      <c r="AL15" s="49">
        <v>8</v>
      </c>
      <c r="AM15" s="49">
        <v>9</v>
      </c>
      <c r="AN15" s="49">
        <v>7</v>
      </c>
      <c r="AO15" s="49">
        <v>0</v>
      </c>
      <c r="AP15" s="50">
        <v>0</v>
      </c>
      <c r="AQ15" s="56">
        <v>106</v>
      </c>
      <c r="AR15" s="57">
        <v>1915.1</v>
      </c>
      <c r="AS15" s="57">
        <v>17.600000000000001</v>
      </c>
      <c r="AT15" s="57">
        <v>17.600000000000001</v>
      </c>
      <c r="AU15" s="57">
        <v>31</v>
      </c>
      <c r="AV15" s="57">
        <v>2</v>
      </c>
      <c r="AW15" s="57">
        <v>3.4193548387096775</v>
      </c>
      <c r="AX15" s="57">
        <v>18.2</v>
      </c>
      <c r="AY15" s="57">
        <v>2.23</v>
      </c>
      <c r="AZ15" s="57">
        <v>16</v>
      </c>
      <c r="BA15" s="57">
        <v>165</v>
      </c>
      <c r="BB15" s="57">
        <v>2927.1000000000004</v>
      </c>
      <c r="BC15" s="57">
        <v>18</v>
      </c>
      <c r="BD15" s="57">
        <v>0</v>
      </c>
      <c r="BE15" s="59">
        <v>20.9</v>
      </c>
      <c r="BF15" s="56">
        <v>222</v>
      </c>
      <c r="BG15" s="57">
        <v>782</v>
      </c>
      <c r="BH15" s="57">
        <v>3</v>
      </c>
      <c r="BI15" s="57"/>
      <c r="BJ15" s="57">
        <v>31</v>
      </c>
      <c r="BK15" s="57">
        <v>11</v>
      </c>
      <c r="BL15" s="57">
        <v>7.161290322580645</v>
      </c>
      <c r="BM15" s="57">
        <v>175.3</v>
      </c>
      <c r="BN15" s="57">
        <v>5.26</v>
      </c>
      <c r="BO15" s="57">
        <v>57.2</v>
      </c>
      <c r="BP15" s="57">
        <v>33</v>
      </c>
      <c r="BQ15" s="57">
        <v>1065</v>
      </c>
      <c r="BR15" s="57">
        <v>8</v>
      </c>
      <c r="BS15" s="57">
        <v>0</v>
      </c>
      <c r="BT15" s="59">
        <v>6</v>
      </c>
      <c r="BU15" s="56">
        <v>301</v>
      </c>
      <c r="BV15" s="57">
        <v>1441</v>
      </c>
      <c r="BW15" s="57">
        <v>2</v>
      </c>
      <c r="BX15" s="57">
        <v>5.5</v>
      </c>
      <c r="BY15" s="57">
        <v>92</v>
      </c>
      <c r="BZ15" s="57">
        <v>18</v>
      </c>
      <c r="CA15" s="57">
        <v>3.2717391304347827</v>
      </c>
      <c r="CB15" s="57">
        <v>53</v>
      </c>
      <c r="CC15" s="57">
        <v>2.2799999999999998</v>
      </c>
      <c r="CD15" s="57">
        <v>5.3</v>
      </c>
      <c r="CE15" s="57">
        <v>297</v>
      </c>
      <c r="CF15" s="57">
        <v>11</v>
      </c>
      <c r="CG15" s="57">
        <v>33</v>
      </c>
      <c r="CH15" s="57">
        <v>4</v>
      </c>
      <c r="CI15" s="59">
        <v>11</v>
      </c>
      <c r="CJ15" s="56">
        <v>778</v>
      </c>
      <c r="CK15" s="57">
        <v>1578.5</v>
      </c>
      <c r="CL15" s="57">
        <v>8</v>
      </c>
      <c r="CM15" s="57">
        <v>17.600000000000001</v>
      </c>
      <c r="CN15" s="57">
        <v>111</v>
      </c>
      <c r="CO15" s="57">
        <v>43</v>
      </c>
      <c r="CP15" s="57">
        <v>7.0090090090090094</v>
      </c>
      <c r="CQ15" s="57">
        <v>204</v>
      </c>
      <c r="CR15" s="57">
        <v>4.66</v>
      </c>
      <c r="CS15" s="57">
        <v>46.3</v>
      </c>
      <c r="CT15" s="57">
        <v>349</v>
      </c>
      <c r="CU15" s="57">
        <v>3502.3999999999996</v>
      </c>
      <c r="CV15" s="57">
        <v>36</v>
      </c>
      <c r="CW15" s="57">
        <v>3</v>
      </c>
      <c r="CX15" s="59">
        <v>24.200000000000003</v>
      </c>
      <c r="CY15" s="56">
        <v>307</v>
      </c>
      <c r="CZ15" s="57">
        <v>1397</v>
      </c>
      <c r="DA15" s="57">
        <v>3</v>
      </c>
      <c r="DB15" s="57">
        <v>13</v>
      </c>
      <c r="DC15" s="57">
        <v>70</v>
      </c>
      <c r="DD15" s="57">
        <v>24</v>
      </c>
      <c r="DE15" s="57">
        <v>4.3857142857142861</v>
      </c>
      <c r="DF15" s="57">
        <v>115.9</v>
      </c>
      <c r="DG15" s="58">
        <v>3.44</v>
      </c>
      <c r="DH15" s="57">
        <v>20.5</v>
      </c>
      <c r="DI15" s="57">
        <v>309</v>
      </c>
      <c r="DJ15" s="57">
        <v>3083</v>
      </c>
      <c r="DK15" s="57">
        <v>28</v>
      </c>
      <c r="DL15" s="57">
        <v>5</v>
      </c>
      <c r="DM15" s="59">
        <v>28</v>
      </c>
      <c r="DO15" s="42"/>
    </row>
    <row r="16" spans="1:123" x14ac:dyDescent="0.2">
      <c r="A16" s="33">
        <v>14</v>
      </c>
      <c r="B16" s="34" t="s">
        <v>283</v>
      </c>
      <c r="C16" s="116">
        <v>6.8000000000000007</v>
      </c>
      <c r="D16" s="117" t="s">
        <v>416</v>
      </c>
      <c r="E16" s="37">
        <v>7</v>
      </c>
      <c r="F16" s="118">
        <v>36876</v>
      </c>
      <c r="G16" s="119">
        <v>24.797260273972604</v>
      </c>
      <c r="H16" s="39" t="s">
        <v>469</v>
      </c>
      <c r="I16" s="119">
        <v>23.378082191780823</v>
      </c>
      <c r="J16" s="120">
        <v>70</v>
      </c>
      <c r="K16" s="120">
        <v>208</v>
      </c>
      <c r="L16" s="120">
        <v>4.5199999999999996</v>
      </c>
      <c r="M16" s="40">
        <v>0</v>
      </c>
      <c r="N16" s="121">
        <v>0.20315463711690127</v>
      </c>
      <c r="O16" s="122">
        <v>0.15125732652675361</v>
      </c>
      <c r="P16" s="122">
        <v>0.65079365079365081</v>
      </c>
      <c r="Q16" s="122">
        <v>0.25972219462273716</v>
      </c>
      <c r="R16" s="122">
        <v>0.27395690050435578</v>
      </c>
      <c r="S16" s="42">
        <v>0.46237527564900327</v>
      </c>
      <c r="T16" s="42">
        <v>0.34678145673675242</v>
      </c>
      <c r="U16" s="42">
        <v>6.0941157478408274E-2</v>
      </c>
      <c r="V16" s="42">
        <v>0.11240397650248531</v>
      </c>
      <c r="W16" s="42">
        <v>0.11240397650248531</v>
      </c>
      <c r="X16" s="43">
        <v>8.4302982376863983E-2</v>
      </c>
      <c r="Y16" s="44">
        <v>18.717808219178082</v>
      </c>
      <c r="Z16" s="170">
        <v>99.66429324789874</v>
      </c>
      <c r="AA16" s="45">
        <v>29.841632653061225</v>
      </c>
      <c r="AB16" s="45">
        <v>0.31674208144796379</v>
      </c>
      <c r="AC16" s="45">
        <v>5.6917293233082704</v>
      </c>
      <c r="AD16" s="45">
        <v>121.6</v>
      </c>
      <c r="AE16" s="45">
        <v>3.65</v>
      </c>
      <c r="AF16" s="45">
        <v>38.200000000000003</v>
      </c>
      <c r="AG16" s="128">
        <v>9</v>
      </c>
      <c r="AH16" s="49">
        <v>8</v>
      </c>
      <c r="AI16" s="49">
        <v>9</v>
      </c>
      <c r="AJ16" s="49">
        <v>5</v>
      </c>
      <c r="AK16" s="49">
        <v>8</v>
      </c>
      <c r="AL16" s="49">
        <v>3</v>
      </c>
      <c r="AM16" s="49">
        <v>6</v>
      </c>
      <c r="AN16" s="49">
        <v>2</v>
      </c>
      <c r="AO16" s="49">
        <v>0</v>
      </c>
      <c r="AP16" s="50">
        <v>0</v>
      </c>
      <c r="AQ16" s="56">
        <v>1016</v>
      </c>
      <c r="AR16" s="57">
        <v>2346.4</v>
      </c>
      <c r="AS16" s="57">
        <v>26.599999999999998</v>
      </c>
      <c r="AT16" s="57">
        <v>26.599999999999998</v>
      </c>
      <c r="AU16" s="57">
        <v>191</v>
      </c>
      <c r="AV16" s="57">
        <v>44</v>
      </c>
      <c r="AW16" s="57">
        <v>5.3193717277486909</v>
      </c>
      <c r="AX16" s="57">
        <v>95.8</v>
      </c>
      <c r="AY16" s="57">
        <v>3.52</v>
      </c>
      <c r="AZ16" s="57">
        <v>34.4</v>
      </c>
      <c r="BA16" s="57">
        <v>205</v>
      </c>
      <c r="BB16" s="57">
        <v>3663.7999999999997</v>
      </c>
      <c r="BC16" s="57">
        <v>26</v>
      </c>
      <c r="BD16" s="57">
        <v>3</v>
      </c>
      <c r="BE16" s="59">
        <v>30.800000000000004</v>
      </c>
      <c r="BF16" s="56">
        <v>108</v>
      </c>
      <c r="BG16" s="57">
        <v>332.1</v>
      </c>
      <c r="BH16" s="57">
        <v>1</v>
      </c>
      <c r="BI16" s="57"/>
      <c r="BJ16" s="57">
        <v>19</v>
      </c>
      <c r="BK16" s="57">
        <v>2</v>
      </c>
      <c r="BL16" s="57">
        <v>5.6842105263157894</v>
      </c>
      <c r="BM16" s="57">
        <v>49.6</v>
      </c>
      <c r="BN16" s="57">
        <v>2.58</v>
      </c>
      <c r="BO16" s="57">
        <v>31.5</v>
      </c>
      <c r="BP16" s="57">
        <v>52</v>
      </c>
      <c r="BQ16" s="57">
        <v>725.7</v>
      </c>
      <c r="BR16" s="57">
        <v>7</v>
      </c>
      <c r="BS16" s="57">
        <v>2</v>
      </c>
      <c r="BT16" s="59">
        <v>5.0999999999999996</v>
      </c>
      <c r="BU16" s="56">
        <v>569</v>
      </c>
      <c r="BV16" s="57">
        <v>1118.7</v>
      </c>
      <c r="BW16" s="57">
        <v>1</v>
      </c>
      <c r="BX16" s="57">
        <v>11.700000000000001</v>
      </c>
      <c r="BY16" s="57">
        <v>119</v>
      </c>
      <c r="BZ16" s="57">
        <v>36</v>
      </c>
      <c r="CA16" s="57">
        <v>4.7815126050420167</v>
      </c>
      <c r="CB16" s="57">
        <v>111.7</v>
      </c>
      <c r="CC16" s="57">
        <v>3.54</v>
      </c>
      <c r="CD16" s="57">
        <v>25.1</v>
      </c>
      <c r="CE16" s="57">
        <v>169</v>
      </c>
      <c r="CF16" s="57">
        <v>15.299999999999999</v>
      </c>
      <c r="CG16" s="57">
        <v>14</v>
      </c>
      <c r="CH16" s="57">
        <v>0</v>
      </c>
      <c r="CI16" s="59">
        <v>15.299999999999999</v>
      </c>
      <c r="CJ16" s="56">
        <v>1156</v>
      </c>
      <c r="CK16" s="57">
        <v>2554.5</v>
      </c>
      <c r="CL16" s="57">
        <v>10</v>
      </c>
      <c r="CM16" s="57">
        <v>24.7</v>
      </c>
      <c r="CN16" s="57">
        <v>221</v>
      </c>
      <c r="CO16" s="57">
        <v>70</v>
      </c>
      <c r="CP16" s="57">
        <v>5.2307692307692308</v>
      </c>
      <c r="CQ16" s="57">
        <v>114.8</v>
      </c>
      <c r="CR16" s="57">
        <v>3.43</v>
      </c>
      <c r="CS16" s="57">
        <v>31.9</v>
      </c>
      <c r="CT16" s="57">
        <v>151</v>
      </c>
      <c r="CU16" s="57">
        <v>2477.7999999999997</v>
      </c>
      <c r="CV16" s="57">
        <v>24</v>
      </c>
      <c r="CW16" s="57">
        <v>3</v>
      </c>
      <c r="CX16" s="59">
        <v>18.2</v>
      </c>
      <c r="CY16" s="56">
        <v>757</v>
      </c>
      <c r="CZ16" s="57">
        <v>1719.2</v>
      </c>
      <c r="DA16" s="57">
        <v>7</v>
      </c>
      <c r="DB16" s="57">
        <v>19.2</v>
      </c>
      <c r="DC16" s="57">
        <v>133</v>
      </c>
      <c r="DD16" s="57">
        <v>39</v>
      </c>
      <c r="DE16" s="57">
        <v>5.6917293233082704</v>
      </c>
      <c r="DF16" s="57">
        <v>121.6</v>
      </c>
      <c r="DG16" s="58">
        <v>3.65</v>
      </c>
      <c r="DH16" s="57">
        <v>38.200000000000003</v>
      </c>
      <c r="DI16" s="57">
        <v>199</v>
      </c>
      <c r="DJ16" s="57">
        <v>1770.4</v>
      </c>
      <c r="DK16" s="57">
        <v>17</v>
      </c>
      <c r="DL16" s="57">
        <v>0</v>
      </c>
      <c r="DM16" s="59">
        <v>11.2</v>
      </c>
      <c r="DO16" s="42"/>
    </row>
    <row r="17" spans="1:117" x14ac:dyDescent="0.2">
      <c r="A17" s="33">
        <v>15</v>
      </c>
      <c r="B17" s="34" t="s">
        <v>293</v>
      </c>
      <c r="C17" s="116">
        <v>6.6833333333333336</v>
      </c>
      <c r="D17" s="117" t="s">
        <v>550</v>
      </c>
      <c r="E17" s="37">
        <v>11</v>
      </c>
      <c r="F17" s="118">
        <v>37308</v>
      </c>
      <c r="G17" s="119">
        <v>23.613698630136987</v>
      </c>
      <c r="H17" s="39" t="s">
        <v>389</v>
      </c>
      <c r="I17" s="119">
        <v>22.194520547945206</v>
      </c>
      <c r="J17" s="120">
        <v>72</v>
      </c>
      <c r="K17" s="120">
        <v>218</v>
      </c>
      <c r="L17" s="120">
        <v>4.57</v>
      </c>
      <c r="M17" s="40">
        <v>5</v>
      </c>
      <c r="N17" s="121">
        <v>0</v>
      </c>
      <c r="O17" s="122">
        <v>0.22110792741165233</v>
      </c>
      <c r="P17" s="122">
        <v>0.22953452082645379</v>
      </c>
      <c r="Q17" s="122">
        <v>0.28918635011988703</v>
      </c>
      <c r="R17" s="122">
        <v>0.25764825286356385</v>
      </c>
      <c r="S17" s="42">
        <v>0.27341730149172544</v>
      </c>
      <c r="T17" s="42">
        <v>0.15037951582044901</v>
      </c>
      <c r="U17" s="42">
        <v>6.1785714285714284E-2</v>
      </c>
      <c r="V17" s="42">
        <v>5.9705970597059704E-2</v>
      </c>
      <c r="W17" s="42">
        <v>6.0745842441386991E-2</v>
      </c>
      <c r="X17" s="43">
        <v>3.3410213342762847E-2</v>
      </c>
      <c r="Y17" s="44">
        <v>18.539726027397261</v>
      </c>
      <c r="Z17" s="170">
        <v>99.958950799948568</v>
      </c>
      <c r="AA17" s="45">
        <v>29.562885802469136</v>
      </c>
      <c r="AB17" s="45">
        <v>0.33898305084745761</v>
      </c>
      <c r="AC17" s="45">
        <v>6.7</v>
      </c>
      <c r="AD17" s="45">
        <v>151.4</v>
      </c>
      <c r="AE17" s="45">
        <v>4.74</v>
      </c>
      <c r="AF17" s="45">
        <v>51.5</v>
      </c>
      <c r="AG17" s="128">
        <v>2</v>
      </c>
      <c r="AH17" s="49">
        <v>3</v>
      </c>
      <c r="AI17" s="49">
        <v>9</v>
      </c>
      <c r="AJ17" s="49">
        <v>5</v>
      </c>
      <c r="AK17" s="49">
        <v>9</v>
      </c>
      <c r="AL17" s="49">
        <v>7</v>
      </c>
      <c r="AM17" s="49">
        <v>7</v>
      </c>
      <c r="AN17" s="49">
        <v>7</v>
      </c>
      <c r="AO17" s="49">
        <v>3</v>
      </c>
      <c r="AP17" s="50">
        <v>0</v>
      </c>
      <c r="AQ17" s="56"/>
      <c r="AR17" s="57">
        <v>1</v>
      </c>
      <c r="AS17" s="57"/>
      <c r="AT17" s="57"/>
      <c r="AU17" s="57"/>
      <c r="AV17" s="57"/>
      <c r="AW17" s="58"/>
      <c r="AX17" s="57"/>
      <c r="AY17" s="57"/>
      <c r="AZ17" s="57"/>
      <c r="BA17" s="57"/>
      <c r="BB17" s="57">
        <v>1</v>
      </c>
      <c r="BC17" s="57"/>
      <c r="BD17" s="57"/>
      <c r="BE17" s="59"/>
      <c r="BF17" s="56">
        <v>819</v>
      </c>
      <c r="BG17" s="57">
        <v>2474</v>
      </c>
      <c r="BH17" s="57">
        <v>10</v>
      </c>
      <c r="BI17" s="57">
        <v>0</v>
      </c>
      <c r="BJ17" s="57">
        <v>96</v>
      </c>
      <c r="BK17" s="57">
        <v>23</v>
      </c>
      <c r="BL17" s="58">
        <v>8.5</v>
      </c>
      <c r="BM17" s="57">
        <v>135.9</v>
      </c>
      <c r="BN17" s="57">
        <v>5.83</v>
      </c>
      <c r="BO17" s="57">
        <v>50.3</v>
      </c>
      <c r="BP17" s="57">
        <v>107</v>
      </c>
      <c r="BQ17" s="57">
        <v>1714</v>
      </c>
      <c r="BR17" s="57">
        <v>7</v>
      </c>
      <c r="BS17" s="57">
        <v>0</v>
      </c>
      <c r="BT17" s="59">
        <v>0</v>
      </c>
      <c r="BU17" s="56">
        <v>701</v>
      </c>
      <c r="BV17" s="57">
        <v>1486.33</v>
      </c>
      <c r="BW17" s="57">
        <v>7</v>
      </c>
      <c r="BX17" s="57">
        <v>0</v>
      </c>
      <c r="BY17" s="57">
        <v>95</v>
      </c>
      <c r="BZ17" s="57">
        <v>23</v>
      </c>
      <c r="CA17" s="58">
        <v>7.4</v>
      </c>
      <c r="CB17" s="57">
        <v>151.4</v>
      </c>
      <c r="CC17" s="57">
        <v>4.74</v>
      </c>
      <c r="CD17" s="57">
        <v>51.5</v>
      </c>
      <c r="CE17" s="57">
        <v>8</v>
      </c>
      <c r="CF17" s="57">
        <v>1602.53</v>
      </c>
      <c r="CG17" s="57">
        <v>2</v>
      </c>
      <c r="CH17" s="57">
        <v>0</v>
      </c>
      <c r="CI17" s="59">
        <v>0</v>
      </c>
      <c r="CJ17" s="56">
        <v>1454</v>
      </c>
      <c r="CK17" s="57">
        <v>2826.13</v>
      </c>
      <c r="CL17" s="57">
        <v>15</v>
      </c>
      <c r="CM17" s="57">
        <v>0</v>
      </c>
      <c r="CN17" s="57">
        <v>250</v>
      </c>
      <c r="CO17" s="57">
        <v>71</v>
      </c>
      <c r="CP17" s="58">
        <v>5.8</v>
      </c>
      <c r="CQ17" s="57">
        <v>106.6</v>
      </c>
      <c r="CR17" s="58">
        <v>3.75</v>
      </c>
      <c r="CS17" s="57">
        <v>33.200000000000003</v>
      </c>
      <c r="CT17" s="57">
        <v>173</v>
      </c>
      <c r="CU17" s="57">
        <v>2800</v>
      </c>
      <c r="CV17" s="57">
        <v>21</v>
      </c>
      <c r="CW17" s="57">
        <v>0</v>
      </c>
      <c r="CX17" s="59">
        <v>0</v>
      </c>
      <c r="CY17" s="56">
        <v>1578</v>
      </c>
      <c r="CZ17" s="57">
        <v>3564</v>
      </c>
      <c r="DA17" s="57">
        <v>18</v>
      </c>
      <c r="DB17" s="57">
        <v>0</v>
      </c>
      <c r="DC17" s="57">
        <v>236</v>
      </c>
      <c r="DD17" s="57">
        <v>80</v>
      </c>
      <c r="DE17" s="57">
        <v>6.7</v>
      </c>
      <c r="DF17" s="57">
        <v>139.30000000000001</v>
      </c>
      <c r="DG17" s="58">
        <v>3.97</v>
      </c>
      <c r="DH17" s="57">
        <v>38.5</v>
      </c>
      <c r="DI17" s="57">
        <v>199</v>
      </c>
      <c r="DJ17" s="57">
        <v>3333</v>
      </c>
      <c r="DK17" s="57">
        <v>23</v>
      </c>
      <c r="DL17" s="57">
        <v>1</v>
      </c>
      <c r="DM17" s="59">
        <v>0</v>
      </c>
    </row>
    <row r="18" spans="1:117" x14ac:dyDescent="0.2">
      <c r="A18" s="33">
        <v>16</v>
      </c>
      <c r="B18" s="34" t="s">
        <v>306</v>
      </c>
      <c r="C18" s="116">
        <v>6.4111111111111114</v>
      </c>
      <c r="D18" s="117" t="s">
        <v>476</v>
      </c>
      <c r="E18" s="37">
        <v>6</v>
      </c>
      <c r="F18" s="118">
        <v>36938</v>
      </c>
      <c r="G18" s="119">
        <v>24.627397260273973</v>
      </c>
      <c r="H18" s="39" t="s">
        <v>389</v>
      </c>
      <c r="I18" s="119">
        <v>23.208219178082192</v>
      </c>
      <c r="J18" s="120">
        <v>71</v>
      </c>
      <c r="K18" s="120">
        <v>206</v>
      </c>
      <c r="L18" s="120">
        <v>4.4000000000000004</v>
      </c>
      <c r="M18" s="40">
        <v>5</v>
      </c>
      <c r="N18" s="121">
        <v>0</v>
      </c>
      <c r="O18" s="122">
        <v>2.811142346026067E-2</v>
      </c>
      <c r="P18" s="122">
        <v>0.29176557738606324</v>
      </c>
      <c r="Q18" s="122">
        <v>0.23707799279550976</v>
      </c>
      <c r="R18" s="122">
        <v>0.3100883310088331</v>
      </c>
      <c r="S18" s="42">
        <v>0.3100883310088331</v>
      </c>
      <c r="T18" s="42">
        <v>0.23256624825662481</v>
      </c>
      <c r="U18" s="42">
        <v>1.7361111111111112E-2</v>
      </c>
      <c r="V18" s="42">
        <v>7.6259946949602128E-2</v>
      </c>
      <c r="W18" s="42">
        <v>7.6259946949602128E-2</v>
      </c>
      <c r="X18" s="43">
        <v>5.7194960212201593E-2</v>
      </c>
      <c r="Y18" s="44">
        <v>20.550684931506851</v>
      </c>
      <c r="Z18" s="170">
        <v>109.92247797281604</v>
      </c>
      <c r="AA18" s="45">
        <v>28.728030152747472</v>
      </c>
      <c r="AB18" s="45">
        <v>0.25531914893617019</v>
      </c>
      <c r="AC18" s="45">
        <v>5.8085106382978724</v>
      </c>
      <c r="AD18" s="45">
        <v>110.5</v>
      </c>
      <c r="AE18" s="45">
        <v>4.51</v>
      </c>
      <c r="AF18" s="45">
        <v>47.5</v>
      </c>
      <c r="AG18" s="128">
        <v>5</v>
      </c>
      <c r="AH18" s="49">
        <v>6</v>
      </c>
      <c r="AI18" s="49">
        <v>3</v>
      </c>
      <c r="AJ18" s="49">
        <v>9</v>
      </c>
      <c r="AK18" s="49">
        <v>6</v>
      </c>
      <c r="AL18" s="49">
        <v>4</v>
      </c>
      <c r="AM18" s="49">
        <v>5</v>
      </c>
      <c r="AN18" s="49">
        <v>7</v>
      </c>
      <c r="AO18" s="49">
        <v>3</v>
      </c>
      <c r="AP18" s="50">
        <v>0</v>
      </c>
      <c r="AQ18" s="56"/>
      <c r="AR18" s="57">
        <v>1783</v>
      </c>
      <c r="AS18" s="57"/>
      <c r="AT18" s="57">
        <v>18</v>
      </c>
      <c r="AU18" s="57"/>
      <c r="AV18" s="57"/>
      <c r="AW18" s="58"/>
      <c r="AX18" s="57"/>
      <c r="AY18" s="57"/>
      <c r="AZ18" s="57"/>
      <c r="BA18" s="57"/>
      <c r="BB18" s="57">
        <v>2129</v>
      </c>
      <c r="BC18" s="57"/>
      <c r="BD18" s="57"/>
      <c r="BE18" s="59">
        <v>19</v>
      </c>
      <c r="BF18" s="56">
        <v>22</v>
      </c>
      <c r="BG18" s="57">
        <v>356.8</v>
      </c>
      <c r="BH18" s="57">
        <v>0</v>
      </c>
      <c r="BI18" s="57">
        <v>3.4</v>
      </c>
      <c r="BJ18" s="57">
        <v>5</v>
      </c>
      <c r="BK18" s="57">
        <v>1</v>
      </c>
      <c r="BL18" s="58">
        <v>4.4000000000000004</v>
      </c>
      <c r="BM18" s="57">
        <v>64</v>
      </c>
      <c r="BN18" s="57">
        <v>3.2</v>
      </c>
      <c r="BO18" s="57">
        <v>0</v>
      </c>
      <c r="BP18" s="57"/>
      <c r="BQ18" s="57">
        <v>425.8</v>
      </c>
      <c r="BR18" s="57"/>
      <c r="BS18" s="57"/>
      <c r="BT18" s="59">
        <v>3.8</v>
      </c>
      <c r="BU18" s="56">
        <v>1389</v>
      </c>
      <c r="BV18" s="57">
        <v>2109.9</v>
      </c>
      <c r="BW18" s="57">
        <v>23</v>
      </c>
      <c r="BX18" s="57">
        <v>37.699999999999996</v>
      </c>
      <c r="BY18" s="57">
        <v>250</v>
      </c>
      <c r="BZ18" s="57">
        <v>58</v>
      </c>
      <c r="CA18" s="58">
        <v>5.556</v>
      </c>
      <c r="CB18" s="57">
        <v>87.1</v>
      </c>
      <c r="CC18" s="57">
        <v>3.53</v>
      </c>
      <c r="CD18" s="57">
        <v>38.9</v>
      </c>
      <c r="CE18" s="57">
        <v>344</v>
      </c>
      <c r="CF18" s="57">
        <v>3829.8</v>
      </c>
      <c r="CG18" s="57">
        <v>46</v>
      </c>
      <c r="CH18" s="57">
        <v>1</v>
      </c>
      <c r="CI18" s="59">
        <v>18.2</v>
      </c>
      <c r="CJ18" s="56">
        <v>273</v>
      </c>
      <c r="CK18" s="57">
        <v>617.70000000000005</v>
      </c>
      <c r="CL18" s="57">
        <v>1</v>
      </c>
      <c r="CM18" s="57">
        <v>4.5</v>
      </c>
      <c r="CN18" s="57">
        <v>47</v>
      </c>
      <c r="CO18" s="57">
        <v>12</v>
      </c>
      <c r="CP18" s="58">
        <v>5.8085106382978724</v>
      </c>
      <c r="CQ18" s="57">
        <v>110.5</v>
      </c>
      <c r="CR18" s="58">
        <v>4.51</v>
      </c>
      <c r="CS18" s="57">
        <v>37</v>
      </c>
      <c r="CT18" s="57">
        <v>10</v>
      </c>
      <c r="CU18" s="57">
        <v>576</v>
      </c>
      <c r="CV18" s="57">
        <v>2</v>
      </c>
      <c r="CW18" s="57">
        <v>1</v>
      </c>
      <c r="CX18" s="59">
        <v>3.5999999999999996</v>
      </c>
      <c r="CY18" s="56">
        <v>1127</v>
      </c>
      <c r="CZ18" s="57">
        <v>1587.6000000000001</v>
      </c>
      <c r="DA18" s="57">
        <v>15</v>
      </c>
      <c r="DB18" s="57">
        <v>19.200000000000003</v>
      </c>
      <c r="DC18" s="57">
        <v>210</v>
      </c>
      <c r="DD18" s="57">
        <v>28</v>
      </c>
      <c r="DE18" s="57">
        <v>5.4</v>
      </c>
      <c r="DF18" s="57">
        <v>35.299999999999997</v>
      </c>
      <c r="DG18" s="58">
        <v>2.54</v>
      </c>
      <c r="DH18" s="57">
        <v>47.5</v>
      </c>
      <c r="DI18" s="57">
        <v>207</v>
      </c>
      <c r="DJ18" s="57">
        <v>2714.3999999999996</v>
      </c>
      <c r="DK18" s="57">
        <v>27</v>
      </c>
      <c r="DL18" s="57">
        <v>1</v>
      </c>
      <c r="DM18" s="59">
        <v>10.8</v>
      </c>
    </row>
    <row r="19" spans="1:117" x14ac:dyDescent="0.2">
      <c r="A19" s="33">
        <v>17</v>
      </c>
      <c r="B19" s="34" t="s">
        <v>294</v>
      </c>
      <c r="C19" s="116">
        <v>6.2944444444444443</v>
      </c>
      <c r="D19" s="117" t="s">
        <v>398</v>
      </c>
      <c r="E19" s="37">
        <v>1</v>
      </c>
      <c r="F19" s="118">
        <v>37432</v>
      </c>
      <c r="G19" s="119">
        <v>23.273972602739725</v>
      </c>
      <c r="H19" s="39" t="s">
        <v>389</v>
      </c>
      <c r="I19" s="119">
        <v>21.854794520547944</v>
      </c>
      <c r="J19" s="120">
        <v>70</v>
      </c>
      <c r="K19" s="120">
        <v>221</v>
      </c>
      <c r="L19" s="120">
        <v>4.55</v>
      </c>
      <c r="M19" s="40">
        <v>6</v>
      </c>
      <c r="N19" s="121">
        <v>0</v>
      </c>
      <c r="O19" s="122">
        <v>0.11581764488741234</v>
      </c>
      <c r="P19" s="122">
        <v>0.1179602703256195</v>
      </c>
      <c r="Q19" s="122">
        <v>0.13304305757135945</v>
      </c>
      <c r="R19" s="122">
        <v>0.2010178117048346</v>
      </c>
      <c r="S19" s="42">
        <v>0.2010178117048346</v>
      </c>
      <c r="T19" s="42">
        <v>0.2010178117048346</v>
      </c>
      <c r="U19" s="42">
        <v>4.7547479163820197E-2</v>
      </c>
      <c r="V19" s="42">
        <v>4.8513192796314386E-2</v>
      </c>
      <c r="W19" s="42">
        <v>4.8513192796314386E-2</v>
      </c>
      <c r="X19" s="43">
        <v>4.8513192796314386E-2</v>
      </c>
      <c r="Y19" s="44">
        <v>21.208219178082192</v>
      </c>
      <c r="Z19" s="170">
        <v>103.12802073631514</v>
      </c>
      <c r="AA19" s="45">
        <v>31.70673469387755</v>
      </c>
      <c r="AB19" s="45">
        <v>0.27927927927927926</v>
      </c>
      <c r="AC19" s="45">
        <v>5.8648648648648649</v>
      </c>
      <c r="AD19" s="45">
        <v>87.2</v>
      </c>
      <c r="AE19" s="45">
        <v>3.5</v>
      </c>
      <c r="AF19" s="45">
        <v>34.700000000000003</v>
      </c>
      <c r="AG19" s="128">
        <v>4</v>
      </c>
      <c r="AH19" s="49">
        <v>5</v>
      </c>
      <c r="AI19" s="49">
        <v>2</v>
      </c>
      <c r="AJ19" s="49">
        <v>6</v>
      </c>
      <c r="AK19" s="49">
        <v>7</v>
      </c>
      <c r="AL19" s="49">
        <v>4</v>
      </c>
      <c r="AM19" s="49">
        <v>3</v>
      </c>
      <c r="AN19" s="49">
        <v>2</v>
      </c>
      <c r="AO19" s="49">
        <v>2</v>
      </c>
      <c r="AP19" s="50">
        <v>1</v>
      </c>
      <c r="AQ19" s="56"/>
      <c r="AR19" s="57">
        <v>1</v>
      </c>
      <c r="AS19" s="57"/>
      <c r="AT19" s="57"/>
      <c r="AU19" s="57"/>
      <c r="AV19" s="57"/>
      <c r="AW19" s="58"/>
      <c r="AX19" s="57"/>
      <c r="AY19" s="57"/>
      <c r="AZ19" s="57"/>
      <c r="BA19" s="57"/>
      <c r="BB19" s="57">
        <v>1</v>
      </c>
      <c r="BC19" s="57"/>
      <c r="BD19" s="57"/>
      <c r="BE19" s="59"/>
      <c r="BF19" s="56">
        <v>250</v>
      </c>
      <c r="BG19" s="57">
        <v>734.4</v>
      </c>
      <c r="BH19" s="57">
        <v>2</v>
      </c>
      <c r="BI19" s="57">
        <v>11.2</v>
      </c>
      <c r="BJ19" s="57">
        <v>24</v>
      </c>
      <c r="BK19" s="57">
        <v>6</v>
      </c>
      <c r="BL19" s="58">
        <v>10.416666666666666</v>
      </c>
      <c r="BM19" s="57">
        <v>180</v>
      </c>
      <c r="BN19" s="57">
        <v>7.5</v>
      </c>
      <c r="BO19" s="57">
        <v>65.2</v>
      </c>
      <c r="BP19" s="57">
        <v>1</v>
      </c>
      <c r="BQ19" s="57">
        <v>1432.8</v>
      </c>
      <c r="BR19" s="57">
        <v>1</v>
      </c>
      <c r="BS19" s="57">
        <v>0</v>
      </c>
      <c r="BT19" s="59">
        <v>12.8</v>
      </c>
      <c r="BU19" s="56">
        <v>191</v>
      </c>
      <c r="BV19" s="57">
        <v>750.5</v>
      </c>
      <c r="BW19" s="57">
        <v>1</v>
      </c>
      <c r="BX19" s="57">
        <v>7</v>
      </c>
      <c r="BY19" s="57">
        <v>40</v>
      </c>
      <c r="BZ19" s="57">
        <v>15</v>
      </c>
      <c r="CA19" s="58">
        <v>4.7750000000000004</v>
      </c>
      <c r="CB19" s="57">
        <v>127.1</v>
      </c>
      <c r="CC19" s="57">
        <v>3.03</v>
      </c>
      <c r="CD19" s="57">
        <v>35.1</v>
      </c>
      <c r="CE19" s="57">
        <v>97</v>
      </c>
      <c r="CF19" s="57">
        <v>1691</v>
      </c>
      <c r="CG19" s="57">
        <v>10</v>
      </c>
      <c r="CH19" s="57">
        <v>3</v>
      </c>
      <c r="CI19" s="59">
        <v>16</v>
      </c>
      <c r="CJ19" s="56">
        <v>651</v>
      </c>
      <c r="CK19" s="57">
        <v>2541.5</v>
      </c>
      <c r="CL19" s="57">
        <v>7</v>
      </c>
      <c r="CM19" s="57">
        <v>26</v>
      </c>
      <c r="CN19" s="57">
        <v>111</v>
      </c>
      <c r="CO19" s="57">
        <v>31</v>
      </c>
      <c r="CP19" s="58">
        <v>5.8648648648648649</v>
      </c>
      <c r="CQ19" s="57">
        <v>86.7</v>
      </c>
      <c r="CR19" s="58">
        <v>3.5</v>
      </c>
      <c r="CS19" s="57">
        <v>34.700000000000003</v>
      </c>
      <c r="CT19" s="57">
        <v>174</v>
      </c>
      <c r="CU19" s="57">
        <v>3659.5</v>
      </c>
      <c r="CV19" s="57">
        <v>14</v>
      </c>
      <c r="CW19" s="57">
        <v>3</v>
      </c>
      <c r="CX19" s="59">
        <v>36.4</v>
      </c>
      <c r="CY19" s="56">
        <v>888</v>
      </c>
      <c r="CZ19" s="57">
        <v>2243.7999999999997</v>
      </c>
      <c r="DA19" s="57">
        <v>8</v>
      </c>
      <c r="DB19" s="57">
        <v>29.9</v>
      </c>
      <c r="DC19" s="57">
        <v>181</v>
      </c>
      <c r="DD19" s="57">
        <v>49</v>
      </c>
      <c r="DE19" s="57">
        <v>4.9000000000000004</v>
      </c>
      <c r="DF19" s="57">
        <v>87.2</v>
      </c>
      <c r="DG19" s="58">
        <v>3.21</v>
      </c>
      <c r="DH19" s="57">
        <v>32.9</v>
      </c>
      <c r="DI19" s="57">
        <v>139</v>
      </c>
      <c r="DJ19" s="57">
        <v>2865.2000000000003</v>
      </c>
      <c r="DK19" s="57">
        <v>14</v>
      </c>
      <c r="DL19" s="57">
        <v>0</v>
      </c>
      <c r="DM19" s="59">
        <v>20.8</v>
      </c>
    </row>
    <row r="20" spans="1:117" x14ac:dyDescent="0.2">
      <c r="A20" s="33">
        <v>18</v>
      </c>
      <c r="B20" s="34" t="s">
        <v>296</v>
      </c>
      <c r="C20" s="116">
        <v>6.0611111111111109</v>
      </c>
      <c r="D20" s="117" t="s">
        <v>436</v>
      </c>
      <c r="E20" s="37">
        <v>3</v>
      </c>
      <c r="F20" s="118">
        <v>36572</v>
      </c>
      <c r="G20" s="119">
        <v>25.63013698630137</v>
      </c>
      <c r="H20" s="39" t="s">
        <v>469</v>
      </c>
      <c r="I20" s="119">
        <v>24.210958904109589</v>
      </c>
      <c r="J20" s="120">
        <v>68</v>
      </c>
      <c r="K20" s="120">
        <v>191</v>
      </c>
      <c r="L20" s="120">
        <v>4.42</v>
      </c>
      <c r="M20" s="40">
        <v>5</v>
      </c>
      <c r="N20" s="121">
        <v>6.2145233900959093E-2</v>
      </c>
      <c r="O20" s="122">
        <v>0</v>
      </c>
      <c r="P20" s="122">
        <v>0.1707361023515632</v>
      </c>
      <c r="Q20" s="122">
        <v>5.4612519696318577E-2</v>
      </c>
      <c r="R20" s="122">
        <v>3.3158813263525308E-2</v>
      </c>
      <c r="S20" s="42">
        <v>0.10194745780754425</v>
      </c>
      <c r="T20" s="42">
        <v>9.1752712026789821E-2</v>
      </c>
      <c r="U20" s="42">
        <v>6.9785227200305902E-2</v>
      </c>
      <c r="V20" s="42">
        <v>1.6142050040355124E-2</v>
      </c>
      <c r="W20" s="42">
        <v>4.2963638620330515E-2</v>
      </c>
      <c r="X20" s="43">
        <v>3.8667274758297461E-2</v>
      </c>
      <c r="Y20" s="44">
        <v>21.553424657534247</v>
      </c>
      <c r="Z20" s="170">
        <v>100.08621957253737</v>
      </c>
      <c r="AA20" s="45">
        <v>29.038278546712803</v>
      </c>
      <c r="AB20" s="45">
        <v>0.5</v>
      </c>
      <c r="AC20" s="45">
        <v>11.166666666666666</v>
      </c>
      <c r="AD20" s="45">
        <v>197.1</v>
      </c>
      <c r="AE20" s="45">
        <v>3.76</v>
      </c>
      <c r="AF20" s="45">
        <v>60.2</v>
      </c>
      <c r="AG20" s="128">
        <v>0</v>
      </c>
      <c r="AH20" s="49">
        <v>4</v>
      </c>
      <c r="AI20" s="49">
        <v>2</v>
      </c>
      <c r="AJ20" s="49">
        <v>5</v>
      </c>
      <c r="AK20" s="49">
        <v>10</v>
      </c>
      <c r="AL20" s="49">
        <v>10</v>
      </c>
      <c r="AM20" s="49">
        <v>9</v>
      </c>
      <c r="AN20" s="49">
        <v>3</v>
      </c>
      <c r="AO20" s="49">
        <v>3</v>
      </c>
      <c r="AP20" s="50">
        <v>0</v>
      </c>
      <c r="AQ20" s="56">
        <v>254</v>
      </c>
      <c r="AR20" s="57">
        <v>1349.6</v>
      </c>
      <c r="AS20" s="57">
        <v>16.8</v>
      </c>
      <c r="AT20" s="57">
        <v>16.8</v>
      </c>
      <c r="AU20" s="57">
        <v>39</v>
      </c>
      <c r="AV20" s="57">
        <v>6</v>
      </c>
      <c r="AW20" s="57">
        <v>6.5128205128205128</v>
      </c>
      <c r="AX20" s="57">
        <v>73.400000000000006</v>
      </c>
      <c r="AY20" s="57">
        <v>4.7699999999999996</v>
      </c>
      <c r="AZ20" s="57">
        <v>55.1</v>
      </c>
      <c r="BA20" s="57">
        <v>0</v>
      </c>
      <c r="BB20" s="57">
        <v>2737.6</v>
      </c>
      <c r="BC20" s="57">
        <v>0</v>
      </c>
      <c r="BD20" s="57">
        <v>0</v>
      </c>
      <c r="BE20" s="59">
        <v>30.4</v>
      </c>
      <c r="BF20" s="56"/>
      <c r="BG20" s="57">
        <v>1</v>
      </c>
      <c r="BH20" s="57"/>
      <c r="BI20" s="57"/>
      <c r="BJ20" s="57"/>
      <c r="BK20" s="57"/>
      <c r="BL20" s="57"/>
      <c r="BM20" s="57"/>
      <c r="BN20" s="57"/>
      <c r="BO20" s="57"/>
      <c r="BP20" s="57"/>
      <c r="BQ20" s="57">
        <v>1</v>
      </c>
      <c r="BR20" s="57"/>
      <c r="BS20" s="57"/>
      <c r="BT20" s="59">
        <v>0</v>
      </c>
      <c r="BU20" s="56">
        <v>322</v>
      </c>
      <c r="BV20" s="57">
        <v>2193.4</v>
      </c>
      <c r="BW20" s="57">
        <v>3</v>
      </c>
      <c r="BX20" s="57">
        <v>23.1</v>
      </c>
      <c r="BY20" s="57">
        <v>45</v>
      </c>
      <c r="BZ20" s="57">
        <v>16</v>
      </c>
      <c r="CA20" s="57">
        <v>7.1555555555555559</v>
      </c>
      <c r="CB20" s="57">
        <v>122.8</v>
      </c>
      <c r="CC20" s="57">
        <v>3.76</v>
      </c>
      <c r="CD20" s="57">
        <v>60.2</v>
      </c>
      <c r="CE20" s="57">
        <v>57</v>
      </c>
      <c r="CF20" s="57">
        <v>26.4</v>
      </c>
      <c r="CG20" s="57">
        <v>7</v>
      </c>
      <c r="CH20" s="57">
        <v>0</v>
      </c>
      <c r="CI20" s="59">
        <v>26.4</v>
      </c>
      <c r="CJ20" s="56">
        <v>86</v>
      </c>
      <c r="CK20" s="57">
        <v>2446.6</v>
      </c>
      <c r="CL20" s="57">
        <v>0</v>
      </c>
      <c r="CM20" s="57">
        <v>28.6</v>
      </c>
      <c r="CN20" s="57">
        <v>25</v>
      </c>
      <c r="CO20" s="57">
        <v>6</v>
      </c>
      <c r="CP20" s="57">
        <v>3.44</v>
      </c>
      <c r="CQ20" s="57">
        <v>54.8</v>
      </c>
      <c r="CR20" s="57">
        <v>2.2400000000000002</v>
      </c>
      <c r="CS20" s="57">
        <v>30.2</v>
      </c>
      <c r="CT20" s="57">
        <v>219</v>
      </c>
      <c r="CU20" s="57">
        <v>3138.2000000000003</v>
      </c>
      <c r="CV20" s="57">
        <v>20</v>
      </c>
      <c r="CW20" s="57">
        <v>3</v>
      </c>
      <c r="CX20" s="59">
        <v>22.099999999999998</v>
      </c>
      <c r="CY20" s="56">
        <v>134</v>
      </c>
      <c r="CZ20" s="57">
        <v>2260.8000000000002</v>
      </c>
      <c r="DA20" s="57">
        <v>3</v>
      </c>
      <c r="DB20" s="57">
        <v>25.200000000000003</v>
      </c>
      <c r="DC20" s="57">
        <v>12</v>
      </c>
      <c r="DD20" s="57">
        <v>6</v>
      </c>
      <c r="DE20" s="57">
        <v>11.166666666666666</v>
      </c>
      <c r="DF20" s="57">
        <v>197.1</v>
      </c>
      <c r="DG20" s="58">
        <v>3.58</v>
      </c>
      <c r="DH20" s="57">
        <v>59.7</v>
      </c>
      <c r="DI20" s="57">
        <v>56</v>
      </c>
      <c r="DJ20" s="57">
        <v>3469.2000000000003</v>
      </c>
      <c r="DK20" s="57">
        <v>8</v>
      </c>
      <c r="DL20" s="57">
        <v>0</v>
      </c>
      <c r="DM20" s="59">
        <v>21.6</v>
      </c>
    </row>
    <row r="21" spans="1:117" ht="15.75" customHeight="1" x14ac:dyDescent="0.2">
      <c r="A21" s="33">
        <v>19</v>
      </c>
      <c r="B21" s="34" t="s">
        <v>305</v>
      </c>
      <c r="C21" s="116">
        <v>6.0500000000000007</v>
      </c>
      <c r="D21" s="117" t="s">
        <v>526</v>
      </c>
      <c r="E21" s="37">
        <v>6</v>
      </c>
      <c r="F21" s="118">
        <v>36447</v>
      </c>
      <c r="G21" s="119">
        <v>25.972602739726028</v>
      </c>
      <c r="H21" s="39" t="s">
        <v>389</v>
      </c>
      <c r="I21" s="119">
        <v>24.553424657534247</v>
      </c>
      <c r="J21" s="120">
        <v>69</v>
      </c>
      <c r="K21" s="120">
        <v>195</v>
      </c>
      <c r="L21" s="120">
        <v>4.55</v>
      </c>
      <c r="M21" s="40">
        <v>0</v>
      </c>
      <c r="N21" s="121">
        <v>6.4462809917355368E-2</v>
      </c>
      <c r="O21" s="122">
        <v>0</v>
      </c>
      <c r="P21" s="122">
        <v>0.28564465025591029</v>
      </c>
      <c r="Q21" s="122">
        <v>0.33070022760744411</v>
      </c>
      <c r="R21" s="122">
        <v>0.2741380756647932</v>
      </c>
      <c r="S21" s="42">
        <v>0.30241915163611865</v>
      </c>
      <c r="T21" s="42">
        <v>0.22681436372708899</v>
      </c>
      <c r="U21" s="42">
        <v>0.11547513974698441</v>
      </c>
      <c r="V21" s="42">
        <v>0.12121972643995482</v>
      </c>
      <c r="W21" s="42">
        <v>0.12121972643995482</v>
      </c>
      <c r="X21" s="43">
        <v>9.0914794829966117E-2</v>
      </c>
      <c r="Y21" s="44">
        <v>21.895890410958906</v>
      </c>
      <c r="Z21" s="170">
        <v>90.995312414395713</v>
      </c>
      <c r="AA21" s="45">
        <v>28.793320730938877</v>
      </c>
      <c r="AB21" s="45">
        <v>0.37735849056603776</v>
      </c>
      <c r="AC21" s="45">
        <v>6</v>
      </c>
      <c r="AD21" s="45">
        <v>177.3</v>
      </c>
      <c r="AE21" s="45">
        <v>4.57</v>
      </c>
      <c r="AF21" s="45">
        <v>46.5</v>
      </c>
      <c r="AG21" s="128">
        <v>4</v>
      </c>
      <c r="AH21" s="49">
        <v>9</v>
      </c>
      <c r="AI21" s="49">
        <v>2</v>
      </c>
      <c r="AJ21" s="49">
        <v>2</v>
      </c>
      <c r="AK21" s="49">
        <v>10</v>
      </c>
      <c r="AL21" s="49">
        <v>4</v>
      </c>
      <c r="AM21" s="49">
        <v>8</v>
      </c>
      <c r="AN21" s="49">
        <v>7</v>
      </c>
      <c r="AO21" s="49">
        <v>0</v>
      </c>
      <c r="AP21" s="50">
        <v>0</v>
      </c>
      <c r="AQ21" s="56">
        <v>116</v>
      </c>
      <c r="AR21" s="57">
        <v>1084.5999999999999</v>
      </c>
      <c r="AS21" s="57">
        <v>1</v>
      </c>
      <c r="AT21" s="57">
        <v>14.3</v>
      </c>
      <c r="AU21" s="57">
        <v>25</v>
      </c>
      <c r="AV21" s="57">
        <v>13</v>
      </c>
      <c r="AW21" s="58">
        <v>4.6399999999999997</v>
      </c>
      <c r="AX21" s="57">
        <v>212.9</v>
      </c>
      <c r="AY21" s="57">
        <v>4.76</v>
      </c>
      <c r="AZ21" s="57">
        <v>31</v>
      </c>
      <c r="BA21" s="57">
        <v>79</v>
      </c>
      <c r="BB21" s="57">
        <v>1940.4</v>
      </c>
      <c r="BC21" s="57">
        <v>13</v>
      </c>
      <c r="BD21" s="57">
        <v>0</v>
      </c>
      <c r="BE21" s="59">
        <v>4.4000000000000004</v>
      </c>
      <c r="BF21" s="56"/>
      <c r="BG21" s="57">
        <v>1</v>
      </c>
      <c r="BH21" s="57"/>
      <c r="BI21" s="57"/>
      <c r="BJ21" s="57"/>
      <c r="BK21" s="57"/>
      <c r="BL21" s="58"/>
      <c r="BM21" s="57"/>
      <c r="BN21" s="57"/>
      <c r="BO21" s="57"/>
      <c r="BP21" s="57"/>
      <c r="BQ21" s="57">
        <v>1</v>
      </c>
      <c r="BR21" s="57"/>
      <c r="BS21" s="57"/>
      <c r="BT21" s="59"/>
      <c r="BU21" s="56">
        <v>1117</v>
      </c>
      <c r="BV21" s="57">
        <v>1740.1999999999998</v>
      </c>
      <c r="BW21" s="57">
        <v>8</v>
      </c>
      <c r="BX21" s="57">
        <v>1.7</v>
      </c>
      <c r="BY21" s="57">
        <v>215</v>
      </c>
      <c r="BZ21" s="57">
        <v>33</v>
      </c>
      <c r="CA21" s="58">
        <v>5.195348837209302</v>
      </c>
      <c r="CB21" s="57">
        <v>51.5</v>
      </c>
      <c r="CC21" s="57">
        <v>3.13</v>
      </c>
      <c r="CD21" s="57">
        <v>27.9</v>
      </c>
      <c r="CE21" s="57">
        <v>55</v>
      </c>
      <c r="CF21" s="57">
        <v>2362.8000000000002</v>
      </c>
      <c r="CG21" s="57">
        <v>10</v>
      </c>
      <c r="CH21" s="57">
        <v>1</v>
      </c>
      <c r="CI21" s="59">
        <v>13.2</v>
      </c>
      <c r="CJ21" s="56">
        <v>921</v>
      </c>
      <c r="CK21" s="57">
        <v>1015.3</v>
      </c>
      <c r="CL21" s="57">
        <v>5</v>
      </c>
      <c r="CM21" s="57">
        <v>7.6999999999999993</v>
      </c>
      <c r="CN21" s="57">
        <v>159</v>
      </c>
      <c r="CO21" s="57">
        <v>60</v>
      </c>
      <c r="CP21" s="58">
        <v>5.7924528301886795</v>
      </c>
      <c r="CQ21" s="57">
        <v>177.3</v>
      </c>
      <c r="CR21" s="58">
        <v>4.57</v>
      </c>
      <c r="CS21" s="57">
        <v>44.7</v>
      </c>
      <c r="CT21" s="57">
        <v>314</v>
      </c>
      <c r="CU21" s="57">
        <v>2719.2</v>
      </c>
      <c r="CV21" s="57">
        <v>37</v>
      </c>
      <c r="CW21" s="57">
        <v>2</v>
      </c>
      <c r="CX21" s="59">
        <v>17.600000000000001</v>
      </c>
      <c r="CY21" s="56">
        <v>1151</v>
      </c>
      <c r="CZ21" s="57">
        <v>1976</v>
      </c>
      <c r="DA21" s="57">
        <v>14</v>
      </c>
      <c r="DB21" s="57">
        <v>31.2</v>
      </c>
      <c r="DC21" s="57">
        <v>192</v>
      </c>
      <c r="DD21" s="57">
        <v>50</v>
      </c>
      <c r="DE21" s="57">
        <v>6</v>
      </c>
      <c r="DF21" s="57">
        <v>111.6</v>
      </c>
      <c r="DG21" s="58">
        <v>3.74</v>
      </c>
      <c r="DH21" s="57">
        <v>46.5</v>
      </c>
      <c r="DI21" s="57">
        <v>483</v>
      </c>
      <c r="DJ21" s="57">
        <v>3984.5</v>
      </c>
      <c r="DK21" s="57">
        <v>53</v>
      </c>
      <c r="DL21" s="57">
        <v>3</v>
      </c>
      <c r="DM21" s="59">
        <v>32.5</v>
      </c>
    </row>
    <row r="22" spans="1:117" ht="15.75" customHeight="1" x14ac:dyDescent="0.2">
      <c r="A22" s="33">
        <v>20</v>
      </c>
      <c r="B22" s="34" t="s">
        <v>307</v>
      </c>
      <c r="C22" s="116">
        <v>5.85</v>
      </c>
      <c r="D22" s="117" t="s">
        <v>452</v>
      </c>
      <c r="E22" s="37">
        <v>5</v>
      </c>
      <c r="F22" s="118">
        <v>37550</v>
      </c>
      <c r="G22" s="119">
        <v>22.950684931506849</v>
      </c>
      <c r="H22" s="39" t="s">
        <v>385</v>
      </c>
      <c r="I22" s="119">
        <v>21.531506849315068</v>
      </c>
      <c r="J22" s="120">
        <v>73</v>
      </c>
      <c r="K22" s="120">
        <v>215</v>
      </c>
      <c r="L22" s="120">
        <v>4.55</v>
      </c>
      <c r="M22" s="40">
        <v>0</v>
      </c>
      <c r="N22" s="121">
        <v>0</v>
      </c>
      <c r="O22" s="122">
        <v>0</v>
      </c>
      <c r="P22" s="122">
        <v>0.1544727488151659</v>
      </c>
      <c r="Q22" s="122">
        <v>0.23882960263751518</v>
      </c>
      <c r="R22" s="122">
        <v>0.19667525169749475</v>
      </c>
      <c r="S22" s="42">
        <v>0.21775242716750498</v>
      </c>
      <c r="T22" s="42">
        <v>0.18508956309237923</v>
      </c>
      <c r="U22" s="42">
        <v>6.0539752005835154E-2</v>
      </c>
      <c r="V22" s="42">
        <v>5.9264107038976159E-2</v>
      </c>
      <c r="W22" s="42">
        <v>5.9901929522405653E-2</v>
      </c>
      <c r="X22" s="43">
        <v>5.0916640094044806E-2</v>
      </c>
      <c r="Y22" s="44">
        <v>18.873972602739727</v>
      </c>
      <c r="Z22" s="170">
        <v>100.32816496971834</v>
      </c>
      <c r="AA22" s="45">
        <v>28.362732219928692</v>
      </c>
      <c r="AB22" s="45">
        <v>0.25</v>
      </c>
      <c r="AC22" s="45">
        <v>5.2871972318339102</v>
      </c>
      <c r="AD22" s="45">
        <v>132.6</v>
      </c>
      <c r="AE22" s="45">
        <v>4.0199999999999996</v>
      </c>
      <c r="AF22" s="45">
        <v>38.200000000000003</v>
      </c>
      <c r="AG22" s="128">
        <v>3</v>
      </c>
      <c r="AH22" s="49">
        <v>5</v>
      </c>
      <c r="AI22" s="49">
        <v>8</v>
      </c>
      <c r="AJ22" s="49">
        <v>5</v>
      </c>
      <c r="AK22" s="49">
        <v>6</v>
      </c>
      <c r="AL22" s="49">
        <v>2</v>
      </c>
      <c r="AM22" s="49">
        <v>7</v>
      </c>
      <c r="AN22" s="49">
        <v>5</v>
      </c>
      <c r="AO22" s="49">
        <v>0</v>
      </c>
      <c r="AP22" s="50">
        <v>0</v>
      </c>
      <c r="AQ22" s="56"/>
      <c r="AR22" s="57">
        <v>1</v>
      </c>
      <c r="AS22" s="57"/>
      <c r="AT22" s="57"/>
      <c r="AU22" s="57"/>
      <c r="AV22" s="57"/>
      <c r="AW22" s="58"/>
      <c r="AX22" s="57"/>
      <c r="AY22" s="57"/>
      <c r="AZ22" s="57"/>
      <c r="BA22" s="57"/>
      <c r="BB22" s="57">
        <v>1</v>
      </c>
      <c r="BC22" s="57"/>
      <c r="BD22" s="57"/>
      <c r="BE22" s="59"/>
      <c r="BF22" s="56"/>
      <c r="BG22" s="57">
        <v>1</v>
      </c>
      <c r="BH22" s="57"/>
      <c r="BI22" s="57"/>
      <c r="BJ22" s="57"/>
      <c r="BK22" s="57"/>
      <c r="BL22" s="58"/>
      <c r="BM22" s="57"/>
      <c r="BN22" s="57"/>
      <c r="BO22" s="57"/>
      <c r="BP22" s="57"/>
      <c r="BQ22" s="57">
        <v>1</v>
      </c>
      <c r="BR22" s="57"/>
      <c r="BS22" s="57"/>
      <c r="BT22" s="59"/>
      <c r="BU22" s="56">
        <v>886</v>
      </c>
      <c r="BV22" s="57">
        <v>1690</v>
      </c>
      <c r="BW22" s="57">
        <v>6</v>
      </c>
      <c r="BX22" s="57">
        <v>16.900000000000002</v>
      </c>
      <c r="BY22" s="57">
        <v>192</v>
      </c>
      <c r="BZ22" s="57">
        <v>48</v>
      </c>
      <c r="CA22" s="58">
        <v>4.614583333333333</v>
      </c>
      <c r="CB22" s="57">
        <v>92</v>
      </c>
      <c r="CC22" s="57">
        <v>3.61</v>
      </c>
      <c r="CD22" s="57">
        <v>31.4</v>
      </c>
      <c r="CE22" s="57">
        <v>157</v>
      </c>
      <c r="CF22" s="57">
        <v>2698.7999999999997</v>
      </c>
      <c r="CG22" s="57">
        <v>12</v>
      </c>
      <c r="CH22" s="57">
        <v>1</v>
      </c>
      <c r="CI22" s="59">
        <v>18.2</v>
      </c>
      <c r="CJ22" s="56">
        <v>1528</v>
      </c>
      <c r="CK22" s="57">
        <v>1868.3999999999999</v>
      </c>
      <c r="CL22" s="57">
        <v>14</v>
      </c>
      <c r="CM22" s="57">
        <v>14.399999999999999</v>
      </c>
      <c r="CN22" s="57">
        <v>289</v>
      </c>
      <c r="CO22" s="57"/>
      <c r="CP22" s="58">
        <v>5.2871972318339102</v>
      </c>
      <c r="CQ22" s="57">
        <v>132.6</v>
      </c>
      <c r="CR22" s="58">
        <v>4.0199999999999996</v>
      </c>
      <c r="CS22" s="57">
        <v>38.200000000000003</v>
      </c>
      <c r="CT22" s="57">
        <v>166</v>
      </c>
      <c r="CU22" s="57">
        <v>2742</v>
      </c>
      <c r="CV22" s="57">
        <v>29</v>
      </c>
      <c r="CW22" s="57">
        <v>1</v>
      </c>
      <c r="CX22" s="59">
        <v>18</v>
      </c>
      <c r="CY22" s="56">
        <v>845</v>
      </c>
      <c r="CZ22" s="57">
        <v>2374.8000000000002</v>
      </c>
      <c r="DA22" s="57">
        <v>6</v>
      </c>
      <c r="DB22" s="57">
        <v>19.200000000000003</v>
      </c>
      <c r="DC22" s="57">
        <v>167</v>
      </c>
      <c r="DD22" s="57">
        <v>39</v>
      </c>
      <c r="DE22" s="57">
        <v>5.0999999999999996</v>
      </c>
      <c r="DF22" s="57">
        <v>98.4</v>
      </c>
      <c r="DG22" s="58">
        <v>3.85</v>
      </c>
      <c r="DH22" s="57">
        <v>22.4</v>
      </c>
      <c r="DI22" s="57">
        <v>163</v>
      </c>
      <c r="DJ22" s="57">
        <v>2750.3999999999996</v>
      </c>
      <c r="DK22" s="57">
        <v>17</v>
      </c>
      <c r="DL22" s="57">
        <v>2</v>
      </c>
      <c r="DM22" s="59">
        <v>21.6</v>
      </c>
    </row>
    <row r="23" spans="1:117" ht="15.75" customHeight="1" x14ac:dyDescent="0.2">
      <c r="A23" s="33">
        <v>21</v>
      </c>
      <c r="B23" s="34" t="s">
        <v>308</v>
      </c>
      <c r="C23" s="116">
        <v>5.6222222222222227</v>
      </c>
      <c r="D23" s="117" t="s">
        <v>539</v>
      </c>
      <c r="E23" s="37">
        <v>3</v>
      </c>
      <c r="F23" s="118">
        <v>37223</v>
      </c>
      <c r="G23" s="119">
        <v>23.846575342465755</v>
      </c>
      <c r="H23" s="39" t="s">
        <v>498</v>
      </c>
      <c r="I23" s="119">
        <v>22.427397260273974</v>
      </c>
      <c r="J23" s="120">
        <v>67</v>
      </c>
      <c r="K23" s="120">
        <v>202</v>
      </c>
      <c r="L23" s="120">
        <v>4.6100000000000003</v>
      </c>
      <c r="M23" s="40">
        <v>0</v>
      </c>
      <c r="N23" s="121">
        <v>0</v>
      </c>
      <c r="O23" s="122">
        <v>4.7415836889521099E-2</v>
      </c>
      <c r="P23" s="122">
        <v>0.17463883016208601</v>
      </c>
      <c r="Q23" s="122">
        <v>0.11546914623837701</v>
      </c>
      <c r="R23" s="122">
        <v>0.24908935076065997</v>
      </c>
      <c r="S23" s="42">
        <v>0.24908935076065997</v>
      </c>
      <c r="T23" s="42">
        <v>0.22418041568459399</v>
      </c>
      <c r="U23" s="42">
        <v>1.2639252226565945E-2</v>
      </c>
      <c r="V23" s="42">
        <v>4.9113815929959434E-2</v>
      </c>
      <c r="W23" s="42">
        <v>4.9113815929959434E-2</v>
      </c>
      <c r="X23" s="43">
        <v>4.4202434336963491E-2</v>
      </c>
      <c r="Y23" s="44">
        <v>19.769863013698629</v>
      </c>
      <c r="Z23" s="170">
        <v>89.44944773385231</v>
      </c>
      <c r="AA23" s="45">
        <v>31.634216974827357</v>
      </c>
      <c r="AB23" s="45">
        <v>0.31390134529147984</v>
      </c>
      <c r="AC23" s="45">
        <v>8</v>
      </c>
      <c r="AD23" s="45">
        <v>117.1</v>
      </c>
      <c r="AE23" s="45">
        <v>3.68</v>
      </c>
      <c r="AF23" s="45">
        <v>57.5</v>
      </c>
      <c r="AG23" s="128">
        <v>4</v>
      </c>
      <c r="AH23" s="49">
        <v>5</v>
      </c>
      <c r="AI23" s="49">
        <v>5</v>
      </c>
      <c r="AJ23" s="49">
        <v>2</v>
      </c>
      <c r="AK23" s="49">
        <v>8</v>
      </c>
      <c r="AL23" s="49">
        <v>9</v>
      </c>
      <c r="AM23" s="49">
        <v>5</v>
      </c>
      <c r="AN23" s="49">
        <v>3</v>
      </c>
      <c r="AO23" s="49">
        <v>0</v>
      </c>
      <c r="AP23" s="50">
        <v>0</v>
      </c>
      <c r="AQ23" s="56"/>
      <c r="AR23" s="57">
        <v>1</v>
      </c>
      <c r="AS23" s="57"/>
      <c r="AT23" s="57"/>
      <c r="AU23" s="57"/>
      <c r="AV23" s="57"/>
      <c r="AW23" s="57"/>
      <c r="AX23" s="57"/>
      <c r="AY23" s="57"/>
      <c r="AZ23" s="57"/>
      <c r="BA23" s="57"/>
      <c r="BB23" s="57">
        <v>1</v>
      </c>
      <c r="BC23" s="57"/>
      <c r="BD23" s="57"/>
      <c r="BE23" s="59"/>
      <c r="BF23" s="56">
        <v>60</v>
      </c>
      <c r="BG23" s="57">
        <v>639.90000000000009</v>
      </c>
      <c r="BH23" s="57">
        <v>0</v>
      </c>
      <c r="BI23" s="57">
        <v>6.8999999999999995</v>
      </c>
      <c r="BJ23" s="57">
        <v>10</v>
      </c>
      <c r="BK23" s="57">
        <v>3</v>
      </c>
      <c r="BL23" s="57">
        <v>6</v>
      </c>
      <c r="BM23" s="57">
        <v>123</v>
      </c>
      <c r="BN23" s="57">
        <v>4.0999999999999996</v>
      </c>
      <c r="BO23" s="57">
        <v>41.7</v>
      </c>
      <c r="BP23" s="57">
        <v>0</v>
      </c>
      <c r="BQ23" s="57">
        <v>625.5</v>
      </c>
      <c r="BR23" s="57">
        <v>0</v>
      </c>
      <c r="BS23" s="57">
        <v>0</v>
      </c>
      <c r="BT23" s="59">
        <v>5.4</v>
      </c>
      <c r="BU23" s="56">
        <v>640</v>
      </c>
      <c r="BV23" s="57">
        <v>2136.1999999999998</v>
      </c>
      <c r="BW23" s="57">
        <v>8</v>
      </c>
      <c r="BX23" s="57">
        <v>26.4</v>
      </c>
      <c r="BY23" s="57">
        <v>103</v>
      </c>
      <c r="BZ23" s="57">
        <v>24</v>
      </c>
      <c r="CA23" s="57">
        <v>6.2</v>
      </c>
      <c r="CB23" s="57">
        <v>80.7</v>
      </c>
      <c r="CC23" s="57">
        <v>3.17</v>
      </c>
      <c r="CD23" s="57">
        <v>31.1</v>
      </c>
      <c r="CE23" s="57">
        <v>153</v>
      </c>
      <c r="CF23" s="57">
        <v>2404.6</v>
      </c>
      <c r="CG23" s="57">
        <v>15</v>
      </c>
      <c r="CH23" s="57">
        <v>0</v>
      </c>
      <c r="CI23" s="59">
        <v>17.600000000000001</v>
      </c>
      <c r="CJ23" s="56">
        <v>640</v>
      </c>
      <c r="CK23" s="57">
        <v>2512.9</v>
      </c>
      <c r="CL23" s="57">
        <v>2</v>
      </c>
      <c r="CM23" s="57">
        <v>32.5</v>
      </c>
      <c r="CN23" s="57">
        <v>31</v>
      </c>
      <c r="CO23" s="57">
        <v>5</v>
      </c>
      <c r="CP23" s="57">
        <v>8</v>
      </c>
      <c r="CQ23" s="57">
        <v>88.7</v>
      </c>
      <c r="CR23" s="57">
        <v>3.06</v>
      </c>
      <c r="CS23" s="57">
        <v>57.5</v>
      </c>
      <c r="CT23" s="57">
        <v>43</v>
      </c>
      <c r="CU23" s="57">
        <v>3402.1</v>
      </c>
      <c r="CV23" s="57">
        <v>7</v>
      </c>
      <c r="CW23" s="57">
        <v>0</v>
      </c>
      <c r="CX23" s="59">
        <v>28.6</v>
      </c>
      <c r="CY23" s="56">
        <v>1211</v>
      </c>
      <c r="CZ23" s="57">
        <v>1854</v>
      </c>
      <c r="DA23" s="57">
        <v>8</v>
      </c>
      <c r="DB23" s="57">
        <v>19.200000000000003</v>
      </c>
      <c r="DC23" s="57">
        <v>223</v>
      </c>
      <c r="DD23" s="57">
        <v>70</v>
      </c>
      <c r="DE23" s="57">
        <v>5.4</v>
      </c>
      <c r="DF23" s="57">
        <v>117.1</v>
      </c>
      <c r="DG23" s="58">
        <v>3.68</v>
      </c>
      <c r="DH23" s="57">
        <v>43.9</v>
      </c>
      <c r="DI23" s="57">
        <v>184</v>
      </c>
      <c r="DJ23" s="57">
        <v>3746.3999999999996</v>
      </c>
      <c r="DK23" s="57">
        <v>25</v>
      </c>
      <c r="DL23" s="57">
        <v>1</v>
      </c>
      <c r="DM23" s="59">
        <v>27.599999999999998</v>
      </c>
    </row>
    <row r="24" spans="1:117" ht="15.75" customHeight="1" x14ac:dyDescent="0.2">
      <c r="A24" s="33">
        <v>22</v>
      </c>
      <c r="B24" s="34" t="s">
        <v>316</v>
      </c>
      <c r="C24" s="116">
        <v>5.5277777777777777</v>
      </c>
      <c r="D24" s="117" t="s">
        <v>516</v>
      </c>
      <c r="E24" s="37">
        <v>8</v>
      </c>
      <c r="F24" s="118">
        <v>37328</v>
      </c>
      <c r="G24" s="119">
        <v>23.55890410958904</v>
      </c>
      <c r="H24" s="39" t="s">
        <v>389</v>
      </c>
      <c r="I24" s="119">
        <v>22.139726027397259</v>
      </c>
      <c r="J24" s="120">
        <v>68</v>
      </c>
      <c r="K24" s="120">
        <v>201</v>
      </c>
      <c r="L24" s="120">
        <v>4.55</v>
      </c>
      <c r="M24" s="40">
        <v>0</v>
      </c>
      <c r="N24" s="121">
        <v>0</v>
      </c>
      <c r="O24" s="122">
        <v>0.21612903225806451</v>
      </c>
      <c r="P24" s="122">
        <v>0.29257314328582146</v>
      </c>
      <c r="Q24" s="122">
        <v>0.35249972409226354</v>
      </c>
      <c r="R24" s="122">
        <v>0.31659594530881657</v>
      </c>
      <c r="S24" s="42">
        <v>0.33454783470054006</v>
      </c>
      <c r="T24" s="42">
        <v>0.21745609255535103</v>
      </c>
      <c r="U24" s="42">
        <v>8.1500502400357264E-2</v>
      </c>
      <c r="V24" s="42">
        <v>9.7884985142457623E-2</v>
      </c>
      <c r="W24" s="42">
        <v>9.7884985142457623E-2</v>
      </c>
      <c r="X24" s="43">
        <v>6.3625240342597464E-2</v>
      </c>
      <c r="Y24" s="44">
        <v>18.484931506849314</v>
      </c>
      <c r="Z24" s="170">
        <v>93.795168180992491</v>
      </c>
      <c r="AA24" s="45">
        <v>30.558607266435985</v>
      </c>
      <c r="AB24" s="45">
        <v>0.3656387665198238</v>
      </c>
      <c r="AC24" s="45">
        <v>6.070484581497797</v>
      </c>
      <c r="AD24" s="45">
        <v>149.4</v>
      </c>
      <c r="AE24" s="45">
        <v>4.17</v>
      </c>
      <c r="AF24" s="45">
        <v>46.7</v>
      </c>
      <c r="AG24" s="128">
        <v>4</v>
      </c>
      <c r="AH24" s="49">
        <v>7</v>
      </c>
      <c r="AI24" s="49">
        <v>9</v>
      </c>
      <c r="AJ24" s="49">
        <v>2</v>
      </c>
      <c r="AK24" s="49">
        <v>9</v>
      </c>
      <c r="AL24" s="49">
        <v>4</v>
      </c>
      <c r="AM24" s="49">
        <v>7</v>
      </c>
      <c r="AN24" s="49">
        <v>6</v>
      </c>
      <c r="AO24" s="49">
        <v>0</v>
      </c>
      <c r="AP24" s="50">
        <v>0</v>
      </c>
      <c r="AQ24" s="56"/>
      <c r="AR24" s="57">
        <v>1</v>
      </c>
      <c r="AS24" s="57"/>
      <c r="AT24" s="57"/>
      <c r="AU24" s="57"/>
      <c r="AV24" s="57"/>
      <c r="AW24" s="58"/>
      <c r="AX24" s="57"/>
      <c r="AY24" s="57"/>
      <c r="AZ24" s="57"/>
      <c r="BA24" s="57"/>
      <c r="BB24" s="57">
        <v>1</v>
      </c>
      <c r="BC24" s="57"/>
      <c r="BD24" s="57"/>
      <c r="BE24" s="59"/>
      <c r="BF24" s="56">
        <v>707</v>
      </c>
      <c r="BG24" s="57">
        <v>1590</v>
      </c>
      <c r="BH24" s="57">
        <v>2</v>
      </c>
      <c r="BI24" s="57">
        <v>18</v>
      </c>
      <c r="BJ24" s="57">
        <v>122</v>
      </c>
      <c r="BK24" s="57">
        <v>41</v>
      </c>
      <c r="BL24" s="58">
        <v>5.7950819672131146</v>
      </c>
      <c r="BM24" s="57">
        <v>122.5</v>
      </c>
      <c r="BN24" s="57">
        <v>3.65</v>
      </c>
      <c r="BO24" s="57">
        <v>42.4</v>
      </c>
      <c r="BP24" s="57">
        <v>97</v>
      </c>
      <c r="BQ24" s="57">
        <v>2130</v>
      </c>
      <c r="BR24" s="57">
        <v>9</v>
      </c>
      <c r="BS24" s="57">
        <v>1</v>
      </c>
      <c r="BT24" s="59">
        <v>12</v>
      </c>
      <c r="BU24" s="56">
        <v>781</v>
      </c>
      <c r="BV24" s="57">
        <v>1453.1999999999998</v>
      </c>
      <c r="BW24" s="57">
        <v>5</v>
      </c>
      <c r="BX24" s="57">
        <v>8.3999999999999986</v>
      </c>
      <c r="BY24" s="57">
        <v>179</v>
      </c>
      <c r="BZ24" s="57">
        <v>42</v>
      </c>
      <c r="CA24" s="58">
        <v>4.3631284916201114</v>
      </c>
      <c r="CB24" s="57">
        <v>70.599999999999994</v>
      </c>
      <c r="CC24" s="57">
        <v>3.07</v>
      </c>
      <c r="CD24" s="57">
        <v>34.4</v>
      </c>
      <c r="CE24" s="57">
        <v>155</v>
      </c>
      <c r="CF24" s="57">
        <v>1746</v>
      </c>
      <c r="CG24" s="57">
        <v>20</v>
      </c>
      <c r="CH24" s="57">
        <v>0</v>
      </c>
      <c r="CI24" s="59">
        <v>14.399999999999999</v>
      </c>
      <c r="CJ24" s="56">
        <v>1378</v>
      </c>
      <c r="CK24" s="57">
        <v>1843.4</v>
      </c>
      <c r="CL24" s="57">
        <v>9</v>
      </c>
      <c r="CM24" s="57">
        <v>15.6</v>
      </c>
      <c r="CN24" s="57">
        <v>227</v>
      </c>
      <c r="CO24" s="57">
        <v>83</v>
      </c>
      <c r="CP24" s="58">
        <v>6.070484581497797</v>
      </c>
      <c r="CQ24" s="57">
        <v>149.4</v>
      </c>
      <c r="CR24" s="58">
        <v>4.17</v>
      </c>
      <c r="CS24" s="57">
        <v>39.799999999999997</v>
      </c>
      <c r="CT24" s="57">
        <v>219</v>
      </c>
      <c r="CU24" s="57">
        <v>2687.1</v>
      </c>
      <c r="CV24" s="57">
        <v>19</v>
      </c>
      <c r="CW24" s="57">
        <v>0</v>
      </c>
      <c r="CX24" s="59">
        <v>19.5</v>
      </c>
      <c r="CY24" s="56">
        <v>1119</v>
      </c>
      <c r="CZ24" s="57">
        <v>1953.6000000000001</v>
      </c>
      <c r="DA24" s="57">
        <v>10</v>
      </c>
      <c r="DB24" s="57">
        <v>15.600000000000001</v>
      </c>
      <c r="DC24" s="57">
        <v>229</v>
      </c>
      <c r="DD24" s="57">
        <v>63</v>
      </c>
      <c r="DE24" s="57">
        <v>4.9000000000000004</v>
      </c>
      <c r="DF24" s="57">
        <v>105.4</v>
      </c>
      <c r="DG24" s="58">
        <v>3.6</v>
      </c>
      <c r="DH24" s="57">
        <v>46.7</v>
      </c>
      <c r="DI24" s="57">
        <v>224</v>
      </c>
      <c r="DJ24" s="57">
        <v>2288.3999999999996</v>
      </c>
      <c r="DK24" s="57">
        <v>27</v>
      </c>
      <c r="DL24" s="57">
        <v>3</v>
      </c>
      <c r="DM24" s="59">
        <v>15.600000000000001</v>
      </c>
    </row>
    <row r="25" spans="1:117" ht="15.75" customHeight="1" x14ac:dyDescent="0.2">
      <c r="A25" s="33">
        <v>23</v>
      </c>
      <c r="B25" s="34" t="s">
        <v>314</v>
      </c>
      <c r="C25" s="116">
        <v>5.5166666666666666</v>
      </c>
      <c r="D25" s="117" t="s">
        <v>591</v>
      </c>
      <c r="E25" s="37">
        <v>8</v>
      </c>
      <c r="F25" s="118">
        <v>37131</v>
      </c>
      <c r="G25" s="119">
        <v>24.098630136986301</v>
      </c>
      <c r="H25" s="39" t="s">
        <v>389</v>
      </c>
      <c r="I25" s="119">
        <v>22.67945205479452</v>
      </c>
      <c r="J25" s="120">
        <v>68</v>
      </c>
      <c r="K25" s="120">
        <v>213</v>
      </c>
      <c r="L25" s="120">
        <v>4.46</v>
      </c>
      <c r="M25" s="40">
        <v>6</v>
      </c>
      <c r="N25" s="121">
        <v>0</v>
      </c>
      <c r="O25" s="122">
        <v>0.20798010625070648</v>
      </c>
      <c r="P25" s="122">
        <v>0.22272727272727272</v>
      </c>
      <c r="Q25" s="122">
        <v>0.16532370102806335</v>
      </c>
      <c r="R25" s="122">
        <v>0.31694938347298862</v>
      </c>
      <c r="S25" s="42">
        <v>0.31694938347298862</v>
      </c>
      <c r="T25" s="42">
        <v>0.2060170992574426</v>
      </c>
      <c r="U25" s="42">
        <v>3.9404810915720755E-2</v>
      </c>
      <c r="V25" s="42">
        <v>5.3705692803437163E-2</v>
      </c>
      <c r="W25" s="42">
        <v>5.3705692803437163E-2</v>
      </c>
      <c r="X25" s="43">
        <v>3.4908700322234157E-2</v>
      </c>
      <c r="Y25" s="44">
        <v>19.024657534246575</v>
      </c>
      <c r="Z25" s="170">
        <v>107.66391405009836</v>
      </c>
      <c r="AA25" s="45">
        <v>32.383001730103807</v>
      </c>
      <c r="AB25" s="45">
        <v>0.31186440677966104</v>
      </c>
      <c r="AC25" s="45">
        <v>5.6</v>
      </c>
      <c r="AD25" s="45">
        <v>116.7</v>
      </c>
      <c r="AE25" s="45">
        <v>3.58</v>
      </c>
      <c r="AF25" s="45">
        <v>37.6</v>
      </c>
      <c r="AG25" s="128">
        <v>4</v>
      </c>
      <c r="AH25" s="49">
        <v>3</v>
      </c>
      <c r="AI25" s="49">
        <v>8</v>
      </c>
      <c r="AJ25" s="49">
        <v>8</v>
      </c>
      <c r="AK25" s="49">
        <v>8</v>
      </c>
      <c r="AL25" s="49">
        <v>3</v>
      </c>
      <c r="AM25" s="49">
        <v>5</v>
      </c>
      <c r="AN25" s="49">
        <v>2</v>
      </c>
      <c r="AO25" s="49">
        <v>2</v>
      </c>
      <c r="AP25" s="50">
        <v>0</v>
      </c>
      <c r="AQ25" s="56"/>
      <c r="AR25" s="57">
        <v>1</v>
      </c>
      <c r="AS25" s="57"/>
      <c r="AT25" s="57"/>
      <c r="AU25" s="57"/>
      <c r="AV25" s="57"/>
      <c r="AW25" s="57"/>
      <c r="AX25" s="57"/>
      <c r="AY25" s="57"/>
      <c r="AZ25" s="57"/>
      <c r="BA25" s="57"/>
      <c r="BB25" s="57">
        <v>1</v>
      </c>
      <c r="BC25" s="57"/>
      <c r="BD25" s="57"/>
      <c r="BE25" s="59"/>
      <c r="BF25" s="56">
        <v>511</v>
      </c>
      <c r="BG25" s="57">
        <v>927</v>
      </c>
      <c r="BH25" s="57">
        <v>4</v>
      </c>
      <c r="BI25" s="57">
        <v>9</v>
      </c>
      <c r="BJ25" s="57">
        <v>101</v>
      </c>
      <c r="BK25" s="57">
        <v>30</v>
      </c>
      <c r="BL25" s="57">
        <v>5.0999999999999996</v>
      </c>
      <c r="BM25" s="57">
        <v>117.7</v>
      </c>
      <c r="BN25" s="57">
        <v>3.83</v>
      </c>
      <c r="BO25" s="57">
        <v>34.4</v>
      </c>
      <c r="BP25" s="57">
        <v>225</v>
      </c>
      <c r="BQ25" s="57">
        <v>2611.7999999999997</v>
      </c>
      <c r="BR25" s="57">
        <v>26</v>
      </c>
      <c r="BS25" s="57">
        <v>0</v>
      </c>
      <c r="BT25" s="59">
        <v>18</v>
      </c>
      <c r="BU25" s="56">
        <v>699</v>
      </c>
      <c r="BV25" s="57">
        <v>1114.3</v>
      </c>
      <c r="BW25" s="57">
        <v>5</v>
      </c>
      <c r="BX25" s="57">
        <v>16.5</v>
      </c>
      <c r="BY25" s="57">
        <v>153</v>
      </c>
      <c r="BZ25" s="57">
        <v>41</v>
      </c>
      <c r="CA25" s="57">
        <v>4.5999999999999996</v>
      </c>
      <c r="CB25" s="57">
        <v>106.5</v>
      </c>
      <c r="CC25" s="57">
        <v>3.52</v>
      </c>
      <c r="CD25" s="57">
        <v>34.299999999999997</v>
      </c>
      <c r="CE25" s="57">
        <v>134</v>
      </c>
      <c r="CF25" s="57">
        <v>2625.7</v>
      </c>
      <c r="CG25" s="57">
        <v>22</v>
      </c>
      <c r="CH25" s="57">
        <v>0</v>
      </c>
      <c r="CI25" s="59">
        <v>14.3</v>
      </c>
      <c r="CJ25" s="56">
        <v>699</v>
      </c>
      <c r="CK25" s="57">
        <v>1638</v>
      </c>
      <c r="CL25" s="57">
        <v>10</v>
      </c>
      <c r="CM25" s="57">
        <v>21</v>
      </c>
      <c r="CN25" s="57">
        <v>231</v>
      </c>
      <c r="CO25" s="57">
        <v>64</v>
      </c>
      <c r="CP25" s="57">
        <v>4.9000000000000004</v>
      </c>
      <c r="CQ25" s="57">
        <v>89.6</v>
      </c>
      <c r="CR25" s="57">
        <v>3.32</v>
      </c>
      <c r="CS25" s="57">
        <v>32.4</v>
      </c>
      <c r="CT25" s="57">
        <v>134</v>
      </c>
      <c r="CU25" s="57">
        <v>3400.6</v>
      </c>
      <c r="CV25" s="57">
        <v>25</v>
      </c>
      <c r="CW25" s="57">
        <v>0</v>
      </c>
      <c r="CX25" s="59">
        <v>19.599999999999998</v>
      </c>
      <c r="CY25" s="56">
        <v>1661</v>
      </c>
      <c r="CZ25" s="57">
        <v>2147.6</v>
      </c>
      <c r="DA25" s="57">
        <v>14</v>
      </c>
      <c r="DB25" s="57">
        <v>19.599999999999998</v>
      </c>
      <c r="DC25" s="57">
        <v>295</v>
      </c>
      <c r="DD25" s="57">
        <v>92</v>
      </c>
      <c r="DE25" s="57">
        <v>5.6</v>
      </c>
      <c r="DF25" s="57">
        <v>116.7</v>
      </c>
      <c r="DG25" s="58">
        <v>3.58</v>
      </c>
      <c r="DH25" s="57">
        <v>37.6</v>
      </c>
      <c r="DI25" s="57">
        <v>200</v>
      </c>
      <c r="DJ25" s="57">
        <v>3724</v>
      </c>
      <c r="DK25" s="57">
        <v>18</v>
      </c>
      <c r="DL25" s="57">
        <v>1</v>
      </c>
      <c r="DM25" s="59">
        <v>29.400000000000002</v>
      </c>
    </row>
    <row r="26" spans="1:117" ht="15.75" customHeight="1" x14ac:dyDescent="0.2">
      <c r="A26" s="33">
        <v>24</v>
      </c>
      <c r="B26" s="34" t="s">
        <v>328</v>
      </c>
      <c r="C26" s="116">
        <v>5.5</v>
      </c>
      <c r="D26" s="117" t="s">
        <v>445</v>
      </c>
      <c r="E26" s="37">
        <v>2</v>
      </c>
      <c r="F26" s="118">
        <v>37193</v>
      </c>
      <c r="G26" s="119">
        <v>23.92876712328767</v>
      </c>
      <c r="H26" s="39" t="s">
        <v>498</v>
      </c>
      <c r="I26" s="119">
        <v>22.509589041095889</v>
      </c>
      <c r="J26" s="120">
        <v>68</v>
      </c>
      <c r="K26" s="120">
        <v>229</v>
      </c>
      <c r="L26" s="120">
        <v>4.55</v>
      </c>
      <c r="M26" s="40">
        <v>0</v>
      </c>
      <c r="N26" s="121">
        <v>0</v>
      </c>
      <c r="O26" s="122">
        <v>3.0804774740084716E-2</v>
      </c>
      <c r="P26" s="122">
        <v>0.10343599786362827</v>
      </c>
      <c r="Q26" s="122">
        <v>0.15784500805898807</v>
      </c>
      <c r="R26" s="122">
        <v>8.1719375663969918E-2</v>
      </c>
      <c r="S26" s="42">
        <v>0.119782191861479</v>
      </c>
      <c r="T26" s="42">
        <v>0.119782191861479</v>
      </c>
      <c r="U26" s="42">
        <v>8.2284460427269682E-3</v>
      </c>
      <c r="V26" s="42">
        <v>2.601263470828688E-2</v>
      </c>
      <c r="W26" s="42">
        <v>2.601263470828688E-2</v>
      </c>
      <c r="X26" s="43">
        <v>2.601263470828688E-2</v>
      </c>
      <c r="Y26" s="44">
        <v>20.865753424657534</v>
      </c>
      <c r="Z26" s="170">
        <v>106.86116175844418</v>
      </c>
      <c r="AA26" s="45">
        <v>34.815527681660903</v>
      </c>
      <c r="AB26" s="45">
        <v>0.375</v>
      </c>
      <c r="AC26" s="45">
        <v>6.4453125</v>
      </c>
      <c r="AD26" s="45">
        <v>157.6</v>
      </c>
      <c r="AE26" s="45">
        <v>4.37</v>
      </c>
      <c r="AF26" s="45">
        <v>38.1</v>
      </c>
      <c r="AG26" s="128">
        <v>0</v>
      </c>
      <c r="AH26" s="49">
        <v>2</v>
      </c>
      <c r="AI26" s="49">
        <v>3</v>
      </c>
      <c r="AJ26" s="49">
        <v>8</v>
      </c>
      <c r="AK26" s="49">
        <v>10</v>
      </c>
      <c r="AL26" s="49">
        <v>6</v>
      </c>
      <c r="AM26" s="49">
        <v>8</v>
      </c>
      <c r="AN26" s="49">
        <v>6</v>
      </c>
      <c r="AO26" s="49">
        <v>0</v>
      </c>
      <c r="AP26" s="50">
        <v>0</v>
      </c>
      <c r="AQ26" s="56"/>
      <c r="AR26" s="57">
        <v>1</v>
      </c>
      <c r="AS26" s="57"/>
      <c r="AT26" s="57"/>
      <c r="AU26" s="57"/>
      <c r="AV26" s="57"/>
      <c r="AW26" s="58"/>
      <c r="AX26" s="57"/>
      <c r="AY26" s="57"/>
      <c r="AZ26" s="57"/>
      <c r="BA26" s="57"/>
      <c r="BB26" s="57">
        <v>1</v>
      </c>
      <c r="BC26" s="57"/>
      <c r="BD26" s="57"/>
      <c r="BE26" s="59"/>
      <c r="BF26" s="56">
        <v>64</v>
      </c>
      <c r="BG26" s="57">
        <v>1027.5999999999999</v>
      </c>
      <c r="BH26" s="57">
        <v>0</v>
      </c>
      <c r="BI26" s="57">
        <v>9.6</v>
      </c>
      <c r="BJ26" s="57">
        <v>10</v>
      </c>
      <c r="BK26" s="57">
        <v>9</v>
      </c>
      <c r="BL26" s="58">
        <v>6.4</v>
      </c>
      <c r="BM26" s="57">
        <v>396</v>
      </c>
      <c r="BN26" s="57">
        <v>4.4000000000000004</v>
      </c>
      <c r="BO26" s="57">
        <v>23.4</v>
      </c>
      <c r="BP26" s="57"/>
      <c r="BQ26" s="57">
        <v>1050</v>
      </c>
      <c r="BR26" s="57"/>
      <c r="BS26" s="57"/>
      <c r="BT26" s="59">
        <v>11.2</v>
      </c>
      <c r="BU26" s="56">
        <v>507</v>
      </c>
      <c r="BV26" s="57">
        <v>1808</v>
      </c>
      <c r="BW26" s="57">
        <v>3</v>
      </c>
      <c r="BX26" s="57">
        <v>18</v>
      </c>
      <c r="BY26" s="57">
        <v>71</v>
      </c>
      <c r="BZ26" s="57">
        <v>31</v>
      </c>
      <c r="CA26" s="58">
        <v>7.140845070422535</v>
      </c>
      <c r="CB26" s="57">
        <v>210.4</v>
      </c>
      <c r="CC26" s="57">
        <v>4.68</v>
      </c>
      <c r="CD26" s="57">
        <v>40</v>
      </c>
      <c r="CE26" s="57">
        <v>74</v>
      </c>
      <c r="CF26" s="57">
        <v>3809</v>
      </c>
      <c r="CG26" s="57">
        <v>9</v>
      </c>
      <c r="CH26" s="57">
        <v>0</v>
      </c>
      <c r="CI26" s="59">
        <v>35</v>
      </c>
      <c r="CJ26" s="56">
        <v>825</v>
      </c>
      <c r="CK26" s="57">
        <v>2116.4</v>
      </c>
      <c r="CL26" s="57">
        <v>14</v>
      </c>
      <c r="CM26" s="57">
        <v>25.299999999999997</v>
      </c>
      <c r="CN26" s="57">
        <v>128</v>
      </c>
      <c r="CO26" s="57">
        <v>48</v>
      </c>
      <c r="CP26" s="58">
        <v>6.4453125</v>
      </c>
      <c r="CQ26" s="57">
        <v>157.6</v>
      </c>
      <c r="CR26" s="58">
        <v>4.37</v>
      </c>
      <c r="CS26" s="57">
        <v>38.1</v>
      </c>
      <c r="CT26" s="57">
        <v>27</v>
      </c>
      <c r="CU26" s="57">
        <v>3281.3</v>
      </c>
      <c r="CV26" s="57">
        <v>5</v>
      </c>
      <c r="CW26" s="57">
        <v>0</v>
      </c>
      <c r="CX26" s="59">
        <v>35.200000000000003</v>
      </c>
      <c r="CY26" s="56">
        <v>158</v>
      </c>
      <c r="CZ26" s="57">
        <v>832.80000000000007</v>
      </c>
      <c r="DA26" s="57">
        <v>3</v>
      </c>
      <c r="DB26" s="57">
        <v>9</v>
      </c>
      <c r="DC26" s="57">
        <v>49</v>
      </c>
      <c r="DD26" s="57">
        <v>10</v>
      </c>
      <c r="DE26" s="57">
        <v>3.2</v>
      </c>
      <c r="DF26" s="57">
        <v>37.4</v>
      </c>
      <c r="DG26" s="58">
        <v>1.98</v>
      </c>
      <c r="DH26" s="57">
        <v>0</v>
      </c>
      <c r="DI26" s="57">
        <v>42</v>
      </c>
      <c r="DJ26" s="57">
        <v>1614.6000000000001</v>
      </c>
      <c r="DK26" s="57">
        <v>4</v>
      </c>
      <c r="DL26" s="57">
        <v>0</v>
      </c>
      <c r="DM26" s="59">
        <v>12</v>
      </c>
    </row>
    <row r="27" spans="1:117" ht="15.75" customHeight="1" x14ac:dyDescent="0.2">
      <c r="A27" s="33">
        <v>25</v>
      </c>
      <c r="B27" s="34" t="s">
        <v>333</v>
      </c>
      <c r="C27" s="116">
        <v>4.3666666666666663</v>
      </c>
      <c r="D27" s="117" t="s">
        <v>384</v>
      </c>
      <c r="E27" s="37">
        <v>1</v>
      </c>
      <c r="F27" s="118">
        <v>37297</v>
      </c>
      <c r="G27" s="119">
        <v>23.643835616438356</v>
      </c>
      <c r="H27" s="39" t="s">
        <v>389</v>
      </c>
      <c r="I27" s="119">
        <v>22.224657534246575</v>
      </c>
      <c r="J27" s="120">
        <v>73</v>
      </c>
      <c r="K27" s="120">
        <v>225</v>
      </c>
      <c r="L27" s="120">
        <v>4.62</v>
      </c>
      <c r="M27" s="40">
        <v>0</v>
      </c>
      <c r="N27" s="121">
        <v>0</v>
      </c>
      <c r="O27" s="122">
        <v>7.0738033482669188E-2</v>
      </c>
      <c r="P27" s="122">
        <v>8.6081826095367062E-2</v>
      </c>
      <c r="Q27" s="122">
        <v>9.8225796549818889E-2</v>
      </c>
      <c r="R27" s="122">
        <v>0.12626849484855526</v>
      </c>
      <c r="S27" s="42">
        <v>0.12626849484855526</v>
      </c>
      <c r="T27" s="42">
        <v>0.12626849484855526</v>
      </c>
      <c r="U27" s="42">
        <v>1.19583019211272E-2</v>
      </c>
      <c r="V27" s="42">
        <v>6.2989745269470127E-3</v>
      </c>
      <c r="W27" s="42">
        <v>9.1286382240371063E-3</v>
      </c>
      <c r="X27" s="43">
        <v>9.1286382240371063E-3</v>
      </c>
      <c r="Y27" s="44" t="s">
        <v>645</v>
      </c>
      <c r="Z27" s="170">
        <v>98.774448054784855</v>
      </c>
      <c r="AA27" s="45">
        <v>29.681929067367236</v>
      </c>
      <c r="AB27" s="45">
        <v>0.24793388429752067</v>
      </c>
      <c r="AC27" s="45">
        <v>6.9069767441860463</v>
      </c>
      <c r="AD27" s="45">
        <v>105.4</v>
      </c>
      <c r="AE27" s="45">
        <v>4.12</v>
      </c>
      <c r="AF27" s="45">
        <v>47.5</v>
      </c>
      <c r="AG27" s="128">
        <v>1</v>
      </c>
      <c r="AH27" s="49">
        <v>1</v>
      </c>
      <c r="AI27" s="49">
        <v>0</v>
      </c>
      <c r="AJ27" s="49">
        <v>5</v>
      </c>
      <c r="AK27" s="49">
        <v>6</v>
      </c>
      <c r="AL27" s="49">
        <v>7</v>
      </c>
      <c r="AM27" s="49">
        <v>4</v>
      </c>
      <c r="AN27" s="49">
        <v>5</v>
      </c>
      <c r="AO27" s="49">
        <v>0</v>
      </c>
      <c r="AP27" s="50">
        <v>1</v>
      </c>
      <c r="AQ27" s="56"/>
      <c r="AR27" s="57">
        <v>1</v>
      </c>
      <c r="AS27" s="57"/>
      <c r="AT27" s="57"/>
      <c r="AU27" s="57"/>
      <c r="AV27" s="57"/>
      <c r="AW27" s="58"/>
      <c r="AX27" s="57"/>
      <c r="AY27" s="57"/>
      <c r="AZ27" s="57"/>
      <c r="BA27" s="57"/>
      <c r="BB27" s="57">
        <v>1</v>
      </c>
      <c r="BC27" s="57"/>
      <c r="BD27" s="57"/>
      <c r="BE27" s="59"/>
      <c r="BF27" s="56">
        <v>188</v>
      </c>
      <c r="BG27" s="57">
        <v>1219.3999999999999</v>
      </c>
      <c r="BH27" s="57">
        <v>0</v>
      </c>
      <c r="BI27" s="57">
        <v>12.6</v>
      </c>
      <c r="BJ27" s="57">
        <v>35</v>
      </c>
      <c r="BK27" s="57">
        <v>11</v>
      </c>
      <c r="BL27" s="58">
        <v>5.371428571428571</v>
      </c>
      <c r="BM27" s="57">
        <v>117.1</v>
      </c>
      <c r="BN27" s="57">
        <v>3.51</v>
      </c>
      <c r="BO27" s="57">
        <v>21.8</v>
      </c>
      <c r="BP27" s="57">
        <v>22</v>
      </c>
      <c r="BQ27" s="57">
        <v>1749.3</v>
      </c>
      <c r="BR27" s="57">
        <v>1</v>
      </c>
      <c r="BS27" s="57">
        <v>0</v>
      </c>
      <c r="BT27" s="59">
        <v>13.299999999999999</v>
      </c>
      <c r="BU27" s="56">
        <v>262</v>
      </c>
      <c r="BV27" s="57">
        <v>1338.3999999999999</v>
      </c>
      <c r="BW27" s="57">
        <v>1</v>
      </c>
      <c r="BX27" s="57">
        <v>13.299999999999999</v>
      </c>
      <c r="BY27" s="57">
        <v>56</v>
      </c>
      <c r="BZ27" s="57">
        <v>13</v>
      </c>
      <c r="CA27" s="58">
        <v>4.6785714285714288</v>
      </c>
      <c r="CB27" s="57">
        <v>77.599999999999994</v>
      </c>
      <c r="CC27" s="57">
        <v>3.46</v>
      </c>
      <c r="CD27" s="57">
        <v>21.8</v>
      </c>
      <c r="CE27" s="57">
        <v>5</v>
      </c>
      <c r="CF27" s="57">
        <v>1763.3</v>
      </c>
      <c r="CG27" s="57">
        <v>2</v>
      </c>
      <c r="CH27" s="57">
        <v>0</v>
      </c>
      <c r="CI27" s="59">
        <v>18.2</v>
      </c>
      <c r="CJ27" s="56">
        <v>594</v>
      </c>
      <c r="CK27" s="57">
        <v>2668.9</v>
      </c>
      <c r="CL27" s="57">
        <v>9</v>
      </c>
      <c r="CM27" s="57">
        <v>37.699999999999996</v>
      </c>
      <c r="CN27" s="57">
        <v>86</v>
      </c>
      <c r="CO27" s="57">
        <v>19</v>
      </c>
      <c r="CP27" s="58">
        <v>6.9069767441860463</v>
      </c>
      <c r="CQ27" s="57">
        <v>84</v>
      </c>
      <c r="CR27" s="58">
        <v>3.98</v>
      </c>
      <c r="CS27" s="57">
        <v>47.5</v>
      </c>
      <c r="CT27" s="57">
        <v>46</v>
      </c>
      <c r="CU27" s="57">
        <v>3846.7</v>
      </c>
      <c r="CV27" s="57">
        <v>4</v>
      </c>
      <c r="CW27" s="57">
        <v>0</v>
      </c>
      <c r="CX27" s="59">
        <v>27.3</v>
      </c>
      <c r="CY27" s="56">
        <v>790</v>
      </c>
      <c r="CZ27" s="57">
        <v>2485.6</v>
      </c>
      <c r="DA27" s="57">
        <v>14</v>
      </c>
      <c r="DB27" s="57">
        <v>37.699999999999996</v>
      </c>
      <c r="DC27" s="57">
        <v>121</v>
      </c>
      <c r="DD27" s="57">
        <v>30</v>
      </c>
      <c r="DE27" s="57">
        <v>6.5</v>
      </c>
      <c r="DF27" s="57">
        <v>105.4</v>
      </c>
      <c r="DG27" s="58">
        <v>4.12</v>
      </c>
      <c r="DH27" s="57">
        <v>47</v>
      </c>
      <c r="DI27" s="57">
        <v>25</v>
      </c>
      <c r="DJ27" s="57">
        <v>3968.9</v>
      </c>
      <c r="DK27" s="57">
        <v>4</v>
      </c>
      <c r="DL27" s="57">
        <v>0</v>
      </c>
      <c r="DM27" s="59">
        <v>27.3</v>
      </c>
    </row>
    <row r="28" spans="1:117" ht="15.75" customHeight="1" x14ac:dyDescent="0.2">
      <c r="A28" s="33">
        <v>26</v>
      </c>
      <c r="B28" s="34" t="s">
        <v>342</v>
      </c>
      <c r="C28" s="116">
        <v>4.2333333333333334</v>
      </c>
      <c r="D28" s="117" t="s">
        <v>384</v>
      </c>
      <c r="E28" s="37">
        <v>1</v>
      </c>
      <c r="F28" s="118">
        <v>36992</v>
      </c>
      <c r="G28" s="119">
        <v>24.479452054794521</v>
      </c>
      <c r="H28" s="39" t="s">
        <v>389</v>
      </c>
      <c r="I28" s="119">
        <v>23.06027397260274</v>
      </c>
      <c r="J28" s="120">
        <v>70</v>
      </c>
      <c r="K28" s="120">
        <v>207</v>
      </c>
      <c r="L28" s="120">
        <v>4.55</v>
      </c>
      <c r="M28" s="40">
        <v>6</v>
      </c>
      <c r="N28" s="121">
        <v>0</v>
      </c>
      <c r="O28" s="122">
        <v>8.6850585553721604E-2</v>
      </c>
      <c r="P28" s="122">
        <v>5.8000451365380276E-2</v>
      </c>
      <c r="Q28" s="122">
        <v>4.2032455440276673E-2</v>
      </c>
      <c r="R28" s="122">
        <v>0.18059751594494797</v>
      </c>
      <c r="S28" s="42">
        <v>0.18059751594494797</v>
      </c>
      <c r="T28" s="42">
        <v>0.18059751594494797</v>
      </c>
      <c r="U28" s="42">
        <v>2.2755435394840599E-2</v>
      </c>
      <c r="V28" s="42">
        <v>5.3772245878370997E-2</v>
      </c>
      <c r="W28" s="42">
        <v>5.3772245878370997E-2</v>
      </c>
      <c r="X28" s="43">
        <v>5.3772245878370997E-2</v>
      </c>
      <c r="Y28" s="44">
        <v>22.413698630136988</v>
      </c>
      <c r="Z28" s="170">
        <v>96.595023947589283</v>
      </c>
      <c r="AA28" s="45">
        <v>29.698163265306121</v>
      </c>
      <c r="AB28" s="45">
        <v>0.25</v>
      </c>
      <c r="AC28" s="45">
        <v>5.6</v>
      </c>
      <c r="AD28" s="45">
        <v>77.7</v>
      </c>
      <c r="AE28" s="45">
        <v>3.06</v>
      </c>
      <c r="AF28" s="45">
        <v>39.9</v>
      </c>
      <c r="AG28" s="128">
        <v>3</v>
      </c>
      <c r="AH28" s="49">
        <v>6</v>
      </c>
      <c r="AI28" s="49">
        <v>1</v>
      </c>
      <c r="AJ28" s="49">
        <v>4</v>
      </c>
      <c r="AK28" s="49">
        <v>6</v>
      </c>
      <c r="AL28" s="49">
        <v>3</v>
      </c>
      <c r="AM28" s="49">
        <v>2</v>
      </c>
      <c r="AN28" s="49">
        <v>0</v>
      </c>
      <c r="AO28" s="49">
        <v>2</v>
      </c>
      <c r="AP28" s="50">
        <v>0</v>
      </c>
      <c r="AQ28" s="56"/>
      <c r="AR28" s="57">
        <v>1</v>
      </c>
      <c r="AS28" s="57"/>
      <c r="AT28" s="57"/>
      <c r="AU28" s="57"/>
      <c r="AV28" s="57"/>
      <c r="AW28" s="57"/>
      <c r="AX28" s="57"/>
      <c r="AY28" s="57"/>
      <c r="AZ28" s="57"/>
      <c r="BA28" s="57"/>
      <c r="BB28" s="57">
        <v>1</v>
      </c>
      <c r="BC28" s="57"/>
      <c r="BD28" s="57"/>
      <c r="BE28" s="59"/>
      <c r="BF28" s="56">
        <v>218</v>
      </c>
      <c r="BG28" s="57">
        <v>1045.1999999999998</v>
      </c>
      <c r="BH28" s="57">
        <v>1</v>
      </c>
      <c r="BI28" s="57">
        <v>10.8</v>
      </c>
      <c r="BJ28" s="57">
        <v>37</v>
      </c>
      <c r="BK28" s="57">
        <v>13</v>
      </c>
      <c r="BL28" s="57">
        <v>5.9</v>
      </c>
      <c r="BM28" s="57">
        <v>147</v>
      </c>
      <c r="BN28" s="57">
        <v>4.3</v>
      </c>
      <c r="BO28" s="57">
        <v>33</v>
      </c>
      <c r="BP28" s="57">
        <v>3</v>
      </c>
      <c r="BQ28" s="57">
        <v>1499.4</v>
      </c>
      <c r="BR28" s="57">
        <v>1</v>
      </c>
      <c r="BS28" s="57">
        <v>0</v>
      </c>
      <c r="BT28" s="59">
        <v>11.399999999999999</v>
      </c>
      <c r="BU28" s="56">
        <v>215</v>
      </c>
      <c r="BV28" s="57">
        <v>1912</v>
      </c>
      <c r="BW28" s="57">
        <v>3</v>
      </c>
      <c r="BX28" s="57">
        <v>19</v>
      </c>
      <c r="BY28" s="57">
        <v>49</v>
      </c>
      <c r="BZ28" s="57">
        <v>17</v>
      </c>
      <c r="CA28" s="57">
        <v>4.4000000000000004</v>
      </c>
      <c r="CB28" s="57">
        <v>114.3</v>
      </c>
      <c r="CC28" s="57">
        <v>3.43</v>
      </c>
      <c r="CD28" s="57">
        <v>47.4</v>
      </c>
      <c r="CE28" s="57">
        <v>42</v>
      </c>
      <c r="CF28" s="57">
        <v>2519</v>
      </c>
      <c r="CG28" s="57">
        <v>2</v>
      </c>
      <c r="CH28" s="57">
        <v>0</v>
      </c>
      <c r="CI28" s="59">
        <v>26</v>
      </c>
      <c r="CJ28" s="56">
        <v>215</v>
      </c>
      <c r="CK28" s="57">
        <v>3079.5</v>
      </c>
      <c r="CL28" s="57">
        <v>7</v>
      </c>
      <c r="CM28" s="57">
        <v>43.5</v>
      </c>
      <c r="CN28" s="57">
        <v>140</v>
      </c>
      <c r="CO28" s="57">
        <v>35</v>
      </c>
      <c r="CP28" s="57">
        <v>5.6</v>
      </c>
      <c r="CQ28" s="57">
        <v>75.599999999999994</v>
      </c>
      <c r="CR28" s="57">
        <v>3.06</v>
      </c>
      <c r="CS28" s="57">
        <v>38.6</v>
      </c>
      <c r="CT28" s="57">
        <v>101</v>
      </c>
      <c r="CU28" s="57">
        <v>4438.5</v>
      </c>
      <c r="CV28" s="57">
        <v>14</v>
      </c>
      <c r="CW28" s="57">
        <v>0</v>
      </c>
      <c r="CX28" s="59">
        <v>31.5</v>
      </c>
      <c r="CY28" s="56">
        <v>879</v>
      </c>
      <c r="CZ28" s="57">
        <v>2294.3999999999996</v>
      </c>
      <c r="DA28" s="57">
        <v>13</v>
      </c>
      <c r="DB28" s="57">
        <v>34.799999999999997</v>
      </c>
      <c r="DC28" s="57">
        <v>164</v>
      </c>
      <c r="DD28" s="57">
        <v>38</v>
      </c>
      <c r="DE28" s="57">
        <v>5.4</v>
      </c>
      <c r="DF28" s="57">
        <v>77.7</v>
      </c>
      <c r="DG28" s="58">
        <v>3.04</v>
      </c>
      <c r="DH28" s="57">
        <v>39.9</v>
      </c>
      <c r="DI28" s="57">
        <v>197</v>
      </c>
      <c r="DJ28" s="57">
        <v>3663.6000000000004</v>
      </c>
      <c r="DK28" s="57">
        <v>20</v>
      </c>
      <c r="DL28" s="57">
        <v>0</v>
      </c>
      <c r="DM28" s="59">
        <v>25.200000000000003</v>
      </c>
    </row>
    <row r="29" spans="1:117" ht="15.75" customHeight="1" x14ac:dyDescent="0.2">
      <c r="A29" s="33">
        <v>27</v>
      </c>
      <c r="B29" s="34" t="s">
        <v>347</v>
      </c>
      <c r="C29" s="116">
        <v>3.9833333333333334</v>
      </c>
      <c r="D29" s="117" t="s">
        <v>434</v>
      </c>
      <c r="E29" s="37">
        <v>1</v>
      </c>
      <c r="F29" s="118">
        <v>36411</v>
      </c>
      <c r="G29" s="119">
        <v>26.07123287671233</v>
      </c>
      <c r="H29" s="39" t="s">
        <v>469</v>
      </c>
      <c r="I29" s="119">
        <v>24.652054794520549</v>
      </c>
      <c r="J29" s="120">
        <v>68</v>
      </c>
      <c r="K29" s="120">
        <v>202</v>
      </c>
      <c r="L29" s="120">
        <v>4.6100000000000003</v>
      </c>
      <c r="M29" s="40">
        <v>0</v>
      </c>
      <c r="N29" s="121">
        <v>0.17874706008124866</v>
      </c>
      <c r="O29" s="122">
        <v>0.27747419550698238</v>
      </c>
      <c r="P29" s="122">
        <v>0.4481002741872307</v>
      </c>
      <c r="Q29" s="122">
        <v>0.18346715480301204</v>
      </c>
      <c r="R29" s="122">
        <v>0.32200357781753131</v>
      </c>
      <c r="S29" s="42">
        <v>0.38505192600238103</v>
      </c>
      <c r="T29" s="42">
        <v>0.38505192600238103</v>
      </c>
      <c r="U29" s="42">
        <v>4.9222146373010457E-2</v>
      </c>
      <c r="V29" s="42">
        <v>5.6013372826182586E-2</v>
      </c>
      <c r="W29" s="42">
        <v>5.6013372826182586E-2</v>
      </c>
      <c r="X29" s="43">
        <v>5.6013372826182586E-2</v>
      </c>
      <c r="Y29" s="44">
        <v>19.991780821917807</v>
      </c>
      <c r="Z29" s="170">
        <v>89.44944773385231</v>
      </c>
      <c r="AA29" s="45">
        <v>30.710640138408305</v>
      </c>
      <c r="AB29" s="45">
        <v>0.18478260869565216</v>
      </c>
      <c r="AC29" s="45">
        <v>5.8</v>
      </c>
      <c r="AD29" s="45">
        <v>56.7</v>
      </c>
      <c r="AE29" s="45">
        <v>3.07</v>
      </c>
      <c r="AF29" s="45">
        <v>35.9</v>
      </c>
      <c r="AG29" s="128">
        <v>10</v>
      </c>
      <c r="AH29" s="49">
        <v>6</v>
      </c>
      <c r="AI29" s="49">
        <v>5</v>
      </c>
      <c r="AJ29" s="49">
        <v>2</v>
      </c>
      <c r="AK29" s="49">
        <v>2</v>
      </c>
      <c r="AL29" s="49">
        <v>4</v>
      </c>
      <c r="AM29" s="49">
        <v>0</v>
      </c>
      <c r="AN29" s="49">
        <v>0</v>
      </c>
      <c r="AO29" s="49">
        <v>0</v>
      </c>
      <c r="AP29" s="50">
        <v>0</v>
      </c>
      <c r="AQ29" s="56">
        <v>605</v>
      </c>
      <c r="AR29" s="57">
        <v>2581</v>
      </c>
      <c r="AS29" s="57">
        <v>7</v>
      </c>
      <c r="AT29" s="57"/>
      <c r="AU29" s="57">
        <v>96</v>
      </c>
      <c r="AV29" s="57"/>
      <c r="AW29" s="58"/>
      <c r="AX29" s="57"/>
      <c r="AY29" s="57"/>
      <c r="AZ29" s="57"/>
      <c r="BA29" s="57">
        <v>231</v>
      </c>
      <c r="BB29" s="57">
        <v>2096</v>
      </c>
      <c r="BC29" s="57"/>
      <c r="BD29" s="57"/>
      <c r="BE29" s="59"/>
      <c r="BF29" s="56">
        <v>405</v>
      </c>
      <c r="BG29" s="57">
        <v>829</v>
      </c>
      <c r="BH29" s="57">
        <v>7</v>
      </c>
      <c r="BI29" s="57"/>
      <c r="BJ29" s="57">
        <v>83</v>
      </c>
      <c r="BK29" s="57"/>
      <c r="BL29" s="58"/>
      <c r="BM29" s="57"/>
      <c r="BN29" s="57"/>
      <c r="BO29" s="57"/>
      <c r="BP29" s="57">
        <v>52</v>
      </c>
      <c r="BQ29" s="57">
        <v>818</v>
      </c>
      <c r="BR29" s="57"/>
      <c r="BS29" s="57"/>
      <c r="BT29" s="59"/>
      <c r="BU29" s="56">
        <v>2074</v>
      </c>
      <c r="BV29" s="57">
        <v>2878</v>
      </c>
      <c r="BW29" s="57">
        <v>25</v>
      </c>
      <c r="BX29" s="57"/>
      <c r="BY29" s="57">
        <v>300</v>
      </c>
      <c r="BZ29" s="57"/>
      <c r="CA29" s="58"/>
      <c r="CB29" s="57"/>
      <c r="CC29" s="57"/>
      <c r="CD29" s="57"/>
      <c r="CE29" s="57">
        <v>214</v>
      </c>
      <c r="CF29" s="57">
        <v>2228</v>
      </c>
      <c r="CG29" s="57"/>
      <c r="CH29" s="57"/>
      <c r="CI29" s="59"/>
      <c r="CJ29" s="56">
        <v>745</v>
      </c>
      <c r="CK29" s="57">
        <v>2024.1</v>
      </c>
      <c r="CL29" s="57">
        <v>9</v>
      </c>
      <c r="CM29" s="57">
        <v>19.5</v>
      </c>
      <c r="CN29" s="57">
        <v>170</v>
      </c>
      <c r="CO29" s="57">
        <v>29</v>
      </c>
      <c r="CP29" s="58">
        <v>5.8</v>
      </c>
      <c r="CQ29" s="57">
        <v>52.3</v>
      </c>
      <c r="CR29" s="58">
        <v>2.88</v>
      </c>
      <c r="CS29" s="57">
        <v>27.7</v>
      </c>
      <c r="CT29" s="57">
        <v>137</v>
      </c>
      <c r="CU29" s="57">
        <v>2783.2999999999997</v>
      </c>
      <c r="CV29" s="57">
        <v>19</v>
      </c>
      <c r="CW29" s="57">
        <v>0</v>
      </c>
      <c r="CX29" s="59">
        <v>14.3</v>
      </c>
      <c r="CY29" s="56">
        <v>1627</v>
      </c>
      <c r="CZ29" s="57">
        <v>2236</v>
      </c>
      <c r="DA29" s="57">
        <v>14</v>
      </c>
      <c r="DB29" s="57">
        <v>24.7</v>
      </c>
      <c r="DC29" s="57">
        <v>276</v>
      </c>
      <c r="DD29" s="57">
        <v>51</v>
      </c>
      <c r="DE29" s="57">
        <v>5.8</v>
      </c>
      <c r="DF29" s="57">
        <v>56.7</v>
      </c>
      <c r="DG29" s="58">
        <v>3.07</v>
      </c>
      <c r="DH29" s="57">
        <v>35.9</v>
      </c>
      <c r="DI29" s="57">
        <v>191</v>
      </c>
      <c r="DJ29" s="57">
        <v>3409.9</v>
      </c>
      <c r="DK29" s="57">
        <v>22</v>
      </c>
      <c r="DL29" s="57">
        <v>0</v>
      </c>
      <c r="DM29" s="59">
        <v>23.400000000000002</v>
      </c>
    </row>
    <row r="30" spans="1:117" ht="15.75" customHeight="1" x14ac:dyDescent="0.2">
      <c r="A30" s="33">
        <v>28</v>
      </c>
      <c r="B30" s="34" t="s">
        <v>351</v>
      </c>
      <c r="C30" s="116">
        <v>3.8888888888888888</v>
      </c>
      <c r="D30" s="117" t="s">
        <v>463</v>
      </c>
      <c r="E30" s="37">
        <v>5</v>
      </c>
      <c r="F30" s="118">
        <v>37057</v>
      </c>
      <c r="G30" s="119">
        <v>24.301369863013697</v>
      </c>
      <c r="H30" s="39" t="s">
        <v>498</v>
      </c>
      <c r="I30" s="119">
        <v>22.882191780821916</v>
      </c>
      <c r="J30" s="120">
        <v>72</v>
      </c>
      <c r="K30" s="120">
        <v>217</v>
      </c>
      <c r="L30" s="120">
        <v>4.68</v>
      </c>
      <c r="M30" s="40">
        <v>0</v>
      </c>
      <c r="N30" s="121">
        <v>0</v>
      </c>
      <c r="O30" s="122">
        <v>0.10207899096787985</v>
      </c>
      <c r="P30" s="122">
        <v>0.15802770276156458</v>
      </c>
      <c r="Q30" s="122">
        <v>0.17885652143733083</v>
      </c>
      <c r="R30" s="122">
        <v>0.21315732525427394</v>
      </c>
      <c r="S30" s="42">
        <v>0.21315732525427394</v>
      </c>
      <c r="T30" s="42">
        <v>0.18118372646613284</v>
      </c>
      <c r="U30" s="42">
        <v>8.004206590324843E-2</v>
      </c>
      <c r="V30" s="42">
        <v>3.9486262936946674E-2</v>
      </c>
      <c r="W30" s="42">
        <v>5.9764164420097549E-2</v>
      </c>
      <c r="X30" s="43">
        <v>5.0799539757082915E-2</v>
      </c>
      <c r="Y30" s="44">
        <v>20.224657534246575</v>
      </c>
      <c r="Z30" s="170">
        <v>90.47035973952778</v>
      </c>
      <c r="AA30" s="45">
        <v>29.427276234567902</v>
      </c>
      <c r="AB30" s="45">
        <v>0.21348314606741572</v>
      </c>
      <c r="AC30" s="45">
        <v>5.606741573033708</v>
      </c>
      <c r="AD30" s="45">
        <v>85.1</v>
      </c>
      <c r="AE30" s="45">
        <v>3.51</v>
      </c>
      <c r="AF30" s="45">
        <v>35.200000000000003</v>
      </c>
      <c r="AG30" s="128">
        <v>3</v>
      </c>
      <c r="AH30" s="49">
        <v>5</v>
      </c>
      <c r="AI30" s="49">
        <v>4</v>
      </c>
      <c r="AJ30" s="49">
        <v>2</v>
      </c>
      <c r="AK30" s="49">
        <v>4</v>
      </c>
      <c r="AL30" s="49">
        <v>3</v>
      </c>
      <c r="AM30" s="49">
        <v>2</v>
      </c>
      <c r="AN30" s="49">
        <v>2</v>
      </c>
      <c r="AO30" s="49">
        <v>0</v>
      </c>
      <c r="AP30" s="50">
        <v>0.25</v>
      </c>
      <c r="AQ30" s="56"/>
      <c r="AR30" s="57">
        <v>1</v>
      </c>
      <c r="AS30" s="57"/>
      <c r="AT30" s="57"/>
      <c r="AU30" s="57"/>
      <c r="AV30" s="57"/>
      <c r="AW30" s="58"/>
      <c r="AX30" s="57"/>
      <c r="AY30" s="57"/>
      <c r="AZ30" s="57"/>
      <c r="BA30" s="57"/>
      <c r="BB30" s="57">
        <v>1</v>
      </c>
      <c r="BC30" s="57"/>
      <c r="BD30" s="57"/>
      <c r="BE30" s="59"/>
      <c r="BF30" s="56">
        <v>225</v>
      </c>
      <c r="BG30" s="57">
        <v>482.9</v>
      </c>
      <c r="BH30" s="57">
        <v>4</v>
      </c>
      <c r="BI30" s="57">
        <v>7.6999999999999993</v>
      </c>
      <c r="BJ30" s="57">
        <v>51</v>
      </c>
      <c r="BK30" s="57">
        <v>17</v>
      </c>
      <c r="BL30" s="57">
        <v>4.4117647058823533</v>
      </c>
      <c r="BM30" s="57">
        <v>78.3</v>
      </c>
      <c r="BN30" s="57">
        <v>2.96</v>
      </c>
      <c r="BO30" s="57">
        <v>0</v>
      </c>
      <c r="BP30" s="57">
        <v>157</v>
      </c>
      <c r="BQ30" s="57">
        <v>3259.3</v>
      </c>
      <c r="BR30" s="57">
        <v>36</v>
      </c>
      <c r="BS30" s="57">
        <v>0</v>
      </c>
      <c r="BT30" s="59">
        <v>16.5</v>
      </c>
      <c r="BU30" s="56">
        <v>485</v>
      </c>
      <c r="BV30" s="57">
        <v>821.6</v>
      </c>
      <c r="BW30" s="57">
        <v>4</v>
      </c>
      <c r="BX30" s="57">
        <v>10.4</v>
      </c>
      <c r="BY30" s="57">
        <v>89</v>
      </c>
      <c r="BZ30" s="57">
        <v>14</v>
      </c>
      <c r="CA30" s="57">
        <v>5.4494382022471912</v>
      </c>
      <c r="CB30" s="57">
        <v>61.9</v>
      </c>
      <c r="CC30" s="57">
        <v>2.89</v>
      </c>
      <c r="CD30" s="57">
        <v>21.4</v>
      </c>
      <c r="CE30" s="57">
        <v>422</v>
      </c>
      <c r="CF30" s="57">
        <v>4917.9000000000005</v>
      </c>
      <c r="CG30" s="57">
        <v>65</v>
      </c>
      <c r="CH30" s="57">
        <v>1</v>
      </c>
      <c r="CI30" s="59">
        <v>36.4</v>
      </c>
      <c r="CJ30" s="56">
        <v>499</v>
      </c>
      <c r="CK30" s="57">
        <v>898.7</v>
      </c>
      <c r="CL30" s="57">
        <v>3</v>
      </c>
      <c r="CM30" s="57">
        <v>9.9</v>
      </c>
      <c r="CN30" s="57">
        <v>89</v>
      </c>
      <c r="CO30" s="57">
        <v>19</v>
      </c>
      <c r="CP30" s="57">
        <v>5.606741573033708</v>
      </c>
      <c r="CQ30" s="57">
        <v>85.1</v>
      </c>
      <c r="CR30" s="57">
        <v>3.51</v>
      </c>
      <c r="CS30" s="57">
        <v>32.299999999999997</v>
      </c>
      <c r="CT30" s="57">
        <v>274</v>
      </c>
      <c r="CU30" s="57">
        <v>3423.2</v>
      </c>
      <c r="CV30" s="57">
        <v>47</v>
      </c>
      <c r="CW30" s="57">
        <v>0</v>
      </c>
      <c r="CX30" s="59">
        <v>30.799999999999997</v>
      </c>
      <c r="CY30" s="56">
        <v>1189</v>
      </c>
      <c r="CZ30" s="57">
        <v>1657.6000000000001</v>
      </c>
      <c r="DA30" s="57">
        <v>16</v>
      </c>
      <c r="DB30" s="57">
        <v>26.599999999999998</v>
      </c>
      <c r="DC30" s="57">
        <v>233</v>
      </c>
      <c r="DD30" s="57">
        <v>43</v>
      </c>
      <c r="DE30" s="57">
        <v>5.1030042918454939</v>
      </c>
      <c r="DF30" s="57">
        <v>54.9</v>
      </c>
      <c r="DG30" s="58">
        <v>3</v>
      </c>
      <c r="DH30" s="57">
        <v>35.200000000000003</v>
      </c>
      <c r="DI30" s="57">
        <v>190</v>
      </c>
      <c r="DJ30" s="57">
        <v>4811.8</v>
      </c>
      <c r="DK30" s="57">
        <v>24</v>
      </c>
      <c r="DL30" s="57">
        <v>0</v>
      </c>
      <c r="DM30" s="59">
        <v>35</v>
      </c>
    </row>
    <row r="31" spans="1:117" ht="15.75" customHeight="1" x14ac:dyDescent="0.2">
      <c r="A31" s="33">
        <v>29</v>
      </c>
      <c r="B31" s="34" t="s">
        <v>360</v>
      </c>
      <c r="C31" s="116">
        <v>2.8388888888888886</v>
      </c>
      <c r="D31" s="117" t="s">
        <v>438</v>
      </c>
      <c r="E31" s="37">
        <v>4</v>
      </c>
      <c r="F31" s="118">
        <v>36390</v>
      </c>
      <c r="G31" s="119">
        <v>26.12876712328767</v>
      </c>
      <c r="H31" s="39" t="s">
        <v>469</v>
      </c>
      <c r="I31" s="119">
        <v>24.709589041095889</v>
      </c>
      <c r="J31" s="120">
        <v>69</v>
      </c>
      <c r="K31" s="120">
        <v>193</v>
      </c>
      <c r="L31" s="120">
        <v>4.5599999999999996</v>
      </c>
      <c r="M31" s="40">
        <v>0</v>
      </c>
      <c r="N31" s="121">
        <v>0.12164216928535225</v>
      </c>
      <c r="O31" s="122">
        <v>0.13318256062319386</v>
      </c>
      <c r="P31" s="122">
        <v>8.8053130363405716E-2</v>
      </c>
      <c r="Q31" s="122">
        <v>3.3906010266512611E-2</v>
      </c>
      <c r="R31" s="122">
        <v>0.2536923447547394</v>
      </c>
      <c r="S31" s="42">
        <v>0.2536923447547394</v>
      </c>
      <c r="T31" s="42">
        <v>0.22832311027926547</v>
      </c>
      <c r="U31" s="42">
        <v>3.1817331087404081E-2</v>
      </c>
      <c r="V31" s="42">
        <v>7.9979192405227911E-2</v>
      </c>
      <c r="W31" s="42">
        <v>7.9979192405227911E-2</v>
      </c>
      <c r="X31" s="43">
        <v>7.1981273164705123E-2</v>
      </c>
      <c r="Y31" s="44">
        <v>24.063013698630137</v>
      </c>
      <c r="Z31" s="170">
        <v>89.274604322223936</v>
      </c>
      <c r="AA31" s="45">
        <v>28.498004620877968</v>
      </c>
      <c r="AB31" s="45">
        <v>0.23239436619718309</v>
      </c>
      <c r="AC31" s="45">
        <v>6.2</v>
      </c>
      <c r="AD31" s="45">
        <v>73.599999999999994</v>
      </c>
      <c r="AE31" s="45">
        <v>3.29</v>
      </c>
      <c r="AF31" s="45">
        <v>48.2</v>
      </c>
      <c r="AG31" s="128">
        <v>4</v>
      </c>
      <c r="AH31" s="49">
        <v>7</v>
      </c>
      <c r="AI31" s="49">
        <v>0</v>
      </c>
      <c r="AJ31" s="49">
        <v>2</v>
      </c>
      <c r="AK31" s="49">
        <v>5</v>
      </c>
      <c r="AL31" s="49">
        <v>5</v>
      </c>
      <c r="AM31" s="49">
        <v>1</v>
      </c>
      <c r="AN31" s="49">
        <v>1</v>
      </c>
      <c r="AO31" s="49">
        <v>0</v>
      </c>
      <c r="AP31" s="50">
        <v>0</v>
      </c>
      <c r="AQ31" s="56">
        <v>105</v>
      </c>
      <c r="AR31" s="57">
        <v>616</v>
      </c>
      <c r="AS31" s="57">
        <v>1</v>
      </c>
      <c r="AT31" s="57">
        <v>5.2</v>
      </c>
      <c r="AU31" s="57">
        <v>15</v>
      </c>
      <c r="AV31" s="57">
        <v>4</v>
      </c>
      <c r="AW31" s="57">
        <v>7</v>
      </c>
      <c r="AX31" s="57">
        <v>153.69999999999999</v>
      </c>
      <c r="AY31" s="57">
        <v>3.73</v>
      </c>
      <c r="AZ31" s="57">
        <v>33.299999999999997</v>
      </c>
      <c r="BA31" s="57">
        <v>87</v>
      </c>
      <c r="BB31" s="57">
        <v>962.4</v>
      </c>
      <c r="BC31" s="57">
        <v>2</v>
      </c>
      <c r="BD31" s="57">
        <v>0</v>
      </c>
      <c r="BE31" s="59">
        <v>7.6</v>
      </c>
      <c r="BF31" s="56">
        <v>66</v>
      </c>
      <c r="BG31" s="57">
        <v>276</v>
      </c>
      <c r="BH31" s="57">
        <v>0</v>
      </c>
      <c r="BI31" s="57">
        <v>1.5</v>
      </c>
      <c r="BJ31" s="57">
        <v>28</v>
      </c>
      <c r="BK31" s="57">
        <v>3</v>
      </c>
      <c r="BL31" s="57">
        <v>2.4</v>
      </c>
      <c r="BM31" s="57">
        <v>33.1</v>
      </c>
      <c r="BN31" s="57">
        <v>2.25</v>
      </c>
      <c r="BO31" s="57">
        <v>0</v>
      </c>
      <c r="BP31" s="57">
        <v>40</v>
      </c>
      <c r="BQ31" s="57">
        <v>519.90000000000009</v>
      </c>
      <c r="BR31" s="57">
        <v>6</v>
      </c>
      <c r="BS31" s="57">
        <v>0</v>
      </c>
      <c r="BT31" s="59">
        <v>4.1999999999999993</v>
      </c>
      <c r="BU31" s="56">
        <v>94</v>
      </c>
      <c r="BV31" s="57">
        <v>630.59999999999991</v>
      </c>
      <c r="BW31" s="57">
        <v>0</v>
      </c>
      <c r="BX31" s="57">
        <v>6.6000000000000005</v>
      </c>
      <c r="BY31" s="57">
        <v>14</v>
      </c>
      <c r="BZ31" s="57">
        <v>2</v>
      </c>
      <c r="CA31" s="57">
        <v>6.7</v>
      </c>
      <c r="CB31" s="57">
        <v>59</v>
      </c>
      <c r="CC31" s="57">
        <v>4.43</v>
      </c>
      <c r="CD31" s="57">
        <v>38.299999999999997</v>
      </c>
      <c r="CE31" s="57">
        <v>24</v>
      </c>
      <c r="CF31" s="57">
        <v>709.5</v>
      </c>
      <c r="CG31" s="57">
        <v>1</v>
      </c>
      <c r="CH31" s="57">
        <v>0</v>
      </c>
      <c r="CI31" s="59">
        <v>4.8000000000000007</v>
      </c>
      <c r="CJ31" s="56">
        <v>94</v>
      </c>
      <c r="CK31" s="57">
        <v>2607.7999999999997</v>
      </c>
      <c r="CL31" s="57">
        <v>4</v>
      </c>
      <c r="CM31" s="57">
        <v>24.7</v>
      </c>
      <c r="CN31" s="57">
        <v>142</v>
      </c>
      <c r="CO31" s="57">
        <v>33</v>
      </c>
      <c r="CP31" s="57">
        <v>5.7</v>
      </c>
      <c r="CQ31" s="57">
        <v>73.599999999999994</v>
      </c>
      <c r="CR31" s="57">
        <v>3.29</v>
      </c>
      <c r="CS31" s="57">
        <v>48.2</v>
      </c>
      <c r="CT31" s="57">
        <v>85</v>
      </c>
      <c r="CU31" s="57">
        <v>2671.5</v>
      </c>
      <c r="CV31" s="57">
        <v>10</v>
      </c>
      <c r="CW31" s="57">
        <v>0</v>
      </c>
      <c r="CX31" s="59">
        <v>13</v>
      </c>
      <c r="CY31" s="56">
        <v>1123</v>
      </c>
      <c r="CZ31" s="57">
        <v>2320.5</v>
      </c>
      <c r="DA31" s="57">
        <v>13</v>
      </c>
      <c r="DB31" s="57">
        <v>28.6</v>
      </c>
      <c r="DC31" s="57">
        <v>181</v>
      </c>
      <c r="DD31" s="57">
        <v>32</v>
      </c>
      <c r="DE31" s="57">
        <v>6.2</v>
      </c>
      <c r="DF31" s="57">
        <v>60</v>
      </c>
      <c r="DG31" s="58">
        <v>3.19</v>
      </c>
      <c r="DH31" s="57">
        <v>44.9</v>
      </c>
      <c r="DI31" s="57">
        <v>246</v>
      </c>
      <c r="DJ31" s="57">
        <v>3075.7999999999997</v>
      </c>
      <c r="DK31" s="57">
        <v>21</v>
      </c>
      <c r="DL31" s="57">
        <v>1</v>
      </c>
      <c r="DM31" s="59">
        <v>20.8</v>
      </c>
    </row>
    <row r="32" spans="1:117" ht="15.75" customHeight="1" thickBot="1" x14ac:dyDescent="0.25">
      <c r="A32" s="60">
        <v>30</v>
      </c>
      <c r="B32" s="62" t="s">
        <v>589</v>
      </c>
      <c r="C32" s="134">
        <v>1.4777777777777779</v>
      </c>
      <c r="D32" s="135" t="s">
        <v>422</v>
      </c>
      <c r="E32" s="66">
        <v>2</v>
      </c>
      <c r="F32" s="186">
        <v>36678</v>
      </c>
      <c r="G32" s="137">
        <v>25.339726027397262</v>
      </c>
      <c r="H32" s="68" t="s">
        <v>469</v>
      </c>
      <c r="I32" s="137">
        <v>23.920547945205481</v>
      </c>
      <c r="J32" s="138">
        <v>68</v>
      </c>
      <c r="K32" s="138">
        <v>185</v>
      </c>
      <c r="L32" s="138">
        <v>4.55</v>
      </c>
      <c r="M32" s="69">
        <v>0</v>
      </c>
      <c r="N32" s="207">
        <v>7.4040834642135969E-2</v>
      </c>
      <c r="O32" s="208">
        <v>0.17253961634695578</v>
      </c>
      <c r="P32" s="208">
        <v>0.2074996294649474</v>
      </c>
      <c r="Q32" s="208">
        <v>0.31263796909492275</v>
      </c>
      <c r="R32" s="208">
        <v>8.2087072116982393E-2</v>
      </c>
      <c r="S32" s="71">
        <v>0.19736252060595258</v>
      </c>
      <c r="T32" s="71">
        <v>0.19736252060595258</v>
      </c>
      <c r="U32" s="71">
        <v>5.5823777911888958E-2</v>
      </c>
      <c r="V32" s="71">
        <v>3.4867503486750349E-3</v>
      </c>
      <c r="W32" s="71">
        <v>2.9655264130281998E-2</v>
      </c>
      <c r="X32" s="72">
        <v>2.9655264130281998E-2</v>
      </c>
      <c r="Y32" s="73">
        <v>20.265753424657536</v>
      </c>
      <c r="Z32" s="172">
        <v>86.328886136734383</v>
      </c>
      <c r="AA32" s="74">
        <v>28.126081314878896</v>
      </c>
      <c r="AB32" s="74">
        <v>0.18571428571428572</v>
      </c>
      <c r="AC32" s="74">
        <v>4.8666666666666663</v>
      </c>
      <c r="AD32" s="74">
        <v>59.6</v>
      </c>
      <c r="AE32" s="74">
        <v>3.27</v>
      </c>
      <c r="AF32" s="75">
        <v>49.3</v>
      </c>
      <c r="AG32" s="142">
        <v>3</v>
      </c>
      <c r="AH32" s="78">
        <v>3</v>
      </c>
      <c r="AI32" s="78">
        <v>4</v>
      </c>
      <c r="AJ32" s="78">
        <v>1</v>
      </c>
      <c r="AK32" s="78">
        <v>2</v>
      </c>
      <c r="AL32" s="215">
        <v>0</v>
      </c>
      <c r="AM32" s="78">
        <v>0</v>
      </c>
      <c r="AN32" s="78">
        <v>1</v>
      </c>
      <c r="AO32" s="78">
        <v>0</v>
      </c>
      <c r="AP32" s="79">
        <v>0</v>
      </c>
      <c r="AQ32" s="80">
        <v>384</v>
      </c>
      <c r="AR32" s="81">
        <v>2666.2999999999997</v>
      </c>
      <c r="AS32" s="81">
        <v>5</v>
      </c>
      <c r="AT32" s="81">
        <v>35.1</v>
      </c>
      <c r="AU32" s="81">
        <v>68</v>
      </c>
      <c r="AV32" s="81">
        <v>16</v>
      </c>
      <c r="AW32" s="82">
        <v>5.6470588235294121</v>
      </c>
      <c r="AX32" s="81">
        <v>75.8</v>
      </c>
      <c r="AY32" s="81">
        <v>3.12</v>
      </c>
      <c r="AZ32" s="81">
        <v>40.6</v>
      </c>
      <c r="BA32" s="81">
        <v>45</v>
      </c>
      <c r="BB32" s="81">
        <v>3127.7999999999997</v>
      </c>
      <c r="BC32" s="81">
        <v>6</v>
      </c>
      <c r="BD32" s="81">
        <v>0</v>
      </c>
      <c r="BE32" s="83">
        <v>20.8</v>
      </c>
      <c r="BF32" s="80">
        <v>263</v>
      </c>
      <c r="BG32" s="81">
        <v>783.2</v>
      </c>
      <c r="BH32" s="81">
        <v>2</v>
      </c>
      <c r="BI32" s="81">
        <v>9.1999999999999993</v>
      </c>
      <c r="BJ32" s="81">
        <v>40</v>
      </c>
      <c r="BK32" s="81">
        <v>11</v>
      </c>
      <c r="BL32" s="82">
        <v>6.5750000000000002</v>
      </c>
      <c r="BM32" s="81">
        <v>74.099999999999994</v>
      </c>
      <c r="BN32" s="81">
        <v>3.15</v>
      </c>
      <c r="BO32" s="81">
        <v>31.2</v>
      </c>
      <c r="BP32" s="81">
        <v>68</v>
      </c>
      <c r="BQ32" s="81">
        <v>1135.2</v>
      </c>
      <c r="BR32" s="81">
        <v>11</v>
      </c>
      <c r="BS32" s="81">
        <v>0</v>
      </c>
      <c r="BT32" s="83">
        <v>12</v>
      </c>
      <c r="BU32" s="80">
        <v>1146</v>
      </c>
      <c r="BV32" s="81">
        <v>2775.5</v>
      </c>
      <c r="BW32" s="81">
        <v>9</v>
      </c>
      <c r="BX32" s="81">
        <v>31.2</v>
      </c>
      <c r="BY32" s="81">
        <v>177</v>
      </c>
      <c r="BZ32" s="81">
        <v>28</v>
      </c>
      <c r="CA32" s="82">
        <v>6.4745762711864403</v>
      </c>
      <c r="CB32" s="81">
        <v>47.9</v>
      </c>
      <c r="CC32" s="81">
        <v>3.27</v>
      </c>
      <c r="CD32" s="81">
        <v>41</v>
      </c>
      <c r="CE32" s="81">
        <v>114</v>
      </c>
      <c r="CF32" s="81">
        <v>3296.7999999999997</v>
      </c>
      <c r="CG32" s="81">
        <v>14</v>
      </c>
      <c r="CH32" s="81">
        <v>2</v>
      </c>
      <c r="CI32" s="83">
        <v>23.400000000000002</v>
      </c>
      <c r="CJ32" s="80">
        <v>1022</v>
      </c>
      <c r="CK32" s="81">
        <v>1635.6000000000001</v>
      </c>
      <c r="CL32" s="81">
        <v>7</v>
      </c>
      <c r="CM32" s="81">
        <v>14.399999999999999</v>
      </c>
      <c r="CN32" s="81">
        <v>210</v>
      </c>
      <c r="CO32" s="81">
        <v>39</v>
      </c>
      <c r="CP32" s="82">
        <v>4.8666666666666663</v>
      </c>
      <c r="CQ32" s="81">
        <v>59.6</v>
      </c>
      <c r="CR32" s="82">
        <v>3.23</v>
      </c>
      <c r="CS32" s="81">
        <v>49.3</v>
      </c>
      <c r="CT32" s="81">
        <v>111</v>
      </c>
      <c r="CU32" s="81">
        <v>1988.3999999999999</v>
      </c>
      <c r="CV32" s="81">
        <v>12</v>
      </c>
      <c r="CW32" s="81">
        <v>1</v>
      </c>
      <c r="CX32" s="83">
        <v>9.6000000000000014</v>
      </c>
      <c r="CY32" s="80">
        <v>242</v>
      </c>
      <c r="CZ32" s="81">
        <v>1575</v>
      </c>
      <c r="DA32" s="81">
        <v>0</v>
      </c>
      <c r="DB32" s="81">
        <v>10</v>
      </c>
      <c r="DC32" s="81">
        <v>61</v>
      </c>
      <c r="DD32" s="81">
        <v>11</v>
      </c>
      <c r="DE32" s="81">
        <v>4</v>
      </c>
      <c r="DF32" s="81">
        <v>35.799999999999997</v>
      </c>
      <c r="DG32" s="82">
        <v>2.11</v>
      </c>
      <c r="DH32" s="81">
        <v>7.9</v>
      </c>
      <c r="DI32" s="81">
        <v>5</v>
      </c>
      <c r="DJ32" s="81">
        <v>1434</v>
      </c>
      <c r="DK32" s="81">
        <v>4</v>
      </c>
      <c r="DL32" s="81">
        <v>0</v>
      </c>
      <c r="DM32" s="83">
        <v>12</v>
      </c>
    </row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</sheetData>
  <autoFilter ref="A2:DM2" xr:uid="{00000000-0009-0000-0000-00000F000000}">
    <sortState xmlns:xlrd2="http://schemas.microsoft.com/office/spreadsheetml/2017/richdata2" ref="A3:DM32">
      <sortCondition ref="A2"/>
    </sortState>
  </autoFilter>
  <mergeCells count="10">
    <mergeCell ref="BU1:CI1"/>
    <mergeCell ref="CJ1:CX1"/>
    <mergeCell ref="CY1:DM1"/>
    <mergeCell ref="A1:C1"/>
    <mergeCell ref="D1:M1"/>
    <mergeCell ref="N1:X1"/>
    <mergeCell ref="Y1:AF1"/>
    <mergeCell ref="AG1:AP1"/>
    <mergeCell ref="AQ1:BE1"/>
    <mergeCell ref="BF1:BT1"/>
  </mergeCells>
  <conditionalFormatting sqref="B3:B32">
    <cfRule type="expression" dxfId="43" priority="4" stopIfTrue="1">
      <formula>C3&gt;=13</formula>
    </cfRule>
    <cfRule type="expression" dxfId="42" priority="5">
      <formula>AND(C3&gt;=12,C3&lt;13)</formula>
    </cfRule>
    <cfRule type="expression" dxfId="41" priority="6" stopIfTrue="1">
      <formula>AND(C3&gt;=11,C3&lt;12)</formula>
    </cfRule>
    <cfRule type="expression" dxfId="40" priority="7">
      <formula>AND(C3&gt;=9,C3&lt;11)</formula>
    </cfRule>
    <cfRule type="expression" dxfId="39" priority="8">
      <formula>AND(C3&gt;=7,C3&lt;9)</formula>
    </cfRule>
    <cfRule type="expression" dxfId="38" priority="9" stopIfTrue="1">
      <formula>AND(C3&gt;=6,C3&lt;7)</formula>
    </cfRule>
    <cfRule type="expression" dxfId="37" priority="10" stopIfTrue="1">
      <formula>AND(C3&gt;=5,C3&lt;6)</formula>
    </cfRule>
    <cfRule type="expression" dxfId="36" priority="11">
      <formula>C3&lt;5</formula>
    </cfRule>
  </conditionalFormatting>
  <conditionalFormatting sqref="C3:C3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H32">
    <cfRule type="containsText" dxfId="35" priority="13" operator="containsText" text="SR">
      <formula>NOT(ISERROR(SEARCH(("SR"),(H3))))</formula>
    </cfRule>
  </conditionalFormatting>
  <conditionalFormatting sqref="N3:R32">
    <cfRule type="cellIs" dxfId="34" priority="1" stopIfTrue="1" operator="between">
      <formula>0.15</formula>
      <formula>0.199</formula>
    </cfRule>
    <cfRule type="cellIs" dxfId="33" priority="2" operator="equal">
      <formula>0</formula>
    </cfRule>
    <cfRule type="colorScale" priority="3">
      <colorScale>
        <cfvo type="formula" val="0.1499"/>
        <cfvo type="formula" val="0.15"/>
        <cfvo type="formula" val="0.4"/>
        <color rgb="FFFACACA"/>
        <color rgb="FFC0E399"/>
        <color rgb="FF63BE7B"/>
      </colorScale>
    </cfRule>
  </conditionalFormatting>
  <conditionalFormatting sqref="S3:T26">
    <cfRule type="colorScale" priority="20">
      <colorScale>
        <cfvo type="formula" val="0.1499"/>
        <cfvo type="formula" val="0.15"/>
        <cfvo type="formula" val="0.4"/>
        <color rgb="FFFACACA"/>
        <color rgb="FFCEF9B9"/>
        <color rgb="FF00B050"/>
      </colorScale>
    </cfRule>
  </conditionalFormatting>
  <conditionalFormatting sqref="S27:T32">
    <cfRule type="colorScale" priority="21">
      <colorScale>
        <cfvo type="formula" val="0.1499"/>
        <cfvo type="formula" val="0.15"/>
        <cfvo type="formula" val="0.4"/>
        <color rgb="FFFACACA"/>
        <color rgb="FFCEF9B9"/>
        <color rgb="FF00B050"/>
      </colorScale>
    </cfRule>
  </conditionalFormatting>
  <conditionalFormatting sqref="U3:V32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:W3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:X32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S1000"/>
  <sheetViews>
    <sheetView zoomScale="80" zoomScaleNormal="80" workbookViewId="0">
      <selection sqref="A1:XFD1048576"/>
    </sheetView>
  </sheetViews>
  <sheetFormatPr baseColWidth="10" defaultColWidth="14.5" defaultRowHeight="15" customHeight="1" x14ac:dyDescent="0.2"/>
  <cols>
    <col min="1" max="1" width="8.5" customWidth="1"/>
    <col min="2" max="2" width="22.5" bestFit="1" customWidth="1"/>
    <col min="3" max="3" width="12" customWidth="1"/>
    <col min="4" max="4" width="17" customWidth="1"/>
    <col min="5" max="5" width="10.83203125" customWidth="1"/>
    <col min="6" max="6" width="11.5" customWidth="1"/>
    <col min="7" max="7" width="7.5" customWidth="1"/>
    <col min="8" max="8" width="8" customWidth="1"/>
    <col min="9" max="9" width="12.6640625" customWidth="1"/>
    <col min="10" max="10" width="10" customWidth="1"/>
    <col min="11" max="11" width="10.5" customWidth="1"/>
    <col min="12" max="12" width="11.33203125" customWidth="1"/>
    <col min="13" max="13" width="12.5" customWidth="1"/>
    <col min="14" max="20" width="9.83203125" customWidth="1"/>
    <col min="21" max="22" width="11" customWidth="1"/>
    <col min="23" max="23" width="10" customWidth="1"/>
    <col min="24" max="24" width="11" customWidth="1"/>
    <col min="25" max="25" width="9.33203125" customWidth="1"/>
    <col min="26" max="26" width="9.5" customWidth="1"/>
    <col min="27" max="27" width="7.6640625" customWidth="1"/>
    <col min="28" max="28" width="10.1640625" customWidth="1"/>
    <col min="29" max="29" width="7.33203125" customWidth="1"/>
    <col min="30" max="30" width="7.5" customWidth="1"/>
    <col min="31" max="31" width="9.83203125" customWidth="1"/>
    <col min="32" max="32" width="11.5" customWidth="1"/>
    <col min="33" max="33" width="10.83203125" customWidth="1"/>
    <col min="34" max="34" width="11" customWidth="1"/>
    <col min="35" max="35" width="10.33203125" customWidth="1"/>
    <col min="36" max="36" width="10.5" customWidth="1"/>
    <col min="37" max="37" width="10.1640625" customWidth="1"/>
    <col min="38" max="39" width="8.5" customWidth="1"/>
    <col min="40" max="40" width="10.83203125" customWidth="1"/>
    <col min="41" max="41" width="7.6640625" customWidth="1"/>
    <col min="42" max="42" width="9.5" customWidth="1"/>
    <col min="43" max="43" width="12" customWidth="1"/>
    <col min="44" max="44" width="12.6640625" customWidth="1"/>
    <col min="45" max="45" width="12.33203125" customWidth="1"/>
    <col min="46" max="46" width="12.1640625" customWidth="1"/>
    <col min="47" max="47" width="6.6640625" customWidth="1"/>
    <col min="48" max="48" width="8" customWidth="1"/>
    <col min="49" max="49" width="7.33203125" customWidth="1"/>
    <col min="50" max="50" width="7.5" customWidth="1"/>
    <col min="51" max="51" width="9.83203125" customWidth="1"/>
    <col min="52" max="52" width="11.5" customWidth="1"/>
    <col min="53" max="53" width="10.83203125" customWidth="1"/>
    <col min="54" max="54" width="12.6640625" customWidth="1"/>
    <col min="55" max="55" width="8.1640625" customWidth="1"/>
    <col min="56" max="56" width="11.33203125" customWidth="1"/>
    <col min="57" max="57" width="13" customWidth="1"/>
    <col min="58" max="58" width="12" customWidth="1"/>
    <col min="59" max="59" width="12.6640625" customWidth="1"/>
    <col min="60" max="60" width="12.33203125" customWidth="1"/>
    <col min="61" max="61" width="12.1640625" customWidth="1"/>
    <col min="62" max="62" width="6.6640625" customWidth="1"/>
    <col min="63" max="63" width="8" customWidth="1"/>
    <col min="64" max="64" width="7.33203125" customWidth="1"/>
    <col min="65" max="65" width="7.5" customWidth="1"/>
    <col min="66" max="66" width="9.83203125" customWidth="1"/>
    <col min="67" max="67" width="11.5" customWidth="1"/>
    <col min="68" max="68" width="10.83203125" customWidth="1"/>
    <col min="69" max="69" width="12.6640625" customWidth="1"/>
    <col min="70" max="70" width="8.1640625" customWidth="1"/>
    <col min="71" max="71" width="11.33203125" customWidth="1"/>
    <col min="72" max="72" width="13" customWidth="1"/>
    <col min="73" max="73" width="12" customWidth="1"/>
    <col min="74" max="74" width="12.6640625" customWidth="1"/>
    <col min="75" max="75" width="12.33203125" customWidth="1"/>
    <col min="76" max="76" width="12.1640625" customWidth="1"/>
    <col min="77" max="77" width="6.6640625" customWidth="1"/>
    <col min="78" max="78" width="8" customWidth="1"/>
    <col min="79" max="79" width="7.33203125" customWidth="1"/>
    <col min="80" max="80" width="7.5" customWidth="1"/>
    <col min="81" max="81" width="9.83203125" customWidth="1"/>
    <col min="82" max="82" width="11.5" customWidth="1"/>
    <col min="83" max="83" width="10.83203125" customWidth="1"/>
    <col min="84" max="84" width="12.6640625" customWidth="1"/>
    <col min="85" max="85" width="8.1640625" customWidth="1"/>
    <col min="86" max="86" width="11.33203125" customWidth="1"/>
    <col min="87" max="87" width="13" customWidth="1"/>
    <col min="88" max="88" width="12" customWidth="1"/>
    <col min="89" max="89" width="12.6640625" customWidth="1"/>
    <col min="90" max="90" width="12.33203125" customWidth="1"/>
    <col min="91" max="91" width="12.1640625" customWidth="1"/>
    <col min="92" max="92" width="6.6640625" customWidth="1"/>
    <col min="93" max="93" width="8" customWidth="1"/>
    <col min="94" max="94" width="7.33203125" customWidth="1"/>
    <col min="95" max="95" width="7.5" customWidth="1"/>
    <col min="96" max="96" width="9.83203125" customWidth="1"/>
    <col min="97" max="97" width="11.5" customWidth="1"/>
    <col min="98" max="98" width="10.83203125" customWidth="1"/>
    <col min="99" max="99" width="12.6640625" customWidth="1"/>
    <col min="100" max="100" width="8.1640625" customWidth="1"/>
    <col min="101" max="101" width="11.33203125" customWidth="1"/>
    <col min="102" max="102" width="13" customWidth="1"/>
    <col min="103" max="103" width="12" customWidth="1"/>
    <col min="104" max="104" width="12.6640625" customWidth="1"/>
    <col min="105" max="105" width="12.33203125" customWidth="1"/>
    <col min="106" max="106" width="12.1640625" customWidth="1"/>
    <col min="107" max="107" width="6.6640625" customWidth="1"/>
    <col min="108" max="108" width="8" customWidth="1"/>
    <col min="109" max="109" width="7.33203125" customWidth="1"/>
    <col min="110" max="110" width="7.5" customWidth="1"/>
    <col min="111" max="111" width="9.83203125" customWidth="1"/>
    <col min="112" max="112" width="11.5" customWidth="1"/>
    <col min="113" max="113" width="10.83203125" customWidth="1"/>
    <col min="114" max="114" width="12.6640625" customWidth="1"/>
    <col min="115" max="115" width="8.1640625" customWidth="1"/>
    <col min="116" max="116" width="11.33203125" customWidth="1"/>
    <col min="117" max="117" width="13" customWidth="1"/>
    <col min="118" max="118" width="4.5" customWidth="1"/>
    <col min="119" max="119" width="3.5" customWidth="1"/>
    <col min="120" max="120" width="16.5" customWidth="1"/>
    <col min="121" max="121" width="11" customWidth="1"/>
    <col min="122" max="122" width="14.5" customWidth="1"/>
    <col min="123" max="123" width="10.5" customWidth="1"/>
  </cols>
  <sheetData>
    <row r="1" spans="1:123" x14ac:dyDescent="0.2">
      <c r="A1" s="259"/>
      <c r="B1" s="251"/>
      <c r="C1" s="253"/>
      <c r="D1" s="254" t="s">
        <v>156</v>
      </c>
      <c r="E1" s="251"/>
      <c r="F1" s="251"/>
      <c r="G1" s="251"/>
      <c r="H1" s="251"/>
      <c r="I1" s="251"/>
      <c r="J1" s="251"/>
      <c r="K1" s="251"/>
      <c r="L1" s="251"/>
      <c r="M1" s="253"/>
      <c r="N1" s="255" t="s">
        <v>157</v>
      </c>
      <c r="O1" s="251"/>
      <c r="P1" s="251"/>
      <c r="Q1" s="251"/>
      <c r="R1" s="251"/>
      <c r="S1" s="251"/>
      <c r="T1" s="251"/>
      <c r="U1" s="251"/>
      <c r="V1" s="251"/>
      <c r="W1" s="251"/>
      <c r="X1" s="253"/>
      <c r="Y1" s="256" t="s">
        <v>158</v>
      </c>
      <c r="Z1" s="251"/>
      <c r="AA1" s="251"/>
      <c r="AB1" s="251"/>
      <c r="AC1" s="251"/>
      <c r="AD1" s="251"/>
      <c r="AE1" s="251"/>
      <c r="AF1" s="253"/>
      <c r="AG1" s="257" t="s">
        <v>159</v>
      </c>
      <c r="AH1" s="251"/>
      <c r="AI1" s="251"/>
      <c r="AJ1" s="251"/>
      <c r="AK1" s="251"/>
      <c r="AL1" s="251"/>
      <c r="AM1" s="251"/>
      <c r="AN1" s="251"/>
      <c r="AO1" s="251"/>
      <c r="AP1" s="253"/>
      <c r="AQ1" s="247" t="s">
        <v>541</v>
      </c>
      <c r="AR1" s="248"/>
      <c r="AS1" s="248"/>
      <c r="AT1" s="248"/>
      <c r="AU1" s="248"/>
      <c r="AV1" s="248"/>
      <c r="AW1" s="248"/>
      <c r="AX1" s="248"/>
      <c r="AY1" s="248"/>
      <c r="AZ1" s="248"/>
      <c r="BA1" s="248"/>
      <c r="BB1" s="248"/>
      <c r="BC1" s="248"/>
      <c r="BD1" s="248"/>
      <c r="BE1" s="249"/>
      <c r="BF1" s="247" t="s">
        <v>548</v>
      </c>
      <c r="BG1" s="248"/>
      <c r="BH1" s="248"/>
      <c r="BI1" s="248"/>
      <c r="BJ1" s="248"/>
      <c r="BK1" s="248"/>
      <c r="BL1" s="248"/>
      <c r="BM1" s="248"/>
      <c r="BN1" s="248"/>
      <c r="BO1" s="248"/>
      <c r="BP1" s="248"/>
      <c r="BQ1" s="248"/>
      <c r="BR1" s="248"/>
      <c r="BS1" s="248"/>
      <c r="BT1" s="249"/>
      <c r="BU1" s="247" t="s">
        <v>553</v>
      </c>
      <c r="BV1" s="248"/>
      <c r="BW1" s="248"/>
      <c r="BX1" s="248"/>
      <c r="BY1" s="248"/>
      <c r="BZ1" s="248"/>
      <c r="CA1" s="248"/>
      <c r="CB1" s="248"/>
      <c r="CC1" s="248"/>
      <c r="CD1" s="248"/>
      <c r="CE1" s="248"/>
      <c r="CF1" s="248"/>
      <c r="CG1" s="248"/>
      <c r="CH1" s="248"/>
      <c r="CI1" s="249"/>
      <c r="CJ1" s="247" t="s">
        <v>590</v>
      </c>
      <c r="CK1" s="248"/>
      <c r="CL1" s="248"/>
      <c r="CM1" s="248"/>
      <c r="CN1" s="248"/>
      <c r="CO1" s="248"/>
      <c r="CP1" s="248"/>
      <c r="CQ1" s="248"/>
      <c r="CR1" s="248"/>
      <c r="CS1" s="248"/>
      <c r="CT1" s="248"/>
      <c r="CU1" s="248"/>
      <c r="CV1" s="248"/>
      <c r="CW1" s="248"/>
      <c r="CX1" s="249"/>
      <c r="CY1" s="247" t="s">
        <v>592</v>
      </c>
      <c r="CZ1" s="248"/>
      <c r="DA1" s="248"/>
      <c r="DB1" s="248"/>
      <c r="DC1" s="248"/>
      <c r="DD1" s="248"/>
      <c r="DE1" s="248"/>
      <c r="DF1" s="248"/>
      <c r="DG1" s="248"/>
      <c r="DH1" s="248"/>
      <c r="DI1" s="248"/>
      <c r="DJ1" s="248"/>
      <c r="DK1" s="248"/>
      <c r="DL1" s="248"/>
      <c r="DM1" s="249"/>
    </row>
    <row r="2" spans="1:123" ht="16" thickBot="1" x14ac:dyDescent="0.25">
      <c r="A2" s="15" t="s">
        <v>56</v>
      </c>
      <c r="B2" s="16" t="s">
        <v>58</v>
      </c>
      <c r="C2" s="17" t="s">
        <v>2</v>
      </c>
      <c r="D2" s="115" t="s">
        <v>168</v>
      </c>
      <c r="E2" s="19" t="s">
        <v>24</v>
      </c>
      <c r="F2" s="19" t="s">
        <v>28</v>
      </c>
      <c r="G2" s="19" t="s">
        <v>30</v>
      </c>
      <c r="H2" s="19" t="s">
        <v>57</v>
      </c>
      <c r="I2" s="19" t="s">
        <v>34</v>
      </c>
      <c r="J2" s="19" t="s">
        <v>170</v>
      </c>
      <c r="K2" s="19" t="s">
        <v>171</v>
      </c>
      <c r="L2" s="19" t="s">
        <v>172</v>
      </c>
      <c r="M2" s="20" t="s">
        <v>22</v>
      </c>
      <c r="N2" s="21" t="s">
        <v>36</v>
      </c>
      <c r="O2" s="22" t="s">
        <v>38</v>
      </c>
      <c r="P2" s="22" t="s">
        <v>40</v>
      </c>
      <c r="Q2" s="22" t="s">
        <v>42</v>
      </c>
      <c r="R2" s="22" t="s">
        <v>44</v>
      </c>
      <c r="S2" s="22" t="s">
        <v>18</v>
      </c>
      <c r="T2" s="22" t="s">
        <v>20</v>
      </c>
      <c r="U2" s="22" t="s">
        <v>173</v>
      </c>
      <c r="V2" s="22" t="s">
        <v>174</v>
      </c>
      <c r="W2" s="22" t="s">
        <v>175</v>
      </c>
      <c r="X2" s="23" t="s">
        <v>176</v>
      </c>
      <c r="Y2" s="24" t="s">
        <v>177</v>
      </c>
      <c r="Z2" s="25" t="s">
        <v>178</v>
      </c>
      <c r="AA2" s="25" t="s">
        <v>179</v>
      </c>
      <c r="AB2" s="25" t="s">
        <v>180</v>
      </c>
      <c r="AC2" s="25" t="s">
        <v>8</v>
      </c>
      <c r="AD2" s="25" t="s">
        <v>12</v>
      </c>
      <c r="AE2" s="25" t="s">
        <v>10</v>
      </c>
      <c r="AF2" s="26" t="s">
        <v>14</v>
      </c>
      <c r="AG2" s="27" t="s">
        <v>183</v>
      </c>
      <c r="AH2" s="28" t="s">
        <v>176</v>
      </c>
      <c r="AI2" s="28" t="s">
        <v>185</v>
      </c>
      <c r="AJ2" s="28" t="s">
        <v>186</v>
      </c>
      <c r="AK2" s="28" t="s">
        <v>180</v>
      </c>
      <c r="AL2" s="28" t="s">
        <v>187</v>
      </c>
      <c r="AM2" s="28" t="s">
        <v>188</v>
      </c>
      <c r="AN2" s="28" t="s">
        <v>189</v>
      </c>
      <c r="AO2" s="28" t="s">
        <v>26</v>
      </c>
      <c r="AP2" s="29" t="s">
        <v>16</v>
      </c>
      <c r="AQ2" s="30" t="s">
        <v>190</v>
      </c>
      <c r="AR2" s="31" t="s">
        <v>191</v>
      </c>
      <c r="AS2" s="31" t="s">
        <v>192</v>
      </c>
      <c r="AT2" s="31" t="s">
        <v>193</v>
      </c>
      <c r="AU2" s="31" t="s">
        <v>194</v>
      </c>
      <c r="AV2" s="31" t="s">
        <v>195</v>
      </c>
      <c r="AW2" s="31" t="s">
        <v>8</v>
      </c>
      <c r="AX2" s="31" t="s">
        <v>12</v>
      </c>
      <c r="AY2" s="31" t="s">
        <v>10</v>
      </c>
      <c r="AZ2" s="31" t="s">
        <v>14</v>
      </c>
      <c r="BA2" s="31" t="s">
        <v>196</v>
      </c>
      <c r="BB2" s="31" t="s">
        <v>191</v>
      </c>
      <c r="BC2" s="31" t="s">
        <v>197</v>
      </c>
      <c r="BD2" s="31" t="s">
        <v>198</v>
      </c>
      <c r="BE2" s="32" t="s">
        <v>199</v>
      </c>
      <c r="BF2" s="30" t="s">
        <v>190</v>
      </c>
      <c r="BG2" s="31" t="s">
        <v>191</v>
      </c>
      <c r="BH2" s="31" t="s">
        <v>192</v>
      </c>
      <c r="BI2" s="31" t="s">
        <v>193</v>
      </c>
      <c r="BJ2" s="31" t="s">
        <v>194</v>
      </c>
      <c r="BK2" s="31" t="s">
        <v>195</v>
      </c>
      <c r="BL2" s="31" t="s">
        <v>8</v>
      </c>
      <c r="BM2" s="31" t="s">
        <v>12</v>
      </c>
      <c r="BN2" s="31" t="s">
        <v>10</v>
      </c>
      <c r="BO2" s="31" t="s">
        <v>14</v>
      </c>
      <c r="BP2" s="31" t="s">
        <v>196</v>
      </c>
      <c r="BQ2" s="31" t="s">
        <v>191</v>
      </c>
      <c r="BR2" s="31" t="s">
        <v>197</v>
      </c>
      <c r="BS2" s="31" t="s">
        <v>198</v>
      </c>
      <c r="BT2" s="32" t="s">
        <v>199</v>
      </c>
      <c r="BU2" s="30" t="s">
        <v>190</v>
      </c>
      <c r="BV2" s="31" t="s">
        <v>191</v>
      </c>
      <c r="BW2" s="31" t="s">
        <v>192</v>
      </c>
      <c r="BX2" s="31" t="s">
        <v>193</v>
      </c>
      <c r="BY2" s="31" t="s">
        <v>194</v>
      </c>
      <c r="BZ2" s="31" t="s">
        <v>195</v>
      </c>
      <c r="CA2" s="31" t="s">
        <v>8</v>
      </c>
      <c r="CB2" s="31" t="s">
        <v>12</v>
      </c>
      <c r="CC2" s="31" t="s">
        <v>10</v>
      </c>
      <c r="CD2" s="31" t="s">
        <v>14</v>
      </c>
      <c r="CE2" s="31" t="s">
        <v>196</v>
      </c>
      <c r="CF2" s="31" t="s">
        <v>191</v>
      </c>
      <c r="CG2" s="31" t="s">
        <v>197</v>
      </c>
      <c r="CH2" s="31" t="s">
        <v>198</v>
      </c>
      <c r="CI2" s="32" t="s">
        <v>199</v>
      </c>
      <c r="CJ2" s="30" t="s">
        <v>190</v>
      </c>
      <c r="CK2" s="31" t="s">
        <v>191</v>
      </c>
      <c r="CL2" s="31" t="s">
        <v>192</v>
      </c>
      <c r="CM2" s="31" t="s">
        <v>193</v>
      </c>
      <c r="CN2" s="31" t="s">
        <v>194</v>
      </c>
      <c r="CO2" s="31" t="s">
        <v>195</v>
      </c>
      <c r="CP2" s="31" t="s">
        <v>8</v>
      </c>
      <c r="CQ2" s="31" t="s">
        <v>12</v>
      </c>
      <c r="CR2" s="31" t="s">
        <v>10</v>
      </c>
      <c r="CS2" s="31" t="s">
        <v>14</v>
      </c>
      <c r="CT2" s="31" t="s">
        <v>196</v>
      </c>
      <c r="CU2" s="31" t="s">
        <v>191</v>
      </c>
      <c r="CV2" s="31" t="s">
        <v>197</v>
      </c>
      <c r="CW2" s="31" t="s">
        <v>198</v>
      </c>
      <c r="CX2" s="32" t="s">
        <v>199</v>
      </c>
      <c r="CY2" s="30" t="s">
        <v>190</v>
      </c>
      <c r="CZ2" s="31" t="s">
        <v>191</v>
      </c>
      <c r="DA2" s="31" t="s">
        <v>192</v>
      </c>
      <c r="DB2" s="31" t="s">
        <v>193</v>
      </c>
      <c r="DC2" s="31" t="s">
        <v>194</v>
      </c>
      <c r="DD2" s="31" t="s">
        <v>195</v>
      </c>
      <c r="DE2" s="31" t="s">
        <v>8</v>
      </c>
      <c r="DF2" s="31" t="s">
        <v>12</v>
      </c>
      <c r="DG2" s="31" t="s">
        <v>10</v>
      </c>
      <c r="DH2" s="31" t="s">
        <v>14</v>
      </c>
      <c r="DI2" s="31" t="s">
        <v>196</v>
      </c>
      <c r="DJ2" s="31" t="s">
        <v>191</v>
      </c>
      <c r="DK2" s="31" t="s">
        <v>197</v>
      </c>
      <c r="DL2" s="31" t="s">
        <v>198</v>
      </c>
      <c r="DM2" s="32" t="s">
        <v>199</v>
      </c>
      <c r="DN2" s="34"/>
      <c r="DO2" s="34"/>
      <c r="DP2" s="34" t="s">
        <v>379</v>
      </c>
      <c r="DQ2" s="34" t="s">
        <v>380</v>
      </c>
      <c r="DR2" s="34" t="s">
        <v>381</v>
      </c>
      <c r="DS2" s="34" t="s">
        <v>382</v>
      </c>
    </row>
    <row r="3" spans="1:123" x14ac:dyDescent="0.2">
      <c r="A3" s="187">
        <v>1</v>
      </c>
      <c r="B3" s="34" t="s">
        <v>212</v>
      </c>
      <c r="C3" s="116">
        <v>14.388888888888889</v>
      </c>
      <c r="D3" s="117" t="s">
        <v>416</v>
      </c>
      <c r="E3" s="37">
        <v>7</v>
      </c>
      <c r="F3" s="118">
        <v>37957</v>
      </c>
      <c r="G3" s="119">
        <v>21.835616438356166</v>
      </c>
      <c r="H3" s="39" t="s">
        <v>385</v>
      </c>
      <c r="I3" s="39">
        <v>21.416438356164385</v>
      </c>
      <c r="J3" s="37">
        <v>68</v>
      </c>
      <c r="K3" s="37">
        <v>211</v>
      </c>
      <c r="L3" s="37">
        <v>4.42</v>
      </c>
      <c r="M3" s="40">
        <v>1</v>
      </c>
      <c r="N3" s="121">
        <v>0</v>
      </c>
      <c r="O3" s="122">
        <v>0</v>
      </c>
      <c r="P3" s="122">
        <v>0.18120087094512308</v>
      </c>
      <c r="Q3" s="122">
        <v>0.367186305975852</v>
      </c>
      <c r="R3" s="122">
        <v>0.41895330655792995</v>
      </c>
      <c r="S3" s="42">
        <v>0.41895330655792995</v>
      </c>
      <c r="T3" s="42">
        <v>0.31421497991844749</v>
      </c>
      <c r="U3" s="42">
        <v>0.21765326103328811</v>
      </c>
      <c r="V3" s="42">
        <v>4.3693009118541029E-2</v>
      </c>
      <c r="W3" s="42">
        <v>0.13067313507591458</v>
      </c>
      <c r="X3" s="43">
        <v>9.8004851306935925E-2</v>
      </c>
      <c r="Y3" s="44">
        <v>18.772602739726029</v>
      </c>
      <c r="Z3" s="45">
        <v>110.56645198850988</v>
      </c>
      <c r="AA3" s="45">
        <v>32.078935986159166</v>
      </c>
      <c r="AB3" s="45">
        <v>0.40266666666666667</v>
      </c>
      <c r="AC3" s="45">
        <v>6.92</v>
      </c>
      <c r="AD3" s="45">
        <v>215.1</v>
      </c>
      <c r="AE3" s="45">
        <v>5.25</v>
      </c>
      <c r="AF3" s="45">
        <v>52.6</v>
      </c>
      <c r="AG3" s="128">
        <v>8</v>
      </c>
      <c r="AH3" s="49">
        <v>9</v>
      </c>
      <c r="AI3" s="49">
        <v>9</v>
      </c>
      <c r="AJ3" s="49">
        <v>9</v>
      </c>
      <c r="AK3" s="49">
        <v>10</v>
      </c>
      <c r="AL3" s="124">
        <v>7</v>
      </c>
      <c r="AM3" s="49">
        <v>9</v>
      </c>
      <c r="AN3" s="49">
        <v>9</v>
      </c>
      <c r="AO3" s="49">
        <v>10</v>
      </c>
      <c r="AP3" s="50">
        <v>0</v>
      </c>
      <c r="AQ3" s="51"/>
      <c r="AR3" s="52">
        <v>1</v>
      </c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4"/>
      <c r="BF3" s="51"/>
      <c r="BG3" s="52">
        <v>1</v>
      </c>
      <c r="BH3" s="52"/>
      <c r="BI3" s="52"/>
      <c r="BJ3" s="52"/>
      <c r="BK3" s="52"/>
      <c r="BL3" s="53"/>
      <c r="BM3" s="53"/>
      <c r="BN3" s="53"/>
      <c r="BO3" s="53"/>
      <c r="BP3" s="52"/>
      <c r="BQ3" s="52"/>
      <c r="BR3" s="52"/>
      <c r="BS3" s="52"/>
      <c r="BT3" s="54"/>
      <c r="BU3" s="51">
        <v>821</v>
      </c>
      <c r="BV3" s="52">
        <v>2751</v>
      </c>
      <c r="BW3" s="52">
        <v>7</v>
      </c>
      <c r="BX3" s="52">
        <v>26.599999999999998</v>
      </c>
      <c r="BY3" s="52">
        <v>156</v>
      </c>
      <c r="BZ3" s="52">
        <v>49</v>
      </c>
      <c r="CA3" s="235">
        <v>5.2628205128205128</v>
      </c>
      <c r="CB3" s="235">
        <v>122.7</v>
      </c>
      <c r="CC3" s="235">
        <v>3.88</v>
      </c>
      <c r="CD3" s="235">
        <v>38.200000000000003</v>
      </c>
      <c r="CE3" s="52">
        <v>161</v>
      </c>
      <c r="CF3" s="52">
        <v>2668.4</v>
      </c>
      <c r="CG3" s="52">
        <v>15</v>
      </c>
      <c r="CH3" s="52">
        <v>0</v>
      </c>
      <c r="CI3" s="54">
        <v>19.599999999999998</v>
      </c>
      <c r="CJ3" s="51">
        <v>1344</v>
      </c>
      <c r="CK3" s="52">
        <v>2578.8000000000002</v>
      </c>
      <c r="CL3" s="52">
        <v>14</v>
      </c>
      <c r="CM3" s="52">
        <v>28.799999999999997</v>
      </c>
      <c r="CN3" s="52">
        <v>217</v>
      </c>
      <c r="CO3" s="52">
        <v>82</v>
      </c>
      <c r="CP3" s="53">
        <v>6.193548387096774</v>
      </c>
      <c r="CQ3" s="125">
        <v>183.6</v>
      </c>
      <c r="CR3" s="53">
        <v>4.5199999999999996</v>
      </c>
      <c r="CS3" s="125">
        <v>40.6</v>
      </c>
      <c r="CT3" s="52">
        <v>578</v>
      </c>
      <c r="CU3" s="52">
        <v>2655.6000000000004</v>
      </c>
      <c r="CV3" s="52">
        <v>44</v>
      </c>
      <c r="CW3" s="52">
        <v>5</v>
      </c>
      <c r="CX3" s="54">
        <v>16.799999999999997</v>
      </c>
      <c r="CY3" s="51">
        <v>2595</v>
      </c>
      <c r="CZ3" s="52">
        <v>3365</v>
      </c>
      <c r="DA3" s="52">
        <v>29</v>
      </c>
      <c r="DB3" s="52">
        <v>38.400000000000006</v>
      </c>
      <c r="DC3" s="52">
        <v>375</v>
      </c>
      <c r="DD3" s="52">
        <v>151</v>
      </c>
      <c r="DE3" s="53">
        <v>6.92</v>
      </c>
      <c r="DF3" s="125">
        <v>215.1</v>
      </c>
      <c r="DG3" s="53">
        <v>5.25</v>
      </c>
      <c r="DH3" s="53">
        <v>52.6</v>
      </c>
      <c r="DI3" s="52">
        <v>138</v>
      </c>
      <c r="DJ3" s="52">
        <v>3158.4</v>
      </c>
      <c r="DK3" s="52">
        <v>23</v>
      </c>
      <c r="DL3" s="52">
        <v>1</v>
      </c>
      <c r="DM3" s="54">
        <v>20.399999999999999</v>
      </c>
      <c r="DO3" s="11">
        <v>1</v>
      </c>
      <c r="DP3" s="42" t="s">
        <v>386</v>
      </c>
      <c r="DQ3" s="7">
        <v>1</v>
      </c>
      <c r="DR3" s="130">
        <v>44075</v>
      </c>
      <c r="DS3" s="127">
        <v>45774</v>
      </c>
    </row>
    <row r="4" spans="1:123" x14ac:dyDescent="0.2">
      <c r="A4" s="33">
        <v>2</v>
      </c>
      <c r="B4" s="34" t="s">
        <v>215</v>
      </c>
      <c r="C4" s="116">
        <v>12.794444444444444</v>
      </c>
      <c r="D4" s="117" t="s">
        <v>502</v>
      </c>
      <c r="E4" s="37">
        <v>4</v>
      </c>
      <c r="F4" s="118">
        <v>37696</v>
      </c>
      <c r="G4" s="119">
        <v>22.550684931506851</v>
      </c>
      <c r="H4" s="39" t="s">
        <v>385</v>
      </c>
      <c r="I4" s="39">
        <v>22.13150684931507</v>
      </c>
      <c r="J4" s="37">
        <v>72</v>
      </c>
      <c r="K4" s="37">
        <v>221</v>
      </c>
      <c r="L4" s="37">
        <v>4.4800000000000004</v>
      </c>
      <c r="M4" s="40">
        <v>1</v>
      </c>
      <c r="N4" s="121">
        <v>0</v>
      </c>
      <c r="O4" s="122">
        <v>0</v>
      </c>
      <c r="P4" s="122">
        <v>7.2967222924007716E-2</v>
      </c>
      <c r="Q4" s="122">
        <v>0.26961436690726331</v>
      </c>
      <c r="R4" s="122">
        <v>0.41656421604786487</v>
      </c>
      <c r="S4" s="42">
        <v>0.41656421604786487</v>
      </c>
      <c r="T4" s="42">
        <v>0.37490779444307837</v>
      </c>
      <c r="U4" s="42">
        <v>5.7075277663512961E-2</v>
      </c>
      <c r="V4" s="42">
        <v>0.13851752822341057</v>
      </c>
      <c r="W4" s="42">
        <v>0.13851752822341057</v>
      </c>
      <c r="X4" s="43">
        <v>0.12466577540106952</v>
      </c>
      <c r="Y4" s="44">
        <v>20.484931506849314</v>
      </c>
      <c r="Z4" s="45">
        <v>109.72616822458413</v>
      </c>
      <c r="AA4" s="45">
        <v>29.969714506172842</v>
      </c>
      <c r="AB4" s="45">
        <v>0.26377952755905509</v>
      </c>
      <c r="AC4" s="45">
        <v>5.907473309608541</v>
      </c>
      <c r="AD4" s="45">
        <v>126.8</v>
      </c>
      <c r="AE4" s="45">
        <v>4.3499999999999996</v>
      </c>
      <c r="AF4" s="45">
        <v>43.9</v>
      </c>
      <c r="AG4" s="128">
        <v>10</v>
      </c>
      <c r="AH4" s="49">
        <v>9</v>
      </c>
      <c r="AI4" s="49">
        <v>4</v>
      </c>
      <c r="AJ4" s="49">
        <v>9</v>
      </c>
      <c r="AK4" s="49">
        <v>7</v>
      </c>
      <c r="AL4" s="49">
        <v>4</v>
      </c>
      <c r="AM4" s="49">
        <v>6</v>
      </c>
      <c r="AN4" s="49">
        <v>6</v>
      </c>
      <c r="AO4" s="49">
        <v>10</v>
      </c>
      <c r="AP4" s="50">
        <v>0.25</v>
      </c>
      <c r="AQ4" s="56"/>
      <c r="AR4" s="57">
        <v>1</v>
      </c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9"/>
      <c r="BF4" s="56"/>
      <c r="BG4" s="57">
        <v>1</v>
      </c>
      <c r="BH4" s="57"/>
      <c r="BI4" s="57"/>
      <c r="BJ4" s="57"/>
      <c r="BK4" s="57"/>
      <c r="BL4" s="58"/>
      <c r="BM4" s="58"/>
      <c r="BN4" s="58"/>
      <c r="BO4" s="58"/>
      <c r="BP4" s="57"/>
      <c r="BQ4" s="57"/>
      <c r="BR4" s="57"/>
      <c r="BS4" s="57"/>
      <c r="BT4" s="59"/>
      <c r="BU4" s="56">
        <v>403</v>
      </c>
      <c r="BV4" s="57">
        <v>1995.5</v>
      </c>
      <c r="BW4" s="57">
        <v>7</v>
      </c>
      <c r="BX4" s="57">
        <v>22.099999999999998</v>
      </c>
      <c r="BY4" s="57">
        <v>89</v>
      </c>
      <c r="BZ4" s="57">
        <v>15</v>
      </c>
      <c r="CA4" s="236">
        <v>4.5280898876404496</v>
      </c>
      <c r="CB4" s="236">
        <v>42.9</v>
      </c>
      <c r="CC4" s="236">
        <v>2.37</v>
      </c>
      <c r="CD4" s="236">
        <v>39</v>
      </c>
      <c r="CE4" s="57">
        <v>36</v>
      </c>
      <c r="CF4" s="57">
        <v>4020.9</v>
      </c>
      <c r="CG4" s="57">
        <v>5</v>
      </c>
      <c r="CH4" s="57">
        <v>0</v>
      </c>
      <c r="CI4" s="59">
        <v>35.1</v>
      </c>
      <c r="CJ4" s="56">
        <v>1500</v>
      </c>
      <c r="CK4" s="57">
        <v>2497.2999999999997</v>
      </c>
      <c r="CL4" s="57">
        <v>15</v>
      </c>
      <c r="CM4" s="57">
        <v>28.6</v>
      </c>
      <c r="CN4" s="57">
        <v>254</v>
      </c>
      <c r="CO4" s="57">
        <v>67</v>
      </c>
      <c r="CP4" s="58">
        <v>5.9055118110236222</v>
      </c>
      <c r="CQ4" s="129">
        <v>116.3</v>
      </c>
      <c r="CR4" s="58">
        <v>4.22</v>
      </c>
      <c r="CS4" s="129">
        <v>36.4</v>
      </c>
      <c r="CT4" s="57">
        <v>222</v>
      </c>
      <c r="CU4" s="57">
        <v>3889.6</v>
      </c>
      <c r="CV4" s="57">
        <v>29</v>
      </c>
      <c r="CW4" s="57">
        <v>1</v>
      </c>
      <c r="CX4" s="59">
        <v>26</v>
      </c>
      <c r="CY4" s="56">
        <v>1660</v>
      </c>
      <c r="CZ4" s="57">
        <v>2187.6000000000004</v>
      </c>
      <c r="DA4" s="57">
        <v>15</v>
      </c>
      <c r="DB4" s="57">
        <v>26.52</v>
      </c>
      <c r="DC4" s="57">
        <v>281</v>
      </c>
      <c r="DD4" s="57">
        <v>72</v>
      </c>
      <c r="DE4" s="58">
        <v>5.907473309608541</v>
      </c>
      <c r="DF4" s="129">
        <v>126.8</v>
      </c>
      <c r="DG4" s="58">
        <v>4.3499999999999996</v>
      </c>
      <c r="DH4" s="58">
        <v>43.9</v>
      </c>
      <c r="DI4" s="57">
        <v>373</v>
      </c>
      <c r="DJ4" s="57">
        <v>2692.8</v>
      </c>
      <c r="DK4" s="57">
        <v>38</v>
      </c>
      <c r="DL4" s="57">
        <v>2</v>
      </c>
      <c r="DM4" s="59">
        <v>16.799999999999997</v>
      </c>
      <c r="DO4" s="11">
        <v>2</v>
      </c>
      <c r="DP4" s="42" t="s">
        <v>390</v>
      </c>
      <c r="DQ4" s="7">
        <v>1</v>
      </c>
      <c r="DR4" s="130">
        <v>44439</v>
      </c>
    </row>
    <row r="5" spans="1:123" x14ac:dyDescent="0.2">
      <c r="A5" s="33">
        <v>3</v>
      </c>
      <c r="B5" s="34" t="s">
        <v>225</v>
      </c>
      <c r="C5" s="116">
        <v>11.483333333333333</v>
      </c>
      <c r="D5" s="117" t="s">
        <v>445</v>
      </c>
      <c r="E5" s="37">
        <v>2</v>
      </c>
      <c r="F5" s="118">
        <v>37551</v>
      </c>
      <c r="G5" s="119">
        <v>22.947945205479453</v>
      </c>
      <c r="H5" s="39" t="s">
        <v>389</v>
      </c>
      <c r="I5" s="39">
        <v>22.528767123287672</v>
      </c>
      <c r="J5" s="37">
        <v>70</v>
      </c>
      <c r="K5" s="37">
        <v>202</v>
      </c>
      <c r="L5" s="37">
        <v>4.43</v>
      </c>
      <c r="M5" s="40">
        <v>2</v>
      </c>
      <c r="N5" s="121">
        <v>0</v>
      </c>
      <c r="O5" s="122">
        <v>0.21363717286807904</v>
      </c>
      <c r="P5" s="122">
        <v>0.15386183003872017</v>
      </c>
      <c r="Q5" s="122">
        <v>0.30139720558882238</v>
      </c>
      <c r="R5" s="122">
        <v>0.18791848617176127</v>
      </c>
      <c r="S5" s="42">
        <v>0.24465784588029182</v>
      </c>
      <c r="T5" s="42">
        <v>0.24465784588029182</v>
      </c>
      <c r="U5" s="42">
        <v>0.10004708097928439</v>
      </c>
      <c r="V5" s="42">
        <v>6.6777566539923949E-2</v>
      </c>
      <c r="W5" s="42">
        <v>8.3412323759604168E-2</v>
      </c>
      <c r="X5" s="43">
        <v>8.3412323759604168E-2</v>
      </c>
      <c r="Y5" s="44">
        <v>18.87123287671233</v>
      </c>
      <c r="Z5" s="45">
        <v>104.89781939490845</v>
      </c>
      <c r="AA5" s="45">
        <v>28.980816326530615</v>
      </c>
      <c r="AB5" s="45">
        <v>0.25517241379310346</v>
      </c>
      <c r="AC5" s="45">
        <v>6.9655172413793105</v>
      </c>
      <c r="AD5" s="45">
        <v>108.9</v>
      </c>
      <c r="AE5" s="45">
        <v>4.43</v>
      </c>
      <c r="AF5" s="45">
        <v>53.9</v>
      </c>
      <c r="AG5" s="128">
        <v>6</v>
      </c>
      <c r="AH5" s="49">
        <v>8</v>
      </c>
      <c r="AI5" s="49">
        <v>8</v>
      </c>
      <c r="AJ5" s="49">
        <v>7</v>
      </c>
      <c r="AK5" s="49">
        <v>6</v>
      </c>
      <c r="AL5" s="49">
        <v>7</v>
      </c>
      <c r="AM5" s="49">
        <v>5</v>
      </c>
      <c r="AN5" s="49">
        <v>6</v>
      </c>
      <c r="AO5" s="49">
        <v>7</v>
      </c>
      <c r="AP5" s="50">
        <v>1</v>
      </c>
      <c r="AQ5" s="56"/>
      <c r="AR5" s="57">
        <v>1</v>
      </c>
      <c r="AS5" s="57"/>
      <c r="AT5" s="57"/>
      <c r="AU5" s="57"/>
      <c r="AV5" s="57"/>
      <c r="AW5" s="57"/>
      <c r="AX5" s="57"/>
      <c r="AY5" s="57"/>
      <c r="AZ5" s="57"/>
      <c r="BA5" s="57"/>
      <c r="BB5" s="57">
        <v>1</v>
      </c>
      <c r="BC5" s="57"/>
      <c r="BD5" s="57"/>
      <c r="BE5" s="59"/>
      <c r="BF5" s="56">
        <v>1248</v>
      </c>
      <c r="BG5" s="57">
        <v>2350.4</v>
      </c>
      <c r="BH5" s="57">
        <v>15</v>
      </c>
      <c r="BI5" s="57">
        <v>23.400000000000002</v>
      </c>
      <c r="BJ5" s="57">
        <v>183</v>
      </c>
      <c r="BK5" s="57">
        <v>50</v>
      </c>
      <c r="BL5" s="58">
        <v>6.8196721311475406</v>
      </c>
      <c r="BM5" s="58">
        <v>116.9</v>
      </c>
      <c r="BN5" s="58">
        <v>4.3099999999999996</v>
      </c>
      <c r="BO5" s="58">
        <v>47.5</v>
      </c>
      <c r="BP5" s="57">
        <v>312</v>
      </c>
      <c r="BQ5" s="57">
        <v>4951.7</v>
      </c>
      <c r="BR5" s="57">
        <v>27</v>
      </c>
      <c r="BS5" s="57">
        <v>4</v>
      </c>
      <c r="BT5" s="59">
        <v>45.5</v>
      </c>
      <c r="BU5" s="56">
        <v>576</v>
      </c>
      <c r="BV5" s="57">
        <v>1539.2</v>
      </c>
      <c r="BW5" s="57">
        <v>6</v>
      </c>
      <c r="BX5" s="57">
        <v>18.399999999999999</v>
      </c>
      <c r="BY5" s="57">
        <v>106</v>
      </c>
      <c r="BZ5" s="57">
        <v>14</v>
      </c>
      <c r="CA5" s="236">
        <v>5.4339622641509431</v>
      </c>
      <c r="CB5" s="236">
        <v>37</v>
      </c>
      <c r="CC5" s="236">
        <v>2.72</v>
      </c>
      <c r="CD5" s="236">
        <v>28.3</v>
      </c>
      <c r="CE5" s="57">
        <v>28</v>
      </c>
      <c r="CF5" s="57">
        <v>2386.4</v>
      </c>
      <c r="CG5" s="57">
        <v>4</v>
      </c>
      <c r="CH5" s="57">
        <v>1</v>
      </c>
      <c r="CI5" s="59">
        <v>25.6</v>
      </c>
      <c r="CJ5" s="56">
        <v>585</v>
      </c>
      <c r="CK5" s="57">
        <v>805.80000000000007</v>
      </c>
      <c r="CL5" s="57">
        <v>7</v>
      </c>
      <c r="CM5" s="57">
        <v>10.199999999999999</v>
      </c>
      <c r="CN5" s="57">
        <v>156</v>
      </c>
      <c r="CO5" s="57">
        <v>29</v>
      </c>
      <c r="CP5" s="58">
        <v>3.75</v>
      </c>
      <c r="CQ5" s="129">
        <v>82.2</v>
      </c>
      <c r="CR5" s="58">
        <v>3.68</v>
      </c>
      <c r="CS5" s="129">
        <v>48.7</v>
      </c>
      <c r="CT5" s="57">
        <v>170</v>
      </c>
      <c r="CU5" s="57">
        <v>1699.1999999999998</v>
      </c>
      <c r="CV5" s="57">
        <v>12</v>
      </c>
      <c r="CW5" s="57">
        <v>0</v>
      </c>
      <c r="CX5" s="59">
        <v>12.600000000000001</v>
      </c>
      <c r="CY5" s="56">
        <v>1010</v>
      </c>
      <c r="CZ5" s="57">
        <v>2662</v>
      </c>
      <c r="DA5" s="57">
        <v>10</v>
      </c>
      <c r="DB5" s="57">
        <v>24</v>
      </c>
      <c r="DC5" s="57">
        <v>145</v>
      </c>
      <c r="DD5" s="57">
        <v>37</v>
      </c>
      <c r="DE5" s="58">
        <v>6.9655172413793105</v>
      </c>
      <c r="DF5" s="129">
        <v>108.9</v>
      </c>
      <c r="DG5" s="58">
        <v>4.43</v>
      </c>
      <c r="DH5" s="58">
        <v>53.9</v>
      </c>
      <c r="DI5" s="57">
        <v>281</v>
      </c>
      <c r="DJ5" s="57">
        <v>4208</v>
      </c>
      <c r="DK5" s="57">
        <v>26</v>
      </c>
      <c r="DL5" s="57">
        <v>1</v>
      </c>
      <c r="DM5" s="59">
        <v>28.799999999999997</v>
      </c>
      <c r="DN5" s="171"/>
      <c r="DO5" s="5">
        <v>3</v>
      </c>
      <c r="DP5" s="42" t="s">
        <v>393</v>
      </c>
      <c r="DQ5" s="7">
        <v>0.9</v>
      </c>
      <c r="DR5" s="130">
        <v>44809</v>
      </c>
    </row>
    <row r="6" spans="1:123" x14ac:dyDescent="0.2">
      <c r="A6" s="33">
        <v>4</v>
      </c>
      <c r="B6" s="34" t="s">
        <v>220</v>
      </c>
      <c r="C6" s="116">
        <v>11.466666666666667</v>
      </c>
      <c r="D6" s="117" t="s">
        <v>549</v>
      </c>
      <c r="E6" s="37">
        <v>2</v>
      </c>
      <c r="F6" s="118">
        <v>37847</v>
      </c>
      <c r="G6" s="119">
        <v>22.136986301369863</v>
      </c>
      <c r="H6" s="39" t="s">
        <v>385</v>
      </c>
      <c r="I6" s="39">
        <v>21.717808219178082</v>
      </c>
      <c r="J6" s="37">
        <v>73</v>
      </c>
      <c r="K6" s="37">
        <v>224</v>
      </c>
      <c r="L6" s="37">
        <v>4.57</v>
      </c>
      <c r="M6" s="40">
        <v>3</v>
      </c>
      <c r="N6" s="121">
        <v>0</v>
      </c>
      <c r="O6" s="122">
        <v>0</v>
      </c>
      <c r="P6" s="122">
        <v>0.24590916042208288</v>
      </c>
      <c r="Q6" s="122">
        <v>0.20810234541577824</v>
      </c>
      <c r="R6" s="122">
        <v>0.43719586374695868</v>
      </c>
      <c r="S6" s="42">
        <v>0.43719586374695868</v>
      </c>
      <c r="T6" s="42">
        <v>0.43719586374695868</v>
      </c>
      <c r="U6" s="42">
        <v>2.1079258010118045E-2</v>
      </c>
      <c r="V6" s="42">
        <v>0.12031408308004055</v>
      </c>
      <c r="W6" s="42">
        <v>0.12031408308004055</v>
      </c>
      <c r="X6" s="43">
        <v>0.12031408308004055</v>
      </c>
      <c r="Y6" s="44">
        <v>19.073972602739726</v>
      </c>
      <c r="Z6" s="45">
        <v>102.71011458343338</v>
      </c>
      <c r="AA6" s="45">
        <v>29.550009382623379</v>
      </c>
      <c r="AB6" s="45">
        <v>0.33112582781456956</v>
      </c>
      <c r="AC6" s="45">
        <v>6.395833333333333</v>
      </c>
      <c r="AD6" s="45">
        <v>131.5</v>
      </c>
      <c r="AE6" s="45">
        <v>4.42</v>
      </c>
      <c r="AF6" s="45">
        <v>56.1</v>
      </c>
      <c r="AG6" s="128">
        <v>10</v>
      </c>
      <c r="AH6" s="49">
        <v>9</v>
      </c>
      <c r="AI6" s="49">
        <v>8</v>
      </c>
      <c r="AJ6" s="49">
        <v>6</v>
      </c>
      <c r="AK6" s="49">
        <v>9</v>
      </c>
      <c r="AL6" s="49">
        <v>5</v>
      </c>
      <c r="AM6" s="49">
        <v>7</v>
      </c>
      <c r="AN6" s="49">
        <v>6</v>
      </c>
      <c r="AO6" s="49">
        <v>6</v>
      </c>
      <c r="AP6" s="50">
        <v>0</v>
      </c>
      <c r="AQ6" s="56"/>
      <c r="AR6" s="57">
        <v>1</v>
      </c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9"/>
      <c r="BF6" s="56"/>
      <c r="BG6" s="57">
        <v>1</v>
      </c>
      <c r="BH6" s="57"/>
      <c r="BI6" s="57"/>
      <c r="BJ6" s="57"/>
      <c r="BK6" s="57"/>
      <c r="BL6" s="58"/>
      <c r="BM6" s="58"/>
      <c r="BN6" s="58"/>
      <c r="BO6" s="58"/>
      <c r="BP6" s="57"/>
      <c r="BQ6" s="57"/>
      <c r="BR6" s="57"/>
      <c r="BS6" s="57"/>
      <c r="BT6" s="59"/>
      <c r="BU6" s="56">
        <v>777</v>
      </c>
      <c r="BV6" s="57">
        <v>1232.3999999999999</v>
      </c>
      <c r="BW6" s="57">
        <v>6</v>
      </c>
      <c r="BX6" s="57">
        <v>11.700000000000001</v>
      </c>
      <c r="BY6" s="57">
        <v>151</v>
      </c>
      <c r="BZ6" s="57">
        <v>50</v>
      </c>
      <c r="CA6" s="236">
        <v>5.1456953642384109</v>
      </c>
      <c r="CB6" s="236">
        <v>107.7</v>
      </c>
      <c r="CC6" s="236">
        <v>3.34</v>
      </c>
      <c r="CD6" s="236">
        <v>44.3</v>
      </c>
      <c r="CE6" s="57">
        <v>27</v>
      </c>
      <c r="CF6" s="57">
        <v>2037.1</v>
      </c>
      <c r="CG6" s="57">
        <v>4</v>
      </c>
      <c r="CH6" s="57">
        <v>0</v>
      </c>
      <c r="CI6" s="59">
        <v>6.5</v>
      </c>
      <c r="CJ6" s="56">
        <v>463</v>
      </c>
      <c r="CK6" s="57">
        <v>1159</v>
      </c>
      <c r="CL6" s="57">
        <v>3</v>
      </c>
      <c r="CM6" s="57">
        <v>8</v>
      </c>
      <c r="CN6" s="57">
        <v>117</v>
      </c>
      <c r="CO6" s="57">
        <v>19</v>
      </c>
      <c r="CP6" s="58">
        <v>3.9572649572649574</v>
      </c>
      <c r="CQ6" s="129">
        <v>41.4</v>
      </c>
      <c r="CR6" s="58">
        <v>2.62</v>
      </c>
      <c r="CS6" s="129">
        <v>41.7</v>
      </c>
      <c r="CT6" s="57">
        <v>25</v>
      </c>
      <c r="CU6" s="57">
        <v>1186</v>
      </c>
      <c r="CV6" s="57">
        <v>3</v>
      </c>
      <c r="CW6" s="57">
        <v>0</v>
      </c>
      <c r="CX6" s="59">
        <v>6</v>
      </c>
      <c r="CY6" s="56">
        <v>1535</v>
      </c>
      <c r="CZ6" s="57">
        <v>2366.3999999999996</v>
      </c>
      <c r="DA6" s="57">
        <v>21</v>
      </c>
      <c r="DB6" s="57">
        <v>28.799999999999997</v>
      </c>
      <c r="DC6" s="57">
        <v>240</v>
      </c>
      <c r="DD6" s="57">
        <v>66</v>
      </c>
      <c r="DE6" s="58">
        <v>6.395833333333333</v>
      </c>
      <c r="DF6" s="129">
        <v>131.5</v>
      </c>
      <c r="DG6" s="58">
        <v>4.42</v>
      </c>
      <c r="DH6" s="58">
        <v>56.1</v>
      </c>
      <c r="DI6" s="57">
        <v>190</v>
      </c>
      <c r="DJ6" s="57">
        <v>1579.1999999999998</v>
      </c>
      <c r="DK6" s="57">
        <v>22</v>
      </c>
      <c r="DL6" s="57">
        <v>2</v>
      </c>
      <c r="DM6" s="59">
        <v>9.6000000000000014</v>
      </c>
      <c r="DN6" s="171"/>
      <c r="DO6" s="5">
        <v>4</v>
      </c>
      <c r="DP6" s="42" t="s">
        <v>396</v>
      </c>
      <c r="DQ6" s="7">
        <v>0.9</v>
      </c>
      <c r="DR6" s="130">
        <v>45173</v>
      </c>
    </row>
    <row r="7" spans="1:123" x14ac:dyDescent="0.2">
      <c r="A7" s="33">
        <v>5</v>
      </c>
      <c r="B7" s="34" t="s">
        <v>235</v>
      </c>
      <c r="C7" s="116">
        <v>11.06111111111111</v>
      </c>
      <c r="D7" s="117" t="s">
        <v>445</v>
      </c>
      <c r="E7" s="37">
        <v>2</v>
      </c>
      <c r="F7" s="118">
        <v>37923</v>
      </c>
      <c r="G7" s="119">
        <v>21.92876712328767</v>
      </c>
      <c r="H7" s="39" t="s">
        <v>385</v>
      </c>
      <c r="I7" s="39">
        <v>21.509589041095889</v>
      </c>
      <c r="J7" s="37">
        <v>72</v>
      </c>
      <c r="K7" s="37">
        <v>230</v>
      </c>
      <c r="L7" s="37">
        <v>4.4800000000000004</v>
      </c>
      <c r="M7" s="40">
        <v>2</v>
      </c>
      <c r="N7" s="121">
        <v>0</v>
      </c>
      <c r="O7" s="122">
        <v>0</v>
      </c>
      <c r="P7" s="122">
        <v>0.26328023306266657</v>
      </c>
      <c r="Q7" s="122">
        <v>0.21782936699585323</v>
      </c>
      <c r="R7" s="122">
        <v>0.17772925764192141</v>
      </c>
      <c r="S7" s="42">
        <v>0.26328023306266657</v>
      </c>
      <c r="T7" s="42">
        <v>0.26328023306266657</v>
      </c>
      <c r="U7" s="42">
        <v>4.0131437190260716E-2</v>
      </c>
      <c r="V7" s="42">
        <v>3.826045627376426E-2</v>
      </c>
      <c r="W7" s="42">
        <v>3.9195946732012488E-2</v>
      </c>
      <c r="X7" s="43">
        <v>3.9195946732012488E-2</v>
      </c>
      <c r="Y7" s="44">
        <v>18.865753424657534</v>
      </c>
      <c r="Z7" s="45">
        <v>114.1946547133681</v>
      </c>
      <c r="AA7" s="45">
        <v>31.190200617283953</v>
      </c>
      <c r="AB7" s="45">
        <v>0.28782287822878228</v>
      </c>
      <c r="AC7" s="45">
        <v>5.6981818181818182</v>
      </c>
      <c r="AD7" s="45">
        <v>95.5</v>
      </c>
      <c r="AE7" s="45">
        <v>3.38</v>
      </c>
      <c r="AF7" s="45">
        <v>47.2</v>
      </c>
      <c r="AG7" s="128">
        <v>7</v>
      </c>
      <c r="AH7" s="49">
        <v>4</v>
      </c>
      <c r="AI7" s="49">
        <v>9</v>
      </c>
      <c r="AJ7" s="49">
        <v>10</v>
      </c>
      <c r="AK7" s="49">
        <v>8</v>
      </c>
      <c r="AL7" s="49">
        <v>3</v>
      </c>
      <c r="AM7" s="49">
        <v>4</v>
      </c>
      <c r="AN7" s="49">
        <v>2</v>
      </c>
      <c r="AO7" s="49">
        <v>7</v>
      </c>
      <c r="AP7" s="50">
        <v>1</v>
      </c>
      <c r="AQ7" s="56"/>
      <c r="AR7" s="57">
        <v>1</v>
      </c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9"/>
      <c r="BF7" s="56"/>
      <c r="BG7" s="57">
        <v>1</v>
      </c>
      <c r="BH7" s="57"/>
      <c r="BI7" s="57"/>
      <c r="BJ7" s="57"/>
      <c r="BK7" s="57"/>
      <c r="BL7" s="58"/>
      <c r="BM7" s="58"/>
      <c r="BN7" s="58"/>
      <c r="BO7" s="58"/>
      <c r="BP7" s="57"/>
      <c r="BQ7" s="57"/>
      <c r="BR7" s="57"/>
      <c r="BS7" s="57"/>
      <c r="BT7" s="59"/>
      <c r="BU7" s="56">
        <v>1567</v>
      </c>
      <c r="BV7" s="57">
        <v>3335.8</v>
      </c>
      <c r="BW7" s="57">
        <v>16</v>
      </c>
      <c r="BX7" s="57">
        <v>32.5</v>
      </c>
      <c r="BY7" s="57">
        <v>275</v>
      </c>
      <c r="BZ7" s="57">
        <v>76</v>
      </c>
      <c r="CA7" s="236">
        <v>5.6981818181818182</v>
      </c>
      <c r="CB7" s="236">
        <v>95.5</v>
      </c>
      <c r="CC7" s="236">
        <v>3.38</v>
      </c>
      <c r="CD7" s="236">
        <v>47.2</v>
      </c>
      <c r="CE7" s="57">
        <v>132</v>
      </c>
      <c r="CF7" s="57">
        <v>3117.4</v>
      </c>
      <c r="CG7" s="57">
        <v>15</v>
      </c>
      <c r="CH7" s="57">
        <v>1</v>
      </c>
      <c r="CI7" s="59">
        <v>22.099999999999998</v>
      </c>
      <c r="CJ7" s="56">
        <v>1159</v>
      </c>
      <c r="CK7" s="57">
        <v>2291.9</v>
      </c>
      <c r="CL7" s="57">
        <v>15</v>
      </c>
      <c r="CM7" s="57">
        <v>28.6</v>
      </c>
      <c r="CN7" s="57">
        <v>271</v>
      </c>
      <c r="CO7" s="57">
        <v>78</v>
      </c>
      <c r="CP7" s="58">
        <v>4.2767527675276753</v>
      </c>
      <c r="CQ7" s="129">
        <v>86.7</v>
      </c>
      <c r="CR7" s="58">
        <v>3.21</v>
      </c>
      <c r="CS7" s="129">
        <v>27.5</v>
      </c>
      <c r="CT7" s="57">
        <v>149</v>
      </c>
      <c r="CU7" s="57">
        <v>3712.8</v>
      </c>
      <c r="CV7" s="57">
        <v>22</v>
      </c>
      <c r="CW7" s="57">
        <v>2</v>
      </c>
      <c r="CX7" s="59">
        <v>26</v>
      </c>
      <c r="CY7" s="56">
        <v>1060</v>
      </c>
      <c r="CZ7" s="57">
        <v>2662</v>
      </c>
      <c r="DA7" s="57">
        <v>14</v>
      </c>
      <c r="DB7" s="57">
        <v>24</v>
      </c>
      <c r="DC7" s="57">
        <v>193</v>
      </c>
      <c r="DD7" s="57">
        <v>43</v>
      </c>
      <c r="DE7" s="58">
        <v>5.4922279792746114</v>
      </c>
      <c r="DF7" s="129">
        <v>69.3</v>
      </c>
      <c r="DG7" s="58">
        <v>3.04</v>
      </c>
      <c r="DH7" s="58">
        <v>41.2</v>
      </c>
      <c r="DI7" s="57">
        <v>161</v>
      </c>
      <c r="DJ7" s="57">
        <v>4208</v>
      </c>
      <c r="DK7" s="57">
        <v>22</v>
      </c>
      <c r="DL7" s="57">
        <v>2</v>
      </c>
      <c r="DM7" s="59">
        <v>28.799999999999997</v>
      </c>
      <c r="DN7" s="171"/>
      <c r="DO7" s="5">
        <v>5</v>
      </c>
      <c r="DP7" s="42" t="s">
        <v>399</v>
      </c>
      <c r="DQ7" s="7">
        <v>0.85</v>
      </c>
      <c r="DR7" s="130">
        <v>45539</v>
      </c>
    </row>
    <row r="8" spans="1:123" x14ac:dyDescent="0.2">
      <c r="A8" s="33">
        <v>6</v>
      </c>
      <c r="B8" s="34" t="s">
        <v>256</v>
      </c>
      <c r="C8" s="116">
        <v>10.072222222222223</v>
      </c>
      <c r="D8" s="117" t="s">
        <v>593</v>
      </c>
      <c r="E8" s="37">
        <v>3</v>
      </c>
      <c r="F8" s="118">
        <v>36926</v>
      </c>
      <c r="G8" s="119">
        <v>24.660273972602738</v>
      </c>
      <c r="H8" s="39" t="s">
        <v>469</v>
      </c>
      <c r="I8" s="39">
        <v>24.241095890410961</v>
      </c>
      <c r="J8" s="37">
        <v>68</v>
      </c>
      <c r="K8" s="37">
        <v>205</v>
      </c>
      <c r="L8" s="37">
        <v>4.4000000000000004</v>
      </c>
      <c r="M8" s="40">
        <v>2</v>
      </c>
      <c r="N8" s="121">
        <v>0</v>
      </c>
      <c r="O8" s="122">
        <v>0</v>
      </c>
      <c r="P8" s="122">
        <v>0.16495216878521818</v>
      </c>
      <c r="Q8" s="122">
        <v>0.26141209919444008</v>
      </c>
      <c r="R8" s="122">
        <v>0.34334524341223766</v>
      </c>
      <c r="S8" s="42">
        <v>0.34334524341223766</v>
      </c>
      <c r="T8" s="42">
        <v>0.30901071907101391</v>
      </c>
      <c r="U8" s="42">
        <v>7.0740696706693612E-2</v>
      </c>
      <c r="V8" s="42">
        <v>0.11141712568853282</v>
      </c>
      <c r="W8" s="42">
        <v>0.11141712568853282</v>
      </c>
      <c r="X8" s="43">
        <v>0.10027541311967954</v>
      </c>
      <c r="Y8" s="44">
        <v>21.597260273972601</v>
      </c>
      <c r="Z8" s="45">
        <v>109.38887371081208</v>
      </c>
      <c r="AA8" s="45">
        <v>31.166738754325259</v>
      </c>
      <c r="AB8" s="45">
        <v>0.3288888888888889</v>
      </c>
      <c r="AC8" s="45">
        <v>6.8311688311688314</v>
      </c>
      <c r="AD8" s="45">
        <v>123.4</v>
      </c>
      <c r="AE8" s="45">
        <v>3.88</v>
      </c>
      <c r="AF8" s="45">
        <v>52.4</v>
      </c>
      <c r="AG8" s="128">
        <v>8</v>
      </c>
      <c r="AH8" s="49">
        <v>9</v>
      </c>
      <c r="AI8" s="49">
        <v>2</v>
      </c>
      <c r="AJ8" s="49">
        <v>9</v>
      </c>
      <c r="AK8" s="49">
        <v>9</v>
      </c>
      <c r="AL8" s="49">
        <v>7</v>
      </c>
      <c r="AM8" s="49">
        <v>6</v>
      </c>
      <c r="AN8" s="49">
        <v>4</v>
      </c>
      <c r="AO8" s="49">
        <v>7</v>
      </c>
      <c r="AP8" s="50">
        <v>0</v>
      </c>
      <c r="AQ8" s="56"/>
      <c r="AR8" s="57">
        <v>1</v>
      </c>
      <c r="AS8" s="57"/>
      <c r="AT8" s="57"/>
      <c r="AU8" s="57"/>
      <c r="AV8" s="57"/>
      <c r="AW8" s="57"/>
      <c r="AX8" s="57"/>
      <c r="AY8" s="57"/>
      <c r="AZ8" s="57"/>
      <c r="BA8" s="57"/>
      <c r="BB8" s="57">
        <v>1</v>
      </c>
      <c r="BC8" s="57"/>
      <c r="BD8" s="57"/>
      <c r="BE8" s="59"/>
      <c r="BF8" s="56"/>
      <c r="BG8" s="57">
        <v>1</v>
      </c>
      <c r="BH8" s="57"/>
      <c r="BI8" s="57"/>
      <c r="BJ8" s="57"/>
      <c r="BK8" s="57"/>
      <c r="BL8" s="58"/>
      <c r="BM8" s="58"/>
      <c r="BN8" s="58"/>
      <c r="BO8" s="58"/>
      <c r="BP8" s="57"/>
      <c r="BQ8" s="57">
        <v>1</v>
      </c>
      <c r="BR8" s="57"/>
      <c r="BS8" s="57"/>
      <c r="BT8" s="59"/>
      <c r="BU8" s="56">
        <v>790</v>
      </c>
      <c r="BV8" s="57">
        <v>2969.2000000000003</v>
      </c>
      <c r="BW8" s="57">
        <v>5</v>
      </c>
      <c r="BX8" s="57"/>
      <c r="BY8" s="57">
        <v>166</v>
      </c>
      <c r="BZ8" s="57">
        <v>38</v>
      </c>
      <c r="CA8" s="236"/>
      <c r="CB8" s="236">
        <v>113</v>
      </c>
      <c r="CC8" s="236">
        <v>3.57</v>
      </c>
      <c r="CD8" s="236">
        <v>42.3</v>
      </c>
      <c r="CE8" s="57">
        <v>217</v>
      </c>
      <c r="CF8" s="57">
        <v>3135.6</v>
      </c>
      <c r="CG8" s="57">
        <v>23</v>
      </c>
      <c r="CH8" s="57">
        <v>0</v>
      </c>
      <c r="CI8" s="59"/>
      <c r="CJ8" s="56">
        <v>1417</v>
      </c>
      <c r="CK8" s="57">
        <v>2966.6</v>
      </c>
      <c r="CL8" s="57">
        <v>16</v>
      </c>
      <c r="CM8" s="57"/>
      <c r="CN8" s="57">
        <v>225</v>
      </c>
      <c r="CO8" s="57">
        <v>74</v>
      </c>
      <c r="CP8" s="58">
        <v>6.2977777777777781</v>
      </c>
      <c r="CQ8" s="129">
        <v>123.4</v>
      </c>
      <c r="CR8" s="58">
        <v>3.56</v>
      </c>
      <c r="CS8" s="129">
        <v>50.7</v>
      </c>
      <c r="CT8" s="57">
        <v>238</v>
      </c>
      <c r="CU8" s="57">
        <v>3364.4</v>
      </c>
      <c r="CV8" s="57">
        <v>19</v>
      </c>
      <c r="CW8" s="57">
        <v>2</v>
      </c>
      <c r="CX8" s="59"/>
      <c r="CY8" s="56">
        <v>1578</v>
      </c>
      <c r="CZ8" s="57">
        <v>2977.2</v>
      </c>
      <c r="DA8" s="57">
        <v>22</v>
      </c>
      <c r="DB8" s="57">
        <v>33.599999999999994</v>
      </c>
      <c r="DC8" s="57">
        <v>231</v>
      </c>
      <c r="DD8" s="57">
        <v>69</v>
      </c>
      <c r="DE8" s="58">
        <v>6.8311688311688314</v>
      </c>
      <c r="DF8" s="129">
        <v>122.2</v>
      </c>
      <c r="DG8" s="58">
        <v>3.88</v>
      </c>
      <c r="DH8" s="58">
        <v>52.4</v>
      </c>
      <c r="DI8" s="57">
        <v>267</v>
      </c>
      <c r="DJ8" s="57">
        <v>2396.3999999999996</v>
      </c>
      <c r="DK8" s="57">
        <v>20</v>
      </c>
      <c r="DL8" s="57">
        <v>3</v>
      </c>
      <c r="DM8" s="59">
        <v>14.399999999999999</v>
      </c>
      <c r="DO8" s="5">
        <v>6</v>
      </c>
      <c r="DP8" s="42" t="s">
        <v>402</v>
      </c>
      <c r="DQ8" s="7">
        <v>0.75</v>
      </c>
    </row>
    <row r="9" spans="1:123" x14ac:dyDescent="0.2">
      <c r="A9" s="33">
        <v>7</v>
      </c>
      <c r="B9" s="34" t="s">
        <v>241</v>
      </c>
      <c r="C9" s="116">
        <v>9.9277777777777771</v>
      </c>
      <c r="D9" s="117" t="s">
        <v>542</v>
      </c>
      <c r="E9" s="37">
        <v>3</v>
      </c>
      <c r="F9" s="118">
        <v>37666</v>
      </c>
      <c r="G9" s="119">
        <v>22.632876712328766</v>
      </c>
      <c r="H9" s="39" t="s">
        <v>389</v>
      </c>
      <c r="I9" s="39">
        <v>22.213698630136985</v>
      </c>
      <c r="J9" s="37">
        <v>69</v>
      </c>
      <c r="K9" s="37">
        <v>200</v>
      </c>
      <c r="L9" s="37">
        <v>4.32</v>
      </c>
      <c r="M9" s="40">
        <v>4</v>
      </c>
      <c r="N9" s="121">
        <v>0</v>
      </c>
      <c r="O9" s="122">
        <v>0.109375</v>
      </c>
      <c r="P9" s="122">
        <v>0.38098434004474274</v>
      </c>
      <c r="Q9" s="122">
        <v>0.21652421652421652</v>
      </c>
      <c r="R9" s="122">
        <v>0.30426615255326511</v>
      </c>
      <c r="S9" s="42">
        <v>0.34262524629900393</v>
      </c>
      <c r="T9" s="42">
        <v>0.30836272166910356</v>
      </c>
      <c r="U9" s="42">
        <v>8.6571831737919991E-2</v>
      </c>
      <c r="V9" s="42">
        <v>3.8878755879811842E-2</v>
      </c>
      <c r="W9" s="42">
        <v>6.272529380886592E-2</v>
      </c>
      <c r="X9" s="43">
        <v>5.6452764427979328E-2</v>
      </c>
      <c r="Y9" s="44">
        <v>19.56986301369863</v>
      </c>
      <c r="Z9" s="45">
        <v>114.84841449944582</v>
      </c>
      <c r="AA9" s="45">
        <v>29.531611006091154</v>
      </c>
      <c r="AB9" s="45">
        <v>0.39428571428571429</v>
      </c>
      <c r="AC9" s="45">
        <v>6.2841530054644812</v>
      </c>
      <c r="AD9" s="45">
        <v>157</v>
      </c>
      <c r="AE9" s="45">
        <v>4.4000000000000004</v>
      </c>
      <c r="AF9" s="45">
        <v>54</v>
      </c>
      <c r="AG9" s="128">
        <v>8</v>
      </c>
      <c r="AH9" s="49">
        <v>6</v>
      </c>
      <c r="AI9" s="49">
        <v>6</v>
      </c>
      <c r="AJ9" s="49">
        <v>10</v>
      </c>
      <c r="AK9" s="49">
        <v>10</v>
      </c>
      <c r="AL9" s="49">
        <v>5</v>
      </c>
      <c r="AM9" s="49">
        <v>8</v>
      </c>
      <c r="AN9" s="49">
        <v>6</v>
      </c>
      <c r="AO9" s="49">
        <v>4</v>
      </c>
      <c r="AP9" s="50">
        <v>0</v>
      </c>
      <c r="AQ9" s="56"/>
      <c r="AR9" s="57">
        <v>1</v>
      </c>
      <c r="AS9" s="57"/>
      <c r="AT9" s="57"/>
      <c r="AU9" s="57"/>
      <c r="AV9" s="57"/>
      <c r="AW9" s="57"/>
      <c r="AX9" s="57"/>
      <c r="AY9" s="57"/>
      <c r="AZ9" s="57"/>
      <c r="BA9" s="57"/>
      <c r="BB9" s="57">
        <v>1</v>
      </c>
      <c r="BC9" s="57"/>
      <c r="BD9" s="57"/>
      <c r="BE9" s="59"/>
      <c r="BF9" s="56">
        <v>189</v>
      </c>
      <c r="BG9" s="57">
        <v>1709</v>
      </c>
      <c r="BH9" s="57">
        <v>2</v>
      </c>
      <c r="BI9" s="57">
        <v>14</v>
      </c>
      <c r="BJ9" s="57">
        <v>34</v>
      </c>
      <c r="BK9" s="57">
        <v>11</v>
      </c>
      <c r="BL9" s="58">
        <v>5.56</v>
      </c>
      <c r="BM9" s="58">
        <v>173.6</v>
      </c>
      <c r="BN9" s="58">
        <v>4.1500000000000004</v>
      </c>
      <c r="BO9" s="58">
        <v>41.8</v>
      </c>
      <c r="BP9" s="57">
        <v>224</v>
      </c>
      <c r="BQ9" s="57">
        <v>2067</v>
      </c>
      <c r="BR9" s="57">
        <v>9</v>
      </c>
      <c r="BS9" s="57">
        <v>1</v>
      </c>
      <c r="BT9" s="59">
        <v>12</v>
      </c>
      <c r="BU9" s="56">
        <v>1370</v>
      </c>
      <c r="BV9" s="57">
        <v>2302</v>
      </c>
      <c r="BW9" s="57">
        <v>13</v>
      </c>
      <c r="BX9" s="57">
        <v>19</v>
      </c>
      <c r="BY9" s="57">
        <v>208</v>
      </c>
      <c r="BZ9" s="57">
        <v>76</v>
      </c>
      <c r="CA9" s="236">
        <v>6.59</v>
      </c>
      <c r="CB9" s="236">
        <v>157</v>
      </c>
      <c r="CC9" s="236">
        <v>4.3499999999999996</v>
      </c>
      <c r="CD9" s="236">
        <v>48.5</v>
      </c>
      <c r="CE9" s="57">
        <v>333</v>
      </c>
      <c r="CF9" s="57">
        <v>2168</v>
      </c>
      <c r="CG9" s="57">
        <v>30</v>
      </c>
      <c r="CH9" s="57">
        <v>4</v>
      </c>
      <c r="CI9" s="59">
        <v>17</v>
      </c>
      <c r="CJ9" s="56">
        <v>875</v>
      </c>
      <c r="CK9" s="57">
        <v>2467.4</v>
      </c>
      <c r="CL9" s="57">
        <v>10</v>
      </c>
      <c r="CM9" s="57">
        <v>19.5</v>
      </c>
      <c r="CN9" s="57">
        <v>175</v>
      </c>
      <c r="CO9" s="57">
        <v>69</v>
      </c>
      <c r="CP9" s="58">
        <v>5</v>
      </c>
      <c r="CQ9" s="129">
        <v>140.1</v>
      </c>
      <c r="CR9" s="58">
        <v>3.74</v>
      </c>
      <c r="CS9" s="129">
        <v>34.9</v>
      </c>
      <c r="CT9" s="57">
        <v>227</v>
      </c>
      <c r="CU9" s="57">
        <v>2622.1</v>
      </c>
      <c r="CV9" s="57">
        <v>25</v>
      </c>
      <c r="CW9" s="57">
        <v>2</v>
      </c>
      <c r="CX9" s="59">
        <v>23.4</v>
      </c>
      <c r="CY9" s="56">
        <v>1150</v>
      </c>
      <c r="CZ9" s="57">
        <v>1962.4</v>
      </c>
      <c r="DA9" s="57">
        <v>15</v>
      </c>
      <c r="DB9" s="57">
        <v>25.3</v>
      </c>
      <c r="DC9" s="57">
        <v>183</v>
      </c>
      <c r="DD9" s="57">
        <v>62</v>
      </c>
      <c r="DE9" s="58">
        <v>6.2841530054644812</v>
      </c>
      <c r="DF9" s="129">
        <v>143.19999999999999</v>
      </c>
      <c r="DG9" s="58">
        <v>4.4000000000000004</v>
      </c>
      <c r="DH9" s="58">
        <v>54</v>
      </c>
      <c r="DI9" s="57">
        <v>81</v>
      </c>
      <c r="DJ9" s="57">
        <v>2083.4</v>
      </c>
      <c r="DK9" s="57">
        <v>23</v>
      </c>
      <c r="DL9" s="57">
        <v>2</v>
      </c>
      <c r="DM9" s="59">
        <v>14.3</v>
      </c>
      <c r="DN9" s="171"/>
      <c r="DO9" s="5">
        <v>7</v>
      </c>
      <c r="DP9" s="42" t="s">
        <v>405</v>
      </c>
      <c r="DQ9" s="7">
        <v>0.75</v>
      </c>
    </row>
    <row r="10" spans="1:123" x14ac:dyDescent="0.2">
      <c r="A10" s="33">
        <v>7</v>
      </c>
      <c r="B10" s="34" t="s">
        <v>236</v>
      </c>
      <c r="C10" s="116">
        <v>9.9277777777777771</v>
      </c>
      <c r="D10" s="117" t="s">
        <v>473</v>
      </c>
      <c r="E10" s="37">
        <v>3</v>
      </c>
      <c r="F10" s="118">
        <v>37292</v>
      </c>
      <c r="G10" s="119">
        <v>23.657534246575342</v>
      </c>
      <c r="H10" s="39" t="s">
        <v>389</v>
      </c>
      <c r="I10" s="39">
        <v>23.238356164383561</v>
      </c>
      <c r="J10" s="37">
        <v>69</v>
      </c>
      <c r="K10" s="37">
        <v>219</v>
      </c>
      <c r="L10" s="37">
        <v>4.57</v>
      </c>
      <c r="M10" s="40">
        <v>4</v>
      </c>
      <c r="N10" s="121">
        <v>0</v>
      </c>
      <c r="O10" s="122">
        <v>0.16255503823709103</v>
      </c>
      <c r="P10" s="122">
        <v>0.26395631067961167</v>
      </c>
      <c r="Q10" s="122">
        <v>0.2660709853561678</v>
      </c>
      <c r="R10" s="122">
        <v>0.40396259539249751</v>
      </c>
      <c r="S10" s="42">
        <v>0.40396259539249751</v>
      </c>
      <c r="T10" s="42">
        <v>0.36356633585324777</v>
      </c>
      <c r="U10" s="42">
        <v>0.1133122028526149</v>
      </c>
      <c r="V10" s="42">
        <v>0.18200100553041729</v>
      </c>
      <c r="W10" s="42">
        <v>0.18200100553041729</v>
      </c>
      <c r="X10" s="43">
        <v>0.16380090497737557</v>
      </c>
      <c r="Y10" s="44">
        <v>19.580821917808219</v>
      </c>
      <c r="Z10" s="45">
        <v>100.41747809719602</v>
      </c>
      <c r="AA10" s="45">
        <v>32.337114051669815</v>
      </c>
      <c r="AB10" s="45">
        <v>0.35714285714285715</v>
      </c>
      <c r="AC10" s="45">
        <v>5.8231292517006805</v>
      </c>
      <c r="AD10" s="45">
        <v>164.2</v>
      </c>
      <c r="AE10" s="45">
        <v>4.09</v>
      </c>
      <c r="AF10" s="45">
        <v>40.799999999999997</v>
      </c>
      <c r="AG10" s="128">
        <v>10</v>
      </c>
      <c r="AH10" s="49">
        <v>10</v>
      </c>
      <c r="AI10" s="49">
        <v>6</v>
      </c>
      <c r="AJ10" s="49">
        <v>5</v>
      </c>
      <c r="AK10" s="49">
        <v>9</v>
      </c>
      <c r="AL10" s="49">
        <v>4</v>
      </c>
      <c r="AM10" s="49">
        <v>8</v>
      </c>
      <c r="AN10" s="49">
        <v>5</v>
      </c>
      <c r="AO10" s="49">
        <v>4</v>
      </c>
      <c r="AP10" s="50">
        <v>0</v>
      </c>
      <c r="AQ10" s="56"/>
      <c r="AR10" s="57">
        <v>1</v>
      </c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9"/>
      <c r="BF10" s="56">
        <v>520</v>
      </c>
      <c r="BG10" s="57">
        <v>1628.25</v>
      </c>
      <c r="BH10" s="57">
        <v>6</v>
      </c>
      <c r="BI10" s="57">
        <v>15.75</v>
      </c>
      <c r="BJ10" s="57">
        <v>57</v>
      </c>
      <c r="BK10" s="57">
        <v>34</v>
      </c>
      <c r="BL10" s="58">
        <v>9.1228070175438596</v>
      </c>
      <c r="BM10" s="58">
        <v>356</v>
      </c>
      <c r="BN10" s="58">
        <v>6.14</v>
      </c>
      <c r="BO10" s="58">
        <v>40.4</v>
      </c>
      <c r="BP10" s="57">
        <v>123</v>
      </c>
      <c r="BQ10" s="57">
        <v>2327.3333333333335</v>
      </c>
      <c r="BR10" s="57">
        <v>12</v>
      </c>
      <c r="BS10" s="57">
        <v>1</v>
      </c>
      <c r="BT10" s="59">
        <v>13.333333333333334</v>
      </c>
      <c r="BU10" s="56">
        <v>1369</v>
      </c>
      <c r="BV10" s="57">
        <v>3253</v>
      </c>
      <c r="BW10" s="57">
        <v>7</v>
      </c>
      <c r="BX10" s="57">
        <v>18</v>
      </c>
      <c r="BY10" s="57">
        <v>196</v>
      </c>
      <c r="BZ10" s="57">
        <v>70</v>
      </c>
      <c r="CA10" s="236">
        <v>6.9846938775510203</v>
      </c>
      <c r="CB10" s="236">
        <v>164.2</v>
      </c>
      <c r="CC10" s="236">
        <v>3.88</v>
      </c>
      <c r="CD10" s="236">
        <v>40.799999999999997</v>
      </c>
      <c r="CE10" s="57">
        <v>371</v>
      </c>
      <c r="CF10" s="57">
        <v>3339.0000000000005</v>
      </c>
      <c r="CG10" s="57">
        <v>31</v>
      </c>
      <c r="CH10" s="57">
        <v>3</v>
      </c>
      <c r="CI10" s="59">
        <v>31</v>
      </c>
      <c r="CJ10" s="56">
        <v>786</v>
      </c>
      <c r="CK10" s="57">
        <v>1505</v>
      </c>
      <c r="CL10" s="57">
        <v>9</v>
      </c>
      <c r="CM10" s="57">
        <v>17</v>
      </c>
      <c r="CN10" s="57">
        <v>164</v>
      </c>
      <c r="CO10" s="57">
        <v>55</v>
      </c>
      <c r="CP10" s="58">
        <v>4.7926829268292686</v>
      </c>
      <c r="CQ10" s="129">
        <v>107.3</v>
      </c>
      <c r="CR10" s="58">
        <v>3.01</v>
      </c>
      <c r="CS10" s="129">
        <v>18.600000000000001</v>
      </c>
      <c r="CT10" s="57">
        <v>286</v>
      </c>
      <c r="CU10" s="57">
        <v>2524</v>
      </c>
      <c r="CV10" s="57">
        <v>24</v>
      </c>
      <c r="CW10" s="57">
        <v>1</v>
      </c>
      <c r="CX10" s="59">
        <v>8</v>
      </c>
      <c r="CY10" s="56">
        <v>1712</v>
      </c>
      <c r="CZ10" s="57">
        <v>2598.7000000000003</v>
      </c>
      <c r="DA10" s="57">
        <v>21</v>
      </c>
      <c r="DB10" s="57">
        <v>23.1</v>
      </c>
      <c r="DC10" s="57">
        <v>294</v>
      </c>
      <c r="DD10" s="57">
        <v>102</v>
      </c>
      <c r="DE10" s="58">
        <v>5.8231292517006805</v>
      </c>
      <c r="DF10" s="129">
        <v>139.1</v>
      </c>
      <c r="DG10" s="58">
        <v>4.09</v>
      </c>
      <c r="DH10" s="58">
        <v>34.9</v>
      </c>
      <c r="DI10" s="57">
        <v>543</v>
      </c>
      <c r="DJ10" s="57">
        <v>2983.5</v>
      </c>
      <c r="DK10" s="57">
        <v>44</v>
      </c>
      <c r="DL10" s="57">
        <v>3</v>
      </c>
      <c r="DM10" s="59">
        <v>19.8</v>
      </c>
      <c r="DN10" s="171"/>
      <c r="DO10" s="5">
        <v>8</v>
      </c>
      <c r="DP10" s="42" t="s">
        <v>408</v>
      </c>
      <c r="DQ10" s="7">
        <v>0.65</v>
      </c>
      <c r="DR10" s="131"/>
    </row>
    <row r="11" spans="1:123" x14ac:dyDescent="0.2">
      <c r="A11" s="33">
        <v>9</v>
      </c>
      <c r="B11" s="34" t="s">
        <v>246</v>
      </c>
      <c r="C11" s="116">
        <v>9.4777777777777779</v>
      </c>
      <c r="D11" s="117" t="s">
        <v>384</v>
      </c>
      <c r="E11" s="37">
        <v>1</v>
      </c>
      <c r="F11" s="118">
        <v>38177</v>
      </c>
      <c r="G11" s="119">
        <v>21.232876712328768</v>
      </c>
      <c r="H11" s="39" t="s">
        <v>385</v>
      </c>
      <c r="I11" s="39">
        <v>20.813698630136987</v>
      </c>
      <c r="J11" s="37">
        <v>68</v>
      </c>
      <c r="K11" s="37">
        <v>198</v>
      </c>
      <c r="L11" s="37">
        <v>4.42</v>
      </c>
      <c r="M11" s="40">
        <v>4</v>
      </c>
      <c r="N11" s="121">
        <v>0</v>
      </c>
      <c r="O11" s="122">
        <v>0</v>
      </c>
      <c r="P11" s="122">
        <v>0.14241654571843251</v>
      </c>
      <c r="Q11" s="122">
        <v>0.20621763960800871</v>
      </c>
      <c r="R11" s="122">
        <v>0.19659595461272816</v>
      </c>
      <c r="S11" s="42">
        <v>0.20140679711036844</v>
      </c>
      <c r="T11" s="42">
        <v>0.20140679711036844</v>
      </c>
      <c r="U11" s="42">
        <v>6.0302212249763343E-2</v>
      </c>
      <c r="V11" s="42">
        <v>6.9039145907473315E-2</v>
      </c>
      <c r="W11" s="42">
        <v>6.9039145907473315E-2</v>
      </c>
      <c r="X11" s="43">
        <v>6.9039145907473315E-2</v>
      </c>
      <c r="Y11" s="44">
        <v>19.167123287671235</v>
      </c>
      <c r="Z11" s="45">
        <v>103.75430091812775</v>
      </c>
      <c r="AA11" s="45">
        <v>30.102508650519027</v>
      </c>
      <c r="AB11" s="45">
        <v>0.26923076923076922</v>
      </c>
      <c r="AC11" s="45">
        <v>5.8153846153846152</v>
      </c>
      <c r="AD11" s="45">
        <v>118.8</v>
      </c>
      <c r="AE11" s="45">
        <v>4.08</v>
      </c>
      <c r="AF11" s="45">
        <v>45.2</v>
      </c>
      <c r="AG11" s="128">
        <v>4</v>
      </c>
      <c r="AH11" s="49">
        <v>7</v>
      </c>
      <c r="AI11" s="49">
        <v>7</v>
      </c>
      <c r="AJ11" s="49">
        <v>7</v>
      </c>
      <c r="AK11" s="49">
        <v>7</v>
      </c>
      <c r="AL11" s="49">
        <v>4</v>
      </c>
      <c r="AM11" s="49">
        <v>6</v>
      </c>
      <c r="AN11" s="49">
        <v>5</v>
      </c>
      <c r="AO11" s="49">
        <v>4</v>
      </c>
      <c r="AP11" s="50">
        <v>1</v>
      </c>
      <c r="AQ11" s="56"/>
      <c r="AR11" s="57">
        <v>1</v>
      </c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9"/>
      <c r="BF11" s="56"/>
      <c r="BG11" s="57">
        <v>1</v>
      </c>
      <c r="BH11" s="57"/>
      <c r="BI11" s="57"/>
      <c r="BJ11" s="57"/>
      <c r="BK11" s="57"/>
      <c r="BL11" s="58"/>
      <c r="BM11" s="58"/>
      <c r="BN11" s="58"/>
      <c r="BO11" s="58"/>
      <c r="BP11" s="57"/>
      <c r="BQ11" s="57"/>
      <c r="BR11" s="57"/>
      <c r="BS11" s="57"/>
      <c r="BT11" s="59"/>
      <c r="BU11" s="56">
        <v>719</v>
      </c>
      <c r="BV11" s="57">
        <v>2602.6</v>
      </c>
      <c r="BW11" s="57">
        <v>6</v>
      </c>
      <c r="BX11" s="57">
        <v>28.6</v>
      </c>
      <c r="BY11" s="57">
        <v>118</v>
      </c>
      <c r="BZ11" s="57">
        <v>35</v>
      </c>
      <c r="CA11" s="236">
        <v>6.093220338983051</v>
      </c>
      <c r="CB11" s="236">
        <v>118.9</v>
      </c>
      <c r="CC11" s="236">
        <v>3.87</v>
      </c>
      <c r="CD11" s="236">
        <v>47.1</v>
      </c>
      <c r="CE11" s="57">
        <v>66</v>
      </c>
      <c r="CF11" s="57">
        <v>2909.4</v>
      </c>
      <c r="CG11" s="57">
        <v>9</v>
      </c>
      <c r="CH11" s="57">
        <v>0</v>
      </c>
      <c r="CI11" s="59">
        <v>18.2</v>
      </c>
      <c r="CJ11" s="56">
        <v>756</v>
      </c>
      <c r="CK11" s="57">
        <v>1647.8000000000002</v>
      </c>
      <c r="CL11" s="57">
        <v>8</v>
      </c>
      <c r="CM11" s="57">
        <v>19.8</v>
      </c>
      <c r="CN11" s="57">
        <v>130</v>
      </c>
      <c r="CO11" s="57">
        <v>35</v>
      </c>
      <c r="CP11" s="58">
        <v>5.8153846153846152</v>
      </c>
      <c r="CQ11" s="129">
        <v>118.8</v>
      </c>
      <c r="CR11" s="58">
        <v>4.08</v>
      </c>
      <c r="CS11" s="129">
        <v>45.2</v>
      </c>
      <c r="CT11" s="57">
        <v>172</v>
      </c>
      <c r="CU11" s="57">
        <v>2852.3</v>
      </c>
      <c r="CV11" s="57">
        <v>21</v>
      </c>
      <c r="CW11" s="57">
        <v>1</v>
      </c>
      <c r="CX11" s="59">
        <v>18.7</v>
      </c>
      <c r="CY11" s="56">
        <v>603</v>
      </c>
      <c r="CZ11" s="57">
        <v>1244</v>
      </c>
      <c r="DA11" s="57">
        <v>9</v>
      </c>
      <c r="DB11" s="57">
        <v>14.4</v>
      </c>
      <c r="DC11" s="57">
        <v>122</v>
      </c>
      <c r="DD11" s="57">
        <v>28</v>
      </c>
      <c r="DE11" s="58">
        <v>4.942622950819672</v>
      </c>
      <c r="DF11" s="129">
        <v>93.7</v>
      </c>
      <c r="DG11" s="58">
        <v>3.43</v>
      </c>
      <c r="DH11" s="58">
        <v>31</v>
      </c>
      <c r="DI11" s="57">
        <v>194</v>
      </c>
      <c r="DJ11" s="57">
        <v>2810</v>
      </c>
      <c r="DK11" s="57">
        <v>32</v>
      </c>
      <c r="DL11" s="57">
        <v>0</v>
      </c>
      <c r="DM11" s="59">
        <v>18.399999999999999</v>
      </c>
      <c r="DO11" s="5">
        <v>9</v>
      </c>
      <c r="DP11" s="42" t="s">
        <v>411</v>
      </c>
      <c r="DQ11" s="7">
        <v>0.65</v>
      </c>
      <c r="DR11" s="131"/>
    </row>
    <row r="12" spans="1:123" x14ac:dyDescent="0.2">
      <c r="A12" s="33">
        <v>10</v>
      </c>
      <c r="B12" s="34" t="s">
        <v>233</v>
      </c>
      <c r="C12" s="116">
        <v>9.3833333333333329</v>
      </c>
      <c r="D12" s="117" t="s">
        <v>556</v>
      </c>
      <c r="E12" s="37">
        <v>3</v>
      </c>
      <c r="F12" s="118">
        <v>37859</v>
      </c>
      <c r="G12" s="119">
        <v>22.104109589041094</v>
      </c>
      <c r="H12" s="39" t="s">
        <v>385</v>
      </c>
      <c r="I12" s="39">
        <v>21.684931506849313</v>
      </c>
      <c r="J12" s="37">
        <v>72</v>
      </c>
      <c r="K12" s="37">
        <v>212</v>
      </c>
      <c r="L12" s="37">
        <v>4.43</v>
      </c>
      <c r="M12" s="40">
        <v>5</v>
      </c>
      <c r="N12" s="121">
        <v>0</v>
      </c>
      <c r="O12" s="122">
        <v>0</v>
      </c>
      <c r="P12" s="122">
        <v>0.10523263746759448</v>
      </c>
      <c r="Q12" s="122">
        <v>0.26809929347544442</v>
      </c>
      <c r="R12" s="122">
        <v>0.31252440071835713</v>
      </c>
      <c r="S12" s="42">
        <v>0.31252440071835713</v>
      </c>
      <c r="T12" s="42">
        <v>0.28127196064652144</v>
      </c>
      <c r="U12" s="42">
        <v>0.10396734277331293</v>
      </c>
      <c r="V12" s="42">
        <v>0.10170293282876064</v>
      </c>
      <c r="W12" s="42">
        <v>0.10283513780103679</v>
      </c>
      <c r="X12" s="43">
        <v>9.2551624020933115E-2</v>
      </c>
      <c r="Y12" s="44">
        <v>20.038356164383561</v>
      </c>
      <c r="Z12" s="45">
        <v>110.09078075109204</v>
      </c>
      <c r="AA12" s="45">
        <v>28.749228395061728</v>
      </c>
      <c r="AB12" s="45">
        <v>0.3094170403587444</v>
      </c>
      <c r="AC12" s="45">
        <v>6.5194174757281553</v>
      </c>
      <c r="AD12" s="45">
        <v>114.1</v>
      </c>
      <c r="AE12" s="45">
        <v>4.16</v>
      </c>
      <c r="AF12" s="45">
        <v>54.9</v>
      </c>
      <c r="AG12" s="128">
        <v>8</v>
      </c>
      <c r="AH12" s="49">
        <v>9</v>
      </c>
      <c r="AI12" s="49">
        <v>4</v>
      </c>
      <c r="AJ12" s="49">
        <v>9</v>
      </c>
      <c r="AK12" s="49">
        <v>8</v>
      </c>
      <c r="AL12" s="49">
        <v>6</v>
      </c>
      <c r="AM12" s="49">
        <v>5</v>
      </c>
      <c r="AN12" s="49">
        <v>5</v>
      </c>
      <c r="AO12" s="49">
        <v>3</v>
      </c>
      <c r="AP12" s="50">
        <v>0.25</v>
      </c>
      <c r="AQ12" s="56"/>
      <c r="AR12" s="57">
        <v>1</v>
      </c>
      <c r="AS12" s="57"/>
      <c r="AT12" s="57"/>
      <c r="AU12" s="57"/>
      <c r="AV12" s="57"/>
      <c r="AW12" s="57"/>
      <c r="AX12" s="57"/>
      <c r="AY12" s="57"/>
      <c r="AZ12" s="57"/>
      <c r="BA12" s="57"/>
      <c r="BB12" s="57">
        <v>1</v>
      </c>
      <c r="BC12" s="57"/>
      <c r="BD12" s="57"/>
      <c r="BE12" s="59"/>
      <c r="BF12" s="56"/>
      <c r="BG12" s="57">
        <v>1</v>
      </c>
      <c r="BH12" s="57"/>
      <c r="BI12" s="57"/>
      <c r="BJ12" s="57"/>
      <c r="BK12" s="57"/>
      <c r="BL12" s="58"/>
      <c r="BM12" s="58"/>
      <c r="BN12" s="58"/>
      <c r="BO12" s="58"/>
      <c r="BP12" s="57"/>
      <c r="BQ12" s="57">
        <v>1</v>
      </c>
      <c r="BR12" s="57"/>
      <c r="BS12" s="57"/>
      <c r="BT12" s="59"/>
      <c r="BU12" s="56">
        <v>519</v>
      </c>
      <c r="BV12" s="57">
        <v>2916.2000000000003</v>
      </c>
      <c r="BW12" s="57">
        <v>6</v>
      </c>
      <c r="BX12" s="57">
        <v>32.199999999999996</v>
      </c>
      <c r="BY12" s="57">
        <v>89</v>
      </c>
      <c r="BZ12" s="57">
        <v>24</v>
      </c>
      <c r="CA12" s="236">
        <v>5.8314606741573032</v>
      </c>
      <c r="CB12" s="236">
        <v>95.9</v>
      </c>
      <c r="CC12" s="236">
        <v>3.88</v>
      </c>
      <c r="CD12" s="236">
        <v>30.3</v>
      </c>
      <c r="CE12" s="57">
        <v>98</v>
      </c>
      <c r="CF12" s="57">
        <v>2947</v>
      </c>
      <c r="CG12" s="57">
        <v>8</v>
      </c>
      <c r="CH12" s="57">
        <v>0</v>
      </c>
      <c r="CI12" s="59">
        <v>21</v>
      </c>
      <c r="CJ12" s="56">
        <v>1226</v>
      </c>
      <c r="CK12" s="57">
        <v>2653.2999999999997</v>
      </c>
      <c r="CL12" s="57">
        <v>10</v>
      </c>
      <c r="CM12" s="57">
        <v>32.5</v>
      </c>
      <c r="CN12" s="57">
        <v>223</v>
      </c>
      <c r="CO12" s="57">
        <v>69</v>
      </c>
      <c r="CP12" s="58">
        <v>5.4977578475336326</v>
      </c>
      <c r="CQ12" s="129">
        <v>96.6</v>
      </c>
      <c r="CR12" s="58">
        <v>3.26</v>
      </c>
      <c r="CS12" s="129">
        <v>29.5</v>
      </c>
      <c r="CT12" s="57">
        <v>326</v>
      </c>
      <c r="CU12" s="57">
        <v>3135.6</v>
      </c>
      <c r="CV12" s="57">
        <v>30</v>
      </c>
      <c r="CW12" s="57">
        <v>3</v>
      </c>
      <c r="CX12" s="59">
        <v>29.9</v>
      </c>
      <c r="CY12" s="56">
        <v>1343</v>
      </c>
      <c r="CZ12" s="57">
        <v>2586</v>
      </c>
      <c r="DA12" s="57">
        <v>7</v>
      </c>
      <c r="DB12" s="57">
        <v>18</v>
      </c>
      <c r="DC12" s="57">
        <v>206</v>
      </c>
      <c r="DD12" s="57">
        <v>54</v>
      </c>
      <c r="DE12" s="58">
        <v>6.5194174757281553</v>
      </c>
      <c r="DF12" s="129">
        <v>114.1</v>
      </c>
      <c r="DG12" s="58">
        <v>4.16</v>
      </c>
      <c r="DH12" s="58">
        <v>54.9</v>
      </c>
      <c r="DI12" s="57">
        <v>258</v>
      </c>
      <c r="DJ12" s="57">
        <v>2536.8000000000002</v>
      </c>
      <c r="DK12" s="57">
        <v>20</v>
      </c>
      <c r="DL12" s="57">
        <v>1</v>
      </c>
      <c r="DM12" s="59">
        <v>21.6</v>
      </c>
      <c r="DO12" s="5">
        <v>10</v>
      </c>
      <c r="DP12" s="42" t="s">
        <v>414</v>
      </c>
      <c r="DQ12" s="7">
        <v>0.6</v>
      </c>
    </row>
    <row r="13" spans="1:123" x14ac:dyDescent="0.2">
      <c r="A13" s="33">
        <v>10</v>
      </c>
      <c r="B13" s="34" t="s">
        <v>262</v>
      </c>
      <c r="C13" s="116">
        <v>9.3833333333333329</v>
      </c>
      <c r="D13" s="117" t="s">
        <v>426</v>
      </c>
      <c r="E13" s="37">
        <v>1</v>
      </c>
      <c r="F13" s="118">
        <v>37558</v>
      </c>
      <c r="G13" s="119">
        <v>22.92876712328767</v>
      </c>
      <c r="H13" s="39" t="s">
        <v>385</v>
      </c>
      <c r="I13" s="39">
        <v>22.509589041095889</v>
      </c>
      <c r="J13" s="37">
        <v>69</v>
      </c>
      <c r="K13" s="37">
        <v>204</v>
      </c>
      <c r="L13" s="37">
        <v>4.4400000000000004</v>
      </c>
      <c r="M13" s="40">
        <v>4</v>
      </c>
      <c r="N13" s="121">
        <v>0</v>
      </c>
      <c r="O13" s="122">
        <v>0.12498805542283803</v>
      </c>
      <c r="P13" s="122">
        <v>0.19133419133419133</v>
      </c>
      <c r="Q13" s="122">
        <v>0.24416287015945332</v>
      </c>
      <c r="R13" s="122">
        <v>0.26315789473684215</v>
      </c>
      <c r="S13" s="42">
        <v>0.26315789473684215</v>
      </c>
      <c r="T13" s="42">
        <v>0.26315789473684215</v>
      </c>
      <c r="U13" s="42">
        <v>6.0624743115495275E-2</v>
      </c>
      <c r="V13" s="42">
        <v>4.8945307565997229E-2</v>
      </c>
      <c r="W13" s="42">
        <v>5.4785025340746252E-2</v>
      </c>
      <c r="X13" s="43">
        <v>5.4785025340746252E-2</v>
      </c>
      <c r="Y13" s="44">
        <v>19.865753424657534</v>
      </c>
      <c r="Z13" s="45">
        <v>104.98524900435939</v>
      </c>
      <c r="AA13" s="45">
        <v>30.122243226212984</v>
      </c>
      <c r="AB13" s="45">
        <v>0.38461538461538464</v>
      </c>
      <c r="AC13" s="45">
        <v>6.456989247311828</v>
      </c>
      <c r="AD13" s="45">
        <v>164.5</v>
      </c>
      <c r="AE13" s="45">
        <v>4.0999999999999996</v>
      </c>
      <c r="AF13" s="45">
        <v>48</v>
      </c>
      <c r="AG13" s="128">
        <v>7</v>
      </c>
      <c r="AH13" s="49">
        <v>6</v>
      </c>
      <c r="AI13" s="49">
        <v>5</v>
      </c>
      <c r="AJ13" s="49">
        <v>7</v>
      </c>
      <c r="AK13" s="49">
        <v>10</v>
      </c>
      <c r="AL13" s="49">
        <v>6</v>
      </c>
      <c r="AM13" s="49">
        <v>8</v>
      </c>
      <c r="AN13" s="49">
        <v>5</v>
      </c>
      <c r="AO13" s="49">
        <v>4</v>
      </c>
      <c r="AP13" s="50">
        <v>0</v>
      </c>
      <c r="AQ13" s="56"/>
      <c r="AR13" s="57">
        <v>1</v>
      </c>
      <c r="AS13" s="57"/>
      <c r="AT13" s="57"/>
      <c r="AU13" s="57"/>
      <c r="AV13" s="57"/>
      <c r="AW13" s="57"/>
      <c r="AX13" s="57"/>
      <c r="AY13" s="57"/>
      <c r="AZ13" s="57"/>
      <c r="BA13" s="57"/>
      <c r="BB13" s="57">
        <v>1</v>
      </c>
      <c r="BC13" s="57"/>
      <c r="BD13" s="57"/>
      <c r="BE13" s="59"/>
      <c r="BF13" s="56">
        <v>593</v>
      </c>
      <c r="BG13" s="57">
        <v>2111.2000000000003</v>
      </c>
      <c r="BH13" s="57">
        <v>3</v>
      </c>
      <c r="BI13" s="57">
        <v>22.099999999999998</v>
      </c>
      <c r="BJ13" s="57">
        <v>89</v>
      </c>
      <c r="BK13" s="57">
        <v>27</v>
      </c>
      <c r="BL13" s="58">
        <v>6.6629213483146064</v>
      </c>
      <c r="BM13" s="58">
        <v>104.5</v>
      </c>
      <c r="BN13" s="58">
        <v>3.64</v>
      </c>
      <c r="BO13" s="58">
        <v>48.7</v>
      </c>
      <c r="BP13" s="57">
        <v>61</v>
      </c>
      <c r="BQ13" s="57">
        <v>3121.2999999999997</v>
      </c>
      <c r="BR13" s="57">
        <v>12</v>
      </c>
      <c r="BS13" s="57">
        <v>1</v>
      </c>
      <c r="BT13" s="59">
        <v>16.900000000000002</v>
      </c>
      <c r="BU13" s="56">
        <v>668</v>
      </c>
      <c r="BV13" s="57">
        <v>2589.6000000000004</v>
      </c>
      <c r="BW13" s="57">
        <v>7</v>
      </c>
      <c r="BX13" s="57">
        <v>25.200000000000003</v>
      </c>
      <c r="BY13" s="57">
        <v>104</v>
      </c>
      <c r="BZ13" s="57">
        <v>40</v>
      </c>
      <c r="CA13" s="236">
        <v>6.4230769230769234</v>
      </c>
      <c r="CB13" s="236">
        <v>164.5</v>
      </c>
      <c r="CC13" s="236">
        <v>3.83</v>
      </c>
      <c r="CD13" s="236">
        <v>47.5</v>
      </c>
      <c r="CE13" s="57">
        <v>224</v>
      </c>
      <c r="CF13" s="57">
        <v>2072.3999999999996</v>
      </c>
      <c r="CG13" s="57">
        <v>17</v>
      </c>
      <c r="CH13" s="57">
        <v>2</v>
      </c>
      <c r="CI13" s="59">
        <v>9.6000000000000014</v>
      </c>
      <c r="CJ13" s="56">
        <v>911</v>
      </c>
      <c r="CK13" s="57">
        <v>2268</v>
      </c>
      <c r="CL13" s="57">
        <v>7</v>
      </c>
      <c r="CM13" s="57">
        <v>20.399999999999999</v>
      </c>
      <c r="CN13" s="57">
        <v>160</v>
      </c>
      <c r="CO13" s="57">
        <v>39</v>
      </c>
      <c r="CP13" s="58">
        <v>5.6937499999999996</v>
      </c>
      <c r="CQ13" s="129">
        <v>98.7</v>
      </c>
      <c r="CR13" s="58">
        <v>3.99</v>
      </c>
      <c r="CS13" s="129">
        <v>44.9</v>
      </c>
      <c r="CT13" s="57">
        <v>118</v>
      </c>
      <c r="CU13" s="57">
        <v>1946.3999999999999</v>
      </c>
      <c r="CV13" s="57">
        <v>18</v>
      </c>
      <c r="CW13" s="57">
        <v>0</v>
      </c>
      <c r="CX13" s="59">
        <v>16.799999999999997</v>
      </c>
      <c r="CY13" s="56">
        <v>1201</v>
      </c>
      <c r="CZ13" s="57">
        <v>1986</v>
      </c>
      <c r="DA13" s="57">
        <v>8</v>
      </c>
      <c r="DB13" s="57">
        <v>13.200000000000001</v>
      </c>
      <c r="DC13" s="57">
        <v>186</v>
      </c>
      <c r="DD13" s="57">
        <v>58</v>
      </c>
      <c r="DE13" s="58">
        <v>6.456989247311828</v>
      </c>
      <c r="DF13" s="129">
        <v>140.5</v>
      </c>
      <c r="DG13" s="58">
        <v>4.0999999999999996</v>
      </c>
      <c r="DH13" s="58">
        <v>48</v>
      </c>
      <c r="DI13" s="57">
        <v>155</v>
      </c>
      <c r="DJ13" s="57">
        <v>3166.7999999999997</v>
      </c>
      <c r="DK13" s="57">
        <v>21</v>
      </c>
      <c r="DL13" s="57">
        <v>1</v>
      </c>
      <c r="DM13" s="59">
        <v>27.599999999999998</v>
      </c>
      <c r="DO13" s="11">
        <v>11</v>
      </c>
      <c r="DP13" s="42" t="s">
        <v>417</v>
      </c>
      <c r="DQ13" s="7">
        <v>0.55000000000000004</v>
      </c>
    </row>
    <row r="14" spans="1:123" x14ac:dyDescent="0.2">
      <c r="A14" s="33">
        <v>12</v>
      </c>
      <c r="B14" s="34" t="s">
        <v>253</v>
      </c>
      <c r="C14" s="116">
        <v>8.7888888888888879</v>
      </c>
      <c r="D14" s="117" t="s">
        <v>495</v>
      </c>
      <c r="E14" s="37">
        <v>1</v>
      </c>
      <c r="F14" s="118">
        <v>38244</v>
      </c>
      <c r="G14" s="119">
        <v>21.049315068493151</v>
      </c>
      <c r="H14" s="39" t="s">
        <v>385</v>
      </c>
      <c r="I14" s="39">
        <v>20.63013698630137</v>
      </c>
      <c r="J14" s="37">
        <v>68</v>
      </c>
      <c r="K14" s="37">
        <v>200</v>
      </c>
      <c r="L14" s="37">
        <v>4.42</v>
      </c>
      <c r="M14" s="40">
        <v>4</v>
      </c>
      <c r="N14" s="121">
        <v>0</v>
      </c>
      <c r="O14" s="122">
        <v>0</v>
      </c>
      <c r="P14" s="122">
        <v>7.8957382039573823E-2</v>
      </c>
      <c r="Q14" s="122">
        <v>0.14508928571428573</v>
      </c>
      <c r="R14" s="122">
        <v>0.28064560534104205</v>
      </c>
      <c r="S14" s="42">
        <v>0.28064560534104205</v>
      </c>
      <c r="T14" s="42">
        <v>0.28064560534104205</v>
      </c>
      <c r="U14" s="42">
        <v>5.9964364035087724E-2</v>
      </c>
      <c r="V14" s="42">
        <v>4.9728752260397829E-2</v>
      </c>
      <c r="W14" s="42">
        <v>5.484655814774278E-2</v>
      </c>
      <c r="X14" s="43">
        <v>5.484655814774278E-2</v>
      </c>
      <c r="Y14" s="44">
        <v>19.986301369863014</v>
      </c>
      <c r="Z14" s="45">
        <v>104.802324159725</v>
      </c>
      <c r="AA14" s="45">
        <v>30.406574394463664</v>
      </c>
      <c r="AB14" s="45">
        <v>0.28971962616822428</v>
      </c>
      <c r="AC14" s="45">
        <v>5.7674418604651159</v>
      </c>
      <c r="AD14" s="45">
        <v>107.5</v>
      </c>
      <c r="AE14" s="45">
        <v>3.6</v>
      </c>
      <c r="AF14" s="45">
        <v>36.4</v>
      </c>
      <c r="AG14" s="128">
        <v>8</v>
      </c>
      <c r="AH14" s="49">
        <v>6</v>
      </c>
      <c r="AI14" s="49">
        <v>5</v>
      </c>
      <c r="AJ14" s="49">
        <v>7</v>
      </c>
      <c r="AK14" s="49">
        <v>8</v>
      </c>
      <c r="AL14" s="49">
        <v>3</v>
      </c>
      <c r="AM14" s="49">
        <v>5</v>
      </c>
      <c r="AN14" s="49">
        <v>2</v>
      </c>
      <c r="AO14" s="49">
        <v>4</v>
      </c>
      <c r="AP14" s="50">
        <v>0.5</v>
      </c>
      <c r="AQ14" s="56"/>
      <c r="AR14" s="57">
        <v>1</v>
      </c>
      <c r="AS14" s="57"/>
      <c r="AT14" s="57"/>
      <c r="AU14" s="57"/>
      <c r="AV14" s="57"/>
      <c r="AW14" s="57"/>
      <c r="AX14" s="57"/>
      <c r="AY14" s="57"/>
      <c r="AZ14" s="57"/>
      <c r="BA14" s="57"/>
      <c r="BB14" s="57">
        <v>1</v>
      </c>
      <c r="BC14" s="57"/>
      <c r="BD14" s="57"/>
      <c r="BE14" s="59"/>
      <c r="BF14" s="56"/>
      <c r="BG14" s="57">
        <v>1</v>
      </c>
      <c r="BH14" s="57"/>
      <c r="BI14" s="57"/>
      <c r="BJ14" s="57"/>
      <c r="BK14" s="57"/>
      <c r="BL14" s="58"/>
      <c r="BM14" s="58"/>
      <c r="BN14" s="58"/>
      <c r="BO14" s="58"/>
      <c r="BP14" s="57"/>
      <c r="BQ14" s="57">
        <v>1</v>
      </c>
      <c r="BR14" s="57"/>
      <c r="BS14" s="57"/>
      <c r="BT14" s="59"/>
      <c r="BU14" s="56">
        <v>388</v>
      </c>
      <c r="BV14" s="57">
        <v>1995</v>
      </c>
      <c r="BW14" s="57">
        <v>6</v>
      </c>
      <c r="BX14" s="57"/>
      <c r="BY14" s="57">
        <v>58</v>
      </c>
      <c r="BZ14" s="57">
        <v>10</v>
      </c>
      <c r="CA14" s="236"/>
      <c r="CB14" s="236">
        <v>82.4</v>
      </c>
      <c r="CC14" s="236">
        <v>4.57</v>
      </c>
      <c r="CD14" s="236">
        <v>59</v>
      </c>
      <c r="CE14" s="57">
        <v>27</v>
      </c>
      <c r="CF14" s="57">
        <v>3261</v>
      </c>
      <c r="CG14" s="57">
        <v>3</v>
      </c>
      <c r="CH14" s="57">
        <v>0</v>
      </c>
      <c r="CI14" s="59"/>
      <c r="CJ14" s="56">
        <v>605</v>
      </c>
      <c r="CK14" s="57">
        <v>2457.6000000000004</v>
      </c>
      <c r="CL14" s="57">
        <v>7</v>
      </c>
      <c r="CM14" s="57"/>
      <c r="CN14" s="57">
        <v>107</v>
      </c>
      <c r="CO14" s="57">
        <v>31</v>
      </c>
      <c r="CP14" s="58">
        <v>5.6542056074766354</v>
      </c>
      <c r="CQ14" s="129">
        <v>99.4</v>
      </c>
      <c r="CR14" s="58">
        <v>3.24</v>
      </c>
      <c r="CS14" s="129">
        <v>36.4</v>
      </c>
      <c r="CT14" s="57">
        <v>175</v>
      </c>
      <c r="CU14" s="57">
        <v>2918.3999999999996</v>
      </c>
      <c r="CV14" s="57">
        <v>17</v>
      </c>
      <c r="CW14" s="57">
        <v>1</v>
      </c>
      <c r="CX14" s="59"/>
      <c r="CY14" s="56">
        <v>1488</v>
      </c>
      <c r="CZ14" s="57">
        <v>2936</v>
      </c>
      <c r="DA14" s="57">
        <v>22</v>
      </c>
      <c r="DB14" s="57">
        <v>32.400000000000006</v>
      </c>
      <c r="DC14" s="57">
        <v>258</v>
      </c>
      <c r="DD14" s="57">
        <v>70</v>
      </c>
      <c r="DE14" s="58">
        <v>5.7674418604651159</v>
      </c>
      <c r="DF14" s="129">
        <v>107.5</v>
      </c>
      <c r="DG14" s="58">
        <v>3.6</v>
      </c>
      <c r="DH14" s="58">
        <v>30.4</v>
      </c>
      <c r="DI14" s="57">
        <v>143</v>
      </c>
      <c r="DJ14" s="57">
        <v>2875.6</v>
      </c>
      <c r="DK14" s="57">
        <v>20</v>
      </c>
      <c r="DL14" s="57">
        <v>0</v>
      </c>
      <c r="DM14" s="59">
        <v>21.6</v>
      </c>
      <c r="DO14" s="11">
        <v>12</v>
      </c>
      <c r="DP14" s="42" t="s">
        <v>420</v>
      </c>
      <c r="DQ14" s="7">
        <v>0.5</v>
      </c>
    </row>
    <row r="15" spans="1:123" x14ac:dyDescent="0.2">
      <c r="A15" s="33">
        <v>13</v>
      </c>
      <c r="B15" s="34" t="s">
        <v>255</v>
      </c>
      <c r="C15" s="116">
        <v>8.4333333333333336</v>
      </c>
      <c r="D15" s="117" t="s">
        <v>515</v>
      </c>
      <c r="E15" s="37">
        <v>2</v>
      </c>
      <c r="F15" s="118">
        <v>38075</v>
      </c>
      <c r="G15" s="119">
        <v>21.512328767123286</v>
      </c>
      <c r="H15" s="39" t="s">
        <v>385</v>
      </c>
      <c r="I15" s="39">
        <v>21.093150684931508</v>
      </c>
      <c r="J15" s="37">
        <v>69</v>
      </c>
      <c r="K15" s="37">
        <v>205</v>
      </c>
      <c r="L15" s="37">
        <v>4.55</v>
      </c>
      <c r="M15" s="40">
        <v>5</v>
      </c>
      <c r="N15" s="121">
        <v>0</v>
      </c>
      <c r="O15" s="122">
        <v>0</v>
      </c>
      <c r="P15" s="122">
        <v>3.9352776667998399E-2</v>
      </c>
      <c r="Q15" s="122">
        <v>0.12043658261196839</v>
      </c>
      <c r="R15" s="122">
        <v>0.24085564990202482</v>
      </c>
      <c r="S15" s="42">
        <v>0.24085564990202482</v>
      </c>
      <c r="T15" s="42">
        <v>0.24085564990202482</v>
      </c>
      <c r="U15" s="42">
        <v>2.7179508297986248E-2</v>
      </c>
      <c r="V15" s="42">
        <v>5.2900587784308714E-2</v>
      </c>
      <c r="W15" s="42">
        <v>5.2900587784308714E-2</v>
      </c>
      <c r="X15" s="43">
        <v>5.2900587784308714E-2</v>
      </c>
      <c r="Y15" s="44">
        <v>20.449315068493149</v>
      </c>
      <c r="Z15" s="45">
        <v>95.661738692057028</v>
      </c>
      <c r="AA15" s="45">
        <v>30.269901281243438</v>
      </c>
      <c r="AB15" s="45">
        <v>0.30555555555555558</v>
      </c>
      <c r="AC15" s="45">
        <v>7.0740740740740744</v>
      </c>
      <c r="AD15" s="45">
        <v>108.3</v>
      </c>
      <c r="AE15" s="45">
        <v>4.04</v>
      </c>
      <c r="AF15" s="45">
        <v>37.4</v>
      </c>
      <c r="AG15" s="128">
        <v>6</v>
      </c>
      <c r="AH15" s="49">
        <v>5</v>
      </c>
      <c r="AI15" s="49">
        <v>4</v>
      </c>
      <c r="AJ15" s="49">
        <v>3</v>
      </c>
      <c r="AK15" s="49">
        <v>8</v>
      </c>
      <c r="AL15" s="49">
        <v>8</v>
      </c>
      <c r="AM15" s="49">
        <v>5</v>
      </c>
      <c r="AN15" s="49">
        <v>5</v>
      </c>
      <c r="AO15" s="49">
        <v>3</v>
      </c>
      <c r="AP15" s="50">
        <v>1</v>
      </c>
      <c r="AQ15" s="56"/>
      <c r="AR15" s="57">
        <v>1</v>
      </c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9"/>
      <c r="BF15" s="56"/>
      <c r="BG15" s="57">
        <v>1</v>
      </c>
      <c r="BH15" s="57"/>
      <c r="BI15" s="57"/>
      <c r="BJ15" s="57"/>
      <c r="BK15" s="57"/>
      <c r="BL15" s="58"/>
      <c r="BM15" s="58"/>
      <c r="BN15" s="58"/>
      <c r="BO15" s="58"/>
      <c r="BP15" s="57"/>
      <c r="BQ15" s="57"/>
      <c r="BR15" s="57"/>
      <c r="BS15" s="57"/>
      <c r="BT15" s="59"/>
      <c r="BU15" s="56">
        <v>191</v>
      </c>
      <c r="BV15" s="57">
        <v>2158</v>
      </c>
      <c r="BW15" s="57">
        <v>5</v>
      </c>
      <c r="BX15" s="57">
        <v>26</v>
      </c>
      <c r="BY15" s="57">
        <v>45</v>
      </c>
      <c r="BZ15" s="57">
        <v>7</v>
      </c>
      <c r="CA15" s="236">
        <v>4.2444444444444445</v>
      </c>
      <c r="CB15" s="236">
        <v>40.6</v>
      </c>
      <c r="CC15" s="236">
        <v>2.33</v>
      </c>
      <c r="CD15" s="236">
        <v>12.6</v>
      </c>
      <c r="CE15" s="57">
        <v>6</v>
      </c>
      <c r="CF15" s="57">
        <v>2848</v>
      </c>
      <c r="CG15" s="57">
        <v>1</v>
      </c>
      <c r="CH15" s="57">
        <v>0</v>
      </c>
      <c r="CI15" s="59">
        <v>23</v>
      </c>
      <c r="CJ15" s="56">
        <v>764</v>
      </c>
      <c r="CK15" s="57">
        <v>2583</v>
      </c>
      <c r="CL15" s="57">
        <v>11</v>
      </c>
      <c r="CM15" s="57">
        <v>33.6</v>
      </c>
      <c r="CN15" s="57">
        <v>108</v>
      </c>
      <c r="CO15" s="57">
        <v>33</v>
      </c>
      <c r="CP15" s="58">
        <v>7.0740740740740744</v>
      </c>
      <c r="CQ15" s="129">
        <v>108.3</v>
      </c>
      <c r="CR15" s="58">
        <v>4.04</v>
      </c>
      <c r="CS15" s="129">
        <v>37.4</v>
      </c>
      <c r="CT15" s="57">
        <v>132</v>
      </c>
      <c r="CU15" s="57">
        <v>4856.5999999999995</v>
      </c>
      <c r="CV15" s="57">
        <v>15</v>
      </c>
      <c r="CW15" s="57">
        <v>1</v>
      </c>
      <c r="CX15" s="59">
        <v>49</v>
      </c>
      <c r="CY15" s="56">
        <v>1268</v>
      </c>
      <c r="CZ15" s="57">
        <v>2211</v>
      </c>
      <c r="DA15" s="57">
        <v>15</v>
      </c>
      <c r="DB15" s="57">
        <v>27.599999999999998</v>
      </c>
      <c r="DC15" s="57">
        <v>233</v>
      </c>
      <c r="DD15" s="57">
        <v>57</v>
      </c>
      <c r="DE15" s="58">
        <v>5.4420600858369097</v>
      </c>
      <c r="DF15" s="129">
        <v>79.7</v>
      </c>
      <c r="DG15" s="58">
        <v>3.18</v>
      </c>
      <c r="DH15" s="58">
        <v>18.399999999999999</v>
      </c>
      <c r="DI15" s="57">
        <v>207</v>
      </c>
      <c r="DJ15" s="57">
        <v>3913</v>
      </c>
      <c r="DK15" s="57">
        <v>26</v>
      </c>
      <c r="DL15" s="57">
        <v>0</v>
      </c>
      <c r="DM15" s="59">
        <v>24</v>
      </c>
      <c r="DO15" s="42"/>
    </row>
    <row r="16" spans="1:123" x14ac:dyDescent="0.2">
      <c r="A16" s="33">
        <v>14</v>
      </c>
      <c r="B16" s="34" t="s">
        <v>244</v>
      </c>
      <c r="C16" s="116">
        <v>8.2166666666666668</v>
      </c>
      <c r="D16" s="117" t="s">
        <v>594</v>
      </c>
      <c r="E16" s="37">
        <v>3</v>
      </c>
      <c r="F16" s="118">
        <v>37845</v>
      </c>
      <c r="G16" s="119">
        <v>22.142465753424659</v>
      </c>
      <c r="H16" s="39" t="s">
        <v>385</v>
      </c>
      <c r="I16" s="39">
        <v>21.723287671232878</v>
      </c>
      <c r="J16" s="37">
        <v>71</v>
      </c>
      <c r="K16" s="37">
        <v>213</v>
      </c>
      <c r="L16" s="37">
        <v>4.58</v>
      </c>
      <c r="M16" s="40">
        <v>6</v>
      </c>
      <c r="N16" s="121">
        <v>0</v>
      </c>
      <c r="O16" s="122">
        <v>0.21236274455158574</v>
      </c>
      <c r="P16" s="122">
        <v>0.22378897891893787</v>
      </c>
      <c r="Q16" s="122">
        <v>0.26318484383000512</v>
      </c>
      <c r="R16" s="122">
        <v>0.30301828421845872</v>
      </c>
      <c r="S16" s="42">
        <v>0.30301828421845872</v>
      </c>
      <c r="T16" s="42">
        <v>0.27271645579661286</v>
      </c>
      <c r="U16" s="42">
        <v>9.4201874617304893E-2</v>
      </c>
      <c r="V16" s="42">
        <v>0.10616219667943805</v>
      </c>
      <c r="W16" s="42">
        <v>0.10616219667943805</v>
      </c>
      <c r="X16" s="43">
        <v>9.554597701149424E-2</v>
      </c>
      <c r="Y16" s="44">
        <v>18.065753424657533</v>
      </c>
      <c r="Z16" s="45">
        <v>96.816122944114213</v>
      </c>
      <c r="AA16" s="45">
        <v>29.704225352112676</v>
      </c>
      <c r="AB16" s="45">
        <v>0.29556650246305421</v>
      </c>
      <c r="AC16" s="45">
        <v>5.7889908256880735</v>
      </c>
      <c r="AD16" s="45">
        <v>106.3</v>
      </c>
      <c r="AE16" s="45">
        <v>3.73</v>
      </c>
      <c r="AF16" s="45">
        <v>48</v>
      </c>
      <c r="AG16" s="128">
        <v>7</v>
      </c>
      <c r="AH16" s="49">
        <v>9</v>
      </c>
      <c r="AI16" s="49">
        <v>10</v>
      </c>
      <c r="AJ16" s="49">
        <v>4</v>
      </c>
      <c r="AK16" s="49">
        <v>8</v>
      </c>
      <c r="AL16" s="49">
        <v>3</v>
      </c>
      <c r="AM16" s="49">
        <v>5</v>
      </c>
      <c r="AN16" s="49">
        <v>3</v>
      </c>
      <c r="AO16" s="49">
        <v>2</v>
      </c>
      <c r="AP16" s="50">
        <v>0</v>
      </c>
      <c r="AQ16" s="56"/>
      <c r="AR16" s="57">
        <v>1</v>
      </c>
      <c r="AS16" s="57"/>
      <c r="AT16" s="57"/>
      <c r="AU16" s="57"/>
      <c r="AV16" s="57"/>
      <c r="AW16" s="57"/>
      <c r="AX16" s="57"/>
      <c r="AY16" s="57"/>
      <c r="AZ16" s="57"/>
      <c r="BA16" s="57"/>
      <c r="BB16" s="57">
        <v>1</v>
      </c>
      <c r="BC16" s="57"/>
      <c r="BD16" s="57"/>
      <c r="BE16" s="59"/>
      <c r="BF16" s="56">
        <v>705</v>
      </c>
      <c r="BG16" s="57">
        <v>1555.4</v>
      </c>
      <c r="BH16" s="57">
        <v>8</v>
      </c>
      <c r="BI16" s="57">
        <v>14.3</v>
      </c>
      <c r="BJ16" s="57">
        <v>159</v>
      </c>
      <c r="BK16" s="57">
        <v>27</v>
      </c>
      <c r="BL16" s="58">
        <v>4.4339622641509431</v>
      </c>
      <c r="BM16" s="58">
        <v>51.4</v>
      </c>
      <c r="BN16" s="58">
        <v>2.94</v>
      </c>
      <c r="BO16" s="58">
        <v>31.1</v>
      </c>
      <c r="BP16" s="57">
        <v>57</v>
      </c>
      <c r="BQ16" s="57">
        <v>2032.8000000000002</v>
      </c>
      <c r="BR16" s="57">
        <v>7</v>
      </c>
      <c r="BS16" s="57">
        <v>1</v>
      </c>
      <c r="BT16" s="59">
        <v>14.3</v>
      </c>
      <c r="BU16" s="56">
        <v>1093</v>
      </c>
      <c r="BV16" s="57">
        <v>2394.6</v>
      </c>
      <c r="BW16" s="57">
        <v>9</v>
      </c>
      <c r="BX16" s="57">
        <v>28.6</v>
      </c>
      <c r="BY16" s="57">
        <v>179</v>
      </c>
      <c r="BZ16" s="57">
        <v>38</v>
      </c>
      <c r="CA16" s="236">
        <v>6.1061452513966481</v>
      </c>
      <c r="CB16" s="236">
        <v>69.099999999999994</v>
      </c>
      <c r="CC16" s="236">
        <v>2.88</v>
      </c>
      <c r="CD16" s="236">
        <v>48</v>
      </c>
      <c r="CE16" s="57">
        <v>183</v>
      </c>
      <c r="CF16" s="57">
        <v>3307.2000000000003</v>
      </c>
      <c r="CG16" s="57">
        <v>21</v>
      </c>
      <c r="CH16" s="57">
        <v>1</v>
      </c>
      <c r="CI16" s="59">
        <v>32.5</v>
      </c>
      <c r="CJ16" s="56">
        <v>828</v>
      </c>
      <c r="CK16" s="57">
        <v>1782.8999999999999</v>
      </c>
      <c r="CL16" s="57">
        <v>9</v>
      </c>
      <c r="CM16" s="57">
        <v>21.599999999999998</v>
      </c>
      <c r="CN16" s="57">
        <v>203</v>
      </c>
      <c r="CO16" s="57">
        <v>60</v>
      </c>
      <c r="CP16" s="58">
        <v>4.0788177339901477</v>
      </c>
      <c r="CQ16" s="129">
        <v>106.3</v>
      </c>
      <c r="CR16" s="58">
        <v>3.59</v>
      </c>
      <c r="CS16" s="129">
        <v>46</v>
      </c>
      <c r="CT16" s="57">
        <v>200</v>
      </c>
      <c r="CU16" s="57">
        <v>2123.1</v>
      </c>
      <c r="CV16" s="57">
        <v>21</v>
      </c>
      <c r="CW16" s="57">
        <v>1</v>
      </c>
      <c r="CX16" s="59">
        <v>9</v>
      </c>
      <c r="CY16" s="56">
        <v>1262</v>
      </c>
      <c r="CZ16" s="57">
        <v>2537</v>
      </c>
      <c r="DA16" s="57">
        <v>16</v>
      </c>
      <c r="DB16" s="57">
        <v>28.799999999999997</v>
      </c>
      <c r="DC16" s="57">
        <v>218</v>
      </c>
      <c r="DD16" s="57">
        <v>46</v>
      </c>
      <c r="DE16" s="58">
        <v>5.7889908256880735</v>
      </c>
      <c r="DF16" s="129">
        <v>84.2</v>
      </c>
      <c r="DG16" s="58">
        <v>3.73</v>
      </c>
      <c r="DH16" s="58">
        <v>37.1</v>
      </c>
      <c r="DI16" s="57">
        <v>266</v>
      </c>
      <c r="DJ16" s="57">
        <v>2505.6000000000004</v>
      </c>
      <c r="DK16" s="57">
        <v>26</v>
      </c>
      <c r="DL16" s="57">
        <v>1</v>
      </c>
      <c r="DM16" s="59">
        <v>15.600000000000001</v>
      </c>
      <c r="DO16" s="42"/>
    </row>
    <row r="17" spans="1:117" x14ac:dyDescent="0.2">
      <c r="A17" s="33">
        <v>15</v>
      </c>
      <c r="B17" s="34" t="s">
        <v>263</v>
      </c>
      <c r="C17" s="116">
        <v>8.0833333333333321</v>
      </c>
      <c r="D17" s="117" t="s">
        <v>436</v>
      </c>
      <c r="E17" s="37">
        <v>1</v>
      </c>
      <c r="F17" s="118">
        <v>37994</v>
      </c>
      <c r="G17" s="119">
        <v>21.734246575342464</v>
      </c>
      <c r="H17" s="39" t="s">
        <v>385</v>
      </c>
      <c r="I17" s="39">
        <v>21.315068493150687</v>
      </c>
      <c r="J17" s="37">
        <v>69</v>
      </c>
      <c r="K17" s="37">
        <v>196</v>
      </c>
      <c r="L17" s="37">
        <v>4.28</v>
      </c>
      <c r="M17" s="40">
        <v>5</v>
      </c>
      <c r="N17" s="121">
        <v>0</v>
      </c>
      <c r="O17" s="122">
        <v>0</v>
      </c>
      <c r="P17" s="122">
        <v>8.5350713842333968E-3</v>
      </c>
      <c r="Q17" s="122">
        <v>8.00299177262528E-2</v>
      </c>
      <c r="R17" s="122">
        <v>0.16651432053625839</v>
      </c>
      <c r="S17" s="42">
        <v>0.16651432053625839</v>
      </c>
      <c r="T17" s="42">
        <v>0.16651432053625839</v>
      </c>
      <c r="U17" s="42">
        <v>3.3848890645846709E-2</v>
      </c>
      <c r="V17" s="42">
        <v>8.7278813964610236E-2</v>
      </c>
      <c r="W17" s="42">
        <v>8.7278813964610236E-2</v>
      </c>
      <c r="X17" s="43">
        <v>8.7278813964610236E-2</v>
      </c>
      <c r="Y17" s="44">
        <v>20.671232876712327</v>
      </c>
      <c r="Z17" s="45">
        <v>116.8183293447773</v>
      </c>
      <c r="AA17" s="45">
        <v>28.940978785969335</v>
      </c>
      <c r="AB17" s="45">
        <v>0.27692307692307694</v>
      </c>
      <c r="AC17" s="45">
        <v>6.1230769230769226</v>
      </c>
      <c r="AD17" s="45">
        <v>113.1</v>
      </c>
      <c r="AE17" s="45">
        <v>3.83</v>
      </c>
      <c r="AF17" s="45">
        <v>39.6</v>
      </c>
      <c r="AG17" s="128">
        <v>2</v>
      </c>
      <c r="AH17" s="49">
        <v>8</v>
      </c>
      <c r="AI17" s="49">
        <v>3</v>
      </c>
      <c r="AJ17" s="49">
        <v>10</v>
      </c>
      <c r="AK17" s="49">
        <v>7</v>
      </c>
      <c r="AL17" s="49">
        <v>5</v>
      </c>
      <c r="AM17" s="49">
        <v>5</v>
      </c>
      <c r="AN17" s="49">
        <v>3</v>
      </c>
      <c r="AO17" s="49">
        <v>3</v>
      </c>
      <c r="AP17" s="50">
        <v>0.75</v>
      </c>
      <c r="AQ17" s="56"/>
      <c r="AR17" s="57">
        <v>1</v>
      </c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9"/>
      <c r="BF17" s="56"/>
      <c r="BG17" s="57">
        <v>1</v>
      </c>
      <c r="BH17" s="57"/>
      <c r="BI17" s="57"/>
      <c r="BJ17" s="57"/>
      <c r="BK17" s="57"/>
      <c r="BL17" s="58"/>
      <c r="BM17" s="58"/>
      <c r="BN17" s="58"/>
      <c r="BO17" s="58"/>
      <c r="BP17" s="57"/>
      <c r="BQ17" s="57"/>
      <c r="BR17" s="57"/>
      <c r="BS17" s="57"/>
      <c r="BT17" s="59"/>
      <c r="BU17" s="56">
        <v>33</v>
      </c>
      <c r="BV17" s="57">
        <v>1693.8</v>
      </c>
      <c r="BW17" s="57">
        <v>0</v>
      </c>
      <c r="BX17" s="57">
        <v>19.8</v>
      </c>
      <c r="BY17" s="57">
        <v>15</v>
      </c>
      <c r="BZ17" s="57">
        <v>1</v>
      </c>
      <c r="CA17" s="236">
        <v>2.2000000000000002</v>
      </c>
      <c r="CB17" s="236">
        <v>11.6</v>
      </c>
      <c r="CC17" s="236">
        <v>1.73</v>
      </c>
      <c r="CD17" s="236">
        <v>0</v>
      </c>
      <c r="CE17" s="57">
        <v>0</v>
      </c>
      <c r="CF17" s="57">
        <v>2172.6</v>
      </c>
      <c r="CG17" s="57">
        <v>0</v>
      </c>
      <c r="CH17" s="57">
        <v>0</v>
      </c>
      <c r="CI17" s="59">
        <v>15.299999999999999</v>
      </c>
      <c r="CJ17" s="56">
        <v>398</v>
      </c>
      <c r="CK17" s="57">
        <v>2637.6</v>
      </c>
      <c r="CL17" s="57">
        <v>3</v>
      </c>
      <c r="CM17" s="57">
        <v>29.400000000000002</v>
      </c>
      <c r="CN17" s="57">
        <v>65</v>
      </c>
      <c r="CO17" s="57">
        <v>18</v>
      </c>
      <c r="CP17" s="58">
        <v>6.1230769230769226</v>
      </c>
      <c r="CQ17" s="129">
        <v>84.2</v>
      </c>
      <c r="CR17" s="58">
        <v>3.17</v>
      </c>
      <c r="CS17" s="129">
        <v>38.9</v>
      </c>
      <c r="CT17" s="57">
        <v>137</v>
      </c>
      <c r="CU17" s="57">
        <v>4047.4000000000005</v>
      </c>
      <c r="CV17" s="57">
        <v>14</v>
      </c>
      <c r="CW17" s="57">
        <v>1</v>
      </c>
      <c r="CX17" s="59">
        <v>25.2</v>
      </c>
      <c r="CY17" s="56">
        <v>728</v>
      </c>
      <c r="CZ17" s="57">
        <v>2382</v>
      </c>
      <c r="DA17" s="57">
        <v>8</v>
      </c>
      <c r="DB17" s="57">
        <v>19.8</v>
      </c>
      <c r="DC17" s="57">
        <v>135</v>
      </c>
      <c r="DD17" s="57">
        <v>37</v>
      </c>
      <c r="DE17" s="58">
        <v>5.3925925925925924</v>
      </c>
      <c r="DF17" s="129">
        <v>113.1</v>
      </c>
      <c r="DG17" s="58">
        <v>3.83</v>
      </c>
      <c r="DH17" s="58">
        <v>39.6</v>
      </c>
      <c r="DI17" s="57">
        <v>365</v>
      </c>
      <c r="DJ17" s="57">
        <v>4182</v>
      </c>
      <c r="DK17" s="57">
        <v>41</v>
      </c>
      <c r="DL17" s="57">
        <v>6</v>
      </c>
      <c r="DM17" s="59">
        <v>30.799999999999997</v>
      </c>
    </row>
    <row r="18" spans="1:117" x14ac:dyDescent="0.2">
      <c r="A18" s="33">
        <v>16</v>
      </c>
      <c r="B18" s="34" t="s">
        <v>595</v>
      </c>
      <c r="C18" s="116">
        <v>7.5222222222222221</v>
      </c>
      <c r="D18" s="117" t="s">
        <v>538</v>
      </c>
      <c r="E18" s="37">
        <v>3</v>
      </c>
      <c r="F18" s="118">
        <v>36993</v>
      </c>
      <c r="G18" s="119">
        <v>24.476712328767125</v>
      </c>
      <c r="H18" s="39" t="s">
        <v>469</v>
      </c>
      <c r="I18" s="39">
        <v>24.057534246575344</v>
      </c>
      <c r="J18" s="37">
        <v>71</v>
      </c>
      <c r="K18" s="37">
        <v>207</v>
      </c>
      <c r="L18" s="37">
        <v>4.45</v>
      </c>
      <c r="M18" s="40">
        <v>7</v>
      </c>
      <c r="N18" s="121">
        <v>9.8492462311557782E-2</v>
      </c>
      <c r="O18" s="122">
        <v>0.1424468696151637</v>
      </c>
      <c r="P18" s="122">
        <v>0.16982665222101842</v>
      </c>
      <c r="Q18" s="122">
        <v>0.25633219678519242</v>
      </c>
      <c r="R18" s="122">
        <v>0.29901269393511987</v>
      </c>
      <c r="S18" s="42">
        <v>0.29901269393511987</v>
      </c>
      <c r="T18" s="42">
        <v>0.26911142454160791</v>
      </c>
      <c r="U18" s="42">
        <v>6.9397590361445785E-2</v>
      </c>
      <c r="V18" s="42">
        <v>2.7535566773749423E-2</v>
      </c>
      <c r="W18" s="42">
        <v>4.8466578567597604E-2</v>
      </c>
      <c r="X18" s="43">
        <v>4.3619920710837846E-2</v>
      </c>
      <c r="Y18" s="44">
        <v>21.413698630136988</v>
      </c>
      <c r="Z18" s="45">
        <v>105.57480724987172</v>
      </c>
      <c r="AA18" s="45">
        <v>28.867486609799645</v>
      </c>
      <c r="AB18" s="45">
        <v>0.34042553191489361</v>
      </c>
      <c r="AC18" s="45">
        <v>8.1538461538461533</v>
      </c>
      <c r="AD18" s="45">
        <v>211.2</v>
      </c>
      <c r="AE18" s="45">
        <v>3.98</v>
      </c>
      <c r="AF18" s="45">
        <v>66</v>
      </c>
      <c r="AG18" s="128">
        <v>7</v>
      </c>
      <c r="AH18" s="49">
        <v>5</v>
      </c>
      <c r="AI18" s="49">
        <v>2</v>
      </c>
      <c r="AJ18" s="49">
        <v>8</v>
      </c>
      <c r="AK18" s="49">
        <v>9</v>
      </c>
      <c r="AL18" s="49">
        <v>9</v>
      </c>
      <c r="AM18" s="49">
        <v>9</v>
      </c>
      <c r="AN18" s="49">
        <v>4</v>
      </c>
      <c r="AO18" s="49">
        <v>1</v>
      </c>
      <c r="AP18" s="50">
        <v>0.5</v>
      </c>
      <c r="AQ18" s="56">
        <v>175</v>
      </c>
      <c r="AR18" s="57">
        <v>894</v>
      </c>
      <c r="AS18" s="57">
        <v>2</v>
      </c>
      <c r="AT18" s="57">
        <v>9</v>
      </c>
      <c r="AU18" s="57">
        <v>43</v>
      </c>
      <c r="AV18" s="57">
        <v>5</v>
      </c>
      <c r="AW18" s="57">
        <v>4.0697674418604652</v>
      </c>
      <c r="AX18" s="57">
        <v>53.9</v>
      </c>
      <c r="AY18" s="57">
        <v>2.81</v>
      </c>
      <c r="AZ18" s="57">
        <v>0</v>
      </c>
      <c r="BA18" s="57">
        <v>21</v>
      </c>
      <c r="BB18" s="57">
        <v>1096</v>
      </c>
      <c r="BC18" s="57">
        <v>4</v>
      </c>
      <c r="BD18" s="57">
        <v>0</v>
      </c>
      <c r="BE18" s="59">
        <v>9</v>
      </c>
      <c r="BF18" s="56">
        <v>426</v>
      </c>
      <c r="BG18" s="57">
        <v>1342</v>
      </c>
      <c r="BH18" s="57">
        <v>5</v>
      </c>
      <c r="BI18" s="57">
        <v>9</v>
      </c>
      <c r="BJ18" s="57">
        <v>121</v>
      </c>
      <c r="BK18" s="57">
        <v>14</v>
      </c>
      <c r="BL18" s="58">
        <v>3.5206611570247932</v>
      </c>
      <c r="BM18" s="58">
        <v>29.1</v>
      </c>
      <c r="BN18" s="58">
        <v>2.54</v>
      </c>
      <c r="BO18" s="58">
        <v>39.200000000000003</v>
      </c>
      <c r="BP18" s="57">
        <v>70</v>
      </c>
      <c r="BQ18" s="57">
        <v>2140</v>
      </c>
      <c r="BR18" s="57">
        <v>10</v>
      </c>
      <c r="BS18" s="57">
        <v>1</v>
      </c>
      <c r="BT18" s="59">
        <v>18</v>
      </c>
      <c r="BU18" s="56">
        <v>483</v>
      </c>
      <c r="BV18" s="57">
        <v>1617</v>
      </c>
      <c r="BW18" s="57">
        <v>4</v>
      </c>
      <c r="BX18" s="57">
        <v>11</v>
      </c>
      <c r="BY18" s="57">
        <v>122</v>
      </c>
      <c r="BZ18" s="57">
        <v>34</v>
      </c>
      <c r="CA18" s="236">
        <v>3.959016393442623</v>
      </c>
      <c r="CB18" s="236">
        <v>101</v>
      </c>
      <c r="CC18" s="236">
        <v>3.15</v>
      </c>
      <c r="CD18" s="236">
        <v>40.6</v>
      </c>
      <c r="CE18" s="57">
        <v>144</v>
      </c>
      <c r="CF18" s="57">
        <v>2075</v>
      </c>
      <c r="CG18" s="57">
        <v>12</v>
      </c>
      <c r="CH18" s="57">
        <v>0</v>
      </c>
      <c r="CI18" s="59">
        <v>12</v>
      </c>
      <c r="CJ18" s="56">
        <v>1191</v>
      </c>
      <c r="CK18" s="57">
        <v>2312.3999999999996</v>
      </c>
      <c r="CL18" s="57">
        <v>17</v>
      </c>
      <c r="CM18" s="57">
        <v>26.400000000000002</v>
      </c>
      <c r="CN18" s="57">
        <v>188</v>
      </c>
      <c r="CO18" s="57">
        <v>64</v>
      </c>
      <c r="CP18" s="58">
        <v>6.3351063829787231</v>
      </c>
      <c r="CQ18" s="129">
        <v>134.80000000000001</v>
      </c>
      <c r="CR18" s="58">
        <v>3.98</v>
      </c>
      <c r="CS18" s="129">
        <v>42</v>
      </c>
      <c r="CT18" s="57">
        <v>72</v>
      </c>
      <c r="CU18" s="57">
        <v>2614.8000000000002</v>
      </c>
      <c r="CV18" s="57">
        <v>7</v>
      </c>
      <c r="CW18" s="57">
        <v>1</v>
      </c>
      <c r="CX18" s="59">
        <v>16.799999999999997</v>
      </c>
      <c r="CY18" s="56">
        <v>106</v>
      </c>
      <c r="CZ18" s="57">
        <v>106.6</v>
      </c>
      <c r="DA18" s="57">
        <v>1</v>
      </c>
      <c r="DB18" s="57">
        <v>0.9</v>
      </c>
      <c r="DC18" s="57">
        <v>13</v>
      </c>
      <c r="DD18" s="57">
        <v>7</v>
      </c>
      <c r="DE18" s="58">
        <v>8.1538461538461533</v>
      </c>
      <c r="DF18" s="129">
        <v>211.2</v>
      </c>
      <c r="DG18" s="58">
        <v>3.92</v>
      </c>
      <c r="DH18" s="58">
        <v>66</v>
      </c>
      <c r="DI18" s="57">
        <v>0</v>
      </c>
      <c r="DJ18" s="57">
        <v>247.9</v>
      </c>
      <c r="DK18" s="57">
        <v>0</v>
      </c>
      <c r="DL18" s="57">
        <v>0</v>
      </c>
      <c r="DM18" s="59">
        <v>1.5</v>
      </c>
    </row>
    <row r="19" spans="1:117" x14ac:dyDescent="0.2">
      <c r="A19" s="33">
        <v>17</v>
      </c>
      <c r="B19" s="34" t="s">
        <v>291</v>
      </c>
      <c r="C19" s="116">
        <v>7.405555555555555</v>
      </c>
      <c r="D19" s="117" t="s">
        <v>511</v>
      </c>
      <c r="E19" s="37">
        <v>2</v>
      </c>
      <c r="F19" s="118">
        <v>37533</v>
      </c>
      <c r="G19" s="119">
        <v>22.997260273972604</v>
      </c>
      <c r="H19" s="39" t="s">
        <v>469</v>
      </c>
      <c r="I19" s="39">
        <v>22.578082191780823</v>
      </c>
      <c r="J19" s="37">
        <v>73</v>
      </c>
      <c r="K19" s="37">
        <v>226</v>
      </c>
      <c r="L19" s="37">
        <v>4.55</v>
      </c>
      <c r="M19" s="40">
        <v>6</v>
      </c>
      <c r="N19" s="121">
        <v>0</v>
      </c>
      <c r="O19" s="122">
        <v>0</v>
      </c>
      <c r="P19" s="122">
        <v>0</v>
      </c>
      <c r="Q19" s="122">
        <v>5.1040913109878634E-2</v>
      </c>
      <c r="R19" s="122">
        <v>0.28612178367679597</v>
      </c>
      <c r="S19" s="42">
        <v>0.28612178367679597</v>
      </c>
      <c r="T19" s="42">
        <v>0.28612178367679597</v>
      </c>
      <c r="U19" s="42">
        <v>1.1518663834995141E-2</v>
      </c>
      <c r="V19" s="42">
        <v>2.2592305706170931E-2</v>
      </c>
      <c r="W19" s="42">
        <v>2.2592305706170931E-2</v>
      </c>
      <c r="X19" s="43">
        <v>2.2592305706170931E-2</v>
      </c>
      <c r="Y19" s="44">
        <v>21.934246575342467</v>
      </c>
      <c r="Z19" s="45">
        <v>105.46123387514579</v>
      </c>
      <c r="AA19" s="45">
        <v>29.813848752111092</v>
      </c>
      <c r="AB19" s="45">
        <v>0.41666666666666669</v>
      </c>
      <c r="AC19" s="45">
        <v>6.166666666666667</v>
      </c>
      <c r="AD19" s="45">
        <v>108.9</v>
      </c>
      <c r="AE19" s="45">
        <v>4.1399999999999997</v>
      </c>
      <c r="AF19" s="45">
        <v>39</v>
      </c>
      <c r="AG19" s="128">
        <v>8</v>
      </c>
      <c r="AH19" s="49">
        <v>2</v>
      </c>
      <c r="AI19" s="49">
        <v>2</v>
      </c>
      <c r="AJ19" s="49">
        <v>8</v>
      </c>
      <c r="AK19" s="49">
        <v>10</v>
      </c>
      <c r="AL19" s="49">
        <v>5</v>
      </c>
      <c r="AM19" s="49">
        <v>5</v>
      </c>
      <c r="AN19" s="49">
        <v>5</v>
      </c>
      <c r="AO19" s="49">
        <v>2</v>
      </c>
      <c r="AP19" s="50">
        <v>1</v>
      </c>
      <c r="AQ19" s="56"/>
      <c r="AR19" s="57">
        <v>1</v>
      </c>
      <c r="AS19" s="57"/>
      <c r="AT19" s="57"/>
      <c r="AU19" s="57"/>
      <c r="AV19" s="57"/>
      <c r="AW19" s="57"/>
      <c r="AX19" s="57"/>
      <c r="AY19" s="57"/>
      <c r="AZ19" s="57"/>
      <c r="BA19" s="57"/>
      <c r="BB19" s="57">
        <v>1</v>
      </c>
      <c r="BC19" s="57"/>
      <c r="BD19" s="57"/>
      <c r="BE19" s="59"/>
      <c r="BF19" s="56"/>
      <c r="BG19" s="57">
        <v>1</v>
      </c>
      <c r="BH19" s="57"/>
      <c r="BI19" s="57"/>
      <c r="BJ19" s="57"/>
      <c r="BK19" s="57"/>
      <c r="BL19" s="58"/>
      <c r="BM19" s="58"/>
      <c r="BN19" s="58"/>
      <c r="BO19" s="58"/>
      <c r="BP19" s="57"/>
      <c r="BQ19" s="57">
        <v>1</v>
      </c>
      <c r="BR19" s="57"/>
      <c r="BS19" s="57"/>
      <c r="BT19" s="59"/>
      <c r="BU19" s="56"/>
      <c r="BV19" s="57">
        <v>1</v>
      </c>
      <c r="BW19" s="57"/>
      <c r="BX19" s="57"/>
      <c r="BY19" s="57"/>
      <c r="BZ19" s="57"/>
      <c r="CA19" s="236"/>
      <c r="CB19" s="236"/>
      <c r="CC19" s="236"/>
      <c r="CD19" s="236"/>
      <c r="CE19" s="57"/>
      <c r="CF19" s="57">
        <v>1</v>
      </c>
      <c r="CG19" s="57"/>
      <c r="CH19" s="57"/>
      <c r="CI19" s="59"/>
      <c r="CJ19" s="56">
        <v>222</v>
      </c>
      <c r="CK19" s="57">
        <v>2198.2999999999997</v>
      </c>
      <c r="CL19" s="57">
        <v>1</v>
      </c>
      <c r="CM19" s="57"/>
      <c r="CN19" s="57">
        <v>36</v>
      </c>
      <c r="CO19" s="57">
        <v>15</v>
      </c>
      <c r="CP19" s="58">
        <v>6.166666666666667</v>
      </c>
      <c r="CQ19" s="129">
        <v>108.9</v>
      </c>
      <c r="CR19" s="58">
        <v>4.1399999999999997</v>
      </c>
      <c r="CS19" s="129">
        <v>19.399999999999999</v>
      </c>
      <c r="CT19" s="57">
        <v>32</v>
      </c>
      <c r="CU19" s="57">
        <v>2778.1</v>
      </c>
      <c r="CV19" s="57">
        <v>2</v>
      </c>
      <c r="CW19" s="57">
        <v>0</v>
      </c>
      <c r="CX19" s="59"/>
      <c r="CY19" s="56">
        <v>948</v>
      </c>
      <c r="CZ19" s="57">
        <v>1886.3999999999999</v>
      </c>
      <c r="DA19" s="57">
        <v>12</v>
      </c>
      <c r="DB19" s="57">
        <v>18</v>
      </c>
      <c r="DC19" s="57">
        <v>185</v>
      </c>
      <c r="DD19" s="57">
        <v>37</v>
      </c>
      <c r="DE19" s="58">
        <v>5.1243243243243244</v>
      </c>
      <c r="DF19" s="129">
        <v>72.5</v>
      </c>
      <c r="DG19" s="58">
        <v>3.55</v>
      </c>
      <c r="DH19" s="58">
        <v>39</v>
      </c>
      <c r="DI19" s="57">
        <v>35</v>
      </c>
      <c r="DJ19" s="57">
        <v>1549.1999999999998</v>
      </c>
      <c r="DK19" s="57">
        <v>6</v>
      </c>
      <c r="DL19" s="57">
        <v>0</v>
      </c>
      <c r="DM19" s="59">
        <v>10.8</v>
      </c>
    </row>
    <row r="20" spans="1:117" x14ac:dyDescent="0.2">
      <c r="A20" s="33">
        <v>18</v>
      </c>
      <c r="B20" s="34" t="s">
        <v>254</v>
      </c>
      <c r="C20" s="116">
        <v>7.0333333333333332</v>
      </c>
      <c r="D20" s="117" t="s">
        <v>395</v>
      </c>
      <c r="E20" s="37">
        <v>4</v>
      </c>
      <c r="F20" s="118">
        <v>38017</v>
      </c>
      <c r="G20" s="119">
        <v>21.671232876712327</v>
      </c>
      <c r="H20" s="39" t="s">
        <v>385</v>
      </c>
      <c r="I20" s="39">
        <v>21.252054794520546</v>
      </c>
      <c r="J20" s="37">
        <v>72</v>
      </c>
      <c r="K20" s="37">
        <v>217</v>
      </c>
      <c r="L20" s="37">
        <v>4.51</v>
      </c>
      <c r="M20" s="40">
        <v>7</v>
      </c>
      <c r="N20" s="121">
        <v>0</v>
      </c>
      <c r="O20" s="122">
        <v>0</v>
      </c>
      <c r="P20" s="122">
        <v>0.13169191919191919</v>
      </c>
      <c r="Q20" s="122">
        <v>0.17349743464451503</v>
      </c>
      <c r="R20" s="122">
        <v>0.17328788703348325</v>
      </c>
      <c r="S20" s="42">
        <v>0.17339266083899912</v>
      </c>
      <c r="T20" s="42">
        <v>0.15605339475509922</v>
      </c>
      <c r="U20" s="42">
        <v>4.335260115606937E-2</v>
      </c>
      <c r="V20" s="42">
        <v>4.5066937657402911E-2</v>
      </c>
      <c r="W20" s="42">
        <v>4.5066937657402911E-2</v>
      </c>
      <c r="X20" s="43">
        <v>4.0560243891662622E-2</v>
      </c>
      <c r="Y20" s="44">
        <v>19.605479452054794</v>
      </c>
      <c r="Z20" s="45">
        <v>104.90195017499381</v>
      </c>
      <c r="AA20" s="45">
        <v>29.427276234567902</v>
      </c>
      <c r="AB20" s="45">
        <v>0.29230769230769232</v>
      </c>
      <c r="AC20" s="45">
        <v>6.2874999999999996</v>
      </c>
      <c r="AD20" s="45">
        <v>126.1</v>
      </c>
      <c r="AE20" s="45">
        <v>4.46</v>
      </c>
      <c r="AF20" s="45">
        <v>38.799999999999997</v>
      </c>
      <c r="AG20" s="128">
        <v>2</v>
      </c>
      <c r="AH20" s="49">
        <v>4</v>
      </c>
      <c r="AI20" s="49">
        <v>6</v>
      </c>
      <c r="AJ20" s="49">
        <v>7</v>
      </c>
      <c r="AK20" s="49">
        <v>8</v>
      </c>
      <c r="AL20" s="49">
        <v>5</v>
      </c>
      <c r="AM20" s="49">
        <v>6</v>
      </c>
      <c r="AN20" s="49">
        <v>7</v>
      </c>
      <c r="AO20" s="49">
        <v>1</v>
      </c>
      <c r="AP20" s="50">
        <v>0.5</v>
      </c>
      <c r="AQ20" s="56"/>
      <c r="AR20" s="57">
        <v>1</v>
      </c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9"/>
      <c r="BF20" s="56"/>
      <c r="BG20" s="57">
        <v>1</v>
      </c>
      <c r="BH20" s="57"/>
      <c r="BI20" s="57"/>
      <c r="BJ20" s="57"/>
      <c r="BK20" s="57"/>
      <c r="BL20" s="58"/>
      <c r="BM20" s="58"/>
      <c r="BN20" s="58"/>
      <c r="BO20" s="58"/>
      <c r="BP20" s="57"/>
      <c r="BQ20" s="57"/>
      <c r="BR20" s="57"/>
      <c r="BS20" s="57"/>
      <c r="BT20" s="59"/>
      <c r="BU20" s="56">
        <v>982</v>
      </c>
      <c r="BV20" s="57">
        <v>2554.5</v>
      </c>
      <c r="BW20" s="57">
        <v>7</v>
      </c>
      <c r="BX20" s="57">
        <v>36.4</v>
      </c>
      <c r="BY20" s="57">
        <v>161</v>
      </c>
      <c r="BZ20" s="57">
        <v>40</v>
      </c>
      <c r="CA20" s="236">
        <v>6.0993788819875778</v>
      </c>
      <c r="CB20" s="236">
        <v>86.4</v>
      </c>
      <c r="CC20" s="236">
        <v>3.48</v>
      </c>
      <c r="CD20" s="236">
        <v>36.5</v>
      </c>
      <c r="CE20" s="57">
        <v>61</v>
      </c>
      <c r="CF20" s="57">
        <v>2593.5</v>
      </c>
      <c r="CG20" s="57">
        <v>4</v>
      </c>
      <c r="CH20" s="57">
        <v>0</v>
      </c>
      <c r="CI20" s="59">
        <v>15.6</v>
      </c>
      <c r="CJ20" s="56">
        <v>1185</v>
      </c>
      <c r="CK20" s="57">
        <v>2005.1999999999998</v>
      </c>
      <c r="CL20" s="57">
        <v>9</v>
      </c>
      <c r="CM20" s="57">
        <v>24</v>
      </c>
      <c r="CN20" s="57">
        <v>195</v>
      </c>
      <c r="CO20" s="57">
        <v>57</v>
      </c>
      <c r="CP20" s="58">
        <v>6.0769230769230766</v>
      </c>
      <c r="CQ20" s="129">
        <v>114.8</v>
      </c>
      <c r="CR20" s="58">
        <v>3.82</v>
      </c>
      <c r="CS20" s="129">
        <v>38.799999999999997</v>
      </c>
      <c r="CT20" s="57">
        <v>126</v>
      </c>
      <c r="CU20" s="57">
        <v>2906.3999999999996</v>
      </c>
      <c r="CV20" s="57">
        <v>11</v>
      </c>
      <c r="CW20" s="57">
        <v>0</v>
      </c>
      <c r="CX20" s="59">
        <v>24</v>
      </c>
      <c r="CY20" s="56">
        <v>1006</v>
      </c>
      <c r="CZ20" s="57">
        <v>2456</v>
      </c>
      <c r="DA20" s="57">
        <v>10</v>
      </c>
      <c r="DB20" s="57">
        <v>27.599999999999998</v>
      </c>
      <c r="DC20" s="57">
        <v>160</v>
      </c>
      <c r="DD20" s="57">
        <v>42</v>
      </c>
      <c r="DE20" s="58">
        <v>6.2874999999999996</v>
      </c>
      <c r="DF20" s="129">
        <v>126.1</v>
      </c>
      <c r="DG20" s="58">
        <v>4.46</v>
      </c>
      <c r="DH20" s="58">
        <v>37.4</v>
      </c>
      <c r="DI20" s="57">
        <v>204</v>
      </c>
      <c r="DJ20" s="57">
        <v>4526.5999999999995</v>
      </c>
      <c r="DK20" s="57">
        <v>17</v>
      </c>
      <c r="DL20" s="57">
        <v>0</v>
      </c>
      <c r="DM20" s="59">
        <v>38.400000000000006</v>
      </c>
    </row>
    <row r="21" spans="1:117" ht="15.75" customHeight="1" x14ac:dyDescent="0.2">
      <c r="A21" s="33">
        <v>19</v>
      </c>
      <c r="B21" s="34" t="s">
        <v>267</v>
      </c>
      <c r="C21" s="116">
        <v>6.677777777777778</v>
      </c>
      <c r="D21" s="117" t="s">
        <v>531</v>
      </c>
      <c r="E21" s="37">
        <v>3</v>
      </c>
      <c r="F21" s="118">
        <v>38001</v>
      </c>
      <c r="G21" s="119">
        <v>21.715068493150685</v>
      </c>
      <c r="H21" s="39" t="s">
        <v>385</v>
      </c>
      <c r="I21" s="39">
        <v>21.295890410958904</v>
      </c>
      <c r="J21" s="37">
        <v>73</v>
      </c>
      <c r="K21" s="37">
        <v>226</v>
      </c>
      <c r="L21" s="37">
        <v>4.6100000000000003</v>
      </c>
      <c r="M21" s="40">
        <v>6</v>
      </c>
      <c r="N21" s="121">
        <v>0</v>
      </c>
      <c r="O21" s="122">
        <v>0</v>
      </c>
      <c r="P21" s="122">
        <v>7.2364672364672367E-2</v>
      </c>
      <c r="Q21" s="122">
        <v>0.34109706874875928</v>
      </c>
      <c r="R21" s="122">
        <v>0.23434019424396324</v>
      </c>
      <c r="S21" s="42">
        <v>0.28771863149636123</v>
      </c>
      <c r="T21" s="42">
        <v>0.25894676834672514</v>
      </c>
      <c r="U21" s="42">
        <v>8.524928958925343E-2</v>
      </c>
      <c r="V21" s="42">
        <v>6.2905070529927554E-2</v>
      </c>
      <c r="W21" s="42">
        <v>7.4077180059590492E-2</v>
      </c>
      <c r="X21" s="43">
        <v>6.6669462053631445E-2</v>
      </c>
      <c r="Y21" s="44">
        <v>19.649315068493152</v>
      </c>
      <c r="Z21" s="45">
        <v>100.07710489034962</v>
      </c>
      <c r="AA21" s="45">
        <v>29.813848752111092</v>
      </c>
      <c r="AB21" s="45">
        <v>0.23859649122807017</v>
      </c>
      <c r="AC21" s="45">
        <v>6.0771929824561406</v>
      </c>
      <c r="AD21" s="45">
        <v>90.3</v>
      </c>
      <c r="AE21" s="45">
        <v>3.71</v>
      </c>
      <c r="AF21" s="45">
        <v>54.8</v>
      </c>
      <c r="AG21" s="128">
        <v>6</v>
      </c>
      <c r="AH21" s="49">
        <v>7</v>
      </c>
      <c r="AI21" s="49">
        <v>6</v>
      </c>
      <c r="AJ21" s="49">
        <v>5</v>
      </c>
      <c r="AK21" s="49">
        <v>5</v>
      </c>
      <c r="AL21" s="49">
        <v>4</v>
      </c>
      <c r="AM21" s="49">
        <v>3</v>
      </c>
      <c r="AN21" s="49">
        <v>3</v>
      </c>
      <c r="AO21" s="49">
        <v>2</v>
      </c>
      <c r="AP21" s="50">
        <v>0</v>
      </c>
      <c r="AQ21" s="56"/>
      <c r="AR21" s="57">
        <v>1</v>
      </c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9"/>
      <c r="BF21" s="56"/>
      <c r="BG21" s="57">
        <v>1</v>
      </c>
      <c r="BH21" s="57"/>
      <c r="BI21" s="57"/>
      <c r="BJ21" s="57"/>
      <c r="BK21" s="57"/>
      <c r="BL21" s="58"/>
      <c r="BM21" s="58"/>
      <c r="BN21" s="58"/>
      <c r="BO21" s="58"/>
      <c r="BP21" s="57"/>
      <c r="BQ21" s="57"/>
      <c r="BR21" s="57"/>
      <c r="BS21" s="57"/>
      <c r="BT21" s="59"/>
      <c r="BU21" s="56">
        <v>305</v>
      </c>
      <c r="BV21" s="57">
        <v>1631.5</v>
      </c>
      <c r="BW21" s="57">
        <v>2</v>
      </c>
      <c r="BX21" s="57">
        <v>19.5</v>
      </c>
      <c r="BY21" s="57">
        <v>61</v>
      </c>
      <c r="BZ21" s="57">
        <v>16</v>
      </c>
      <c r="CA21" s="236">
        <v>5</v>
      </c>
      <c r="CB21" s="236">
        <v>82.6</v>
      </c>
      <c r="CC21" s="236">
        <v>3.02</v>
      </c>
      <c r="CD21" s="236">
        <v>43.6</v>
      </c>
      <c r="CE21" s="57">
        <v>76</v>
      </c>
      <c r="CF21" s="57">
        <v>3633.5</v>
      </c>
      <c r="CG21" s="57">
        <v>12</v>
      </c>
      <c r="CH21" s="57">
        <v>2</v>
      </c>
      <c r="CI21" s="59">
        <v>23.400000000000002</v>
      </c>
      <c r="CJ21" s="56">
        <v>1732</v>
      </c>
      <c r="CK21" s="57">
        <v>2174.2000000000003</v>
      </c>
      <c r="CL21" s="57">
        <v>21</v>
      </c>
      <c r="CM21" s="57">
        <v>29.400000000000002</v>
      </c>
      <c r="CN21" s="57">
        <v>285</v>
      </c>
      <c r="CO21" s="57">
        <v>68</v>
      </c>
      <c r="CP21" s="58">
        <v>6.0771929824561406</v>
      </c>
      <c r="CQ21" s="129">
        <v>90.3</v>
      </c>
      <c r="CR21" s="58">
        <v>3.71</v>
      </c>
      <c r="CS21" s="129">
        <v>54.8</v>
      </c>
      <c r="CT21" s="57">
        <v>330</v>
      </c>
      <c r="CU21" s="57">
        <v>3871</v>
      </c>
      <c r="CV21" s="57">
        <v>39</v>
      </c>
      <c r="CW21" s="57">
        <v>1</v>
      </c>
      <c r="CX21" s="59">
        <v>18.2</v>
      </c>
      <c r="CY21" s="56">
        <v>854</v>
      </c>
      <c r="CZ21" s="57">
        <v>1341.6</v>
      </c>
      <c r="DA21" s="57">
        <v>12</v>
      </c>
      <c r="DB21" s="57">
        <v>19.200000000000003</v>
      </c>
      <c r="DC21" s="57">
        <v>189</v>
      </c>
      <c r="DD21" s="57">
        <v>41</v>
      </c>
      <c r="DE21" s="58">
        <v>4.5185185185185182</v>
      </c>
      <c r="DF21" s="129">
        <v>74.2</v>
      </c>
      <c r="DG21" s="58">
        <v>3.25</v>
      </c>
      <c r="DH21" s="58">
        <v>29.3</v>
      </c>
      <c r="DI21" s="57">
        <v>198</v>
      </c>
      <c r="DJ21" s="57">
        <v>3147.6000000000004</v>
      </c>
      <c r="DK21" s="57">
        <v>30</v>
      </c>
      <c r="DL21" s="57">
        <v>2</v>
      </c>
      <c r="DM21" s="59">
        <v>21.6</v>
      </c>
    </row>
    <row r="22" spans="1:117" ht="15.75" customHeight="1" x14ac:dyDescent="0.2">
      <c r="A22" s="33">
        <v>20</v>
      </c>
      <c r="B22" s="34" t="s">
        <v>269</v>
      </c>
      <c r="C22" s="116">
        <v>6.6000000000000005</v>
      </c>
      <c r="D22" s="117" t="s">
        <v>407</v>
      </c>
      <c r="E22" s="37">
        <v>1</v>
      </c>
      <c r="F22" s="118">
        <v>37415</v>
      </c>
      <c r="G22" s="119">
        <v>23.32054794520548</v>
      </c>
      <c r="H22" s="39" t="s">
        <v>389</v>
      </c>
      <c r="I22" s="39">
        <v>22.901369863013699</v>
      </c>
      <c r="J22" s="37">
        <v>72</v>
      </c>
      <c r="K22" s="37">
        <v>217</v>
      </c>
      <c r="L22" s="37">
        <v>4.46</v>
      </c>
      <c r="M22" s="40">
        <v>0</v>
      </c>
      <c r="N22" s="121">
        <v>0</v>
      </c>
      <c r="O22" s="122">
        <v>0.11921081399989587</v>
      </c>
      <c r="P22" s="122">
        <v>0.28022561922668193</v>
      </c>
      <c r="Q22" s="122">
        <v>0.14497192445125065</v>
      </c>
      <c r="R22" s="122">
        <v>0.24358345594245542</v>
      </c>
      <c r="S22" s="42">
        <v>0.26190453758456866</v>
      </c>
      <c r="T22" s="42">
        <v>0.26190453758456866</v>
      </c>
      <c r="U22" s="42">
        <v>6.6666666666666666E-2</v>
      </c>
      <c r="V22" s="42">
        <v>0.11601014622500745</v>
      </c>
      <c r="W22" s="42">
        <v>0.11601014622500745</v>
      </c>
      <c r="X22" s="43">
        <v>0.11601014622500745</v>
      </c>
      <c r="Y22" s="44">
        <v>20.257534246575343</v>
      </c>
      <c r="Z22" s="45">
        <v>109.68577159094527</v>
      </c>
      <c r="AA22" s="45">
        <v>29.427276234567902</v>
      </c>
      <c r="AB22" s="45">
        <v>0.29017857142857145</v>
      </c>
      <c r="AC22" s="45">
        <v>4.8142076502732243</v>
      </c>
      <c r="AD22" s="45">
        <v>119.4</v>
      </c>
      <c r="AE22" s="45">
        <v>3.69</v>
      </c>
      <c r="AF22" s="45">
        <v>47.6</v>
      </c>
      <c r="AG22" s="128">
        <v>7</v>
      </c>
      <c r="AH22" s="49">
        <v>9</v>
      </c>
      <c r="AI22" s="49">
        <v>4</v>
      </c>
      <c r="AJ22" s="49">
        <v>9</v>
      </c>
      <c r="AK22" s="49">
        <v>8</v>
      </c>
      <c r="AL22" s="49">
        <v>0</v>
      </c>
      <c r="AM22" s="49">
        <v>6</v>
      </c>
      <c r="AN22" s="49">
        <v>3</v>
      </c>
      <c r="AO22" s="49">
        <v>0</v>
      </c>
      <c r="AP22" s="50">
        <v>0</v>
      </c>
      <c r="AQ22" s="56"/>
      <c r="AR22" s="57">
        <v>1</v>
      </c>
      <c r="AS22" s="57"/>
      <c r="AT22" s="57"/>
      <c r="AU22" s="57"/>
      <c r="AV22" s="57"/>
      <c r="AW22" s="57"/>
      <c r="AX22" s="57"/>
      <c r="AY22" s="57"/>
      <c r="AZ22" s="57"/>
      <c r="BA22" s="57"/>
      <c r="BB22" s="57">
        <v>1</v>
      </c>
      <c r="BC22" s="57"/>
      <c r="BD22" s="57"/>
      <c r="BE22" s="59"/>
      <c r="BF22" s="56">
        <v>578</v>
      </c>
      <c r="BG22" s="57">
        <v>2982.2000000000003</v>
      </c>
      <c r="BH22" s="57">
        <v>5</v>
      </c>
      <c r="BI22" s="57">
        <v>26</v>
      </c>
      <c r="BJ22" s="57">
        <v>114</v>
      </c>
      <c r="BK22" s="57">
        <v>19</v>
      </c>
      <c r="BL22" s="58">
        <v>5.0701754385964914</v>
      </c>
      <c r="BM22" s="58">
        <v>58.6</v>
      </c>
      <c r="BN22" s="58">
        <v>3.18</v>
      </c>
      <c r="BO22" s="58">
        <v>15.4</v>
      </c>
      <c r="BP22" s="57">
        <v>109</v>
      </c>
      <c r="BQ22" s="57">
        <v>2780.7000000000003</v>
      </c>
      <c r="BR22" s="57">
        <v>11</v>
      </c>
      <c r="BS22" s="57">
        <v>1</v>
      </c>
      <c r="BT22" s="59">
        <v>22.099999999999998</v>
      </c>
      <c r="BU22" s="56">
        <v>1466</v>
      </c>
      <c r="BV22" s="57">
        <v>3077.1</v>
      </c>
      <c r="BW22" s="57">
        <v>10</v>
      </c>
      <c r="BX22" s="57">
        <v>27.3</v>
      </c>
      <c r="BY22" s="57">
        <v>224</v>
      </c>
      <c r="BZ22" s="57">
        <v>65</v>
      </c>
      <c r="CA22" s="236">
        <v>6.5446428571428568</v>
      </c>
      <c r="CB22" s="236">
        <v>93.8</v>
      </c>
      <c r="CC22" s="236">
        <v>3.14</v>
      </c>
      <c r="CD22" s="236">
        <v>47.6</v>
      </c>
      <c r="CE22" s="57">
        <v>248</v>
      </c>
      <c r="CF22" s="57">
        <v>3039.4</v>
      </c>
      <c r="CG22" s="57">
        <v>27</v>
      </c>
      <c r="CH22" s="57">
        <v>2</v>
      </c>
      <c r="CI22" s="59">
        <v>26</v>
      </c>
      <c r="CJ22" s="56">
        <v>209</v>
      </c>
      <c r="CK22" s="57">
        <v>834</v>
      </c>
      <c r="CL22" s="57">
        <v>2</v>
      </c>
      <c r="CM22" s="57">
        <v>4.8000000000000007</v>
      </c>
      <c r="CN22" s="57">
        <v>62</v>
      </c>
      <c r="CO22" s="57">
        <v>14</v>
      </c>
      <c r="CP22" s="58">
        <v>3.370967741935484</v>
      </c>
      <c r="CQ22" s="129">
        <v>64.7</v>
      </c>
      <c r="CR22" s="58">
        <v>2.4500000000000002</v>
      </c>
      <c r="CS22" s="129">
        <v>16.3</v>
      </c>
      <c r="CT22" s="57">
        <v>75</v>
      </c>
      <c r="CU22" s="57">
        <v>1125</v>
      </c>
      <c r="CV22" s="57">
        <v>10</v>
      </c>
      <c r="CW22" s="57">
        <v>0</v>
      </c>
      <c r="CX22" s="59">
        <v>10.8</v>
      </c>
      <c r="CY22" s="56">
        <v>881</v>
      </c>
      <c r="CZ22" s="57">
        <v>2212.8000000000002</v>
      </c>
      <c r="DA22" s="57">
        <v>11</v>
      </c>
      <c r="DB22" s="57">
        <v>25.200000000000003</v>
      </c>
      <c r="DC22" s="57">
        <v>183</v>
      </c>
      <c r="DD22" s="57">
        <v>46</v>
      </c>
      <c r="DE22" s="58">
        <v>4.8142076502732243</v>
      </c>
      <c r="DF22" s="129">
        <v>119.4</v>
      </c>
      <c r="DG22" s="58">
        <v>3.69</v>
      </c>
      <c r="DH22" s="58">
        <v>37.1</v>
      </c>
      <c r="DI22" s="57">
        <v>311</v>
      </c>
      <c r="DJ22" s="57">
        <v>2680.8</v>
      </c>
      <c r="DK22" s="57">
        <v>27</v>
      </c>
      <c r="DL22" s="57">
        <v>2</v>
      </c>
      <c r="DM22" s="59">
        <v>20.399999999999999</v>
      </c>
    </row>
    <row r="23" spans="1:117" ht="15.75" customHeight="1" x14ac:dyDescent="0.2">
      <c r="A23" s="33">
        <v>21</v>
      </c>
      <c r="B23" s="34" t="s">
        <v>295</v>
      </c>
      <c r="C23" s="116">
        <v>6.2722222222222221</v>
      </c>
      <c r="D23" s="117" t="s">
        <v>410</v>
      </c>
      <c r="E23" s="37">
        <v>2</v>
      </c>
      <c r="F23" s="118">
        <v>36889</v>
      </c>
      <c r="G23" s="119">
        <v>24.761643835616439</v>
      </c>
      <c r="H23" s="39" t="s">
        <v>469</v>
      </c>
      <c r="I23" s="39">
        <v>24.342465753424658</v>
      </c>
      <c r="J23" s="37">
        <v>70</v>
      </c>
      <c r="K23" s="37">
        <v>207</v>
      </c>
      <c r="L23" s="37">
        <v>4.54</v>
      </c>
      <c r="M23" s="40">
        <v>4</v>
      </c>
      <c r="N23" s="121">
        <v>0.15285126396237506</v>
      </c>
      <c r="O23" s="122">
        <v>0.16116386444812264</v>
      </c>
      <c r="P23" s="122">
        <v>0.18452532451005349</v>
      </c>
      <c r="Q23" s="122">
        <v>0.25021978765131536</v>
      </c>
      <c r="R23" s="122">
        <v>0.27714242146996038</v>
      </c>
      <c r="S23" s="42">
        <v>0.27714242146996038</v>
      </c>
      <c r="T23" s="42">
        <v>0.27714242146996038</v>
      </c>
      <c r="U23" s="42">
        <v>0.10206576213176873</v>
      </c>
      <c r="V23" s="42">
        <v>9.1640972935936968E-2</v>
      </c>
      <c r="W23" s="42">
        <v>9.6853367533852847E-2</v>
      </c>
      <c r="X23" s="43">
        <v>9.6853367533852847E-2</v>
      </c>
      <c r="Y23" s="44">
        <v>19.687671232876713</v>
      </c>
      <c r="Z23" s="45">
        <v>97.448897422519067</v>
      </c>
      <c r="AA23" s="45">
        <v>29.698163265306121</v>
      </c>
      <c r="AB23" s="45">
        <v>0.17171717171717171</v>
      </c>
      <c r="AC23" s="45">
        <v>5.7222222222222223</v>
      </c>
      <c r="AD23" s="45">
        <v>52.7</v>
      </c>
      <c r="AE23" s="45">
        <v>3.04</v>
      </c>
      <c r="AF23" s="45">
        <v>37.6</v>
      </c>
      <c r="AG23" s="128">
        <v>7</v>
      </c>
      <c r="AH23" s="49">
        <v>9</v>
      </c>
      <c r="AI23" s="49">
        <v>6</v>
      </c>
      <c r="AJ23" s="49">
        <v>4</v>
      </c>
      <c r="AK23" s="49">
        <v>2</v>
      </c>
      <c r="AL23" s="49">
        <v>3</v>
      </c>
      <c r="AM23" s="49">
        <v>0</v>
      </c>
      <c r="AN23" s="49">
        <v>0</v>
      </c>
      <c r="AO23" s="49">
        <v>4</v>
      </c>
      <c r="AP23" s="50">
        <v>0.25</v>
      </c>
      <c r="AQ23" s="56">
        <v>296</v>
      </c>
      <c r="AR23" s="57">
        <v>482.9</v>
      </c>
      <c r="AS23" s="57">
        <v>3</v>
      </c>
      <c r="AT23" s="57">
        <v>7.6999999999999993</v>
      </c>
      <c r="AU23" s="57">
        <v>68</v>
      </c>
      <c r="AV23" s="57">
        <v>11</v>
      </c>
      <c r="AW23" s="57">
        <v>4.3529411764705879</v>
      </c>
      <c r="AX23" s="57">
        <v>30.8</v>
      </c>
      <c r="AY23" s="57">
        <v>2.5</v>
      </c>
      <c r="AZ23" s="57">
        <v>26.7</v>
      </c>
      <c r="BA23" s="57">
        <v>276</v>
      </c>
      <c r="BB23" s="57">
        <v>3259.3</v>
      </c>
      <c r="BC23" s="57">
        <v>62</v>
      </c>
      <c r="BD23" s="57">
        <v>0</v>
      </c>
      <c r="BE23" s="59">
        <v>16.5</v>
      </c>
      <c r="BF23" s="56">
        <v>465</v>
      </c>
      <c r="BG23" s="57">
        <v>821.6</v>
      </c>
      <c r="BH23" s="57">
        <v>6</v>
      </c>
      <c r="BI23" s="57">
        <v>10.4</v>
      </c>
      <c r="BJ23" s="57">
        <v>110</v>
      </c>
      <c r="BK23" s="57">
        <v>19</v>
      </c>
      <c r="BL23" s="58">
        <v>4.2272727272727275</v>
      </c>
      <c r="BM23" s="58">
        <v>40.1</v>
      </c>
      <c r="BN23" s="58">
        <v>2.2799999999999998</v>
      </c>
      <c r="BO23" s="58">
        <v>14.2</v>
      </c>
      <c r="BP23" s="57">
        <v>460</v>
      </c>
      <c r="BQ23" s="57">
        <v>4917.9000000000005</v>
      </c>
      <c r="BR23" s="57">
        <v>78</v>
      </c>
      <c r="BS23" s="57">
        <v>3</v>
      </c>
      <c r="BT23" s="59">
        <v>36.4</v>
      </c>
      <c r="BU23" s="56">
        <v>590</v>
      </c>
      <c r="BV23" s="57">
        <v>980.40000000000009</v>
      </c>
      <c r="BW23" s="57">
        <v>9</v>
      </c>
      <c r="BX23" s="57">
        <v>10.8</v>
      </c>
      <c r="BY23" s="57">
        <v>115</v>
      </c>
      <c r="BZ23" s="57">
        <v>12</v>
      </c>
      <c r="CA23" s="236">
        <v>5.1304347826086953</v>
      </c>
      <c r="CB23" s="236">
        <v>34.4</v>
      </c>
      <c r="CC23" s="236">
        <v>2.63</v>
      </c>
      <c r="CD23" s="236">
        <v>28.5</v>
      </c>
      <c r="CE23" s="57">
        <v>280</v>
      </c>
      <c r="CF23" s="57">
        <v>3734.3999999999996</v>
      </c>
      <c r="CG23" s="57">
        <v>46</v>
      </c>
      <c r="CH23" s="57">
        <v>0</v>
      </c>
      <c r="CI23" s="59">
        <v>33.599999999999994</v>
      </c>
      <c r="CJ23" s="56">
        <v>573</v>
      </c>
      <c r="CK23" s="57">
        <v>1321.2</v>
      </c>
      <c r="CL23" s="57">
        <v>4</v>
      </c>
      <c r="CM23" s="57">
        <v>9</v>
      </c>
      <c r="CN23" s="57">
        <v>120</v>
      </c>
      <c r="CO23" s="57">
        <v>19</v>
      </c>
      <c r="CP23" s="58">
        <v>4.7750000000000004</v>
      </c>
      <c r="CQ23" s="129">
        <v>52.7</v>
      </c>
      <c r="CR23" s="58">
        <v>3.03</v>
      </c>
      <c r="CS23" s="129">
        <v>31.2</v>
      </c>
      <c r="CT23" s="57">
        <v>167</v>
      </c>
      <c r="CU23" s="57">
        <v>1636.2</v>
      </c>
      <c r="CV23" s="57">
        <v>24</v>
      </c>
      <c r="CW23" s="57">
        <v>2</v>
      </c>
      <c r="CX23" s="59">
        <v>11.700000000000001</v>
      </c>
      <c r="CY23" s="56">
        <v>1133</v>
      </c>
      <c r="CZ23" s="57">
        <v>1743.6000000000001</v>
      </c>
      <c r="DA23" s="57">
        <v>9</v>
      </c>
      <c r="DB23" s="57">
        <v>19.200000000000003</v>
      </c>
      <c r="DC23" s="57">
        <v>198</v>
      </c>
      <c r="DD23" s="57">
        <v>34</v>
      </c>
      <c r="DE23" s="58">
        <v>5.7222222222222223</v>
      </c>
      <c r="DF23" s="129">
        <v>50.8</v>
      </c>
      <c r="DG23" s="58">
        <v>3.04</v>
      </c>
      <c r="DH23" s="58">
        <v>37.6</v>
      </c>
      <c r="DI23" s="57">
        <v>321</v>
      </c>
      <c r="DJ23" s="57">
        <v>3502.7999999999997</v>
      </c>
      <c r="DK23" s="57">
        <v>47</v>
      </c>
      <c r="DL23" s="57">
        <v>0</v>
      </c>
      <c r="DM23" s="59">
        <v>25.200000000000003</v>
      </c>
    </row>
    <row r="24" spans="1:117" ht="15.75" customHeight="1" x14ac:dyDescent="0.2">
      <c r="A24" s="33">
        <v>22</v>
      </c>
      <c r="B24" s="34" t="s">
        <v>317</v>
      </c>
      <c r="C24" s="116">
        <v>6.1222222222222227</v>
      </c>
      <c r="D24" s="117" t="s">
        <v>511</v>
      </c>
      <c r="E24" s="37">
        <v>2</v>
      </c>
      <c r="F24" s="118">
        <v>37677</v>
      </c>
      <c r="G24" s="119">
        <v>22.602739726027398</v>
      </c>
      <c r="H24" s="39" t="s">
        <v>385</v>
      </c>
      <c r="I24" s="39">
        <v>22.183561643835617</v>
      </c>
      <c r="J24" s="37">
        <v>71</v>
      </c>
      <c r="K24" s="37">
        <v>205</v>
      </c>
      <c r="L24" s="37">
        <v>4.4400000000000004</v>
      </c>
      <c r="M24" s="40">
        <v>0</v>
      </c>
      <c r="N24" s="121">
        <v>0</v>
      </c>
      <c r="O24" s="122">
        <v>9.0067909973123236E-2</v>
      </c>
      <c r="P24" s="122">
        <v>0.23737814060394705</v>
      </c>
      <c r="Q24" s="122">
        <v>0.12991649469275446</v>
      </c>
      <c r="R24" s="122">
        <v>0.19559902200489002</v>
      </c>
      <c r="S24" s="42">
        <v>0.21648858130441853</v>
      </c>
      <c r="T24" s="42">
        <v>0.21648858130441853</v>
      </c>
      <c r="U24" s="42">
        <v>7.7678989237248475E-2</v>
      </c>
      <c r="V24" s="42">
        <v>5.1639555899819264E-2</v>
      </c>
      <c r="W24" s="42">
        <v>6.4659272568533877E-2</v>
      </c>
      <c r="X24" s="43">
        <v>6.4659272568533877E-2</v>
      </c>
      <c r="Y24" s="44">
        <v>19.539726027397261</v>
      </c>
      <c r="Z24" s="45">
        <v>105.49988257791017</v>
      </c>
      <c r="AA24" s="45">
        <v>28.588573695695299</v>
      </c>
      <c r="AB24" s="45">
        <v>0.22142857142857142</v>
      </c>
      <c r="AC24" s="45">
        <v>4.6614173228346454</v>
      </c>
      <c r="AD24" s="45">
        <v>72.099999999999994</v>
      </c>
      <c r="AE24" s="45">
        <v>3.7</v>
      </c>
      <c r="AF24" s="45">
        <v>53.1</v>
      </c>
      <c r="AG24" s="128">
        <v>4</v>
      </c>
      <c r="AH24" s="49">
        <v>7</v>
      </c>
      <c r="AI24" s="49">
        <v>6</v>
      </c>
      <c r="AJ24" s="49">
        <v>8</v>
      </c>
      <c r="AK24" s="49">
        <v>5</v>
      </c>
      <c r="AL24" s="49">
        <v>0</v>
      </c>
      <c r="AM24" s="49">
        <v>1</v>
      </c>
      <c r="AN24" s="49">
        <v>3</v>
      </c>
      <c r="AO24" s="49">
        <v>0</v>
      </c>
      <c r="AP24" s="50">
        <v>1</v>
      </c>
      <c r="AQ24" s="56"/>
      <c r="AR24" s="57">
        <v>1</v>
      </c>
      <c r="AS24" s="57"/>
      <c r="AT24" s="57"/>
      <c r="AU24" s="57"/>
      <c r="AV24" s="57"/>
      <c r="AW24" s="57"/>
      <c r="AX24" s="57"/>
      <c r="AY24" s="57"/>
      <c r="AZ24" s="57"/>
      <c r="BA24" s="57"/>
      <c r="BB24" s="57">
        <v>1</v>
      </c>
      <c r="BC24" s="57"/>
      <c r="BD24" s="57"/>
      <c r="BE24" s="59"/>
      <c r="BF24" s="56">
        <v>174</v>
      </c>
      <c r="BG24" s="57">
        <v>2358.4</v>
      </c>
      <c r="BH24" s="57">
        <v>3</v>
      </c>
      <c r="BI24" s="57">
        <v>30.799999999999997</v>
      </c>
      <c r="BJ24" s="57">
        <v>35</v>
      </c>
      <c r="BK24" s="57">
        <v>6</v>
      </c>
      <c r="BL24" s="58">
        <v>4.9714285714285715</v>
      </c>
      <c r="BM24" s="58">
        <v>33.5</v>
      </c>
      <c r="BN24" s="58">
        <v>2.63</v>
      </c>
      <c r="BO24" s="58">
        <v>33.299999999999997</v>
      </c>
      <c r="BP24" s="57">
        <v>265</v>
      </c>
      <c r="BQ24" s="57">
        <v>2515.6999999999998</v>
      </c>
      <c r="BR24" s="57">
        <v>20</v>
      </c>
      <c r="BS24" s="57">
        <v>1</v>
      </c>
      <c r="BT24" s="59">
        <v>16.5</v>
      </c>
      <c r="BU24" s="56">
        <v>991</v>
      </c>
      <c r="BV24" s="57">
        <v>2627.9</v>
      </c>
      <c r="BW24" s="57">
        <v>7</v>
      </c>
      <c r="BX24" s="57">
        <v>31.9</v>
      </c>
      <c r="BY24" s="57">
        <v>140</v>
      </c>
      <c r="BZ24" s="57">
        <v>31</v>
      </c>
      <c r="CA24" s="236">
        <v>7.0785714285714283</v>
      </c>
      <c r="CB24" s="236">
        <v>72.099999999999994</v>
      </c>
      <c r="CC24" s="236">
        <v>3.7</v>
      </c>
      <c r="CD24" s="236">
        <v>53.1</v>
      </c>
      <c r="CE24" s="57">
        <v>207</v>
      </c>
      <c r="CF24" s="57">
        <v>2418.9</v>
      </c>
      <c r="CG24" s="57">
        <v>19</v>
      </c>
      <c r="CH24" s="57">
        <v>2</v>
      </c>
      <c r="CI24" s="59">
        <v>18.7</v>
      </c>
      <c r="CJ24" s="56">
        <v>497</v>
      </c>
      <c r="CK24" s="57">
        <v>2536.65</v>
      </c>
      <c r="CL24" s="57">
        <v>5</v>
      </c>
      <c r="CM24" s="57">
        <v>40.5</v>
      </c>
      <c r="CN24" s="57">
        <v>119</v>
      </c>
      <c r="CO24" s="57">
        <v>14</v>
      </c>
      <c r="CP24" s="58">
        <v>4.1764705882352944</v>
      </c>
      <c r="CQ24" s="129">
        <v>35.9</v>
      </c>
      <c r="CR24" s="58">
        <v>2.67</v>
      </c>
      <c r="CS24" s="129">
        <v>29.8</v>
      </c>
      <c r="CT24" s="57">
        <v>249</v>
      </c>
      <c r="CU24" s="57">
        <v>3205.5</v>
      </c>
      <c r="CV24" s="57">
        <v>30</v>
      </c>
      <c r="CW24" s="57">
        <v>0</v>
      </c>
      <c r="CX24" s="59">
        <v>24</v>
      </c>
      <c r="CY24" s="56">
        <v>592</v>
      </c>
      <c r="CZ24" s="57">
        <v>1886.3999999999999</v>
      </c>
      <c r="DA24" s="57">
        <v>4</v>
      </c>
      <c r="DB24" s="57">
        <v>18</v>
      </c>
      <c r="DC24" s="57">
        <v>127</v>
      </c>
      <c r="DD24" s="57">
        <v>17</v>
      </c>
      <c r="DE24" s="58">
        <v>4.6614173228346454</v>
      </c>
      <c r="DF24" s="129">
        <v>41.1</v>
      </c>
      <c r="DG24" s="58">
        <v>2.86</v>
      </c>
      <c r="DH24" s="58">
        <v>29.9</v>
      </c>
      <c r="DI24" s="57">
        <v>80</v>
      </c>
      <c r="DJ24" s="57">
        <v>1549.1999999999998</v>
      </c>
      <c r="DK24" s="57">
        <v>19</v>
      </c>
      <c r="DL24" s="57">
        <v>1</v>
      </c>
      <c r="DM24" s="59">
        <v>10.8</v>
      </c>
    </row>
    <row r="25" spans="1:117" ht="15.75" customHeight="1" x14ac:dyDescent="0.2">
      <c r="A25" s="33">
        <v>23</v>
      </c>
      <c r="B25" s="34" t="s">
        <v>322</v>
      </c>
      <c r="C25" s="116">
        <v>5.8944444444444439</v>
      </c>
      <c r="D25" s="117" t="s">
        <v>461</v>
      </c>
      <c r="E25" s="37">
        <v>3</v>
      </c>
      <c r="F25" s="118">
        <v>36659</v>
      </c>
      <c r="G25" s="119">
        <v>25.391780821917809</v>
      </c>
      <c r="H25" s="39" t="s">
        <v>469</v>
      </c>
      <c r="I25" s="39">
        <v>24.972602739726028</v>
      </c>
      <c r="J25" s="37">
        <v>69</v>
      </c>
      <c r="K25" s="37">
        <v>214</v>
      </c>
      <c r="L25" s="37">
        <v>4.5199999999999996</v>
      </c>
      <c r="M25" s="40">
        <v>6</v>
      </c>
      <c r="N25" s="121">
        <v>7.370378981632178E-2</v>
      </c>
      <c r="O25" s="122">
        <v>0.16864126374212832</v>
      </c>
      <c r="P25" s="122">
        <v>0.14320962955553332</v>
      </c>
      <c r="Q25" s="122">
        <v>0.32165662111356447</v>
      </c>
      <c r="R25" s="122">
        <v>0.33616912588168263</v>
      </c>
      <c r="S25" s="42">
        <v>0.33616912588168263</v>
      </c>
      <c r="T25" s="42">
        <v>0.30255221329351439</v>
      </c>
      <c r="U25" s="42">
        <v>2.403846153846154E-2</v>
      </c>
      <c r="V25" s="42">
        <v>6.0973741459080188E-2</v>
      </c>
      <c r="W25" s="42">
        <v>6.0973741459080188E-2</v>
      </c>
      <c r="X25" s="43">
        <v>5.4876367313172171E-2</v>
      </c>
      <c r="Y25" s="44">
        <v>21.315068493150687</v>
      </c>
      <c r="Z25" s="45">
        <v>102.53922478389582</v>
      </c>
      <c r="AA25" s="45">
        <v>31.598823776517538</v>
      </c>
      <c r="AB25" s="45">
        <v>0.32876712328767121</v>
      </c>
      <c r="AC25" s="45">
        <v>5.2979452054794525</v>
      </c>
      <c r="AD25" s="45">
        <v>107.9</v>
      </c>
      <c r="AE25" s="45">
        <v>3.42</v>
      </c>
      <c r="AF25" s="45">
        <v>38.9</v>
      </c>
      <c r="AG25" s="128">
        <v>8</v>
      </c>
      <c r="AH25" s="49">
        <v>6</v>
      </c>
      <c r="AI25" s="49">
        <v>2</v>
      </c>
      <c r="AJ25" s="49">
        <v>6</v>
      </c>
      <c r="AK25" s="49">
        <v>9</v>
      </c>
      <c r="AL25" s="49">
        <v>2</v>
      </c>
      <c r="AM25" s="49">
        <v>5</v>
      </c>
      <c r="AN25" s="49">
        <v>1</v>
      </c>
      <c r="AO25" s="49">
        <v>2</v>
      </c>
      <c r="AP25" s="50">
        <v>0</v>
      </c>
      <c r="AQ25" s="56">
        <v>256</v>
      </c>
      <c r="AR25" s="57">
        <v>1634</v>
      </c>
      <c r="AS25" s="57">
        <v>4</v>
      </c>
      <c r="AT25" s="57">
        <v>17</v>
      </c>
      <c r="AU25" s="57">
        <v>68</v>
      </c>
      <c r="AV25" s="57">
        <v>20</v>
      </c>
      <c r="AW25" s="57">
        <v>3.7647058823529411</v>
      </c>
      <c r="AX25" s="57">
        <v>80.599999999999994</v>
      </c>
      <c r="AY25" s="57">
        <v>2.84</v>
      </c>
      <c r="AZ25" s="57">
        <v>17.2</v>
      </c>
      <c r="BA25" s="57">
        <v>61</v>
      </c>
      <c r="BB25" s="57">
        <v>2667</v>
      </c>
      <c r="BC25" s="57">
        <v>13</v>
      </c>
      <c r="BD25" s="57">
        <v>0</v>
      </c>
      <c r="BE25" s="59">
        <v>18</v>
      </c>
      <c r="BF25" s="56">
        <v>580</v>
      </c>
      <c r="BG25" s="57">
        <v>1432.8</v>
      </c>
      <c r="BH25" s="57">
        <v>7</v>
      </c>
      <c r="BI25" s="57">
        <v>20.7</v>
      </c>
      <c r="BJ25" s="57">
        <v>88</v>
      </c>
      <c r="BK25" s="57">
        <v>18</v>
      </c>
      <c r="BL25" s="58">
        <v>6.5909090909090908</v>
      </c>
      <c r="BM25" s="58">
        <v>73.5</v>
      </c>
      <c r="BN25" s="58">
        <v>3.84</v>
      </c>
      <c r="BO25" s="58">
        <v>48.3</v>
      </c>
      <c r="BP25" s="57">
        <v>52</v>
      </c>
      <c r="BQ25" s="57">
        <v>2314.7999999999997</v>
      </c>
      <c r="BR25" s="57">
        <v>6</v>
      </c>
      <c r="BS25" s="57">
        <v>0</v>
      </c>
      <c r="BT25" s="59">
        <v>12.6</v>
      </c>
      <c r="BU25" s="56">
        <v>695</v>
      </c>
      <c r="BV25" s="57">
        <v>2065.7000000000003</v>
      </c>
      <c r="BW25" s="57">
        <v>7</v>
      </c>
      <c r="BX25" s="57">
        <v>28.6</v>
      </c>
      <c r="BY25" s="57">
        <v>148</v>
      </c>
      <c r="BZ25" s="57">
        <v>42</v>
      </c>
      <c r="CA25" s="236">
        <v>4.6959459459459456</v>
      </c>
      <c r="CB25" s="236">
        <v>69.7</v>
      </c>
      <c r="CC25" s="236">
        <v>2.76</v>
      </c>
      <c r="CD25" s="236">
        <v>26.6</v>
      </c>
      <c r="CE25" s="57">
        <v>164</v>
      </c>
      <c r="CF25" s="57">
        <v>3932.5</v>
      </c>
      <c r="CG25" s="57">
        <v>26</v>
      </c>
      <c r="CH25" s="57">
        <v>1</v>
      </c>
      <c r="CI25" s="59">
        <v>26</v>
      </c>
      <c r="CJ25" s="56">
        <v>1547</v>
      </c>
      <c r="CK25" s="57">
        <v>2115.1</v>
      </c>
      <c r="CL25" s="57">
        <v>10</v>
      </c>
      <c r="CM25" s="57">
        <v>16.900000000000002</v>
      </c>
      <c r="CN25" s="57">
        <v>292</v>
      </c>
      <c r="CO25" s="57">
        <v>96</v>
      </c>
      <c r="CP25" s="58">
        <v>5.2979452054794525</v>
      </c>
      <c r="CQ25" s="129">
        <v>107.9</v>
      </c>
      <c r="CR25" s="58">
        <v>3.42</v>
      </c>
      <c r="CS25" s="129">
        <v>29.2</v>
      </c>
      <c r="CT25" s="57">
        <v>70</v>
      </c>
      <c r="CU25" s="57">
        <v>2912</v>
      </c>
      <c r="CV25" s="57">
        <v>28</v>
      </c>
      <c r="CW25" s="57">
        <v>0</v>
      </c>
      <c r="CX25" s="59">
        <v>23.400000000000002</v>
      </c>
      <c r="CY25" s="56">
        <v>1512</v>
      </c>
      <c r="CZ25" s="57">
        <v>1826</v>
      </c>
      <c r="DA25" s="57">
        <v>17</v>
      </c>
      <c r="DB25" s="57">
        <v>22</v>
      </c>
      <c r="DC25" s="57">
        <v>287</v>
      </c>
      <c r="DD25" s="57">
        <v>58</v>
      </c>
      <c r="DE25" s="58">
        <v>5.2682926829268295</v>
      </c>
      <c r="DF25" s="129">
        <v>67.5</v>
      </c>
      <c r="DG25" s="58">
        <v>3.04</v>
      </c>
      <c r="DH25" s="58">
        <v>38.9</v>
      </c>
      <c r="DI25" s="57">
        <v>199</v>
      </c>
      <c r="DJ25" s="57">
        <v>3263.7</v>
      </c>
      <c r="DK25" s="57">
        <v>28</v>
      </c>
      <c r="DL25" s="57">
        <v>1</v>
      </c>
      <c r="DM25" s="59">
        <v>27.5</v>
      </c>
    </row>
    <row r="26" spans="1:117" ht="15.75" customHeight="1" x14ac:dyDescent="0.2">
      <c r="A26" s="33">
        <v>24</v>
      </c>
      <c r="B26" s="34" t="s">
        <v>289</v>
      </c>
      <c r="C26" s="116">
        <v>5.8055555555555554</v>
      </c>
      <c r="D26" s="117" t="s">
        <v>601</v>
      </c>
      <c r="E26" s="37">
        <v>3</v>
      </c>
      <c r="F26" s="118">
        <v>37722</v>
      </c>
      <c r="G26" s="119">
        <v>22.479452054794521</v>
      </c>
      <c r="H26" s="39" t="s">
        <v>498</v>
      </c>
      <c r="I26" s="39">
        <v>22.06027397260274</v>
      </c>
      <c r="J26" s="37">
        <v>68</v>
      </c>
      <c r="K26" s="37">
        <v>194</v>
      </c>
      <c r="L26" s="37">
        <v>4.3899999999999997</v>
      </c>
      <c r="M26" s="40">
        <v>7</v>
      </c>
      <c r="N26" s="121">
        <v>0</v>
      </c>
      <c r="O26" s="122">
        <v>4.1114156604192903E-2</v>
      </c>
      <c r="P26" s="122">
        <v>7.8598329785492069E-2</v>
      </c>
      <c r="Q26" s="122">
        <v>7.6337353123067414E-2</v>
      </c>
      <c r="R26" s="122">
        <v>0.27653984302248241</v>
      </c>
      <c r="S26" s="42">
        <v>0.27653984302248241</v>
      </c>
      <c r="T26" s="42">
        <v>0.24888585872023417</v>
      </c>
      <c r="U26" s="42">
        <v>8.4948320413436695E-2</v>
      </c>
      <c r="V26" s="42">
        <v>9.1910762013854813E-2</v>
      </c>
      <c r="W26" s="42">
        <v>9.1910762013854813E-2</v>
      </c>
      <c r="X26" s="43">
        <v>8.2719685812469329E-2</v>
      </c>
      <c r="Y26" s="44">
        <v>21.416438356164385</v>
      </c>
      <c r="Z26" s="45">
        <v>104.4656821784036</v>
      </c>
      <c r="AA26" s="45">
        <v>29.494377162629757</v>
      </c>
      <c r="AB26" s="45">
        <v>0.22413793103448276</v>
      </c>
      <c r="AC26" s="45">
        <v>5.7155172413793105</v>
      </c>
      <c r="AD26" s="45">
        <v>77.099999999999994</v>
      </c>
      <c r="AE26" s="45">
        <v>3.34</v>
      </c>
      <c r="AF26" s="45">
        <v>86.4</v>
      </c>
      <c r="AG26" s="128">
        <v>6</v>
      </c>
      <c r="AH26" s="49">
        <v>8</v>
      </c>
      <c r="AI26" s="49">
        <v>2</v>
      </c>
      <c r="AJ26" s="49">
        <v>7</v>
      </c>
      <c r="AK26" s="49">
        <v>5</v>
      </c>
      <c r="AL26" s="49">
        <v>3</v>
      </c>
      <c r="AM26" s="49">
        <v>2</v>
      </c>
      <c r="AN26" s="49">
        <v>1</v>
      </c>
      <c r="AO26" s="49">
        <v>1</v>
      </c>
      <c r="AP26" s="50">
        <v>0.25</v>
      </c>
      <c r="AQ26" s="56"/>
      <c r="AR26" s="57">
        <v>1</v>
      </c>
      <c r="AS26" s="57"/>
      <c r="AT26" s="57"/>
      <c r="AU26" s="57"/>
      <c r="AV26" s="57"/>
      <c r="AW26" s="57"/>
      <c r="AX26" s="57"/>
      <c r="AY26" s="57"/>
      <c r="AZ26" s="57"/>
      <c r="BA26" s="57"/>
      <c r="BB26" s="57">
        <v>1</v>
      </c>
      <c r="BC26" s="57"/>
      <c r="BD26" s="57"/>
      <c r="BE26" s="59"/>
      <c r="BF26" s="56">
        <v>23</v>
      </c>
      <c r="BG26" s="57">
        <v>1545.6000000000001</v>
      </c>
      <c r="BH26" s="57">
        <v>0</v>
      </c>
      <c r="BI26" s="57">
        <v>20.399999999999999</v>
      </c>
      <c r="BJ26" s="57">
        <v>6</v>
      </c>
      <c r="BK26" s="57">
        <v>1</v>
      </c>
      <c r="BL26" s="58">
        <v>3.8333333333333335</v>
      </c>
      <c r="BM26" s="58">
        <v>75</v>
      </c>
      <c r="BN26" s="58">
        <v>3</v>
      </c>
      <c r="BO26" s="58">
        <v>0</v>
      </c>
      <c r="BP26" s="57">
        <v>199</v>
      </c>
      <c r="BQ26" s="57">
        <v>3854</v>
      </c>
      <c r="BR26" s="57">
        <v>14</v>
      </c>
      <c r="BS26" s="57">
        <v>2</v>
      </c>
      <c r="BT26" s="59">
        <v>30</v>
      </c>
      <c r="BU26" s="56">
        <v>35</v>
      </c>
      <c r="BV26" s="57">
        <v>1406.9</v>
      </c>
      <c r="BW26" s="57">
        <v>0</v>
      </c>
      <c r="BX26" s="57">
        <v>11</v>
      </c>
      <c r="BY26" s="57">
        <v>5</v>
      </c>
      <c r="BZ26" s="57">
        <v>2</v>
      </c>
      <c r="CA26" s="236">
        <v>7</v>
      </c>
      <c r="CB26" s="236">
        <v>161.6</v>
      </c>
      <c r="CC26" s="236">
        <v>4.5999999999999996</v>
      </c>
      <c r="CD26" s="236">
        <v>0</v>
      </c>
      <c r="CE26" s="57">
        <v>301</v>
      </c>
      <c r="CF26" s="57">
        <v>2868</v>
      </c>
      <c r="CG26" s="57">
        <v>32</v>
      </c>
      <c r="CH26" s="57">
        <v>0</v>
      </c>
      <c r="CI26" s="59">
        <v>16.5</v>
      </c>
      <c r="CJ26" s="56">
        <v>132</v>
      </c>
      <c r="CK26" s="57">
        <v>2078.3999999999996</v>
      </c>
      <c r="CL26" s="57">
        <v>1</v>
      </c>
      <c r="CM26" s="57">
        <v>21.6</v>
      </c>
      <c r="CN26" s="57">
        <v>9</v>
      </c>
      <c r="CO26" s="57">
        <v>2</v>
      </c>
      <c r="CP26" s="58">
        <v>14.666666666666666</v>
      </c>
      <c r="CQ26" s="129">
        <v>45.9</v>
      </c>
      <c r="CR26" s="58">
        <v>1.78</v>
      </c>
      <c r="CS26" s="129">
        <v>86.4</v>
      </c>
      <c r="CT26" s="57">
        <v>263</v>
      </c>
      <c r="CU26" s="57">
        <v>3096</v>
      </c>
      <c r="CV26" s="57">
        <v>22</v>
      </c>
      <c r="CW26" s="57">
        <v>2</v>
      </c>
      <c r="CX26" s="59">
        <v>21.6</v>
      </c>
      <c r="CY26" s="56">
        <v>1326</v>
      </c>
      <c r="CZ26" s="57">
        <v>2347</v>
      </c>
      <c r="DA26" s="57">
        <v>14</v>
      </c>
      <c r="DB26" s="57">
        <v>27.599999999999998</v>
      </c>
      <c r="DC26" s="57">
        <v>232</v>
      </c>
      <c r="DD26" s="57">
        <v>52</v>
      </c>
      <c r="DE26" s="58">
        <v>5.7155172413793105</v>
      </c>
      <c r="DF26" s="129">
        <v>77.099999999999994</v>
      </c>
      <c r="DG26" s="58">
        <v>3.34</v>
      </c>
      <c r="DH26" s="58">
        <v>43.1</v>
      </c>
      <c r="DI26" s="57">
        <v>337</v>
      </c>
      <c r="DJ26" s="57">
        <v>3666.5999999999995</v>
      </c>
      <c r="DK26" s="57">
        <v>41</v>
      </c>
      <c r="DL26" s="57">
        <v>4</v>
      </c>
      <c r="DM26" s="59">
        <v>24</v>
      </c>
    </row>
    <row r="27" spans="1:117" ht="15.75" customHeight="1" x14ac:dyDescent="0.2">
      <c r="A27" s="33">
        <v>25</v>
      </c>
      <c r="B27" s="34" t="s">
        <v>277</v>
      </c>
      <c r="C27" s="116">
        <v>5.6888888888888891</v>
      </c>
      <c r="D27" s="117" t="s">
        <v>555</v>
      </c>
      <c r="E27" s="37">
        <v>4</v>
      </c>
      <c r="F27" s="118">
        <v>38204</v>
      </c>
      <c r="G27" s="119">
        <v>21.158904109589042</v>
      </c>
      <c r="H27" s="39" t="s">
        <v>385</v>
      </c>
      <c r="I27" s="39">
        <v>20.739726027397261</v>
      </c>
      <c r="J27" s="37">
        <v>72</v>
      </c>
      <c r="K27" s="37">
        <v>204</v>
      </c>
      <c r="L27" s="37">
        <v>4.5</v>
      </c>
      <c r="M27" s="40">
        <v>7</v>
      </c>
      <c r="N27" s="121">
        <v>0</v>
      </c>
      <c r="O27" s="122">
        <v>0</v>
      </c>
      <c r="P27" s="122">
        <v>8.1360946745562115E-2</v>
      </c>
      <c r="Q27" s="122">
        <v>0.28770530372627667</v>
      </c>
      <c r="R27" s="122">
        <v>0.25531354872672235</v>
      </c>
      <c r="S27" s="42">
        <v>0.27150942622649954</v>
      </c>
      <c r="T27" s="42">
        <v>0.2443584836038496</v>
      </c>
      <c r="U27" s="42">
        <v>9.6716149347728292E-2</v>
      </c>
      <c r="V27" s="42">
        <v>0.10997920997920999</v>
      </c>
      <c r="W27" s="42">
        <v>0.10997920997920999</v>
      </c>
      <c r="X27" s="43">
        <v>9.8981288981288995E-2</v>
      </c>
      <c r="Y27" s="44">
        <v>19.093150684931508</v>
      </c>
      <c r="Z27" s="45">
        <v>99.497027892089619</v>
      </c>
      <c r="AA27" s="45">
        <v>27.664351851851851</v>
      </c>
      <c r="AB27" s="45">
        <v>0.22857142857142856</v>
      </c>
      <c r="AC27" s="45">
        <v>4.4868421052631575</v>
      </c>
      <c r="AD27" s="45">
        <v>63.7</v>
      </c>
      <c r="AE27" s="45">
        <v>3</v>
      </c>
      <c r="AF27" s="45">
        <v>28</v>
      </c>
      <c r="AG27" s="128">
        <v>6</v>
      </c>
      <c r="AH27" s="49">
        <v>9</v>
      </c>
      <c r="AI27" s="49">
        <v>7</v>
      </c>
      <c r="AJ27" s="49">
        <v>5</v>
      </c>
      <c r="AK27" s="49">
        <v>5</v>
      </c>
      <c r="AL27" s="49">
        <v>0</v>
      </c>
      <c r="AM27" s="49">
        <v>1</v>
      </c>
      <c r="AN27" s="49">
        <v>0</v>
      </c>
      <c r="AO27" s="49">
        <v>1</v>
      </c>
      <c r="AP27" s="50">
        <v>0</v>
      </c>
      <c r="AQ27" s="56"/>
      <c r="AR27" s="57">
        <v>1</v>
      </c>
      <c r="AS27" s="57"/>
      <c r="AT27" s="57"/>
      <c r="AU27" s="57"/>
      <c r="AV27" s="57"/>
      <c r="AW27" s="57"/>
      <c r="AX27" s="57"/>
      <c r="AY27" s="57"/>
      <c r="AZ27" s="57"/>
      <c r="BA27" s="57"/>
      <c r="BB27" s="57">
        <v>1</v>
      </c>
      <c r="BC27" s="57"/>
      <c r="BD27" s="57"/>
      <c r="BE27" s="59"/>
      <c r="BF27" s="56"/>
      <c r="BG27" s="57">
        <v>1</v>
      </c>
      <c r="BH27" s="57"/>
      <c r="BI27" s="57"/>
      <c r="BJ27" s="57"/>
      <c r="BK27" s="57"/>
      <c r="BL27" s="58"/>
      <c r="BM27" s="58"/>
      <c r="BN27" s="58"/>
      <c r="BO27" s="58"/>
      <c r="BP27" s="57"/>
      <c r="BQ27" s="57">
        <v>1</v>
      </c>
      <c r="BR27" s="57"/>
      <c r="BS27" s="57"/>
      <c r="BT27" s="59"/>
      <c r="BU27" s="56">
        <v>274</v>
      </c>
      <c r="BV27" s="57">
        <v>1852.5</v>
      </c>
      <c r="BW27" s="57">
        <v>1</v>
      </c>
      <c r="BX27" s="57">
        <v>20.8</v>
      </c>
      <c r="BY27" s="57">
        <v>41</v>
      </c>
      <c r="BZ27" s="57">
        <v>19</v>
      </c>
      <c r="CA27" s="236">
        <v>6.6829268292682924</v>
      </c>
      <c r="CB27" s="236">
        <v>210.3</v>
      </c>
      <c r="CC27" s="236">
        <v>6.1</v>
      </c>
      <c r="CD27" s="236">
        <v>50.7</v>
      </c>
      <c r="CE27" s="57">
        <v>122</v>
      </c>
      <c r="CF27" s="57">
        <v>3014.7000000000003</v>
      </c>
      <c r="CG27" s="57">
        <v>17</v>
      </c>
      <c r="CH27" s="57">
        <v>1</v>
      </c>
      <c r="CI27" s="59">
        <v>19.5</v>
      </c>
      <c r="CJ27" s="56">
        <v>1069</v>
      </c>
      <c r="CK27" s="57">
        <v>2239.9</v>
      </c>
      <c r="CL27" s="57">
        <v>9</v>
      </c>
      <c r="CM27" s="57">
        <v>19.5</v>
      </c>
      <c r="CN27" s="57">
        <v>245</v>
      </c>
      <c r="CO27" s="57">
        <v>56</v>
      </c>
      <c r="CP27" s="58">
        <v>4.3632653061224493</v>
      </c>
      <c r="CQ27" s="129">
        <v>63.7</v>
      </c>
      <c r="CR27" s="58">
        <v>2.87</v>
      </c>
      <c r="CS27" s="129">
        <v>28</v>
      </c>
      <c r="CT27" s="57">
        <v>215</v>
      </c>
      <c r="CU27" s="57">
        <v>2223</v>
      </c>
      <c r="CV27" s="57">
        <v>40</v>
      </c>
      <c r="CW27" s="57">
        <v>1</v>
      </c>
      <c r="CX27" s="59">
        <v>16.900000000000002</v>
      </c>
      <c r="CY27" s="56">
        <v>1023</v>
      </c>
      <c r="CZ27" s="57">
        <v>1268.8</v>
      </c>
      <c r="DA27" s="57">
        <v>16</v>
      </c>
      <c r="DB27" s="57">
        <v>22.099999999999998</v>
      </c>
      <c r="DC27" s="57">
        <v>228</v>
      </c>
      <c r="DD27" s="57">
        <v>44</v>
      </c>
      <c r="DE27" s="58">
        <v>4.4868421052631575</v>
      </c>
      <c r="DF27" s="129">
        <v>56.4</v>
      </c>
      <c r="DG27" s="58">
        <v>3</v>
      </c>
      <c r="DH27" s="58">
        <v>23.2</v>
      </c>
      <c r="DI27" s="57">
        <v>529</v>
      </c>
      <c r="DJ27" s="57">
        <v>4810</v>
      </c>
      <c r="DK27" s="57">
        <v>64</v>
      </c>
      <c r="DL27" s="57">
        <v>4</v>
      </c>
      <c r="DM27" s="59">
        <v>33.800000000000004</v>
      </c>
    </row>
    <row r="28" spans="1:117" ht="15.75" customHeight="1" x14ac:dyDescent="0.2">
      <c r="A28" s="33">
        <v>26</v>
      </c>
      <c r="B28" s="34" t="s">
        <v>596</v>
      </c>
      <c r="C28" s="116">
        <v>5.6888888888888882</v>
      </c>
      <c r="D28" s="117" t="s">
        <v>597</v>
      </c>
      <c r="E28" s="37">
        <v>9</v>
      </c>
      <c r="F28" s="118">
        <v>37619</v>
      </c>
      <c r="G28" s="119">
        <v>22.761643835616439</v>
      </c>
      <c r="H28" s="39" t="s">
        <v>389</v>
      </c>
      <c r="I28" s="39">
        <v>22.342465753424658</v>
      </c>
      <c r="J28" s="37">
        <v>70</v>
      </c>
      <c r="K28" s="37">
        <v>219</v>
      </c>
      <c r="L28" s="37">
        <v>4.55</v>
      </c>
      <c r="M28" s="40">
        <v>0</v>
      </c>
      <c r="N28" s="121">
        <v>0</v>
      </c>
      <c r="O28" s="122">
        <v>0.22024793388429753</v>
      </c>
      <c r="P28" s="122">
        <v>0.18654516215491826</v>
      </c>
      <c r="Q28" s="122">
        <v>0.28070907194994787</v>
      </c>
      <c r="R28" s="122">
        <v>0.24980381899032172</v>
      </c>
      <c r="S28" s="42">
        <v>0.26525644547013483</v>
      </c>
      <c r="T28" s="42">
        <v>0.17241668955558764</v>
      </c>
      <c r="U28" s="42">
        <v>2.113821138211382E-2</v>
      </c>
      <c r="V28" s="42">
        <v>0.14285714285714285</v>
      </c>
      <c r="W28" s="42">
        <v>0.14285714285714285</v>
      </c>
      <c r="X28" s="43">
        <v>9.285714285714286E-2</v>
      </c>
      <c r="Y28" s="44">
        <v>18.684931506849313</v>
      </c>
      <c r="Z28" s="45">
        <v>102.19473548078287</v>
      </c>
      <c r="AA28" s="45">
        <v>31.419795918367349</v>
      </c>
      <c r="AB28" s="45">
        <v>0.22608695652173913</v>
      </c>
      <c r="AC28" s="45">
        <v>6.1327014218009479</v>
      </c>
      <c r="AD28" s="45">
        <v>82.2</v>
      </c>
      <c r="AE28" s="45">
        <v>3.26</v>
      </c>
      <c r="AF28" s="45">
        <v>50.7</v>
      </c>
      <c r="AG28" s="128">
        <v>3</v>
      </c>
      <c r="AH28" s="49">
        <v>9</v>
      </c>
      <c r="AI28" s="49">
        <v>9</v>
      </c>
      <c r="AJ28" s="49">
        <v>6</v>
      </c>
      <c r="AK28" s="49">
        <v>5</v>
      </c>
      <c r="AL28" s="49">
        <v>5</v>
      </c>
      <c r="AM28" s="49">
        <v>2</v>
      </c>
      <c r="AN28" s="49">
        <v>1</v>
      </c>
      <c r="AO28" s="49">
        <v>0</v>
      </c>
      <c r="AP28" s="50">
        <v>0</v>
      </c>
      <c r="AQ28" s="56"/>
      <c r="AR28" s="57">
        <v>1</v>
      </c>
      <c r="AS28" s="57"/>
      <c r="AT28" s="57"/>
      <c r="AU28" s="57"/>
      <c r="AV28" s="57"/>
      <c r="AW28" s="57"/>
      <c r="AX28" s="57"/>
      <c r="AY28" s="57"/>
      <c r="AZ28" s="57"/>
      <c r="BA28" s="57"/>
      <c r="BB28" s="57">
        <v>1</v>
      </c>
      <c r="BC28" s="57"/>
      <c r="BD28" s="57"/>
      <c r="BE28" s="59"/>
      <c r="BF28" s="56">
        <v>533</v>
      </c>
      <c r="BG28" s="57">
        <v>2419</v>
      </c>
      <c r="BH28" s="57">
        <v>5</v>
      </c>
      <c r="BI28" s="57">
        <v>26</v>
      </c>
      <c r="BJ28" s="57">
        <v>81</v>
      </c>
      <c r="BK28" s="57">
        <v>19</v>
      </c>
      <c r="BL28" s="58">
        <v>6.5802469135802468</v>
      </c>
      <c r="BM28" s="58">
        <v>86.9</v>
      </c>
      <c r="BN28" s="58">
        <v>3.7</v>
      </c>
      <c r="BO28" s="58">
        <v>43.7</v>
      </c>
      <c r="BP28" s="57">
        <v>0</v>
      </c>
      <c r="BQ28" s="57">
        <v>1</v>
      </c>
      <c r="BR28" s="57">
        <v>0</v>
      </c>
      <c r="BS28" s="57">
        <v>0</v>
      </c>
      <c r="BT28" s="59"/>
      <c r="BU28" s="56">
        <v>689</v>
      </c>
      <c r="BV28" s="57">
        <v>1904</v>
      </c>
      <c r="BW28" s="57">
        <v>7</v>
      </c>
      <c r="BX28" s="57">
        <v>16</v>
      </c>
      <c r="BY28" s="57">
        <v>111</v>
      </c>
      <c r="BZ28" s="57">
        <v>23</v>
      </c>
      <c r="CA28" s="236">
        <v>6.2072072072072073</v>
      </c>
      <c r="CB28" s="236">
        <v>63.3</v>
      </c>
      <c r="CC28" s="236">
        <v>3.08</v>
      </c>
      <c r="CD28" s="236">
        <v>50.7</v>
      </c>
      <c r="CE28" s="57">
        <v>7</v>
      </c>
      <c r="CF28" s="57">
        <v>1827</v>
      </c>
      <c r="CG28" s="57">
        <v>1</v>
      </c>
      <c r="CH28" s="57">
        <v>0</v>
      </c>
      <c r="CI28" s="59">
        <v>15</v>
      </c>
      <c r="CJ28" s="56">
        <v>1294</v>
      </c>
      <c r="CK28" s="57">
        <v>2335</v>
      </c>
      <c r="CL28" s="57">
        <v>10</v>
      </c>
      <c r="CM28" s="57">
        <v>23</v>
      </c>
      <c r="CN28" s="57">
        <v>211</v>
      </c>
      <c r="CO28" s="57">
        <v>35</v>
      </c>
      <c r="CP28" s="58">
        <v>6.1327014218009479</v>
      </c>
      <c r="CQ28" s="129">
        <v>54</v>
      </c>
      <c r="CR28" s="58">
        <v>3.09</v>
      </c>
      <c r="CS28" s="129">
        <v>46.2</v>
      </c>
      <c r="CT28" s="57">
        <v>52</v>
      </c>
      <c r="CU28" s="57">
        <v>2460</v>
      </c>
      <c r="CV28" s="57">
        <v>12</v>
      </c>
      <c r="CW28" s="57">
        <v>1</v>
      </c>
      <c r="CX28" s="59">
        <v>15</v>
      </c>
      <c r="CY28" s="56">
        <v>560</v>
      </c>
      <c r="CZ28" s="57">
        <v>1630.4</v>
      </c>
      <c r="DA28" s="57">
        <v>4</v>
      </c>
      <c r="DB28" s="57">
        <v>13.6</v>
      </c>
      <c r="DC28" s="57">
        <v>115</v>
      </c>
      <c r="DD28" s="57">
        <v>26</v>
      </c>
      <c r="DE28" s="58">
        <v>4.8695652173913047</v>
      </c>
      <c r="DF28" s="129">
        <v>82.2</v>
      </c>
      <c r="DG28" s="58">
        <v>3.26</v>
      </c>
      <c r="DH28" s="58">
        <v>37.9</v>
      </c>
      <c r="DI28" s="57">
        <v>204</v>
      </c>
      <c r="DJ28" s="57">
        <v>1428</v>
      </c>
      <c r="DK28" s="57">
        <v>8</v>
      </c>
      <c r="DL28" s="57">
        <v>1</v>
      </c>
      <c r="DM28" s="59">
        <v>9.6</v>
      </c>
    </row>
    <row r="29" spans="1:117" ht="15.75" customHeight="1" x14ac:dyDescent="0.2">
      <c r="A29" s="33">
        <v>27</v>
      </c>
      <c r="B29" s="34" t="s">
        <v>598</v>
      </c>
      <c r="C29" s="116">
        <v>5.655555555555555</v>
      </c>
      <c r="D29" s="117" t="s">
        <v>424</v>
      </c>
      <c r="E29" s="37">
        <v>1</v>
      </c>
      <c r="F29" s="118">
        <v>37542</v>
      </c>
      <c r="G29" s="119">
        <v>22.972602739726028</v>
      </c>
      <c r="H29" s="39" t="s">
        <v>389</v>
      </c>
      <c r="I29" s="39">
        <v>22.553424657534247</v>
      </c>
      <c r="J29" s="37">
        <v>71</v>
      </c>
      <c r="K29" s="37">
        <v>216</v>
      </c>
      <c r="L29" s="37">
        <v>4.41</v>
      </c>
      <c r="M29" s="40">
        <v>0</v>
      </c>
      <c r="N29" s="121">
        <v>0</v>
      </c>
      <c r="O29" s="122">
        <v>0.15467128027681662</v>
      </c>
      <c r="P29" s="122">
        <v>0.1630691093778342</v>
      </c>
      <c r="Q29" s="122">
        <v>0.21450397229578325</v>
      </c>
      <c r="R29" s="122">
        <v>0.16929439131558544</v>
      </c>
      <c r="S29" s="42">
        <v>0.19189918180568433</v>
      </c>
      <c r="T29" s="42">
        <v>0.19189918180568433</v>
      </c>
      <c r="U29" s="42">
        <v>7.5859852137576345E-2</v>
      </c>
      <c r="V29" s="42">
        <v>2.8356225077536552E-2</v>
      </c>
      <c r="W29" s="42">
        <v>5.2108038607556445E-2</v>
      </c>
      <c r="X29" s="43">
        <v>5.2108038607556445E-2</v>
      </c>
      <c r="Y29" s="44">
        <v>18.895890410958906</v>
      </c>
      <c r="Z29" s="45">
        <v>114.21664234234096</v>
      </c>
      <c r="AA29" s="45">
        <v>30.122594723269192</v>
      </c>
      <c r="AB29" s="45">
        <v>0.27</v>
      </c>
      <c r="AC29" s="45">
        <v>5.91</v>
      </c>
      <c r="AD29" s="45">
        <v>86</v>
      </c>
      <c r="AE29" s="45">
        <v>3.53</v>
      </c>
      <c r="AF29" s="45">
        <v>52.4</v>
      </c>
      <c r="AG29" s="128">
        <v>3</v>
      </c>
      <c r="AH29" s="49">
        <v>5</v>
      </c>
      <c r="AI29" s="49">
        <v>8</v>
      </c>
      <c r="AJ29" s="49">
        <v>10</v>
      </c>
      <c r="AK29" s="49">
        <v>7</v>
      </c>
      <c r="AL29" s="49">
        <v>4</v>
      </c>
      <c r="AM29" s="49">
        <v>2</v>
      </c>
      <c r="AN29" s="49">
        <v>2</v>
      </c>
      <c r="AO29" s="49">
        <v>0</v>
      </c>
      <c r="AP29" s="50">
        <v>0</v>
      </c>
      <c r="AQ29" s="56"/>
      <c r="AR29" s="57">
        <v>1</v>
      </c>
      <c r="AS29" s="57"/>
      <c r="AT29" s="57"/>
      <c r="AU29" s="57"/>
      <c r="AV29" s="57"/>
      <c r="AW29" s="57"/>
      <c r="AX29" s="57"/>
      <c r="AY29" s="57"/>
      <c r="AZ29" s="57"/>
      <c r="BA29" s="57"/>
      <c r="BB29" s="57">
        <v>1</v>
      </c>
      <c r="BC29" s="57"/>
      <c r="BD29" s="57"/>
      <c r="BE29" s="59"/>
      <c r="BF29" s="56">
        <v>841</v>
      </c>
      <c r="BG29" s="57">
        <v>2719</v>
      </c>
      <c r="BH29" s="57">
        <v>12</v>
      </c>
      <c r="BI29" s="57">
        <v>34</v>
      </c>
      <c r="BJ29" s="57">
        <v>163</v>
      </c>
      <c r="BK29" s="57">
        <v>24</v>
      </c>
      <c r="BL29" s="58">
        <v>5.2</v>
      </c>
      <c r="BM29" s="58">
        <v>47.1</v>
      </c>
      <c r="BN29" s="58">
        <v>3.18</v>
      </c>
      <c r="BO29" s="58">
        <v>35.299999999999997</v>
      </c>
      <c r="BP29" s="57">
        <v>53</v>
      </c>
      <c r="BQ29" s="57">
        <v>3061</v>
      </c>
      <c r="BR29" s="57">
        <v>6</v>
      </c>
      <c r="BS29" s="57">
        <v>0</v>
      </c>
      <c r="BT29" s="59">
        <v>23</v>
      </c>
      <c r="BU29" s="56">
        <v>841</v>
      </c>
      <c r="BV29" s="57">
        <v>2603</v>
      </c>
      <c r="BW29" s="57">
        <v>10</v>
      </c>
      <c r="BX29" s="57">
        <v>29</v>
      </c>
      <c r="BY29" s="57">
        <v>156</v>
      </c>
      <c r="BZ29" s="57">
        <v>36</v>
      </c>
      <c r="CA29" s="236">
        <v>5.4</v>
      </c>
      <c r="CB29" s="236">
        <v>69</v>
      </c>
      <c r="CC29" s="236">
        <v>3.13</v>
      </c>
      <c r="CD29" s="236">
        <v>52.4</v>
      </c>
      <c r="CE29" s="57">
        <v>58</v>
      </c>
      <c r="CF29" s="57">
        <v>2910</v>
      </c>
      <c r="CG29" s="57">
        <v>12</v>
      </c>
      <c r="CH29" s="57">
        <v>1</v>
      </c>
      <c r="CI29" s="59">
        <v>18</v>
      </c>
      <c r="CJ29" s="56">
        <v>817</v>
      </c>
      <c r="CK29" s="57">
        <v>1798</v>
      </c>
      <c r="CL29" s="57">
        <v>5</v>
      </c>
      <c r="CM29" s="57">
        <v>21</v>
      </c>
      <c r="CN29" s="57">
        <v>152</v>
      </c>
      <c r="CO29" s="57">
        <v>32</v>
      </c>
      <c r="CP29" s="58">
        <v>5.375</v>
      </c>
      <c r="CQ29" s="129">
        <v>79.599999999999994</v>
      </c>
      <c r="CR29" s="58">
        <v>3.53</v>
      </c>
      <c r="CS29" s="129">
        <v>39.9</v>
      </c>
      <c r="CT29" s="57">
        <v>236</v>
      </c>
      <c r="CU29" s="57">
        <v>3111</v>
      </c>
      <c r="CV29" s="57">
        <v>30</v>
      </c>
      <c r="CW29" s="57">
        <v>1</v>
      </c>
      <c r="CX29" s="59">
        <v>20</v>
      </c>
      <c r="CY29" s="56">
        <v>591</v>
      </c>
      <c r="CZ29" s="57">
        <v>1612</v>
      </c>
      <c r="DA29" s="57">
        <v>6</v>
      </c>
      <c r="DB29" s="57">
        <v>20</v>
      </c>
      <c r="DC29" s="57">
        <v>100</v>
      </c>
      <c r="DD29" s="57">
        <v>27</v>
      </c>
      <c r="DE29" s="58">
        <v>5.91</v>
      </c>
      <c r="DF29" s="129">
        <v>86</v>
      </c>
      <c r="DG29" s="58">
        <v>3.24</v>
      </c>
      <c r="DH29" s="58">
        <v>44.2</v>
      </c>
      <c r="DI29" s="57">
        <v>64</v>
      </c>
      <c r="DJ29" s="57">
        <v>2257</v>
      </c>
      <c r="DK29" s="57">
        <v>13</v>
      </c>
      <c r="DL29" s="57">
        <v>0</v>
      </c>
      <c r="DM29" s="59">
        <v>14</v>
      </c>
    </row>
    <row r="30" spans="1:117" ht="15.75" customHeight="1" x14ac:dyDescent="0.2">
      <c r="A30" s="33">
        <v>28</v>
      </c>
      <c r="B30" s="34" t="s">
        <v>599</v>
      </c>
      <c r="C30" s="116">
        <v>5.2222222222222223</v>
      </c>
      <c r="D30" s="117" t="s">
        <v>600</v>
      </c>
      <c r="E30" s="37">
        <v>11</v>
      </c>
      <c r="F30" s="118">
        <v>36683</v>
      </c>
      <c r="G30" s="119">
        <v>25.326027397260273</v>
      </c>
      <c r="H30" s="39" t="s">
        <v>469</v>
      </c>
      <c r="I30" s="39">
        <v>24.906849315068492</v>
      </c>
      <c r="J30" s="37">
        <v>72</v>
      </c>
      <c r="K30" s="37">
        <v>215</v>
      </c>
      <c r="L30" s="37">
        <v>4.46</v>
      </c>
      <c r="M30" s="40">
        <v>0</v>
      </c>
      <c r="N30" s="121">
        <v>0.1460624725032996</v>
      </c>
      <c r="O30" s="122">
        <v>0.10012285012285012</v>
      </c>
      <c r="P30" s="122">
        <v>0.15006540833489068</v>
      </c>
      <c r="Q30" s="122">
        <v>0.30576967998131277</v>
      </c>
      <c r="R30" s="122">
        <v>0.35411585365853659</v>
      </c>
      <c r="S30" s="42">
        <v>0.35411585365853659</v>
      </c>
      <c r="T30" s="42">
        <v>0.19476371951219515</v>
      </c>
      <c r="U30" s="42">
        <v>8.0032336297493942E-2</v>
      </c>
      <c r="V30" s="42">
        <v>0.18371742407925909</v>
      </c>
      <c r="W30" s="42">
        <v>0.18371742407925909</v>
      </c>
      <c r="X30" s="43">
        <v>0.1010445832435925</v>
      </c>
      <c r="Y30" s="44">
        <v>22.263013698630136</v>
      </c>
      <c r="Z30" s="45">
        <v>108.67484282052182</v>
      </c>
      <c r="AA30" s="45">
        <v>29.15605709876543</v>
      </c>
      <c r="AB30" s="45">
        <v>0.24431818181818182</v>
      </c>
      <c r="AC30" s="45">
        <v>6.3125</v>
      </c>
      <c r="AD30" s="45">
        <v>105</v>
      </c>
      <c r="AE30" s="45">
        <v>4.24</v>
      </c>
      <c r="AF30" s="45">
        <v>52.7</v>
      </c>
      <c r="AG30" s="128">
        <v>3</v>
      </c>
      <c r="AH30" s="49">
        <v>9</v>
      </c>
      <c r="AI30" s="49">
        <v>1</v>
      </c>
      <c r="AJ30" s="49">
        <v>9</v>
      </c>
      <c r="AK30" s="49">
        <v>6</v>
      </c>
      <c r="AL30" s="49">
        <v>5</v>
      </c>
      <c r="AM30" s="49">
        <v>4</v>
      </c>
      <c r="AN30" s="49">
        <v>6</v>
      </c>
      <c r="AO30" s="49">
        <v>0</v>
      </c>
      <c r="AP30" s="50">
        <v>0</v>
      </c>
      <c r="AQ30" s="56">
        <v>327</v>
      </c>
      <c r="AR30" s="57">
        <v>1132</v>
      </c>
      <c r="AS30" s="57">
        <v>4</v>
      </c>
      <c r="AT30" s="57">
        <v>12</v>
      </c>
      <c r="AU30" s="57">
        <v>56</v>
      </c>
      <c r="AV30" s="57">
        <v>6</v>
      </c>
      <c r="AW30" s="57">
        <v>5.8392857142857144</v>
      </c>
      <c r="AX30" s="57">
        <v>40.1</v>
      </c>
      <c r="AY30" s="57">
        <v>3.71</v>
      </c>
      <c r="AZ30" s="57">
        <v>33.299999999999997</v>
      </c>
      <c r="BA30" s="57">
        <v>5</v>
      </c>
      <c r="BB30" s="57">
        <v>1141</v>
      </c>
      <c r="BC30" s="57">
        <v>1</v>
      </c>
      <c r="BD30" s="57">
        <v>0</v>
      </c>
      <c r="BE30" s="59">
        <v>10</v>
      </c>
      <c r="BF30" s="56">
        <v>237</v>
      </c>
      <c r="BG30" s="57">
        <v>2109</v>
      </c>
      <c r="BH30" s="57">
        <v>3</v>
      </c>
      <c r="BI30" s="57">
        <v>19</v>
      </c>
      <c r="BJ30" s="57">
        <v>56</v>
      </c>
      <c r="BK30" s="57">
        <v>8</v>
      </c>
      <c r="BL30" s="58">
        <v>4.2321428571428568</v>
      </c>
      <c r="BM30" s="58">
        <v>50.9</v>
      </c>
      <c r="BN30" s="58">
        <v>3.18</v>
      </c>
      <c r="BO30" s="58">
        <v>27</v>
      </c>
      <c r="BP30" s="57">
        <v>252</v>
      </c>
      <c r="BQ30" s="57">
        <v>2775</v>
      </c>
      <c r="BR30" s="57">
        <v>19</v>
      </c>
      <c r="BS30" s="57">
        <v>1</v>
      </c>
      <c r="BT30" s="59">
        <v>19</v>
      </c>
      <c r="BU30" s="56">
        <v>469</v>
      </c>
      <c r="BV30" s="57">
        <v>2106</v>
      </c>
      <c r="BW30" s="57">
        <v>4</v>
      </c>
      <c r="BX30" s="57">
        <v>24</v>
      </c>
      <c r="BY30" s="57">
        <v>62</v>
      </c>
      <c r="BZ30" s="57">
        <v>15</v>
      </c>
      <c r="CA30" s="236">
        <v>7.564516129032258</v>
      </c>
      <c r="CB30" s="236">
        <v>83</v>
      </c>
      <c r="CC30" s="236">
        <v>4.24</v>
      </c>
      <c r="CD30" s="236">
        <v>52.7</v>
      </c>
      <c r="CE30" s="57">
        <v>334</v>
      </c>
      <c r="CF30" s="57">
        <v>3245</v>
      </c>
      <c r="CG30" s="57">
        <v>26</v>
      </c>
      <c r="CH30" s="57">
        <v>1</v>
      </c>
      <c r="CI30" s="59">
        <v>23</v>
      </c>
      <c r="CJ30" s="56">
        <v>1111</v>
      </c>
      <c r="CK30" s="57">
        <v>1807</v>
      </c>
      <c r="CL30" s="57">
        <v>13</v>
      </c>
      <c r="CM30" s="57">
        <v>15</v>
      </c>
      <c r="CN30" s="57">
        <v>176</v>
      </c>
      <c r="CO30" s="57">
        <v>43</v>
      </c>
      <c r="CP30" s="58">
        <v>6.3125</v>
      </c>
      <c r="CQ30" s="129">
        <v>105</v>
      </c>
      <c r="CR30" s="58">
        <v>3.98</v>
      </c>
      <c r="CS30" s="129">
        <v>50</v>
      </c>
      <c r="CT30" s="57">
        <v>198</v>
      </c>
      <c r="CU30" s="57">
        <v>2474</v>
      </c>
      <c r="CV30" s="57">
        <v>21</v>
      </c>
      <c r="CW30" s="57">
        <v>2</v>
      </c>
      <c r="CX30" s="59">
        <v>15</v>
      </c>
      <c r="CY30" s="56">
        <v>1470</v>
      </c>
      <c r="CZ30" s="57">
        <v>1917</v>
      </c>
      <c r="DA30" s="57">
        <v>17</v>
      </c>
      <c r="DB30" s="57">
        <v>21</v>
      </c>
      <c r="DC30" s="57">
        <v>284</v>
      </c>
      <c r="DD30" s="57">
        <v>60</v>
      </c>
      <c r="DE30" s="58">
        <v>5.176056338028169</v>
      </c>
      <c r="DF30" s="129">
        <v>72.599999999999994</v>
      </c>
      <c r="DG30" s="58">
        <v>3.29</v>
      </c>
      <c r="DH30" s="58">
        <v>37.1</v>
      </c>
      <c r="DI30" s="57">
        <v>853</v>
      </c>
      <c r="DJ30" s="57">
        <v>4643</v>
      </c>
      <c r="DK30" s="57">
        <v>65</v>
      </c>
      <c r="DL30" s="57">
        <v>6</v>
      </c>
      <c r="DM30" s="59">
        <v>39</v>
      </c>
    </row>
    <row r="31" spans="1:117" ht="15.75" customHeight="1" x14ac:dyDescent="0.2">
      <c r="A31" s="33">
        <v>29</v>
      </c>
      <c r="B31" s="34" t="s">
        <v>326</v>
      </c>
      <c r="C31" s="116">
        <v>4.8611111111111107</v>
      </c>
      <c r="D31" s="117" t="s">
        <v>546</v>
      </c>
      <c r="E31" s="37">
        <v>3</v>
      </c>
      <c r="F31" s="118">
        <v>37277</v>
      </c>
      <c r="G31" s="119">
        <v>23.698630136986303</v>
      </c>
      <c r="H31" s="39" t="s">
        <v>389</v>
      </c>
      <c r="I31" s="39">
        <v>23.279452054794522</v>
      </c>
      <c r="J31" s="37">
        <v>69</v>
      </c>
      <c r="K31" s="37">
        <v>208</v>
      </c>
      <c r="L31" s="37">
        <v>4.57</v>
      </c>
      <c r="M31" s="40">
        <v>0</v>
      </c>
      <c r="N31" s="121">
        <v>0</v>
      </c>
      <c r="O31" s="122">
        <v>8.2039911308203997E-2</v>
      </c>
      <c r="P31" s="122">
        <v>9.6401718582169713E-2</v>
      </c>
      <c r="Q31" s="122">
        <v>0.21494230393115588</v>
      </c>
      <c r="R31" s="122">
        <v>0.24772096710265556</v>
      </c>
      <c r="S31" s="42">
        <v>0.24772096710265556</v>
      </c>
      <c r="T31" s="42">
        <v>0.22294887039239</v>
      </c>
      <c r="U31" s="42">
        <v>1.9537480063795853E-2</v>
      </c>
      <c r="V31" s="42">
        <v>3.6305956996827635E-2</v>
      </c>
      <c r="W31" s="42">
        <v>3.6305956996827635E-2</v>
      </c>
      <c r="X31" s="43">
        <v>3.2675361297144871E-2</v>
      </c>
      <c r="Y31" s="44">
        <v>21.632876712328766</v>
      </c>
      <c r="Z31" s="45">
        <v>95.373677827473855</v>
      </c>
      <c r="AA31" s="45">
        <v>30.712875446334802</v>
      </c>
      <c r="AB31" s="45">
        <v>0.40196078431372551</v>
      </c>
      <c r="AC31" s="45">
        <v>5.6225490196078427</v>
      </c>
      <c r="AD31" s="45">
        <v>163.80000000000001</v>
      </c>
      <c r="AE31" s="45">
        <v>4.12</v>
      </c>
      <c r="AF31" s="45">
        <v>45.9</v>
      </c>
      <c r="AG31" s="128">
        <v>4</v>
      </c>
      <c r="AH31" s="49">
        <v>3</v>
      </c>
      <c r="AI31" s="49">
        <v>2</v>
      </c>
      <c r="AJ31" s="49">
        <v>3</v>
      </c>
      <c r="AK31" s="49">
        <v>10</v>
      </c>
      <c r="AL31" s="49">
        <v>3</v>
      </c>
      <c r="AM31" s="49">
        <v>8</v>
      </c>
      <c r="AN31" s="49">
        <v>5</v>
      </c>
      <c r="AO31" s="49">
        <v>0</v>
      </c>
      <c r="AP31" s="50">
        <v>0</v>
      </c>
      <c r="AQ31" s="56"/>
      <c r="AR31" s="57">
        <v>1</v>
      </c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9"/>
      <c r="BF31" s="56">
        <v>323</v>
      </c>
      <c r="BG31" s="57">
        <v>1259.5</v>
      </c>
      <c r="BH31" s="57">
        <v>2</v>
      </c>
      <c r="BI31" s="57">
        <v>7.6999999999999993</v>
      </c>
      <c r="BJ31" s="57">
        <v>79</v>
      </c>
      <c r="BK31" s="57">
        <v>24</v>
      </c>
      <c r="BL31" s="58">
        <v>4.0886075949367084</v>
      </c>
      <c r="BM31" s="58">
        <v>84.4</v>
      </c>
      <c r="BN31" s="58">
        <v>2.85</v>
      </c>
      <c r="BO31" s="58">
        <v>15.2</v>
      </c>
      <c r="BP31" s="57">
        <v>10</v>
      </c>
      <c r="BQ31" s="57">
        <v>2799.5</v>
      </c>
      <c r="BR31" s="57">
        <v>2</v>
      </c>
      <c r="BS31" s="57">
        <v>0</v>
      </c>
      <c r="BT31" s="59">
        <v>27.5</v>
      </c>
      <c r="BU31" s="56">
        <v>357</v>
      </c>
      <c r="BV31" s="57">
        <v>1297</v>
      </c>
      <c r="BW31" s="57">
        <v>5</v>
      </c>
      <c r="BX31" s="57">
        <v>15</v>
      </c>
      <c r="BY31" s="57">
        <v>81</v>
      </c>
      <c r="BZ31" s="57">
        <v>11</v>
      </c>
      <c r="CA31" s="236">
        <v>4.4074074074074074</v>
      </c>
      <c r="CB31" s="236">
        <v>30.3</v>
      </c>
      <c r="CC31" s="236">
        <v>2.2799999999999998</v>
      </c>
      <c r="CD31" s="236">
        <v>37.299999999999997</v>
      </c>
      <c r="CE31" s="57">
        <v>2</v>
      </c>
      <c r="CF31" s="57">
        <v>2427</v>
      </c>
      <c r="CG31" s="57">
        <v>2</v>
      </c>
      <c r="CH31" s="57">
        <v>0</v>
      </c>
      <c r="CI31" s="59">
        <v>17</v>
      </c>
      <c r="CJ31" s="56">
        <v>1050</v>
      </c>
      <c r="CK31" s="57">
        <v>2605</v>
      </c>
      <c r="CL31" s="57">
        <v>5</v>
      </c>
      <c r="CM31" s="57">
        <v>14</v>
      </c>
      <c r="CN31" s="57">
        <v>192</v>
      </c>
      <c r="CO31" s="57">
        <v>53</v>
      </c>
      <c r="CP31" s="58">
        <v>5.46875</v>
      </c>
      <c r="CQ31" s="129">
        <v>92.7</v>
      </c>
      <c r="CR31" s="58">
        <v>3.32</v>
      </c>
      <c r="CS31" s="129">
        <v>35.700000000000003</v>
      </c>
      <c r="CT31" s="57">
        <v>49</v>
      </c>
      <c r="CU31" s="57">
        <v>2508</v>
      </c>
      <c r="CV31" s="57">
        <v>12</v>
      </c>
      <c r="CW31" s="57">
        <v>0</v>
      </c>
      <c r="CX31" s="59">
        <v>21</v>
      </c>
      <c r="CY31" s="56">
        <v>1147</v>
      </c>
      <c r="CZ31" s="57">
        <v>2209</v>
      </c>
      <c r="DA31" s="57">
        <v>4</v>
      </c>
      <c r="DB31" s="57">
        <v>19</v>
      </c>
      <c r="DC31" s="57">
        <v>204</v>
      </c>
      <c r="DD31" s="57">
        <v>82</v>
      </c>
      <c r="DE31" s="58">
        <v>5.6225490196078427</v>
      </c>
      <c r="DF31" s="129">
        <v>163.80000000000001</v>
      </c>
      <c r="DG31" s="58">
        <v>4.12</v>
      </c>
      <c r="DH31" s="58">
        <v>45.9</v>
      </c>
      <c r="DI31" s="57">
        <v>103</v>
      </c>
      <c r="DJ31" s="57">
        <v>2837</v>
      </c>
      <c r="DK31" s="57">
        <v>15</v>
      </c>
      <c r="DL31" s="57">
        <v>0</v>
      </c>
      <c r="DM31" s="59">
        <v>18</v>
      </c>
    </row>
    <row r="32" spans="1:117" ht="15.75" customHeight="1" x14ac:dyDescent="0.2">
      <c r="A32" s="33">
        <v>30</v>
      </c>
      <c r="B32" s="34" t="s">
        <v>324</v>
      </c>
      <c r="C32" s="116">
        <v>4.7611111111111111</v>
      </c>
      <c r="D32" s="117" t="s">
        <v>490</v>
      </c>
      <c r="E32" s="37">
        <v>4</v>
      </c>
      <c r="F32" s="118">
        <v>37553</v>
      </c>
      <c r="G32" s="119">
        <v>22.942465753424656</v>
      </c>
      <c r="H32" s="39" t="s">
        <v>389</v>
      </c>
      <c r="I32" s="39">
        <v>22.523287671232875</v>
      </c>
      <c r="J32" s="37">
        <v>73</v>
      </c>
      <c r="K32" s="37">
        <v>234</v>
      </c>
      <c r="L32" s="37">
        <v>4.55</v>
      </c>
      <c r="M32" s="40">
        <v>0</v>
      </c>
      <c r="N32" s="121">
        <v>0</v>
      </c>
      <c r="O32" s="122">
        <v>0.10532150776053216</v>
      </c>
      <c r="P32" s="122">
        <v>9.8011907663382192E-2</v>
      </c>
      <c r="Q32" s="122">
        <v>0.20515367423735933</v>
      </c>
      <c r="R32" s="122">
        <v>0.19364527347454949</v>
      </c>
      <c r="S32" s="42">
        <v>0.19939947385595441</v>
      </c>
      <c r="T32" s="42">
        <v>0.17945952647035898</v>
      </c>
      <c r="U32" s="42">
        <v>3.637343392159504E-2</v>
      </c>
      <c r="V32" s="42">
        <v>2.641703000769428E-2</v>
      </c>
      <c r="W32" s="42">
        <v>3.1395231964644658E-2</v>
      </c>
      <c r="X32" s="43">
        <v>2.8255708768180194E-2</v>
      </c>
      <c r="Y32" s="44">
        <v>20.876712328767123</v>
      </c>
      <c r="Z32" s="45">
        <v>109.19437489727484</v>
      </c>
      <c r="AA32" s="45">
        <v>30.869206230061923</v>
      </c>
      <c r="AB32" s="45">
        <v>0.2247191011235955</v>
      </c>
      <c r="AC32" s="45">
        <v>5.4269662921348312</v>
      </c>
      <c r="AD32" s="45">
        <v>81.2</v>
      </c>
      <c r="AE32" s="45">
        <v>3.67</v>
      </c>
      <c r="AF32" s="45">
        <v>45.4</v>
      </c>
      <c r="AG32" s="128">
        <v>3</v>
      </c>
      <c r="AH32" s="49">
        <v>3</v>
      </c>
      <c r="AI32" s="49">
        <v>3</v>
      </c>
      <c r="AJ32" s="49">
        <v>9</v>
      </c>
      <c r="AK32" s="49">
        <v>5</v>
      </c>
      <c r="AL32" s="49">
        <v>2</v>
      </c>
      <c r="AM32" s="49">
        <v>2</v>
      </c>
      <c r="AN32" s="49">
        <v>3</v>
      </c>
      <c r="AO32" s="49">
        <v>0</v>
      </c>
      <c r="AP32" s="50">
        <v>0.75</v>
      </c>
      <c r="AQ32" s="188"/>
      <c r="AR32" s="189">
        <v>1</v>
      </c>
      <c r="AS32" s="189"/>
      <c r="AT32" s="189"/>
      <c r="AU32" s="189"/>
      <c r="AV32" s="189"/>
      <c r="AW32" s="189"/>
      <c r="AX32" s="189"/>
      <c r="AY32" s="189"/>
      <c r="AZ32" s="189"/>
      <c r="BA32" s="189"/>
      <c r="BB32" s="189"/>
      <c r="BC32" s="189"/>
      <c r="BD32" s="189"/>
      <c r="BE32" s="190"/>
      <c r="BF32" s="188">
        <v>292</v>
      </c>
      <c r="BG32" s="189">
        <v>1526.3999999999999</v>
      </c>
      <c r="BH32" s="189">
        <v>3</v>
      </c>
      <c r="BI32" s="189">
        <v>18</v>
      </c>
      <c r="BJ32" s="189">
        <v>68</v>
      </c>
      <c r="BK32" s="189">
        <v>16</v>
      </c>
      <c r="BL32" s="191">
        <v>4.2941176470588234</v>
      </c>
      <c r="BM32" s="191">
        <v>77.7</v>
      </c>
      <c r="BN32" s="191">
        <v>3.43</v>
      </c>
      <c r="BO32" s="191">
        <v>31.2</v>
      </c>
      <c r="BP32" s="189">
        <v>50</v>
      </c>
      <c r="BQ32" s="189">
        <v>1720.8</v>
      </c>
      <c r="BR32" s="189">
        <v>7</v>
      </c>
      <c r="BS32" s="189">
        <v>0</v>
      </c>
      <c r="BT32" s="190">
        <v>8.1</v>
      </c>
      <c r="BU32" s="188">
        <v>515</v>
      </c>
      <c r="BV32" s="189">
        <v>2490.6</v>
      </c>
      <c r="BW32" s="189">
        <v>4</v>
      </c>
      <c r="BX32" s="189">
        <v>30.800000000000004</v>
      </c>
      <c r="BY32" s="189">
        <v>98</v>
      </c>
      <c r="BZ32" s="189">
        <v>21</v>
      </c>
      <c r="CA32" s="237">
        <v>5.2551020408163263</v>
      </c>
      <c r="CB32" s="237">
        <v>81.5</v>
      </c>
      <c r="CC32" s="237">
        <v>3.63</v>
      </c>
      <c r="CD32" s="237">
        <v>22.1</v>
      </c>
      <c r="CE32" s="189">
        <v>48</v>
      </c>
      <c r="CF32" s="189">
        <v>3253.6</v>
      </c>
      <c r="CG32" s="189">
        <v>9</v>
      </c>
      <c r="CH32" s="189">
        <v>0</v>
      </c>
      <c r="CI32" s="190">
        <v>23.8</v>
      </c>
      <c r="CJ32" s="188">
        <v>966</v>
      </c>
      <c r="CK32" s="189">
        <v>2265.9</v>
      </c>
      <c r="CL32" s="189">
        <v>13</v>
      </c>
      <c r="CM32" s="189">
        <v>23.400000000000002</v>
      </c>
      <c r="CN32" s="189">
        <v>178</v>
      </c>
      <c r="CO32" s="189">
        <v>40</v>
      </c>
      <c r="CP32" s="191">
        <v>5.4269662921348312</v>
      </c>
      <c r="CQ32" s="234">
        <v>81.2</v>
      </c>
      <c r="CR32" s="191">
        <v>3.67</v>
      </c>
      <c r="CS32" s="234">
        <v>45.4</v>
      </c>
      <c r="CT32" s="189">
        <v>108</v>
      </c>
      <c r="CU32" s="189">
        <v>2969.2000000000003</v>
      </c>
      <c r="CV32" s="189">
        <v>21</v>
      </c>
      <c r="CW32" s="189">
        <v>0</v>
      </c>
      <c r="CX32" s="190">
        <v>19.5</v>
      </c>
      <c r="CY32" s="188">
        <v>1122</v>
      </c>
      <c r="CZ32" s="189">
        <v>2427</v>
      </c>
      <c r="DA32" s="189">
        <v>8</v>
      </c>
      <c r="DB32" s="189">
        <v>22.799999999999997</v>
      </c>
      <c r="DC32" s="189">
        <v>215</v>
      </c>
      <c r="DD32" s="189">
        <v>34</v>
      </c>
      <c r="DE32" s="191">
        <v>5.2186046511627904</v>
      </c>
      <c r="DF32" s="234">
        <v>48.1</v>
      </c>
      <c r="DG32" s="191">
        <v>3.24</v>
      </c>
      <c r="DH32" s="191">
        <v>37.4</v>
      </c>
      <c r="DI32" s="189">
        <v>103</v>
      </c>
      <c r="DJ32" s="189">
        <v>3899</v>
      </c>
      <c r="DK32" s="189">
        <v>21</v>
      </c>
      <c r="DL32" s="189">
        <v>0</v>
      </c>
      <c r="DM32" s="190">
        <v>30</v>
      </c>
    </row>
    <row r="33" spans="1:117" ht="15.75" customHeight="1" x14ac:dyDescent="0.2">
      <c r="A33" s="33">
        <v>31</v>
      </c>
      <c r="B33" s="34" t="s">
        <v>337</v>
      </c>
      <c r="C33" s="116">
        <v>4.5</v>
      </c>
      <c r="D33" s="117" t="s">
        <v>602</v>
      </c>
      <c r="E33" s="37">
        <v>11</v>
      </c>
      <c r="F33" s="118">
        <v>37194</v>
      </c>
      <c r="G33" s="119">
        <v>23.926027397260274</v>
      </c>
      <c r="H33" s="39" t="s">
        <v>389</v>
      </c>
      <c r="I33" s="39">
        <v>23.506849315068493</v>
      </c>
      <c r="J33" s="37">
        <v>71</v>
      </c>
      <c r="K33" s="37">
        <v>193</v>
      </c>
      <c r="L33" s="37">
        <v>4.45</v>
      </c>
      <c r="M33" s="40">
        <v>0</v>
      </c>
      <c r="N33" s="121">
        <v>0</v>
      </c>
      <c r="O33" s="122">
        <v>2.5773195876288658E-2</v>
      </c>
      <c r="P33" s="122">
        <v>0.12965750846819721</v>
      </c>
      <c r="Q33" s="122">
        <v>0.23231571109456442</v>
      </c>
      <c r="R33" s="122">
        <v>0.2369186046511628</v>
      </c>
      <c r="S33" s="42">
        <v>0.2369186046511628</v>
      </c>
      <c r="T33" s="42">
        <v>0.13030523255813956</v>
      </c>
      <c r="U33" s="42">
        <v>9.4557616296746735E-2</v>
      </c>
      <c r="V33" s="42">
        <v>0.10648978128361419</v>
      </c>
      <c r="W33" s="42">
        <v>0.10648978128361419</v>
      </c>
      <c r="X33" s="43">
        <v>5.8569379705987808E-2</v>
      </c>
      <c r="Y33" s="44">
        <v>21.860273972602741</v>
      </c>
      <c r="Z33" s="45">
        <v>98.434482121861066</v>
      </c>
      <c r="AA33" s="45">
        <v>26.91509621106923</v>
      </c>
      <c r="AB33" s="45">
        <v>0.24812030075187969</v>
      </c>
      <c r="AC33" s="45">
        <v>6.8897058823529411</v>
      </c>
      <c r="AD33" s="45">
        <v>95.6</v>
      </c>
      <c r="AE33" s="45">
        <v>4.22</v>
      </c>
      <c r="AF33" s="45">
        <v>43.4</v>
      </c>
      <c r="AG33" s="128">
        <v>1</v>
      </c>
      <c r="AH33" s="49">
        <v>6</v>
      </c>
      <c r="AI33" s="49">
        <v>2</v>
      </c>
      <c r="AJ33" s="49">
        <v>4</v>
      </c>
      <c r="AK33" s="49">
        <v>6</v>
      </c>
      <c r="AL33" s="49">
        <v>7</v>
      </c>
      <c r="AM33" s="49">
        <v>4</v>
      </c>
      <c r="AN33" s="49">
        <v>6</v>
      </c>
      <c r="AO33" s="49">
        <v>0</v>
      </c>
      <c r="AP33" s="50">
        <v>0</v>
      </c>
      <c r="AQ33" s="188"/>
      <c r="AR33" s="189">
        <v>1</v>
      </c>
      <c r="AS33" s="189"/>
      <c r="AT33" s="189"/>
      <c r="AU33" s="189"/>
      <c r="AV33" s="189"/>
      <c r="AW33" s="189"/>
      <c r="AX33" s="189"/>
      <c r="AY33" s="189"/>
      <c r="AZ33" s="189"/>
      <c r="BA33" s="189"/>
      <c r="BB33" s="189"/>
      <c r="BC33" s="189"/>
      <c r="BD33" s="189"/>
      <c r="BE33" s="190"/>
      <c r="BF33" s="188">
        <v>80</v>
      </c>
      <c r="BG33" s="189">
        <v>1317</v>
      </c>
      <c r="BH33" s="189">
        <v>0</v>
      </c>
      <c r="BI33" s="189">
        <v>13</v>
      </c>
      <c r="BJ33" s="189">
        <v>23</v>
      </c>
      <c r="BK33" s="189">
        <v>2</v>
      </c>
      <c r="BL33" s="191">
        <v>3.4782608695652173</v>
      </c>
      <c r="BM33" s="191">
        <v>19.100000000000001</v>
      </c>
      <c r="BN33" s="191">
        <v>2.39</v>
      </c>
      <c r="BO33" s="191">
        <v>0</v>
      </c>
      <c r="BP33" s="189">
        <v>5</v>
      </c>
      <c r="BQ33" s="189">
        <v>1981</v>
      </c>
      <c r="BR33" s="189">
        <v>2</v>
      </c>
      <c r="BS33" s="189">
        <v>0</v>
      </c>
      <c r="BT33" s="190">
        <v>12</v>
      </c>
      <c r="BU33" s="188">
        <v>478</v>
      </c>
      <c r="BV33" s="189">
        <v>1864</v>
      </c>
      <c r="BW33" s="189">
        <v>2</v>
      </c>
      <c r="BX33" s="189">
        <v>15</v>
      </c>
      <c r="BY33" s="189">
        <v>72</v>
      </c>
      <c r="BZ33" s="189">
        <v>15</v>
      </c>
      <c r="CA33" s="237">
        <v>6.6388888888888893</v>
      </c>
      <c r="CB33" s="237">
        <v>87.3</v>
      </c>
      <c r="CC33" s="237">
        <v>4.32</v>
      </c>
      <c r="CD33" s="237">
        <v>48.7</v>
      </c>
      <c r="CE33" s="189">
        <v>211</v>
      </c>
      <c r="CF33" s="189">
        <v>3450</v>
      </c>
      <c r="CG33" s="189">
        <v>22</v>
      </c>
      <c r="CH33" s="189">
        <v>3</v>
      </c>
      <c r="CI33" s="190">
        <v>33</v>
      </c>
      <c r="CJ33" s="188">
        <v>937</v>
      </c>
      <c r="CK33" s="189">
        <v>2083</v>
      </c>
      <c r="CL33" s="189">
        <v>15</v>
      </c>
      <c r="CM33" s="189">
        <v>25</v>
      </c>
      <c r="CN33" s="189">
        <v>136</v>
      </c>
      <c r="CO33" s="189">
        <v>30</v>
      </c>
      <c r="CP33" s="191">
        <v>6.8897058823529411</v>
      </c>
      <c r="CQ33" s="234">
        <v>78</v>
      </c>
      <c r="CR33" s="191">
        <v>3.78</v>
      </c>
      <c r="CS33" s="234">
        <v>43.4</v>
      </c>
      <c r="CT33" s="189">
        <v>311</v>
      </c>
      <c r="CU33" s="189">
        <v>3289</v>
      </c>
      <c r="CV33" s="189">
        <v>24</v>
      </c>
      <c r="CW33" s="189">
        <v>3</v>
      </c>
      <c r="CX33" s="190">
        <v>27</v>
      </c>
      <c r="CY33" s="188">
        <v>844</v>
      </c>
      <c r="CZ33" s="189">
        <v>2027</v>
      </c>
      <c r="DA33" s="189">
        <v>6</v>
      </c>
      <c r="DB33" s="189">
        <v>22</v>
      </c>
      <c r="DC33" s="189">
        <v>133</v>
      </c>
      <c r="DD33" s="189">
        <v>33</v>
      </c>
      <c r="DE33" s="191">
        <v>6.3458646616541357</v>
      </c>
      <c r="DF33" s="234">
        <v>95.6</v>
      </c>
      <c r="DG33" s="191">
        <v>4.22</v>
      </c>
      <c r="DH33" s="191">
        <v>41.6</v>
      </c>
      <c r="DI33" s="189">
        <v>297</v>
      </c>
      <c r="DJ33" s="189">
        <v>2789</v>
      </c>
      <c r="DK33" s="189">
        <v>17</v>
      </c>
      <c r="DL33" s="189">
        <v>5</v>
      </c>
      <c r="DM33" s="190">
        <v>29</v>
      </c>
    </row>
    <row r="34" spans="1:117" ht="15.75" customHeight="1" x14ac:dyDescent="0.2">
      <c r="A34" s="33">
        <v>32</v>
      </c>
      <c r="B34" s="34" t="s">
        <v>304</v>
      </c>
      <c r="C34" s="116">
        <v>4.427777777777778</v>
      </c>
      <c r="D34" s="117" t="s">
        <v>521</v>
      </c>
      <c r="E34" s="37">
        <v>2</v>
      </c>
      <c r="F34" s="118">
        <v>37330</v>
      </c>
      <c r="G34" s="119">
        <v>23.553424657534247</v>
      </c>
      <c r="H34" s="39" t="s">
        <v>469</v>
      </c>
      <c r="I34" s="39">
        <v>23.134246575342466</v>
      </c>
      <c r="J34" s="37">
        <v>68</v>
      </c>
      <c r="K34" s="37">
        <v>211</v>
      </c>
      <c r="L34" s="37">
        <v>4.5999999999999996</v>
      </c>
      <c r="M34" s="40">
        <v>7</v>
      </c>
      <c r="N34" s="121">
        <v>0</v>
      </c>
      <c r="O34" s="122">
        <v>8.6287586287586288E-2</v>
      </c>
      <c r="P34" s="122">
        <v>0.14081173825582771</v>
      </c>
      <c r="Q34" s="122">
        <v>0.33688388685122844</v>
      </c>
      <c r="R34" s="122">
        <v>0.32163812148134063</v>
      </c>
      <c r="S34" s="42">
        <v>0.32926100416628457</v>
      </c>
      <c r="T34" s="42">
        <v>0.32926100416628457</v>
      </c>
      <c r="U34" s="42">
        <v>4.363636363636364E-2</v>
      </c>
      <c r="V34" s="42">
        <v>3.2874550714473566E-2</v>
      </c>
      <c r="W34" s="42">
        <v>3.8255457175418603E-2</v>
      </c>
      <c r="X34" s="43">
        <v>3.8255457175418603E-2</v>
      </c>
      <c r="Y34" s="44">
        <v>21.487671232876714</v>
      </c>
      <c r="Z34" s="45">
        <v>94.249949078226592</v>
      </c>
      <c r="AA34" s="45">
        <v>32.078935986159166</v>
      </c>
      <c r="AB34" s="45">
        <v>0.30165289256198347</v>
      </c>
      <c r="AC34" s="45">
        <v>5.2190082644628095</v>
      </c>
      <c r="AD34" s="45">
        <v>113.6</v>
      </c>
      <c r="AE34" s="45">
        <v>3.64</v>
      </c>
      <c r="AF34" s="45">
        <v>36.9</v>
      </c>
      <c r="AG34" s="128">
        <v>8</v>
      </c>
      <c r="AH34" s="49">
        <v>4</v>
      </c>
      <c r="AI34" s="49">
        <v>2</v>
      </c>
      <c r="AJ34" s="49">
        <v>2</v>
      </c>
      <c r="AK34" s="49">
        <v>8</v>
      </c>
      <c r="AL34" s="49">
        <v>1</v>
      </c>
      <c r="AM34" s="49">
        <v>5</v>
      </c>
      <c r="AN34" s="49">
        <v>2</v>
      </c>
      <c r="AO34" s="49">
        <v>1</v>
      </c>
      <c r="AP34" s="50">
        <v>0</v>
      </c>
      <c r="AQ34" s="188"/>
      <c r="AR34" s="189">
        <v>1</v>
      </c>
      <c r="AS34" s="189"/>
      <c r="AT34" s="189"/>
      <c r="AU34" s="189"/>
      <c r="AV34" s="189"/>
      <c r="AW34" s="189"/>
      <c r="AX34" s="189"/>
      <c r="AY34" s="189"/>
      <c r="AZ34" s="189"/>
      <c r="BA34" s="189"/>
      <c r="BB34" s="189">
        <v>1</v>
      </c>
      <c r="BC34" s="189"/>
      <c r="BD34" s="189"/>
      <c r="BE34" s="190"/>
      <c r="BF34" s="188">
        <v>238</v>
      </c>
      <c r="BG34" s="189">
        <v>1524.6</v>
      </c>
      <c r="BH34" s="189">
        <v>4</v>
      </c>
      <c r="BI34" s="189"/>
      <c r="BJ34" s="189">
        <v>63</v>
      </c>
      <c r="BK34" s="189">
        <v>9</v>
      </c>
      <c r="BL34" s="191"/>
      <c r="BM34" s="191">
        <v>47.5</v>
      </c>
      <c r="BN34" s="191">
        <v>2.81</v>
      </c>
      <c r="BO34" s="191">
        <v>8.4</v>
      </c>
      <c r="BP34" s="189">
        <v>57</v>
      </c>
      <c r="BQ34" s="189">
        <v>1894.1999999999998</v>
      </c>
      <c r="BR34" s="189">
        <v>8</v>
      </c>
      <c r="BS34" s="189">
        <v>0</v>
      </c>
      <c r="BT34" s="190"/>
      <c r="BU34" s="188">
        <v>445</v>
      </c>
      <c r="BV34" s="189">
        <v>1533.6</v>
      </c>
      <c r="BW34" s="189">
        <v>2</v>
      </c>
      <c r="BX34" s="189"/>
      <c r="BY34" s="189">
        <v>109</v>
      </c>
      <c r="BZ34" s="189">
        <v>25</v>
      </c>
      <c r="CA34" s="237"/>
      <c r="CB34" s="237">
        <v>63.9</v>
      </c>
      <c r="CC34" s="237">
        <v>2.83</v>
      </c>
      <c r="CD34" s="237">
        <v>16.899999999999999</v>
      </c>
      <c r="CE34" s="189">
        <v>31</v>
      </c>
      <c r="CF34" s="189">
        <v>1846.8000000000002</v>
      </c>
      <c r="CG34" s="189">
        <v>6</v>
      </c>
      <c r="CH34" s="189">
        <v>0</v>
      </c>
      <c r="CI34" s="190"/>
      <c r="CJ34" s="188">
        <v>1263</v>
      </c>
      <c r="CK34" s="189">
        <v>2193.1</v>
      </c>
      <c r="CL34" s="189">
        <v>8</v>
      </c>
      <c r="CM34" s="189"/>
      <c r="CN34" s="189">
        <v>242</v>
      </c>
      <c r="CO34" s="189">
        <v>73</v>
      </c>
      <c r="CP34" s="191">
        <v>5.2190082644628095</v>
      </c>
      <c r="CQ34" s="234">
        <v>113.6</v>
      </c>
      <c r="CR34" s="191">
        <v>3.64</v>
      </c>
      <c r="CS34" s="234">
        <v>30.6</v>
      </c>
      <c r="CT34" s="189">
        <v>78</v>
      </c>
      <c r="CU34" s="189">
        <v>1787.5</v>
      </c>
      <c r="CV34" s="189">
        <v>8</v>
      </c>
      <c r="CW34" s="189">
        <v>0</v>
      </c>
      <c r="CX34" s="190"/>
      <c r="CY34" s="188">
        <v>1279</v>
      </c>
      <c r="CZ34" s="189">
        <v>1928.3000000000002</v>
      </c>
      <c r="DA34" s="189">
        <v>13</v>
      </c>
      <c r="DB34" s="189">
        <v>22</v>
      </c>
      <c r="DC34" s="189">
        <v>256</v>
      </c>
      <c r="DD34" s="189">
        <v>66</v>
      </c>
      <c r="DE34" s="191">
        <v>4.99609375</v>
      </c>
      <c r="DF34" s="234">
        <v>84.8</v>
      </c>
      <c r="DG34" s="191">
        <v>3.37</v>
      </c>
      <c r="DH34" s="191">
        <v>36.9</v>
      </c>
      <c r="DI34" s="189">
        <v>75</v>
      </c>
      <c r="DJ34" s="189">
        <v>2281.4</v>
      </c>
      <c r="DK34" s="189">
        <v>14</v>
      </c>
      <c r="DL34" s="189">
        <v>1</v>
      </c>
      <c r="DM34" s="190">
        <v>15.399999999999999</v>
      </c>
    </row>
    <row r="35" spans="1:117" ht="15.75" customHeight="1" x14ac:dyDescent="0.2">
      <c r="A35" s="33">
        <v>33</v>
      </c>
      <c r="B35" s="34" t="s">
        <v>343</v>
      </c>
      <c r="C35" s="116">
        <v>4.1055555555555552</v>
      </c>
      <c r="D35" s="117" t="s">
        <v>454</v>
      </c>
      <c r="E35" s="37">
        <v>1</v>
      </c>
      <c r="F35" s="118">
        <v>37146</v>
      </c>
      <c r="G35" s="119">
        <v>24.057534246575344</v>
      </c>
      <c r="H35" s="39" t="s">
        <v>469</v>
      </c>
      <c r="I35" s="39">
        <v>23.638356164383563</v>
      </c>
      <c r="J35" s="37">
        <v>73</v>
      </c>
      <c r="K35" s="37">
        <v>229</v>
      </c>
      <c r="L35" s="37">
        <v>4.55</v>
      </c>
      <c r="M35" s="40">
        <v>0</v>
      </c>
      <c r="N35" s="121">
        <v>0</v>
      </c>
      <c r="O35" s="122">
        <v>4.5016077170418008E-2</v>
      </c>
      <c r="P35" s="122">
        <v>9.605427602213891E-2</v>
      </c>
      <c r="Q35" s="122">
        <v>0.20454545454545456</v>
      </c>
      <c r="R35" s="122">
        <v>0.20435255712731229</v>
      </c>
      <c r="S35" s="42">
        <v>0.20444900583638342</v>
      </c>
      <c r="T35" s="42">
        <v>0.20444900583638342</v>
      </c>
      <c r="U35" s="42">
        <v>2.6633165829145728E-2</v>
      </c>
      <c r="V35" s="42">
        <v>5.0600655260283948E-2</v>
      </c>
      <c r="W35" s="42">
        <v>5.0600655260283948E-2</v>
      </c>
      <c r="X35" s="43">
        <v>5.0600655260283948E-2</v>
      </c>
      <c r="Y35" s="44">
        <v>21.991780821917807</v>
      </c>
      <c r="Z35" s="45">
        <v>106.86116175844418</v>
      </c>
      <c r="AA35" s="45">
        <v>30.209607806342653</v>
      </c>
      <c r="AB35" s="45">
        <v>0.27516778523489932</v>
      </c>
      <c r="AC35" s="45">
        <v>5.3691275167785237</v>
      </c>
      <c r="AD35" s="45">
        <v>97.3</v>
      </c>
      <c r="AE35" s="45">
        <v>3.5</v>
      </c>
      <c r="AF35" s="45">
        <v>28</v>
      </c>
      <c r="AG35" s="128">
        <v>4</v>
      </c>
      <c r="AH35" s="49">
        <v>5</v>
      </c>
      <c r="AI35" s="49">
        <v>2</v>
      </c>
      <c r="AJ35" s="49">
        <v>8</v>
      </c>
      <c r="AK35" s="49">
        <v>7</v>
      </c>
      <c r="AL35" s="49">
        <v>2</v>
      </c>
      <c r="AM35" s="49">
        <v>4</v>
      </c>
      <c r="AN35" s="49">
        <v>2</v>
      </c>
      <c r="AO35" s="49">
        <v>0</v>
      </c>
      <c r="AP35" s="50">
        <v>0</v>
      </c>
      <c r="AQ35" s="188"/>
      <c r="AR35" s="189">
        <v>1</v>
      </c>
      <c r="AS35" s="189"/>
      <c r="AT35" s="189"/>
      <c r="AU35" s="189"/>
      <c r="AV35" s="189"/>
      <c r="AW35" s="189"/>
      <c r="AX35" s="189"/>
      <c r="AY35" s="189"/>
      <c r="AZ35" s="189"/>
      <c r="BA35" s="189"/>
      <c r="BB35" s="189"/>
      <c r="BC35" s="189"/>
      <c r="BD35" s="189"/>
      <c r="BE35" s="190"/>
      <c r="BF35" s="188">
        <v>28</v>
      </c>
      <c r="BG35" s="189">
        <v>621</v>
      </c>
      <c r="BH35" s="189">
        <v>1</v>
      </c>
      <c r="BI35" s="189">
        <v>8</v>
      </c>
      <c r="BJ35" s="189">
        <v>6</v>
      </c>
      <c r="BK35" s="189">
        <v>4</v>
      </c>
      <c r="BL35" s="191">
        <v>4.666666666666667</v>
      </c>
      <c r="BM35" s="191">
        <v>322</v>
      </c>
      <c r="BN35" s="191">
        <v>4.83</v>
      </c>
      <c r="BO35" s="191">
        <v>0</v>
      </c>
      <c r="BP35" s="189">
        <v>0</v>
      </c>
      <c r="BQ35" s="189">
        <v>1</v>
      </c>
      <c r="BR35" s="189">
        <v>0</v>
      </c>
      <c r="BS35" s="189">
        <v>0</v>
      </c>
      <c r="BT35" s="190">
        <v>0</v>
      </c>
      <c r="BU35" s="188">
        <v>530</v>
      </c>
      <c r="BV35" s="189">
        <v>2611</v>
      </c>
      <c r="BW35" s="189">
        <v>9</v>
      </c>
      <c r="BX35" s="189">
        <v>32</v>
      </c>
      <c r="BY35" s="189">
        <v>79</v>
      </c>
      <c r="BZ35" s="189">
        <v>30</v>
      </c>
      <c r="CA35" s="237">
        <v>6.7088607594936711</v>
      </c>
      <c r="CB35" s="237">
        <v>44</v>
      </c>
      <c r="CC35" s="237">
        <v>4.22</v>
      </c>
      <c r="CD35" s="237">
        <v>46</v>
      </c>
      <c r="CE35" s="189">
        <v>8</v>
      </c>
      <c r="CF35" s="189">
        <v>2990</v>
      </c>
      <c r="CG35" s="189">
        <v>1</v>
      </c>
      <c r="CH35" s="189">
        <v>0</v>
      </c>
      <c r="CI35" s="190">
        <v>26</v>
      </c>
      <c r="CJ35" s="188">
        <v>802</v>
      </c>
      <c r="CK35" s="189">
        <v>2190</v>
      </c>
      <c r="CL35" s="189">
        <v>4</v>
      </c>
      <c r="CM35" s="189">
        <v>18</v>
      </c>
      <c r="CN35" s="189">
        <v>160</v>
      </c>
      <c r="CO35" s="189">
        <v>33</v>
      </c>
      <c r="CP35" s="191">
        <v>5.0125000000000002</v>
      </c>
      <c r="CQ35" s="234">
        <v>73.099999999999994</v>
      </c>
      <c r="CR35" s="191">
        <v>3.34</v>
      </c>
      <c r="CS35" s="234">
        <v>26.9</v>
      </c>
      <c r="CT35" s="189">
        <v>53</v>
      </c>
      <c r="CU35" s="189">
        <v>1990</v>
      </c>
      <c r="CV35" s="189">
        <v>9</v>
      </c>
      <c r="CW35" s="189">
        <v>0</v>
      </c>
      <c r="CX35" s="190">
        <v>14</v>
      </c>
      <c r="CY35" s="188">
        <v>800</v>
      </c>
      <c r="CZ35" s="189">
        <v>1848</v>
      </c>
      <c r="DA35" s="189">
        <v>15</v>
      </c>
      <c r="DB35" s="189">
        <v>26</v>
      </c>
      <c r="DC35" s="189">
        <v>149</v>
      </c>
      <c r="DD35" s="189">
        <v>41</v>
      </c>
      <c r="DE35" s="191">
        <v>5.3691275167785237</v>
      </c>
      <c r="DF35" s="234">
        <v>97.3</v>
      </c>
      <c r="DG35" s="191">
        <v>3.5</v>
      </c>
      <c r="DH35" s="191">
        <v>28</v>
      </c>
      <c r="DI35" s="189">
        <v>139</v>
      </c>
      <c r="DJ35" s="189">
        <v>2747</v>
      </c>
      <c r="DK35" s="189">
        <v>13</v>
      </c>
      <c r="DL35" s="189">
        <v>0</v>
      </c>
      <c r="DM35" s="190">
        <v>12</v>
      </c>
    </row>
    <row r="36" spans="1:117" ht="15.75" customHeight="1" x14ac:dyDescent="0.2">
      <c r="A36" s="33">
        <v>34</v>
      </c>
      <c r="B36" s="34" t="s">
        <v>355</v>
      </c>
      <c r="C36" s="116">
        <v>3.1166666666666663</v>
      </c>
      <c r="D36" s="117" t="s">
        <v>428</v>
      </c>
      <c r="E36" s="37">
        <v>2</v>
      </c>
      <c r="F36" s="118">
        <v>36681</v>
      </c>
      <c r="G36" s="119">
        <v>25.331506849315069</v>
      </c>
      <c r="H36" s="39" t="s">
        <v>469</v>
      </c>
      <c r="I36" s="39">
        <v>24.912328767123288</v>
      </c>
      <c r="J36" s="37">
        <v>68</v>
      </c>
      <c r="K36" s="37">
        <v>185</v>
      </c>
      <c r="L36" s="37">
        <v>4.55</v>
      </c>
      <c r="M36" s="40">
        <v>0</v>
      </c>
      <c r="N36" s="121">
        <v>7.5550345186921969E-2</v>
      </c>
      <c r="O36" s="122">
        <v>0.12703420790435072</v>
      </c>
      <c r="P36" s="122">
        <v>4.1776439593526532E-2</v>
      </c>
      <c r="Q36" s="122">
        <v>0.29750210496772389</v>
      </c>
      <c r="R36" s="122">
        <v>0.18344496651004699</v>
      </c>
      <c r="S36" s="42">
        <v>0.24047353573888544</v>
      </c>
      <c r="T36" s="42">
        <v>0.24047353573888544</v>
      </c>
      <c r="U36" s="42">
        <v>4.592869375681146E-2</v>
      </c>
      <c r="V36" s="42">
        <v>3.2477456824086814E-2</v>
      </c>
      <c r="W36" s="42">
        <v>3.9203075290449141E-2</v>
      </c>
      <c r="X36" s="43">
        <v>3.9203075290449141E-2</v>
      </c>
      <c r="Y36" s="44">
        <v>23.265753424657536</v>
      </c>
      <c r="Z36" s="45">
        <v>86.328886136734383</v>
      </c>
      <c r="AA36" s="45">
        <v>28.126081314878896</v>
      </c>
      <c r="AB36" s="45">
        <v>0.34586466165413532</v>
      </c>
      <c r="AC36" s="45">
        <v>4.9106382978723406</v>
      </c>
      <c r="AD36" s="45">
        <v>109.3</v>
      </c>
      <c r="AE36" s="45">
        <v>3.4</v>
      </c>
      <c r="AF36" s="45">
        <v>43</v>
      </c>
      <c r="AG36" s="128">
        <v>6</v>
      </c>
      <c r="AH36" s="49">
        <v>4</v>
      </c>
      <c r="AI36" s="49">
        <v>0</v>
      </c>
      <c r="AJ36" s="49">
        <v>1</v>
      </c>
      <c r="AK36" s="49">
        <v>9</v>
      </c>
      <c r="AL36" s="49">
        <v>1</v>
      </c>
      <c r="AM36" s="49">
        <v>5</v>
      </c>
      <c r="AN36" s="49">
        <v>1</v>
      </c>
      <c r="AO36" s="49">
        <v>0</v>
      </c>
      <c r="AP36" s="50">
        <v>0</v>
      </c>
      <c r="AQ36" s="188">
        <v>159</v>
      </c>
      <c r="AR36" s="189">
        <v>1281.6000000000001</v>
      </c>
      <c r="AS36" s="189">
        <v>1</v>
      </c>
      <c r="AT36" s="189">
        <v>12.6</v>
      </c>
      <c r="AU36" s="189">
        <v>35</v>
      </c>
      <c r="AV36" s="189">
        <v>3</v>
      </c>
      <c r="AW36" s="189">
        <v>4.5428571428571427</v>
      </c>
      <c r="AX36" s="189">
        <v>24</v>
      </c>
      <c r="AY36" s="189">
        <v>3.11</v>
      </c>
      <c r="AZ36" s="189">
        <v>34.6</v>
      </c>
      <c r="BA36" s="189">
        <v>73</v>
      </c>
      <c r="BB36" s="189">
        <v>1789.2</v>
      </c>
      <c r="BC36" s="189">
        <v>4</v>
      </c>
      <c r="BD36" s="189">
        <v>1</v>
      </c>
      <c r="BE36" s="190">
        <v>14.4</v>
      </c>
      <c r="BF36" s="188">
        <v>110</v>
      </c>
      <c r="BG36" s="189">
        <v>592</v>
      </c>
      <c r="BH36" s="189">
        <v>1</v>
      </c>
      <c r="BI36" s="189">
        <v>4.8</v>
      </c>
      <c r="BJ36" s="189">
        <v>40</v>
      </c>
      <c r="BK36" s="189">
        <v>10</v>
      </c>
      <c r="BL36" s="191">
        <v>2.75</v>
      </c>
      <c r="BM36" s="191">
        <v>61.4</v>
      </c>
      <c r="BN36" s="191">
        <v>2.63</v>
      </c>
      <c r="BO36" s="191">
        <v>36.4</v>
      </c>
      <c r="BP36" s="189">
        <v>43</v>
      </c>
      <c r="BQ36" s="189">
        <v>612.4</v>
      </c>
      <c r="BR36" s="189">
        <v>7</v>
      </c>
      <c r="BS36" s="189">
        <v>0</v>
      </c>
      <c r="BT36" s="190">
        <v>3.6</v>
      </c>
      <c r="BU36" s="188">
        <v>110</v>
      </c>
      <c r="BV36" s="189">
        <v>1488</v>
      </c>
      <c r="BW36" s="189">
        <v>1</v>
      </c>
      <c r="BX36" s="189">
        <v>8</v>
      </c>
      <c r="BY36" s="189">
        <v>82</v>
      </c>
      <c r="BZ36" s="189">
        <v>13</v>
      </c>
      <c r="CA36" s="237">
        <v>1.3414634146341464</v>
      </c>
      <c r="CB36" s="237">
        <v>43.6</v>
      </c>
      <c r="CC36" s="237">
        <v>2.85</v>
      </c>
      <c r="CD36" s="237">
        <v>27.3</v>
      </c>
      <c r="CE36" s="189">
        <v>1</v>
      </c>
      <c r="CF36" s="189">
        <v>1169</v>
      </c>
      <c r="CG36" s="189">
        <v>3</v>
      </c>
      <c r="CH36" s="189">
        <v>0</v>
      </c>
      <c r="CI36" s="190">
        <v>3</v>
      </c>
      <c r="CJ36" s="188">
        <v>1154</v>
      </c>
      <c r="CK36" s="189">
        <v>1706.3999999999999</v>
      </c>
      <c r="CL36" s="189">
        <v>12</v>
      </c>
      <c r="CM36" s="189">
        <v>19.200000000000003</v>
      </c>
      <c r="CN36" s="189">
        <v>235</v>
      </c>
      <c r="CO36" s="189">
        <v>74</v>
      </c>
      <c r="CP36" s="191">
        <v>4.9106382978723406</v>
      </c>
      <c r="CQ36" s="234">
        <v>108.1</v>
      </c>
      <c r="CR36" s="191">
        <v>3.4</v>
      </c>
      <c r="CS36" s="234">
        <v>43</v>
      </c>
      <c r="CT36" s="189">
        <v>118</v>
      </c>
      <c r="CU36" s="189">
        <v>2569.1999999999998</v>
      </c>
      <c r="CV36" s="189">
        <v>20</v>
      </c>
      <c r="CW36" s="189">
        <v>0</v>
      </c>
      <c r="CX36" s="190">
        <v>14.399999999999999</v>
      </c>
      <c r="CY36" s="188">
        <v>649</v>
      </c>
      <c r="CZ36" s="189">
        <v>1384</v>
      </c>
      <c r="DA36" s="189">
        <v>2</v>
      </c>
      <c r="DB36" s="189">
        <v>10.8</v>
      </c>
      <c r="DC36" s="189">
        <v>133</v>
      </c>
      <c r="DD36" s="189">
        <v>46</v>
      </c>
      <c r="DE36" s="191">
        <v>4.8796992481203008</v>
      </c>
      <c r="DF36" s="234">
        <v>109.3</v>
      </c>
      <c r="DG36" s="191">
        <v>3.3</v>
      </c>
      <c r="DH36" s="191">
        <v>31.4</v>
      </c>
      <c r="DI36" s="189">
        <v>85</v>
      </c>
      <c r="DJ36" s="189">
        <v>2617.1999999999998</v>
      </c>
      <c r="DK36" s="189">
        <v>15</v>
      </c>
      <c r="DL36" s="189">
        <v>0</v>
      </c>
      <c r="DM36" s="190">
        <v>13.200000000000001</v>
      </c>
    </row>
    <row r="37" spans="1:117" ht="15.75" customHeight="1" thickBot="1" x14ac:dyDescent="0.25">
      <c r="A37" s="60">
        <v>35</v>
      </c>
      <c r="B37" s="62" t="s">
        <v>603</v>
      </c>
      <c r="C37" s="134">
        <v>3.0333333333333332</v>
      </c>
      <c r="D37" s="135" t="s">
        <v>518</v>
      </c>
      <c r="E37" s="66">
        <v>1</v>
      </c>
      <c r="F37" s="136">
        <v>36890</v>
      </c>
      <c r="G37" s="137">
        <v>24.758904109589039</v>
      </c>
      <c r="H37" s="68" t="s">
        <v>469</v>
      </c>
      <c r="I37" s="68">
        <v>24.339726027397262</v>
      </c>
      <c r="J37" s="66">
        <v>70</v>
      </c>
      <c r="K37" s="66">
        <v>200</v>
      </c>
      <c r="L37" s="66">
        <v>4.62</v>
      </c>
      <c r="M37" s="69">
        <v>0</v>
      </c>
      <c r="N37" s="140">
        <v>0.21981799797775531</v>
      </c>
      <c r="O37" s="141">
        <v>0.1372984342136013</v>
      </c>
      <c r="P37" s="141">
        <v>2.4509803921568624E-2</v>
      </c>
      <c r="Q37" s="141">
        <v>0.10441298917568692</v>
      </c>
      <c r="R37" s="141">
        <v>7.567567567567568E-2</v>
      </c>
      <c r="S37" s="71">
        <v>0.14774683682671549</v>
      </c>
      <c r="T37" s="71">
        <v>0.14774683682671549</v>
      </c>
      <c r="U37" s="71">
        <v>2.3431187718825748E-2</v>
      </c>
      <c r="V37" s="71">
        <v>2.1705766279324711E-2</v>
      </c>
      <c r="W37" s="71">
        <v>2.2568476999075229E-2</v>
      </c>
      <c r="X37" s="72">
        <v>2.2568476999075229E-2</v>
      </c>
      <c r="Y37" s="73">
        <v>19.684931506849313</v>
      </c>
      <c r="Z37" s="74">
        <v>87.799509382030976</v>
      </c>
      <c r="AA37" s="74">
        <v>28.693877551020407</v>
      </c>
      <c r="AB37" s="74">
        <v>0.30526315789473685</v>
      </c>
      <c r="AC37" s="74">
        <v>5.6842105263157894</v>
      </c>
      <c r="AD37" s="74">
        <v>112.4</v>
      </c>
      <c r="AE37" s="74">
        <v>3.51</v>
      </c>
      <c r="AF37" s="75">
        <v>37.5</v>
      </c>
      <c r="AG37" s="142">
        <v>1</v>
      </c>
      <c r="AH37" s="78">
        <v>2</v>
      </c>
      <c r="AI37" s="78">
        <v>6</v>
      </c>
      <c r="AJ37" s="78">
        <v>1</v>
      </c>
      <c r="AK37" s="78">
        <v>8</v>
      </c>
      <c r="AL37" s="215">
        <v>3</v>
      </c>
      <c r="AM37" s="78">
        <v>5</v>
      </c>
      <c r="AN37" s="78">
        <v>2</v>
      </c>
      <c r="AO37" s="78">
        <v>0</v>
      </c>
      <c r="AP37" s="79">
        <v>0</v>
      </c>
      <c r="AQ37" s="80">
        <v>913</v>
      </c>
      <c r="AR37" s="81">
        <v>1765</v>
      </c>
      <c r="AS37" s="81">
        <v>11</v>
      </c>
      <c r="AT37" s="81">
        <v>24</v>
      </c>
      <c r="AU37" s="81">
        <v>170</v>
      </c>
      <c r="AV37" s="81">
        <v>31</v>
      </c>
      <c r="AW37" s="81">
        <v>5.3705882352941172</v>
      </c>
      <c r="AX37" s="81">
        <v>48.9</v>
      </c>
      <c r="AY37" s="81">
        <v>2.83</v>
      </c>
      <c r="AZ37" s="81">
        <v>43.6</v>
      </c>
      <c r="BA37" s="81">
        <v>174</v>
      </c>
      <c r="BB37" s="81">
        <v>3180</v>
      </c>
      <c r="BC37" s="81">
        <v>21</v>
      </c>
      <c r="BD37" s="81">
        <v>1</v>
      </c>
      <c r="BE37" s="83">
        <v>23</v>
      </c>
      <c r="BF37" s="80">
        <v>618</v>
      </c>
      <c r="BG37" s="81">
        <v>1785.3000000000002</v>
      </c>
      <c r="BH37" s="81">
        <v>4</v>
      </c>
      <c r="BI37" s="81">
        <v>18.7</v>
      </c>
      <c r="BJ37" s="81">
        <v>96</v>
      </c>
      <c r="BK37" s="81">
        <v>30</v>
      </c>
      <c r="BL37" s="82">
        <v>6.4375</v>
      </c>
      <c r="BM37" s="82">
        <v>121.5</v>
      </c>
      <c r="BN37" s="82">
        <v>4.2</v>
      </c>
      <c r="BO37" s="82">
        <v>46.4</v>
      </c>
      <c r="BP37" s="81">
        <v>87</v>
      </c>
      <c r="BQ37" s="81">
        <v>3349.5</v>
      </c>
      <c r="BR37" s="81">
        <v>18</v>
      </c>
      <c r="BS37" s="81">
        <v>1</v>
      </c>
      <c r="BT37" s="83">
        <v>36.299999999999997</v>
      </c>
      <c r="BU37" s="80">
        <v>69</v>
      </c>
      <c r="BV37" s="81">
        <v>1539.6000000000001</v>
      </c>
      <c r="BW37" s="81">
        <v>4</v>
      </c>
      <c r="BX37" s="81">
        <v>15</v>
      </c>
      <c r="BY37" s="81">
        <v>15</v>
      </c>
      <c r="BZ37" s="81">
        <v>5</v>
      </c>
      <c r="CA37" s="238">
        <v>4.5999999999999996</v>
      </c>
      <c r="CB37" s="238">
        <v>43.8</v>
      </c>
      <c r="CC37" s="238">
        <v>1.4</v>
      </c>
      <c r="CD37" s="238">
        <v>29.6</v>
      </c>
      <c r="CE37" s="81">
        <v>4</v>
      </c>
      <c r="CF37" s="81">
        <v>1438.8000000000002</v>
      </c>
      <c r="CG37" s="81">
        <v>1</v>
      </c>
      <c r="CH37" s="81">
        <v>0</v>
      </c>
      <c r="CI37" s="83">
        <v>10.199999999999999</v>
      </c>
      <c r="CJ37" s="80">
        <v>540</v>
      </c>
      <c r="CK37" s="81">
        <v>2292</v>
      </c>
      <c r="CL37" s="81">
        <v>4</v>
      </c>
      <c r="CM37" s="81">
        <v>29</v>
      </c>
      <c r="CN37" s="81">
        <v>95</v>
      </c>
      <c r="CO37" s="81">
        <v>29</v>
      </c>
      <c r="CP37" s="82">
        <v>5.6842105263157894</v>
      </c>
      <c r="CQ37" s="144">
        <v>112.4</v>
      </c>
      <c r="CR37" s="82">
        <v>3.51</v>
      </c>
      <c r="CS37" s="144">
        <v>29.6</v>
      </c>
      <c r="CT37" s="81">
        <v>87</v>
      </c>
      <c r="CU37" s="81">
        <v>3713</v>
      </c>
      <c r="CV37" s="81">
        <v>11</v>
      </c>
      <c r="CW37" s="81">
        <v>1</v>
      </c>
      <c r="CX37" s="83">
        <v>26</v>
      </c>
      <c r="CY37" s="80">
        <v>419</v>
      </c>
      <c r="CZ37" s="81">
        <v>2284</v>
      </c>
      <c r="DA37" s="81">
        <v>5</v>
      </c>
      <c r="DB37" s="81">
        <v>29</v>
      </c>
      <c r="DC37" s="81">
        <v>84</v>
      </c>
      <c r="DD37" s="81">
        <v>16</v>
      </c>
      <c r="DE37" s="82">
        <v>4.9880952380952381</v>
      </c>
      <c r="DF37" s="144">
        <v>49</v>
      </c>
      <c r="DG37" s="82">
        <v>2.64</v>
      </c>
      <c r="DH37" s="82">
        <v>37.5</v>
      </c>
      <c r="DI37" s="81">
        <v>99</v>
      </c>
      <c r="DJ37" s="81">
        <v>4561</v>
      </c>
      <c r="DK37" s="81">
        <v>13</v>
      </c>
      <c r="DL37" s="81">
        <v>0</v>
      </c>
      <c r="DM37" s="83">
        <v>31</v>
      </c>
    </row>
    <row r="38" spans="1:117" ht="15.75" customHeight="1" x14ac:dyDescent="0.2"/>
    <row r="39" spans="1:117" ht="15.75" customHeight="1" x14ac:dyDescent="0.2">
      <c r="CE39" s="229"/>
      <c r="CF39" s="229"/>
    </row>
    <row r="40" spans="1:117" ht="15.75" customHeight="1" x14ac:dyDescent="0.2"/>
    <row r="41" spans="1:117" ht="15.75" customHeight="1" x14ac:dyDescent="0.2"/>
    <row r="42" spans="1:117" ht="15.75" customHeight="1" x14ac:dyDescent="0.2"/>
    <row r="43" spans="1:117" ht="15.75" customHeight="1" x14ac:dyDescent="0.2"/>
    <row r="44" spans="1:117" ht="15.75" customHeight="1" x14ac:dyDescent="0.2"/>
    <row r="45" spans="1:117" ht="15.75" customHeight="1" x14ac:dyDescent="0.2"/>
    <row r="46" spans="1:117" ht="15.75" customHeight="1" x14ac:dyDescent="0.2"/>
    <row r="47" spans="1:117" ht="15.75" customHeight="1" x14ac:dyDescent="0.2"/>
    <row r="48" spans="1:117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2:DM2" xr:uid="{00000000-0009-0000-0000-000010000000}">
    <sortState xmlns:xlrd2="http://schemas.microsoft.com/office/spreadsheetml/2017/richdata2" ref="A3:DM37">
      <sortCondition ref="A2"/>
    </sortState>
  </autoFilter>
  <mergeCells count="10">
    <mergeCell ref="BU1:CI1"/>
    <mergeCell ref="CJ1:CX1"/>
    <mergeCell ref="CY1:DM1"/>
    <mergeCell ref="A1:C1"/>
    <mergeCell ref="D1:M1"/>
    <mergeCell ref="N1:X1"/>
    <mergeCell ref="Y1:AF1"/>
    <mergeCell ref="AG1:AP1"/>
    <mergeCell ref="AQ1:BE1"/>
    <mergeCell ref="BF1:BT1"/>
  </mergeCells>
  <conditionalFormatting sqref="B3:B37">
    <cfRule type="expression" dxfId="32" priority="1" stopIfTrue="1">
      <formula>C3&gt;=13</formula>
    </cfRule>
    <cfRule type="expression" dxfId="31" priority="2">
      <formula>AND(C3&gt;=12,C3&lt;13)</formula>
    </cfRule>
    <cfRule type="expression" dxfId="30" priority="3" stopIfTrue="1">
      <formula>AND(C3&gt;=11,C3&lt;12)</formula>
    </cfRule>
    <cfRule type="expression" dxfId="29" priority="4">
      <formula>AND(C3&gt;=9,C3&lt;11)</formula>
    </cfRule>
    <cfRule type="expression" dxfId="28" priority="5">
      <formula>AND(C3&gt;=7,C3&lt;9)</formula>
    </cfRule>
    <cfRule type="expression" dxfId="27" priority="6" stopIfTrue="1">
      <formula>AND(C3&gt;=6,C3&lt;7)</formula>
    </cfRule>
    <cfRule type="expression" dxfId="26" priority="7" stopIfTrue="1">
      <formula>AND(C3&gt;=5,C3&lt;6)</formula>
    </cfRule>
    <cfRule type="expression" dxfId="25" priority="8">
      <formula>C3&lt;5</formula>
    </cfRule>
  </conditionalFormatting>
  <conditionalFormatting sqref="C3:C3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H37">
    <cfRule type="containsText" dxfId="24" priority="10" operator="containsText" text="SR">
      <formula>NOT(ISERROR(SEARCH(("SR"),(H3))))</formula>
    </cfRule>
  </conditionalFormatting>
  <conditionalFormatting sqref="N3:R37">
    <cfRule type="cellIs" dxfId="23" priority="11" stopIfTrue="1" operator="between">
      <formula>0.15</formula>
      <formula>0.199</formula>
    </cfRule>
    <cfRule type="cellIs" dxfId="22" priority="12" operator="equal">
      <formula>0</formula>
    </cfRule>
    <cfRule type="colorScale" priority="13">
      <colorScale>
        <cfvo type="formula" val="0.1499"/>
        <cfvo type="formula" val="0.15"/>
        <cfvo type="formula" val="0.4"/>
        <color rgb="FFFACACA"/>
        <color rgb="FFC0E399"/>
        <color rgb="FF63BE7B"/>
      </colorScale>
    </cfRule>
  </conditionalFormatting>
  <conditionalFormatting sqref="N8:R37">
    <cfRule type="colorScale" priority="14">
      <colorScale>
        <cfvo type="formula" val="0.1499"/>
        <cfvo type="formula" val="0.15"/>
        <cfvo type="formula" val="0.4"/>
        <color rgb="FFFACACA"/>
        <color rgb="FFC0E399"/>
        <color rgb="FF63BE7B"/>
      </colorScale>
    </cfRule>
  </conditionalFormatting>
  <conditionalFormatting sqref="S3:T37">
    <cfRule type="colorScale" priority="15">
      <colorScale>
        <cfvo type="formula" val="0.1499"/>
        <cfvo type="formula" val="0.15"/>
        <cfvo type="formula" val="0.4"/>
        <color rgb="FFFACACA"/>
        <color rgb="FFCEF9B9"/>
        <color rgb="FF00B050"/>
      </colorScale>
    </cfRule>
  </conditionalFormatting>
  <conditionalFormatting sqref="U3:V3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:W3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:X3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S1028"/>
  <sheetViews>
    <sheetView zoomScale="80" zoomScaleNormal="80" workbookViewId="0">
      <selection activeCell="L39" sqref="L39"/>
    </sheetView>
  </sheetViews>
  <sheetFormatPr baseColWidth="10" defaultColWidth="14.5" defaultRowHeight="15" customHeight="1" x14ac:dyDescent="0.2"/>
  <cols>
    <col min="1" max="1" width="8.5" customWidth="1"/>
    <col min="2" max="2" width="20" customWidth="1"/>
    <col min="3" max="3" width="12" customWidth="1"/>
    <col min="4" max="4" width="15.6640625" bestFit="1" customWidth="1"/>
    <col min="5" max="5" width="10.83203125" customWidth="1"/>
    <col min="6" max="6" width="11.5" customWidth="1"/>
    <col min="7" max="7" width="7.5" customWidth="1"/>
    <col min="8" max="8" width="8" customWidth="1"/>
    <col min="9" max="9" width="12.6640625" customWidth="1"/>
    <col min="10" max="10" width="10" customWidth="1"/>
    <col min="11" max="11" width="10.5" customWidth="1"/>
    <col min="12" max="12" width="11.33203125" customWidth="1"/>
    <col min="13" max="13" width="12.5" customWidth="1"/>
    <col min="14" max="20" width="9.83203125" customWidth="1"/>
    <col min="21" max="22" width="11" customWidth="1"/>
    <col min="23" max="23" width="10" customWidth="1"/>
    <col min="24" max="24" width="11" customWidth="1"/>
    <col min="25" max="25" width="9.33203125" customWidth="1"/>
    <col min="26" max="26" width="9.5" customWidth="1"/>
    <col min="27" max="27" width="7.6640625" customWidth="1"/>
    <col min="28" max="28" width="10.1640625" customWidth="1"/>
    <col min="29" max="29" width="7.33203125" customWidth="1"/>
    <col min="30" max="30" width="7.5" customWidth="1"/>
    <col min="31" max="31" width="9.83203125" customWidth="1"/>
    <col min="32" max="32" width="11.5" customWidth="1"/>
    <col min="33" max="33" width="10.83203125" customWidth="1"/>
    <col min="34" max="34" width="11" customWidth="1"/>
    <col min="35" max="35" width="10.33203125" customWidth="1"/>
    <col min="36" max="36" width="10.5" customWidth="1"/>
    <col min="37" max="37" width="10.1640625" customWidth="1"/>
    <col min="38" max="39" width="8.5" customWidth="1"/>
    <col min="40" max="40" width="10.83203125" customWidth="1"/>
    <col min="41" max="41" width="7.6640625" customWidth="1"/>
    <col min="42" max="42" width="9.5" customWidth="1"/>
    <col min="43" max="43" width="12" customWidth="1"/>
    <col min="44" max="44" width="12.6640625" customWidth="1"/>
    <col min="45" max="45" width="12.33203125" customWidth="1"/>
    <col min="46" max="46" width="12.1640625" customWidth="1"/>
    <col min="47" max="47" width="6.6640625" customWidth="1"/>
    <col min="48" max="48" width="8" customWidth="1"/>
    <col min="49" max="49" width="7.33203125" customWidth="1"/>
    <col min="50" max="50" width="7.5" customWidth="1"/>
    <col min="51" max="51" width="9.83203125" customWidth="1"/>
    <col min="52" max="52" width="11.5" customWidth="1"/>
    <col min="53" max="53" width="10.83203125" customWidth="1"/>
    <col min="54" max="54" width="12.6640625" customWidth="1"/>
    <col min="55" max="55" width="8.1640625" customWidth="1"/>
    <col min="56" max="56" width="11.33203125" customWidth="1"/>
    <col min="57" max="57" width="13" customWidth="1"/>
    <col min="58" max="58" width="12" customWidth="1"/>
    <col min="59" max="59" width="12.6640625" customWidth="1"/>
    <col min="60" max="60" width="12.33203125" customWidth="1"/>
    <col min="61" max="61" width="12.1640625" customWidth="1"/>
    <col min="62" max="62" width="6.6640625" customWidth="1"/>
    <col min="63" max="63" width="8" customWidth="1"/>
    <col min="64" max="64" width="7.33203125" customWidth="1"/>
    <col min="65" max="65" width="7.5" customWidth="1"/>
    <col min="66" max="66" width="9.83203125" customWidth="1"/>
    <col min="67" max="67" width="11.5" customWidth="1"/>
    <col min="68" max="68" width="10.83203125" customWidth="1"/>
    <col min="69" max="69" width="12.6640625" customWidth="1"/>
    <col min="70" max="70" width="8.1640625" customWidth="1"/>
    <col min="71" max="71" width="11.33203125" customWidth="1"/>
    <col min="72" max="72" width="13" customWidth="1"/>
    <col min="73" max="73" width="12" customWidth="1"/>
    <col min="74" max="74" width="12.6640625" customWidth="1"/>
    <col min="75" max="75" width="12.33203125" customWidth="1"/>
    <col min="76" max="76" width="12.1640625" customWidth="1"/>
    <col min="77" max="77" width="6.6640625" customWidth="1"/>
    <col min="78" max="78" width="8" customWidth="1"/>
    <col min="79" max="79" width="7.33203125" customWidth="1"/>
    <col min="80" max="80" width="7.5" customWidth="1"/>
    <col min="81" max="81" width="9.83203125" customWidth="1"/>
    <col min="82" max="82" width="11.5" customWidth="1"/>
    <col min="83" max="83" width="10.83203125" customWidth="1"/>
    <col min="84" max="84" width="12.6640625" customWidth="1"/>
    <col min="85" max="85" width="8.1640625" customWidth="1"/>
    <col min="86" max="86" width="11.33203125" customWidth="1"/>
    <col min="87" max="87" width="13" customWidth="1"/>
    <col min="88" max="88" width="12" customWidth="1"/>
    <col min="89" max="89" width="12.6640625" customWidth="1"/>
    <col min="90" max="90" width="12.33203125" customWidth="1"/>
    <col min="91" max="91" width="12.1640625" customWidth="1"/>
    <col min="92" max="92" width="6.6640625" customWidth="1"/>
    <col min="93" max="93" width="8" customWidth="1"/>
    <col min="94" max="94" width="7.33203125" customWidth="1"/>
    <col min="95" max="95" width="7.5" customWidth="1"/>
    <col min="96" max="96" width="9.83203125" customWidth="1"/>
    <col min="97" max="97" width="11.5" customWidth="1"/>
    <col min="98" max="98" width="10.83203125" customWidth="1"/>
    <col min="99" max="99" width="12.6640625" customWidth="1"/>
    <col min="100" max="100" width="8.1640625" customWidth="1"/>
    <col min="101" max="101" width="11.33203125" customWidth="1"/>
    <col min="102" max="102" width="13" customWidth="1"/>
    <col min="103" max="103" width="12" customWidth="1"/>
    <col min="104" max="104" width="12.6640625" customWidth="1"/>
    <col min="105" max="105" width="12.33203125" customWidth="1"/>
    <col min="106" max="106" width="12.1640625" customWidth="1"/>
    <col min="107" max="107" width="6.6640625" customWidth="1"/>
    <col min="108" max="108" width="8" customWidth="1"/>
    <col min="109" max="109" width="7.33203125" customWidth="1"/>
    <col min="110" max="110" width="7.5" customWidth="1"/>
    <col min="111" max="111" width="9.83203125" customWidth="1"/>
    <col min="112" max="112" width="11.5" customWidth="1"/>
    <col min="113" max="113" width="10.83203125" customWidth="1"/>
    <col min="114" max="114" width="12.6640625" customWidth="1"/>
    <col min="115" max="115" width="8.1640625" customWidth="1"/>
    <col min="116" max="116" width="11.33203125" customWidth="1"/>
    <col min="117" max="117" width="13" customWidth="1"/>
    <col min="118" max="118" width="4.5" customWidth="1"/>
    <col min="119" max="119" width="3.5" customWidth="1"/>
    <col min="120" max="120" width="16.5" customWidth="1"/>
    <col min="121" max="121" width="11" customWidth="1"/>
    <col min="122" max="122" width="14.5" customWidth="1"/>
    <col min="123" max="123" width="10.5" customWidth="1"/>
  </cols>
  <sheetData>
    <row r="1" spans="1:123" x14ac:dyDescent="0.2">
      <c r="A1" s="250"/>
      <c r="B1" s="251"/>
      <c r="C1" s="253"/>
      <c r="D1" s="254" t="s">
        <v>156</v>
      </c>
      <c r="E1" s="251"/>
      <c r="F1" s="251"/>
      <c r="G1" s="251"/>
      <c r="H1" s="251"/>
      <c r="I1" s="251"/>
      <c r="J1" s="251"/>
      <c r="K1" s="251"/>
      <c r="L1" s="251"/>
      <c r="M1" s="253"/>
      <c r="N1" s="255" t="s">
        <v>157</v>
      </c>
      <c r="O1" s="251"/>
      <c r="P1" s="251"/>
      <c r="Q1" s="251"/>
      <c r="R1" s="251"/>
      <c r="S1" s="251"/>
      <c r="T1" s="251"/>
      <c r="U1" s="251"/>
      <c r="V1" s="251"/>
      <c r="W1" s="251"/>
      <c r="X1" s="253"/>
      <c r="Y1" s="256" t="s">
        <v>158</v>
      </c>
      <c r="Z1" s="251"/>
      <c r="AA1" s="251"/>
      <c r="AB1" s="251"/>
      <c r="AC1" s="251"/>
      <c r="AD1" s="251"/>
      <c r="AE1" s="251"/>
      <c r="AF1" s="253"/>
      <c r="AG1" s="257" t="s">
        <v>159</v>
      </c>
      <c r="AH1" s="251"/>
      <c r="AI1" s="251"/>
      <c r="AJ1" s="251"/>
      <c r="AK1" s="251"/>
      <c r="AL1" s="251"/>
      <c r="AM1" s="251"/>
      <c r="AN1" s="251"/>
      <c r="AO1" s="251"/>
      <c r="AP1" s="253"/>
      <c r="AQ1" s="247" t="s">
        <v>548</v>
      </c>
      <c r="AR1" s="248"/>
      <c r="AS1" s="248"/>
      <c r="AT1" s="248"/>
      <c r="AU1" s="248"/>
      <c r="AV1" s="248"/>
      <c r="AW1" s="248"/>
      <c r="AX1" s="248"/>
      <c r="AY1" s="248"/>
      <c r="AZ1" s="248"/>
      <c r="BA1" s="248"/>
      <c r="BB1" s="248"/>
      <c r="BC1" s="248"/>
      <c r="BD1" s="248"/>
      <c r="BE1" s="249"/>
      <c r="BF1" s="247" t="s">
        <v>553</v>
      </c>
      <c r="BG1" s="248"/>
      <c r="BH1" s="248"/>
      <c r="BI1" s="248"/>
      <c r="BJ1" s="248"/>
      <c r="BK1" s="248"/>
      <c r="BL1" s="248"/>
      <c r="BM1" s="248"/>
      <c r="BN1" s="248"/>
      <c r="BO1" s="248"/>
      <c r="BP1" s="248"/>
      <c r="BQ1" s="248"/>
      <c r="BR1" s="248"/>
      <c r="BS1" s="248"/>
      <c r="BT1" s="263"/>
      <c r="BU1" s="247" t="s">
        <v>590</v>
      </c>
      <c r="BV1" s="248"/>
      <c r="BW1" s="248"/>
      <c r="BX1" s="248"/>
      <c r="BY1" s="248"/>
      <c r="BZ1" s="248"/>
      <c r="CA1" s="248"/>
      <c r="CB1" s="248"/>
      <c r="CC1" s="248"/>
      <c r="CD1" s="248"/>
      <c r="CE1" s="248"/>
      <c r="CF1" s="248"/>
      <c r="CG1" s="248"/>
      <c r="CH1" s="248"/>
      <c r="CI1" s="249"/>
      <c r="CJ1" s="247" t="s">
        <v>592</v>
      </c>
      <c r="CK1" s="248"/>
      <c r="CL1" s="248"/>
      <c r="CM1" s="248"/>
      <c r="CN1" s="248"/>
      <c r="CO1" s="248"/>
      <c r="CP1" s="248"/>
      <c r="CQ1" s="248"/>
      <c r="CR1" s="248"/>
      <c r="CS1" s="248"/>
      <c r="CT1" s="248"/>
      <c r="CU1" s="248"/>
      <c r="CV1" s="248"/>
      <c r="CW1" s="248"/>
      <c r="CX1" s="249"/>
      <c r="CY1" s="247" t="s">
        <v>604</v>
      </c>
      <c r="CZ1" s="248"/>
      <c r="DA1" s="248"/>
      <c r="DB1" s="248"/>
      <c r="DC1" s="248"/>
      <c r="DD1" s="248"/>
      <c r="DE1" s="248"/>
      <c r="DF1" s="248"/>
      <c r="DG1" s="248"/>
      <c r="DH1" s="248"/>
      <c r="DI1" s="248"/>
      <c r="DJ1" s="248"/>
      <c r="DK1" s="248"/>
      <c r="DL1" s="248"/>
      <c r="DM1" s="249"/>
    </row>
    <row r="2" spans="1:123" ht="16" thickBot="1" x14ac:dyDescent="0.25">
      <c r="A2" s="15" t="s">
        <v>56</v>
      </c>
      <c r="B2" s="16" t="s">
        <v>58</v>
      </c>
      <c r="C2" s="17" t="s">
        <v>2</v>
      </c>
      <c r="D2" s="115" t="s">
        <v>168</v>
      </c>
      <c r="E2" s="19" t="s">
        <v>24</v>
      </c>
      <c r="F2" s="19" t="s">
        <v>28</v>
      </c>
      <c r="G2" s="19" t="s">
        <v>30</v>
      </c>
      <c r="H2" s="19" t="s">
        <v>57</v>
      </c>
      <c r="I2" s="19" t="s">
        <v>34</v>
      </c>
      <c r="J2" s="19" t="s">
        <v>170</v>
      </c>
      <c r="K2" s="19" t="s">
        <v>171</v>
      </c>
      <c r="L2" s="19" t="s">
        <v>172</v>
      </c>
      <c r="M2" s="20" t="s">
        <v>22</v>
      </c>
      <c r="N2" s="21" t="s">
        <v>36</v>
      </c>
      <c r="O2" s="22" t="s">
        <v>38</v>
      </c>
      <c r="P2" s="22" t="s">
        <v>40</v>
      </c>
      <c r="Q2" s="22" t="s">
        <v>42</v>
      </c>
      <c r="R2" s="22" t="s">
        <v>44</v>
      </c>
      <c r="S2" s="22" t="s">
        <v>18</v>
      </c>
      <c r="T2" s="22" t="s">
        <v>20</v>
      </c>
      <c r="U2" s="212" t="s">
        <v>173</v>
      </c>
      <c r="V2" s="212" t="s">
        <v>174</v>
      </c>
      <c r="W2" s="239" t="s">
        <v>175</v>
      </c>
      <c r="X2" s="23" t="s">
        <v>176</v>
      </c>
      <c r="Y2" s="24" t="s">
        <v>177</v>
      </c>
      <c r="Z2" s="25" t="s">
        <v>178</v>
      </c>
      <c r="AA2" s="25" t="s">
        <v>179</v>
      </c>
      <c r="AB2" s="192" t="s">
        <v>180</v>
      </c>
      <c r="AC2" s="192" t="s">
        <v>8</v>
      </c>
      <c r="AD2" s="25" t="s">
        <v>12</v>
      </c>
      <c r="AE2" s="25" t="s">
        <v>10</v>
      </c>
      <c r="AF2" s="26" t="s">
        <v>14</v>
      </c>
      <c r="AG2" s="27" t="s">
        <v>183</v>
      </c>
      <c r="AH2" s="28" t="s">
        <v>176</v>
      </c>
      <c r="AI2" s="28" t="s">
        <v>185</v>
      </c>
      <c r="AJ2" s="28" t="s">
        <v>186</v>
      </c>
      <c r="AK2" s="28" t="s">
        <v>180</v>
      </c>
      <c r="AL2" s="216" t="s">
        <v>187</v>
      </c>
      <c r="AM2" s="28" t="s">
        <v>188</v>
      </c>
      <c r="AN2" s="28" t="s">
        <v>189</v>
      </c>
      <c r="AO2" s="28" t="s">
        <v>26</v>
      </c>
      <c r="AP2" s="29" t="s">
        <v>16</v>
      </c>
      <c r="AQ2" s="30" t="s">
        <v>190</v>
      </c>
      <c r="AR2" s="31" t="s">
        <v>191</v>
      </c>
      <c r="AS2" s="31" t="s">
        <v>192</v>
      </c>
      <c r="AT2" s="31" t="s">
        <v>193</v>
      </c>
      <c r="AU2" s="31" t="s">
        <v>194</v>
      </c>
      <c r="AV2" s="31" t="s">
        <v>195</v>
      </c>
      <c r="AW2" s="31" t="s">
        <v>8</v>
      </c>
      <c r="AX2" s="31" t="s">
        <v>12</v>
      </c>
      <c r="AY2" s="31" t="s">
        <v>10</v>
      </c>
      <c r="AZ2" s="31" t="s">
        <v>14</v>
      </c>
      <c r="BA2" s="31" t="s">
        <v>196</v>
      </c>
      <c r="BB2" s="31" t="s">
        <v>191</v>
      </c>
      <c r="BC2" s="31" t="s">
        <v>197</v>
      </c>
      <c r="BD2" s="31" t="s">
        <v>198</v>
      </c>
      <c r="BE2" s="32" t="s">
        <v>199</v>
      </c>
      <c r="BF2" s="30" t="s">
        <v>190</v>
      </c>
      <c r="BG2" s="31" t="s">
        <v>191</v>
      </c>
      <c r="BH2" s="31" t="s">
        <v>192</v>
      </c>
      <c r="BI2" s="31" t="s">
        <v>193</v>
      </c>
      <c r="BJ2" s="31" t="s">
        <v>194</v>
      </c>
      <c r="BK2" s="31" t="s">
        <v>195</v>
      </c>
      <c r="BL2" s="31" t="s">
        <v>8</v>
      </c>
      <c r="BM2" s="31" t="s">
        <v>12</v>
      </c>
      <c r="BN2" s="31" t="s">
        <v>10</v>
      </c>
      <c r="BO2" s="31" t="s">
        <v>14</v>
      </c>
      <c r="BP2" s="31" t="s">
        <v>196</v>
      </c>
      <c r="BQ2" s="31" t="s">
        <v>191</v>
      </c>
      <c r="BR2" s="31" t="s">
        <v>197</v>
      </c>
      <c r="BS2" s="31" t="s">
        <v>198</v>
      </c>
      <c r="BT2" s="193" t="s">
        <v>199</v>
      </c>
      <c r="BU2" s="30" t="s">
        <v>190</v>
      </c>
      <c r="BV2" s="31" t="s">
        <v>191</v>
      </c>
      <c r="BW2" s="31" t="s">
        <v>192</v>
      </c>
      <c r="BX2" s="31" t="s">
        <v>193</v>
      </c>
      <c r="BY2" s="31" t="s">
        <v>194</v>
      </c>
      <c r="BZ2" s="31" t="s">
        <v>195</v>
      </c>
      <c r="CA2" s="31" t="s">
        <v>8</v>
      </c>
      <c r="CB2" s="31" t="s">
        <v>12</v>
      </c>
      <c r="CC2" s="31" t="s">
        <v>10</v>
      </c>
      <c r="CD2" s="31" t="s">
        <v>14</v>
      </c>
      <c r="CE2" s="31" t="s">
        <v>196</v>
      </c>
      <c r="CF2" s="31" t="s">
        <v>191</v>
      </c>
      <c r="CG2" s="31" t="s">
        <v>197</v>
      </c>
      <c r="CH2" s="31" t="s">
        <v>198</v>
      </c>
      <c r="CI2" s="32" t="s">
        <v>199</v>
      </c>
      <c r="CJ2" s="30" t="s">
        <v>190</v>
      </c>
      <c r="CK2" s="31" t="s">
        <v>191</v>
      </c>
      <c r="CL2" s="31" t="s">
        <v>192</v>
      </c>
      <c r="CM2" s="31" t="s">
        <v>193</v>
      </c>
      <c r="CN2" s="31" t="s">
        <v>194</v>
      </c>
      <c r="CO2" s="31" t="s">
        <v>195</v>
      </c>
      <c r="CP2" s="31" t="s">
        <v>8</v>
      </c>
      <c r="CQ2" s="31" t="s">
        <v>12</v>
      </c>
      <c r="CR2" s="31" t="s">
        <v>10</v>
      </c>
      <c r="CS2" s="31" t="s">
        <v>14</v>
      </c>
      <c r="CT2" s="31" t="s">
        <v>196</v>
      </c>
      <c r="CU2" s="31" t="s">
        <v>191</v>
      </c>
      <c r="CV2" s="31" t="s">
        <v>197</v>
      </c>
      <c r="CW2" s="31" t="s">
        <v>198</v>
      </c>
      <c r="CX2" s="32" t="s">
        <v>199</v>
      </c>
      <c r="CY2" s="30" t="s">
        <v>190</v>
      </c>
      <c r="CZ2" s="31" t="s">
        <v>191</v>
      </c>
      <c r="DA2" s="31" t="s">
        <v>192</v>
      </c>
      <c r="DB2" s="31" t="s">
        <v>193</v>
      </c>
      <c r="DC2" s="31" t="s">
        <v>194</v>
      </c>
      <c r="DD2" s="31" t="s">
        <v>195</v>
      </c>
      <c r="DE2" s="31" t="s">
        <v>8</v>
      </c>
      <c r="DF2" s="31" t="s">
        <v>12</v>
      </c>
      <c r="DG2" s="31" t="s">
        <v>10</v>
      </c>
      <c r="DH2" s="31" t="s">
        <v>14</v>
      </c>
      <c r="DI2" s="31" t="s">
        <v>196</v>
      </c>
      <c r="DJ2" s="31" t="s">
        <v>191</v>
      </c>
      <c r="DK2" s="31" t="s">
        <v>197</v>
      </c>
      <c r="DL2" s="31" t="s">
        <v>198</v>
      </c>
      <c r="DM2" s="32" t="s">
        <v>199</v>
      </c>
      <c r="DN2" s="11"/>
      <c r="DO2" s="34"/>
      <c r="DP2" s="34" t="s">
        <v>379</v>
      </c>
      <c r="DQ2" s="34" t="s">
        <v>380</v>
      </c>
      <c r="DR2" s="7" t="s">
        <v>381</v>
      </c>
      <c r="DS2" s="11" t="s">
        <v>382</v>
      </c>
    </row>
    <row r="3" spans="1:123" x14ac:dyDescent="0.2">
      <c r="A3" s="33">
        <v>1</v>
      </c>
      <c r="B3" s="34" t="s">
        <v>605</v>
      </c>
      <c r="C3" s="116">
        <v>14.394444444444444</v>
      </c>
      <c r="D3" s="117" t="s">
        <v>449</v>
      </c>
      <c r="E3" s="37">
        <v>2</v>
      </c>
      <c r="F3" s="118">
        <v>38503</v>
      </c>
      <c r="G3" s="119">
        <v>20.339726027397262</v>
      </c>
      <c r="H3" s="39" t="s">
        <v>385</v>
      </c>
      <c r="I3" s="39">
        <v>20.920547945205481</v>
      </c>
      <c r="J3" s="205">
        <v>72</v>
      </c>
      <c r="K3" s="205">
        <v>206</v>
      </c>
      <c r="L3" s="205">
        <v>4.4000000000000004</v>
      </c>
      <c r="M3" s="194">
        <v>1</v>
      </c>
      <c r="N3" s="121">
        <v>0</v>
      </c>
      <c r="O3" s="122">
        <v>0</v>
      </c>
      <c r="P3" s="122">
        <v>8.2226889260669914E-2</v>
      </c>
      <c r="Q3" s="122">
        <v>0.21193609022556392</v>
      </c>
      <c r="R3" s="122">
        <v>0.27781926811053026</v>
      </c>
      <c r="S3" s="42">
        <v>0.27781926811053026</v>
      </c>
      <c r="T3" s="42">
        <v>0.27781926811053026</v>
      </c>
      <c r="U3" s="42">
        <v>7.2248864209994948E-2</v>
      </c>
      <c r="V3" s="42">
        <v>9.9371069182389943E-2</v>
      </c>
      <c r="W3" s="210">
        <v>9.9371069182389943E-2</v>
      </c>
      <c r="X3" s="43">
        <v>9.9371069182389943E-2</v>
      </c>
      <c r="Y3" s="44">
        <v>19.268493150684932</v>
      </c>
      <c r="Z3" s="170">
        <v>109.92247797281604</v>
      </c>
      <c r="AA3" s="45">
        <v>27.935570987654323</v>
      </c>
      <c r="AB3" s="45">
        <v>0.38271604938271603</v>
      </c>
      <c r="AC3" s="45">
        <v>6.9382716049382713</v>
      </c>
      <c r="AD3" s="45">
        <v>180.2</v>
      </c>
      <c r="AE3" s="45">
        <v>4.3899999999999997</v>
      </c>
      <c r="AF3" s="45">
        <v>52.5</v>
      </c>
      <c r="AG3" s="128">
        <v>7</v>
      </c>
      <c r="AH3" s="49">
        <v>9</v>
      </c>
      <c r="AI3" s="49">
        <v>7</v>
      </c>
      <c r="AJ3" s="49">
        <v>9</v>
      </c>
      <c r="AK3" s="49">
        <v>10</v>
      </c>
      <c r="AL3" s="219">
        <v>7</v>
      </c>
      <c r="AM3" s="49">
        <v>8</v>
      </c>
      <c r="AN3" s="49">
        <v>6</v>
      </c>
      <c r="AO3" s="49">
        <v>10</v>
      </c>
      <c r="AP3" s="50">
        <v>1</v>
      </c>
      <c r="AQ3" s="51"/>
      <c r="AR3" s="52">
        <v>1</v>
      </c>
      <c r="AS3" s="52"/>
      <c r="AT3" s="52"/>
      <c r="AU3" s="52"/>
      <c r="AV3" s="52"/>
      <c r="AW3" s="125"/>
      <c r="AX3" s="125"/>
      <c r="AY3" s="125"/>
      <c r="AZ3" s="125"/>
      <c r="BA3" s="52"/>
      <c r="BB3" s="52">
        <v>1</v>
      </c>
      <c r="BC3" s="52"/>
      <c r="BD3" s="52"/>
      <c r="BE3" s="54"/>
      <c r="BF3" s="51"/>
      <c r="BG3" s="52">
        <v>1</v>
      </c>
      <c r="BH3" s="52"/>
      <c r="BI3" s="52"/>
      <c r="BJ3" s="52"/>
      <c r="BK3" s="52"/>
      <c r="BL3" s="125"/>
      <c r="BM3" s="125"/>
      <c r="BN3" s="125"/>
      <c r="BO3" s="125"/>
      <c r="BP3" s="52"/>
      <c r="BQ3" s="52">
        <v>1</v>
      </c>
      <c r="BR3" s="52"/>
      <c r="BS3" s="52"/>
      <c r="BT3" s="195"/>
      <c r="BU3" s="51">
        <v>378</v>
      </c>
      <c r="BV3" s="52">
        <v>2414.1</v>
      </c>
      <c r="BW3" s="52">
        <v>1</v>
      </c>
      <c r="BX3" s="52">
        <v>28.6</v>
      </c>
      <c r="BY3" s="52">
        <v>72</v>
      </c>
      <c r="BZ3" s="52">
        <v>16</v>
      </c>
      <c r="CA3" s="53">
        <v>5.25</v>
      </c>
      <c r="CB3" s="52">
        <v>117.3</v>
      </c>
      <c r="CC3" s="53">
        <v>3.86</v>
      </c>
      <c r="CD3" s="125">
        <v>36.5</v>
      </c>
      <c r="CE3" s="52">
        <v>84</v>
      </c>
      <c r="CF3" s="52">
        <v>3204.5</v>
      </c>
      <c r="CG3" s="52">
        <v>7</v>
      </c>
      <c r="CH3" s="52">
        <v>1</v>
      </c>
      <c r="CI3" s="54">
        <v>31.2</v>
      </c>
      <c r="CJ3" s="51">
        <v>1124</v>
      </c>
      <c r="CK3" s="52">
        <v>3214.4</v>
      </c>
      <c r="CL3" s="52">
        <v>17</v>
      </c>
      <c r="CM3" s="52">
        <v>44.8</v>
      </c>
      <c r="CN3" s="52">
        <v>162</v>
      </c>
      <c r="CO3" s="52">
        <v>62</v>
      </c>
      <c r="CP3" s="53">
        <v>6.9382716049382713</v>
      </c>
      <c r="CQ3" s="52">
        <v>180.2</v>
      </c>
      <c r="CR3" s="53">
        <v>4.3899999999999997</v>
      </c>
      <c r="CS3" s="125">
        <v>52.5</v>
      </c>
      <c r="CT3" s="52">
        <v>229</v>
      </c>
      <c r="CU3" s="52">
        <v>3169.6</v>
      </c>
      <c r="CV3" s="52">
        <v>28</v>
      </c>
      <c r="CW3" s="52">
        <v>2</v>
      </c>
      <c r="CX3" s="54">
        <v>24</v>
      </c>
      <c r="CY3" s="51">
        <v>293</v>
      </c>
      <c r="CZ3" s="52">
        <v>544</v>
      </c>
      <c r="DA3" s="52"/>
      <c r="DB3" s="52"/>
      <c r="DC3" s="52">
        <v>53</v>
      </c>
      <c r="DD3" s="52">
        <v>12</v>
      </c>
      <c r="DE3" s="53">
        <v>5.5283018867924527</v>
      </c>
      <c r="DF3" s="52">
        <v>92.3</v>
      </c>
      <c r="DG3" s="53">
        <v>3.75</v>
      </c>
      <c r="DH3" s="52">
        <v>27</v>
      </c>
      <c r="DI3" s="52">
        <v>79</v>
      </c>
      <c r="DJ3" s="52">
        <v>795</v>
      </c>
      <c r="DK3" s="52">
        <v>8</v>
      </c>
      <c r="DL3" s="52"/>
      <c r="DM3" s="54"/>
      <c r="DO3" s="11">
        <v>1</v>
      </c>
      <c r="DP3" s="42" t="s">
        <v>386</v>
      </c>
      <c r="DQ3" s="7">
        <v>1</v>
      </c>
      <c r="DR3" s="130">
        <v>44439</v>
      </c>
      <c r="DS3" s="127">
        <v>46139</v>
      </c>
    </row>
    <row r="4" spans="1:123" x14ac:dyDescent="0.2">
      <c r="A4" s="33">
        <v>2</v>
      </c>
      <c r="B4" s="34" t="s">
        <v>607</v>
      </c>
      <c r="C4" s="116">
        <v>11.338888888888889</v>
      </c>
      <c r="D4" s="117" t="s">
        <v>463</v>
      </c>
      <c r="E4" s="37">
        <v>2</v>
      </c>
      <c r="F4" s="118">
        <v>37853</v>
      </c>
      <c r="G4" s="119">
        <v>22.12054794520548</v>
      </c>
      <c r="H4" s="39" t="s">
        <v>389</v>
      </c>
      <c r="I4" s="39">
        <v>22.701369863013699</v>
      </c>
      <c r="J4" s="205">
        <v>69</v>
      </c>
      <c r="K4" s="205">
        <v>229</v>
      </c>
      <c r="L4" s="205">
        <v>4.5</v>
      </c>
      <c r="M4" s="194">
        <v>3</v>
      </c>
      <c r="N4" s="121">
        <v>0</v>
      </c>
      <c r="O4" s="122">
        <v>7.1444035505520684E-2</v>
      </c>
      <c r="P4" s="122">
        <v>0.19591346153846154</v>
      </c>
      <c r="Q4" s="122">
        <v>0.24369102263548786</v>
      </c>
      <c r="R4" s="122">
        <v>0.30066545674531153</v>
      </c>
      <c r="S4" s="42">
        <v>0.30066545674531153</v>
      </c>
      <c r="T4" s="42">
        <v>0.30066545674531153</v>
      </c>
      <c r="U4" s="42">
        <v>5.2026689397724937E-2</v>
      </c>
      <c r="V4" s="42">
        <v>0.18115942028985507</v>
      </c>
      <c r="W4" s="210">
        <v>0.18115942028985507</v>
      </c>
      <c r="X4" s="43">
        <v>0.18115942028985507</v>
      </c>
      <c r="Y4" s="44">
        <v>20.054794520547944</v>
      </c>
      <c r="Z4" s="170">
        <v>111.69029111415942</v>
      </c>
      <c r="AA4" s="45">
        <v>33.813694601974376</v>
      </c>
      <c r="AB4" s="45">
        <v>0.36220472440944884</v>
      </c>
      <c r="AC4" s="45">
        <v>6.8039215686274508</v>
      </c>
      <c r="AD4" s="45">
        <v>176.2</v>
      </c>
      <c r="AE4" s="45">
        <v>5.12</v>
      </c>
      <c r="AF4" s="45">
        <v>54.7</v>
      </c>
      <c r="AG4" s="128">
        <v>8</v>
      </c>
      <c r="AH4" s="49">
        <v>10</v>
      </c>
      <c r="AI4" s="49">
        <v>4</v>
      </c>
      <c r="AJ4" s="49">
        <v>9</v>
      </c>
      <c r="AK4" s="49">
        <v>9</v>
      </c>
      <c r="AL4" s="49">
        <v>7</v>
      </c>
      <c r="AM4" s="49">
        <v>8</v>
      </c>
      <c r="AN4" s="49">
        <v>8</v>
      </c>
      <c r="AO4" s="49">
        <v>6</v>
      </c>
      <c r="AP4" s="50">
        <v>0</v>
      </c>
      <c r="AQ4" s="56"/>
      <c r="AR4" s="57">
        <v>1</v>
      </c>
      <c r="AS4" s="57"/>
      <c r="AT4" s="57"/>
      <c r="AU4" s="57"/>
      <c r="AV4" s="57"/>
      <c r="AW4" s="129"/>
      <c r="AX4" s="129"/>
      <c r="AY4" s="129"/>
      <c r="AZ4" s="129"/>
      <c r="BA4" s="57"/>
      <c r="BB4" s="57">
        <v>1</v>
      </c>
      <c r="BC4" s="57"/>
      <c r="BD4" s="57"/>
      <c r="BE4" s="59"/>
      <c r="BF4" s="56">
        <v>372</v>
      </c>
      <c r="BG4" s="57">
        <v>1722</v>
      </c>
      <c r="BH4" s="57">
        <v>4</v>
      </c>
      <c r="BI4" s="57"/>
      <c r="BJ4" s="57">
        <v>75</v>
      </c>
      <c r="BK4" s="57">
        <v>26</v>
      </c>
      <c r="BL4" s="129"/>
      <c r="BM4" s="129">
        <v>106.2</v>
      </c>
      <c r="BN4" s="129">
        <v>3.04</v>
      </c>
      <c r="BO4" s="129">
        <v>18</v>
      </c>
      <c r="BP4" s="57">
        <v>24</v>
      </c>
      <c r="BQ4" s="57">
        <v>3820.7999999999997</v>
      </c>
      <c r="BR4" s="57">
        <v>8</v>
      </c>
      <c r="BS4" s="57">
        <v>0</v>
      </c>
      <c r="BT4" s="196"/>
      <c r="BU4" s="56">
        <v>863</v>
      </c>
      <c r="BV4" s="57">
        <v>1816.1</v>
      </c>
      <c r="BW4" s="57">
        <v>5</v>
      </c>
      <c r="BX4" s="57"/>
      <c r="BY4" s="57">
        <v>127</v>
      </c>
      <c r="BZ4" s="57">
        <v>46</v>
      </c>
      <c r="CA4" s="58">
        <v>6.7952755905511815</v>
      </c>
      <c r="CB4" s="57">
        <v>176.2</v>
      </c>
      <c r="CC4" s="58">
        <v>5.09</v>
      </c>
      <c r="CD4" s="129">
        <v>54.7</v>
      </c>
      <c r="CE4" s="57">
        <v>278</v>
      </c>
      <c r="CF4" s="57">
        <v>4007.9</v>
      </c>
      <c r="CG4" s="57">
        <v>26</v>
      </c>
      <c r="CH4" s="57">
        <v>1</v>
      </c>
      <c r="CI4" s="59"/>
      <c r="CJ4" s="56">
        <v>1060</v>
      </c>
      <c r="CK4" s="57">
        <v>1674</v>
      </c>
      <c r="CL4" s="57">
        <v>10</v>
      </c>
      <c r="CM4" s="57">
        <v>13.200000000000001</v>
      </c>
      <c r="CN4" s="57">
        <v>192</v>
      </c>
      <c r="CO4" s="57">
        <v>67</v>
      </c>
      <c r="CP4" s="58">
        <v>5.520833333333333</v>
      </c>
      <c r="CQ4" s="57">
        <v>153.4</v>
      </c>
      <c r="CR4" s="58">
        <v>4.34</v>
      </c>
      <c r="CS4" s="129">
        <v>35.4</v>
      </c>
      <c r="CT4" s="57">
        <v>177</v>
      </c>
      <c r="CU4" s="57">
        <v>3402.1</v>
      </c>
      <c r="CV4" s="57">
        <v>23</v>
      </c>
      <c r="CW4" s="57">
        <v>0</v>
      </c>
      <c r="CX4" s="59">
        <v>18</v>
      </c>
      <c r="CY4" s="56">
        <v>347</v>
      </c>
      <c r="CZ4" s="57">
        <v>825</v>
      </c>
      <c r="DA4" s="57"/>
      <c r="DB4" s="57"/>
      <c r="DC4" s="57">
        <v>51</v>
      </c>
      <c r="DD4" s="57">
        <v>16</v>
      </c>
      <c r="DE4" s="53">
        <v>6.8039215686274508</v>
      </c>
      <c r="DF4" s="57">
        <v>156.1</v>
      </c>
      <c r="DG4" s="58">
        <v>5.12</v>
      </c>
      <c r="DH4" s="58">
        <v>36.6</v>
      </c>
      <c r="DI4" s="57">
        <v>150</v>
      </c>
      <c r="DJ4" s="57">
        <v>828</v>
      </c>
      <c r="DK4" s="57">
        <v>9</v>
      </c>
      <c r="DL4" s="57"/>
      <c r="DM4" s="59"/>
      <c r="DO4" s="11">
        <v>2</v>
      </c>
      <c r="DP4" s="42" t="s">
        <v>390</v>
      </c>
      <c r="DQ4" s="7">
        <v>1</v>
      </c>
      <c r="DR4" s="130">
        <v>44809</v>
      </c>
    </row>
    <row r="5" spans="1:123" x14ac:dyDescent="0.2">
      <c r="A5" s="33">
        <v>3</v>
      </c>
      <c r="B5" s="34" t="s">
        <v>609</v>
      </c>
      <c r="C5" s="116">
        <v>10.588888888888889</v>
      </c>
      <c r="D5" s="117" t="s">
        <v>513</v>
      </c>
      <c r="E5" s="37">
        <v>2</v>
      </c>
      <c r="F5" s="118">
        <v>37990</v>
      </c>
      <c r="G5" s="119">
        <v>21.745205479452054</v>
      </c>
      <c r="H5" s="39" t="s">
        <v>389</v>
      </c>
      <c r="I5" s="39">
        <v>22.326027397260273</v>
      </c>
      <c r="J5" s="205">
        <v>72</v>
      </c>
      <c r="K5" s="205">
        <v>228</v>
      </c>
      <c r="L5" s="205">
        <v>4.33</v>
      </c>
      <c r="M5" s="194">
        <v>2</v>
      </c>
      <c r="N5" s="121">
        <v>0</v>
      </c>
      <c r="O5" s="122">
        <v>0.20259721827987515</v>
      </c>
      <c r="P5" s="122">
        <v>0.20394812791010891</v>
      </c>
      <c r="Q5" s="122">
        <v>0.21182700794351281</v>
      </c>
      <c r="R5" s="122">
        <v>0.16716641679160421</v>
      </c>
      <c r="S5" s="42">
        <v>0.1894967123675585</v>
      </c>
      <c r="T5" s="42">
        <v>0.1894967123675585</v>
      </c>
      <c r="U5" s="42">
        <v>0.10695187165775402</v>
      </c>
      <c r="V5" s="42">
        <v>6.0191518467852256E-2</v>
      </c>
      <c r="W5" s="210">
        <v>8.3571695062803139E-2</v>
      </c>
      <c r="X5" s="43">
        <v>8.3571695062803139E-2</v>
      </c>
      <c r="Y5" s="44">
        <v>18.682191780821917</v>
      </c>
      <c r="Z5" s="170">
        <v>129.72188692159159</v>
      </c>
      <c r="AA5" s="45">
        <v>30.918981481481481</v>
      </c>
      <c r="AB5" s="45">
        <v>0.21794871794871795</v>
      </c>
      <c r="AC5" s="45">
        <v>6.7756410256410255</v>
      </c>
      <c r="AD5" s="45">
        <v>98.8</v>
      </c>
      <c r="AE5" s="45">
        <v>3.46</v>
      </c>
      <c r="AF5" s="45">
        <v>38</v>
      </c>
      <c r="AG5" s="128">
        <v>3</v>
      </c>
      <c r="AH5" s="49">
        <v>8</v>
      </c>
      <c r="AI5" s="49">
        <v>9</v>
      </c>
      <c r="AJ5" s="49">
        <v>10</v>
      </c>
      <c r="AK5" s="49">
        <v>4</v>
      </c>
      <c r="AL5" s="49">
        <v>7</v>
      </c>
      <c r="AM5" s="49">
        <v>4</v>
      </c>
      <c r="AN5" s="49">
        <v>1</v>
      </c>
      <c r="AO5" s="49">
        <v>7</v>
      </c>
      <c r="AP5" s="50">
        <v>1</v>
      </c>
      <c r="AQ5" s="188"/>
      <c r="AR5" s="189">
        <v>1</v>
      </c>
      <c r="AS5" s="189"/>
      <c r="AT5" s="189"/>
      <c r="AU5" s="189"/>
      <c r="AV5" s="189"/>
      <c r="AW5" s="234"/>
      <c r="AX5" s="234"/>
      <c r="AY5" s="234"/>
      <c r="AZ5" s="234"/>
      <c r="BA5" s="189"/>
      <c r="BB5" s="189">
        <v>1</v>
      </c>
      <c r="BC5" s="189"/>
      <c r="BD5" s="189"/>
      <c r="BE5" s="190"/>
      <c r="BF5" s="188">
        <v>1057</v>
      </c>
      <c r="BG5" s="189">
        <v>2354.2999999999997</v>
      </c>
      <c r="BH5" s="189">
        <v>12</v>
      </c>
      <c r="BI5" s="189">
        <v>28.6</v>
      </c>
      <c r="BJ5" s="189">
        <v>156</v>
      </c>
      <c r="BK5" s="189">
        <v>34</v>
      </c>
      <c r="BL5" s="234">
        <v>6.7756410256410255</v>
      </c>
      <c r="BM5" s="234">
        <v>98.8</v>
      </c>
      <c r="BN5" s="234">
        <v>4.58</v>
      </c>
      <c r="BO5" s="234">
        <v>59.9</v>
      </c>
      <c r="BP5" s="189">
        <v>85</v>
      </c>
      <c r="BQ5" s="189">
        <v>3282.5</v>
      </c>
      <c r="BR5" s="189">
        <v>11</v>
      </c>
      <c r="BS5" s="189">
        <v>1</v>
      </c>
      <c r="BT5" s="198">
        <v>28.6</v>
      </c>
      <c r="BU5" s="188">
        <v>753</v>
      </c>
      <c r="BV5" s="189">
        <v>2402.4</v>
      </c>
      <c r="BW5" s="189">
        <v>8</v>
      </c>
      <c r="BX5" s="189">
        <v>26</v>
      </c>
      <c r="BY5" s="189">
        <v>171</v>
      </c>
      <c r="BZ5" s="189">
        <v>23</v>
      </c>
      <c r="CA5" s="191">
        <v>4.4035087719298245</v>
      </c>
      <c r="CB5" s="189">
        <v>37.5</v>
      </c>
      <c r="CC5" s="191">
        <v>2.84</v>
      </c>
      <c r="CD5" s="234">
        <v>22.4</v>
      </c>
      <c r="CE5" s="189">
        <v>307</v>
      </c>
      <c r="CF5" s="189">
        <v>2795</v>
      </c>
      <c r="CG5" s="189">
        <v>26</v>
      </c>
      <c r="CH5" s="189">
        <v>2</v>
      </c>
      <c r="CI5" s="190">
        <v>29.9</v>
      </c>
      <c r="CJ5" s="188">
        <v>740</v>
      </c>
      <c r="CK5" s="189">
        <v>2141.6999999999998</v>
      </c>
      <c r="CL5" s="189">
        <v>7</v>
      </c>
      <c r="CM5" s="189">
        <v>24.200000000000003</v>
      </c>
      <c r="CN5" s="189">
        <v>122</v>
      </c>
      <c r="CO5" s="189">
        <v>22</v>
      </c>
      <c r="CP5" s="191">
        <v>6.0655737704918034</v>
      </c>
      <c r="CQ5" s="189">
        <v>55.8</v>
      </c>
      <c r="CR5" s="191">
        <v>3.46</v>
      </c>
      <c r="CS5" s="234">
        <v>38</v>
      </c>
      <c r="CT5" s="189">
        <v>292</v>
      </c>
      <c r="CU5" s="189">
        <v>2730.2</v>
      </c>
      <c r="CV5" s="189">
        <v>33</v>
      </c>
      <c r="CW5" s="189">
        <v>4</v>
      </c>
      <c r="CX5" s="190">
        <v>22</v>
      </c>
      <c r="CY5" s="188">
        <v>179</v>
      </c>
      <c r="CZ5" s="189">
        <v>603</v>
      </c>
      <c r="DA5" s="189"/>
      <c r="DB5" s="189"/>
      <c r="DC5" s="189">
        <v>41</v>
      </c>
      <c r="DD5" s="189">
        <v>3</v>
      </c>
      <c r="DE5" s="53">
        <v>4.3658536585365857</v>
      </c>
      <c r="DF5" s="189">
        <v>15.4</v>
      </c>
      <c r="DG5" s="191">
        <v>2.37</v>
      </c>
      <c r="DH5" s="189">
        <v>8.9</v>
      </c>
      <c r="DI5" s="189">
        <v>44</v>
      </c>
      <c r="DJ5" s="189">
        <v>731</v>
      </c>
      <c r="DK5" s="189"/>
      <c r="DL5" s="189"/>
      <c r="DM5" s="190"/>
      <c r="DN5" s="171"/>
      <c r="DO5" s="5">
        <v>3</v>
      </c>
      <c r="DP5" s="42" t="s">
        <v>393</v>
      </c>
      <c r="DQ5" s="7">
        <v>0.9</v>
      </c>
      <c r="DR5" s="130">
        <v>45173</v>
      </c>
    </row>
    <row r="6" spans="1:123" x14ac:dyDescent="0.2">
      <c r="A6" s="33">
        <v>4</v>
      </c>
      <c r="B6" s="34" t="s">
        <v>606</v>
      </c>
      <c r="C6" s="116">
        <v>9.7333333333333325</v>
      </c>
      <c r="D6" s="117" t="s">
        <v>422</v>
      </c>
      <c r="E6" s="37">
        <v>2</v>
      </c>
      <c r="F6" s="118">
        <v>38533</v>
      </c>
      <c r="G6" s="119">
        <v>20.257534246575343</v>
      </c>
      <c r="H6" s="39" t="s">
        <v>385</v>
      </c>
      <c r="I6" s="39">
        <v>20.838356164383562</v>
      </c>
      <c r="J6" s="205">
        <v>72</v>
      </c>
      <c r="K6" s="205">
        <v>215</v>
      </c>
      <c r="L6" s="205">
        <v>4.54</v>
      </c>
      <c r="M6" s="194">
        <v>4</v>
      </c>
      <c r="N6" s="121">
        <v>0</v>
      </c>
      <c r="O6" s="122">
        <v>0</v>
      </c>
      <c r="P6" s="122">
        <v>0.49407333554890881</v>
      </c>
      <c r="Q6" s="122">
        <v>0.32958358002762983</v>
      </c>
      <c r="R6" s="122">
        <v>0.21593291404612158</v>
      </c>
      <c r="S6" s="42">
        <v>0.35500312479751517</v>
      </c>
      <c r="T6" s="42">
        <v>0.35500312479751517</v>
      </c>
      <c r="U6" s="42">
        <v>0.13088808880888089</v>
      </c>
      <c r="V6" s="42">
        <v>8.7040618955512572E-2</v>
      </c>
      <c r="W6" s="210">
        <v>0.10896435388219673</v>
      </c>
      <c r="X6" s="43">
        <v>0.10896435388219673</v>
      </c>
      <c r="Y6" s="44">
        <v>18.19178082191781</v>
      </c>
      <c r="Z6" s="170">
        <v>101.21503838570821</v>
      </c>
      <c r="AA6" s="45">
        <v>29.15605709876543</v>
      </c>
      <c r="AB6" s="45">
        <v>0.25362318840579712</v>
      </c>
      <c r="AC6" s="45">
        <v>5.7971014492753623</v>
      </c>
      <c r="AD6" s="45">
        <v>95.9</v>
      </c>
      <c r="AE6" s="45">
        <v>3.91</v>
      </c>
      <c r="AF6" s="45">
        <v>40.200000000000003</v>
      </c>
      <c r="AG6" s="128">
        <v>10</v>
      </c>
      <c r="AH6" s="49">
        <v>9</v>
      </c>
      <c r="AI6" s="49">
        <v>10</v>
      </c>
      <c r="AJ6" s="49">
        <v>6</v>
      </c>
      <c r="AK6" s="49">
        <v>6</v>
      </c>
      <c r="AL6" s="49">
        <v>3</v>
      </c>
      <c r="AM6" s="49">
        <v>4</v>
      </c>
      <c r="AN6" s="49">
        <v>4</v>
      </c>
      <c r="AO6" s="49">
        <v>4</v>
      </c>
      <c r="AP6" s="50">
        <v>0</v>
      </c>
      <c r="AQ6" s="188"/>
      <c r="AR6" s="189">
        <v>1</v>
      </c>
      <c r="AS6" s="189"/>
      <c r="AT6" s="189"/>
      <c r="AU6" s="189"/>
      <c r="AV6" s="189"/>
      <c r="AW6" s="234"/>
      <c r="AX6" s="234"/>
      <c r="AY6" s="234"/>
      <c r="AZ6" s="234"/>
      <c r="BA6" s="189"/>
      <c r="BB6" s="189">
        <v>1</v>
      </c>
      <c r="BC6" s="189"/>
      <c r="BD6" s="189"/>
      <c r="BE6" s="190"/>
      <c r="BF6" s="188"/>
      <c r="BG6" s="189">
        <v>1</v>
      </c>
      <c r="BH6" s="189"/>
      <c r="BI6" s="189"/>
      <c r="BJ6" s="189"/>
      <c r="BK6" s="189"/>
      <c r="BL6" s="234"/>
      <c r="BM6" s="234"/>
      <c r="BN6" s="234"/>
      <c r="BO6" s="234"/>
      <c r="BP6" s="189"/>
      <c r="BQ6" s="189">
        <v>1</v>
      </c>
      <c r="BR6" s="189"/>
      <c r="BS6" s="189"/>
      <c r="BT6" s="198"/>
      <c r="BU6" s="188">
        <v>800</v>
      </c>
      <c r="BV6" s="189">
        <v>945</v>
      </c>
      <c r="BW6" s="189">
        <v>5</v>
      </c>
      <c r="BX6" s="189">
        <v>6</v>
      </c>
      <c r="BY6" s="189">
        <v>138</v>
      </c>
      <c r="BZ6" s="189">
        <v>35</v>
      </c>
      <c r="CA6" s="191">
        <v>5.7971014492753623</v>
      </c>
      <c r="CB6" s="189">
        <v>95.9</v>
      </c>
      <c r="CC6" s="191">
        <v>3.76</v>
      </c>
      <c r="CD6" s="234">
        <v>35.1</v>
      </c>
      <c r="CE6" s="189">
        <v>92</v>
      </c>
      <c r="CF6" s="189">
        <v>860.40000000000009</v>
      </c>
      <c r="CG6" s="189">
        <v>11</v>
      </c>
      <c r="CH6" s="189">
        <v>0</v>
      </c>
      <c r="CI6" s="190">
        <v>7.1999999999999993</v>
      </c>
      <c r="CJ6" s="188">
        <v>987</v>
      </c>
      <c r="CK6" s="189">
        <v>1387.1999999999998</v>
      </c>
      <c r="CL6" s="189">
        <v>10</v>
      </c>
      <c r="CM6" s="189">
        <v>16.799999999999997</v>
      </c>
      <c r="CN6" s="189">
        <v>204</v>
      </c>
      <c r="CO6" s="189">
        <v>46</v>
      </c>
      <c r="CP6" s="191">
        <v>4.8382352941176467</v>
      </c>
      <c r="CQ6" s="189">
        <v>86.4</v>
      </c>
      <c r="CR6" s="191">
        <v>3.91</v>
      </c>
      <c r="CS6" s="234">
        <v>40.200000000000003</v>
      </c>
      <c r="CT6" s="189">
        <v>349</v>
      </c>
      <c r="CU6" s="189">
        <v>2666.3999999999996</v>
      </c>
      <c r="CV6" s="189">
        <v>54</v>
      </c>
      <c r="CW6" s="189">
        <v>2</v>
      </c>
      <c r="CX6" s="190">
        <v>18</v>
      </c>
      <c r="CY6" s="188">
        <v>161</v>
      </c>
      <c r="CZ6" s="189">
        <v>437</v>
      </c>
      <c r="DA6" s="189"/>
      <c r="DB6" s="189"/>
      <c r="DC6" s="189">
        <v>33</v>
      </c>
      <c r="DD6" s="189">
        <v>7</v>
      </c>
      <c r="DE6" s="53">
        <v>4.8787878787878789</v>
      </c>
      <c r="DF6" s="189">
        <v>78.099999999999994</v>
      </c>
      <c r="DG6" s="191">
        <v>2.7</v>
      </c>
      <c r="DH6" s="189">
        <v>21.7</v>
      </c>
      <c r="DI6" s="189">
        <v>45</v>
      </c>
      <c r="DJ6" s="189">
        <v>517</v>
      </c>
      <c r="DK6" s="189">
        <v>5</v>
      </c>
      <c r="DL6" s="189"/>
      <c r="DM6" s="190"/>
      <c r="DO6" s="5">
        <v>4</v>
      </c>
      <c r="DP6" s="42" t="s">
        <v>396</v>
      </c>
      <c r="DQ6" s="7">
        <v>0.9</v>
      </c>
      <c r="DR6" s="127">
        <v>45536</v>
      </c>
    </row>
    <row r="7" spans="1:123" x14ac:dyDescent="0.2">
      <c r="A7" s="33">
        <v>5</v>
      </c>
      <c r="B7" s="34" t="s">
        <v>612</v>
      </c>
      <c r="C7" s="116">
        <v>9.6499999999999986</v>
      </c>
      <c r="D7" s="117" t="s">
        <v>513</v>
      </c>
      <c r="E7" s="37">
        <v>2</v>
      </c>
      <c r="F7" s="118">
        <v>37629</v>
      </c>
      <c r="G7" s="119">
        <v>22.734246575342464</v>
      </c>
      <c r="H7" s="39" t="s">
        <v>389</v>
      </c>
      <c r="I7" s="39">
        <v>23.315068493150687</v>
      </c>
      <c r="J7" s="205">
        <v>71</v>
      </c>
      <c r="K7" s="205">
        <v>225</v>
      </c>
      <c r="L7" s="205">
        <v>4.55</v>
      </c>
      <c r="M7" s="213">
        <v>5</v>
      </c>
      <c r="N7" s="121">
        <v>0</v>
      </c>
      <c r="O7" s="122">
        <v>0.18675992827850665</v>
      </c>
      <c r="P7" s="122">
        <v>0.18855581636972335</v>
      </c>
      <c r="Q7" s="122">
        <v>0.14958229848724319</v>
      </c>
      <c r="R7" s="122">
        <v>0.20839580209895053</v>
      </c>
      <c r="S7" s="42">
        <v>0.20839580209895053</v>
      </c>
      <c r="T7" s="42">
        <v>0.20839580209895053</v>
      </c>
      <c r="U7" s="42">
        <v>3.4918076819769009E-2</v>
      </c>
      <c r="V7" s="42">
        <v>6.8399452804377564E-3</v>
      </c>
      <c r="W7" s="210">
        <v>2.0879011050103383E-2</v>
      </c>
      <c r="X7" s="43">
        <v>2.0879011050103383E-2</v>
      </c>
      <c r="Y7" s="44">
        <v>19.671232876712327</v>
      </c>
      <c r="Z7" s="170">
        <v>104.99459124737966</v>
      </c>
      <c r="AA7" s="45">
        <v>31.377702836738742</v>
      </c>
      <c r="AB7" s="45">
        <v>0.41176470588235292</v>
      </c>
      <c r="AC7" s="45">
        <v>8.0294117647058822</v>
      </c>
      <c r="AD7" s="45">
        <v>236.6</v>
      </c>
      <c r="AE7" s="45">
        <v>5.47</v>
      </c>
      <c r="AF7" s="45">
        <v>50.2</v>
      </c>
      <c r="AG7" s="128">
        <v>4</v>
      </c>
      <c r="AH7" s="49">
        <v>2</v>
      </c>
      <c r="AI7" s="49">
        <v>6</v>
      </c>
      <c r="AJ7" s="49">
        <v>7</v>
      </c>
      <c r="AK7" s="49">
        <v>10</v>
      </c>
      <c r="AL7" s="49">
        <v>9</v>
      </c>
      <c r="AM7" s="49">
        <v>10</v>
      </c>
      <c r="AN7" s="49">
        <v>9</v>
      </c>
      <c r="AO7" s="49">
        <v>3</v>
      </c>
      <c r="AP7" s="214">
        <v>1</v>
      </c>
      <c r="AQ7" s="188"/>
      <c r="AR7" s="189">
        <v>1</v>
      </c>
      <c r="AS7" s="189"/>
      <c r="AT7" s="189"/>
      <c r="AU7" s="189"/>
      <c r="AV7" s="189"/>
      <c r="AW7" s="234"/>
      <c r="AX7" s="234"/>
      <c r="AY7" s="234"/>
      <c r="AZ7" s="234"/>
      <c r="BA7" s="189"/>
      <c r="BB7" s="189">
        <v>1</v>
      </c>
      <c r="BC7" s="189"/>
      <c r="BD7" s="189"/>
      <c r="BE7" s="190"/>
      <c r="BF7" s="188">
        <v>864</v>
      </c>
      <c r="BG7" s="189">
        <v>2354.2999999999997</v>
      </c>
      <c r="BH7" s="189">
        <v>10</v>
      </c>
      <c r="BI7" s="189">
        <v>28.6</v>
      </c>
      <c r="BJ7" s="189">
        <v>167</v>
      </c>
      <c r="BK7" s="189">
        <v>45</v>
      </c>
      <c r="BL7" s="234">
        <v>5.1736526946107784</v>
      </c>
      <c r="BM7" s="234">
        <v>81</v>
      </c>
      <c r="BN7" s="234">
        <v>3.03</v>
      </c>
      <c r="BO7" s="234">
        <v>25.7</v>
      </c>
      <c r="BP7" s="189">
        <v>188</v>
      </c>
      <c r="BQ7" s="189">
        <v>3278.6</v>
      </c>
      <c r="BR7" s="189">
        <v>20</v>
      </c>
      <c r="BS7" s="189">
        <v>1</v>
      </c>
      <c r="BT7" s="198">
        <v>28.6</v>
      </c>
      <c r="BU7" s="188">
        <v>899</v>
      </c>
      <c r="BV7" s="189">
        <v>2402.4</v>
      </c>
      <c r="BW7" s="189">
        <v>6</v>
      </c>
      <c r="BX7" s="189">
        <v>26</v>
      </c>
      <c r="BY7" s="189">
        <v>172</v>
      </c>
      <c r="BZ7" s="189">
        <v>37</v>
      </c>
      <c r="CA7" s="191">
        <v>5.2267441860465116</v>
      </c>
      <c r="CB7" s="189">
        <v>76.5</v>
      </c>
      <c r="CC7" s="191">
        <v>3.23</v>
      </c>
      <c r="CD7" s="234">
        <v>30.4</v>
      </c>
      <c r="CE7" s="189">
        <v>81</v>
      </c>
      <c r="CF7" s="189">
        <v>2795</v>
      </c>
      <c r="CG7" s="189">
        <v>14</v>
      </c>
      <c r="CH7" s="189">
        <v>1</v>
      </c>
      <c r="CI7" s="190">
        <v>29.9</v>
      </c>
      <c r="CJ7" s="188">
        <v>691</v>
      </c>
      <c r="CK7" s="189">
        <v>2336.3999999999996</v>
      </c>
      <c r="CL7" s="189">
        <v>5</v>
      </c>
      <c r="CM7" s="189">
        <v>26.400000000000002</v>
      </c>
      <c r="CN7" s="189">
        <v>158</v>
      </c>
      <c r="CO7" s="189">
        <v>26</v>
      </c>
      <c r="CP7" s="191">
        <v>4.3734177215189876</v>
      </c>
      <c r="CQ7" s="189">
        <v>46.5</v>
      </c>
      <c r="CR7" s="191">
        <v>2.73</v>
      </c>
      <c r="CS7" s="234">
        <v>16.2</v>
      </c>
      <c r="CT7" s="189">
        <v>104</v>
      </c>
      <c r="CU7" s="189">
        <v>2978.3999999999996</v>
      </c>
      <c r="CV7" s="189">
        <v>12</v>
      </c>
      <c r="CW7" s="189">
        <v>2</v>
      </c>
      <c r="CX7" s="190">
        <v>24</v>
      </c>
      <c r="CY7" s="188">
        <v>273</v>
      </c>
      <c r="CZ7" s="189">
        <v>603</v>
      </c>
      <c r="DA7" s="189"/>
      <c r="DB7" s="189"/>
      <c r="DC7" s="189">
        <v>34</v>
      </c>
      <c r="DD7" s="189">
        <v>14</v>
      </c>
      <c r="DE7" s="53">
        <v>8.0294117647058822</v>
      </c>
      <c r="DF7" s="189">
        <v>236.6</v>
      </c>
      <c r="DG7" s="191">
        <v>5.47</v>
      </c>
      <c r="DH7" s="189">
        <v>50.2</v>
      </c>
      <c r="DI7" s="189">
        <v>5</v>
      </c>
      <c r="DJ7" s="189">
        <v>731</v>
      </c>
      <c r="DK7" s="189">
        <v>3</v>
      </c>
      <c r="DL7" s="189"/>
      <c r="DM7" s="190"/>
      <c r="DO7" s="5">
        <v>5</v>
      </c>
      <c r="DP7" s="42" t="s">
        <v>399</v>
      </c>
      <c r="DQ7" s="7">
        <v>0.85</v>
      </c>
      <c r="DR7" s="127">
        <v>45901</v>
      </c>
    </row>
    <row r="8" spans="1:123" x14ac:dyDescent="0.2">
      <c r="A8" s="33">
        <v>6</v>
      </c>
      <c r="B8" s="34" t="s">
        <v>615</v>
      </c>
      <c r="C8" s="116">
        <v>9.5333333333333332</v>
      </c>
      <c r="D8" s="117" t="s">
        <v>511</v>
      </c>
      <c r="E8" s="37">
        <v>2</v>
      </c>
      <c r="F8" s="118">
        <v>38222</v>
      </c>
      <c r="G8" s="119">
        <v>21.109589041095891</v>
      </c>
      <c r="H8" s="39" t="s">
        <v>385</v>
      </c>
      <c r="I8" s="39">
        <v>21.69041095890411</v>
      </c>
      <c r="J8" s="205">
        <v>71</v>
      </c>
      <c r="K8" s="205">
        <v>210</v>
      </c>
      <c r="L8" s="205">
        <v>4.49</v>
      </c>
      <c r="M8" s="213">
        <v>3</v>
      </c>
      <c r="N8" s="121">
        <v>0</v>
      </c>
      <c r="O8" s="122">
        <v>0</v>
      </c>
      <c r="P8" s="122">
        <v>3.2883147386964177E-2</v>
      </c>
      <c r="Q8" s="122">
        <v>0.10949943117178611</v>
      </c>
      <c r="R8" s="122">
        <v>0.32250712250712249</v>
      </c>
      <c r="S8" s="42">
        <v>0.32250712250712249</v>
      </c>
      <c r="T8" s="42">
        <v>0.32250712250712249</v>
      </c>
      <c r="U8" s="42">
        <v>3.4898477157360407E-2</v>
      </c>
      <c r="V8" s="42">
        <v>3.9563437926330151E-2</v>
      </c>
      <c r="W8" s="210">
        <v>3.9563437926330151E-2</v>
      </c>
      <c r="X8" s="43">
        <v>3.9563437926330151E-2</v>
      </c>
      <c r="Y8" s="44">
        <v>21.038356164383561</v>
      </c>
      <c r="Z8" s="170">
        <v>103.33892189968716</v>
      </c>
      <c r="AA8" s="45">
        <v>29.28585598095616</v>
      </c>
      <c r="AB8" s="45">
        <v>0.22727272727272727</v>
      </c>
      <c r="AC8" s="45">
        <v>8.1363636363636367</v>
      </c>
      <c r="AD8" s="45">
        <v>125.7</v>
      </c>
      <c r="AE8" s="45">
        <v>4.71</v>
      </c>
      <c r="AF8" s="45">
        <v>59.4</v>
      </c>
      <c r="AG8" s="128">
        <v>8</v>
      </c>
      <c r="AH8" s="49">
        <v>4</v>
      </c>
      <c r="AI8" s="49">
        <v>3</v>
      </c>
      <c r="AJ8" s="49">
        <v>7</v>
      </c>
      <c r="AK8" s="49">
        <v>5</v>
      </c>
      <c r="AL8" s="49">
        <v>9</v>
      </c>
      <c r="AM8" s="49">
        <v>6</v>
      </c>
      <c r="AN8" s="49">
        <v>7</v>
      </c>
      <c r="AO8" s="49">
        <v>6</v>
      </c>
      <c r="AP8" s="214">
        <v>0</v>
      </c>
      <c r="AQ8" s="188"/>
      <c r="AR8" s="189">
        <v>1</v>
      </c>
      <c r="AS8" s="189"/>
      <c r="AT8" s="189"/>
      <c r="AU8" s="189"/>
      <c r="AV8" s="189"/>
      <c r="AW8" s="234"/>
      <c r="AX8" s="234"/>
      <c r="AY8" s="234"/>
      <c r="AZ8" s="234"/>
      <c r="BA8" s="189"/>
      <c r="BB8" s="189">
        <v>1</v>
      </c>
      <c r="BC8" s="189"/>
      <c r="BD8" s="189"/>
      <c r="BE8" s="190"/>
      <c r="BF8" s="188"/>
      <c r="BG8" s="189">
        <v>1</v>
      </c>
      <c r="BH8" s="189"/>
      <c r="BI8" s="189"/>
      <c r="BJ8" s="189"/>
      <c r="BK8" s="189"/>
      <c r="BL8" s="234"/>
      <c r="BM8" s="234"/>
      <c r="BN8" s="234"/>
      <c r="BO8" s="234"/>
      <c r="BP8" s="189"/>
      <c r="BQ8" s="189">
        <v>1</v>
      </c>
      <c r="BR8" s="189"/>
      <c r="BS8" s="189"/>
      <c r="BT8" s="198"/>
      <c r="BU8" s="188">
        <v>168</v>
      </c>
      <c r="BV8" s="189">
        <v>2243.7999999999997</v>
      </c>
      <c r="BW8" s="189">
        <v>2</v>
      </c>
      <c r="BX8" s="189">
        <v>29.9</v>
      </c>
      <c r="BY8" s="189">
        <v>25</v>
      </c>
      <c r="BZ8" s="189">
        <v>6</v>
      </c>
      <c r="CA8" s="191">
        <v>6.72</v>
      </c>
      <c r="CB8" s="189">
        <v>91.2</v>
      </c>
      <c r="CC8" s="191">
        <v>3.8</v>
      </c>
      <c r="CD8" s="234">
        <v>38.1</v>
      </c>
      <c r="CE8" s="189"/>
      <c r="CF8" s="189">
        <v>2865.2000000000003</v>
      </c>
      <c r="CG8" s="189"/>
      <c r="CH8" s="189"/>
      <c r="CI8" s="190"/>
      <c r="CJ8" s="188">
        <v>440</v>
      </c>
      <c r="CK8" s="189">
        <v>2085.6000000000004</v>
      </c>
      <c r="CL8" s="189">
        <v>7</v>
      </c>
      <c r="CM8" s="189">
        <v>38.400000000000006</v>
      </c>
      <c r="CN8" s="189">
        <v>78</v>
      </c>
      <c r="CO8" s="189">
        <v>14</v>
      </c>
      <c r="CP8" s="191">
        <v>5.6410256410256414</v>
      </c>
      <c r="CQ8" s="189">
        <v>60.7</v>
      </c>
      <c r="CR8" s="191">
        <v>3.21</v>
      </c>
      <c r="CS8" s="234">
        <v>45.5</v>
      </c>
      <c r="CT8" s="189">
        <v>99</v>
      </c>
      <c r="CU8" s="189">
        <v>2836.8</v>
      </c>
      <c r="CV8" s="189">
        <v>17</v>
      </c>
      <c r="CW8" s="189">
        <v>0</v>
      </c>
      <c r="CX8" s="190">
        <v>15.600000000000001</v>
      </c>
      <c r="CY8" s="188">
        <v>537</v>
      </c>
      <c r="CZ8" s="189">
        <v>1022</v>
      </c>
      <c r="DA8" s="189"/>
      <c r="DB8" s="189"/>
      <c r="DC8" s="189">
        <v>66</v>
      </c>
      <c r="DD8" s="189">
        <v>15</v>
      </c>
      <c r="DE8" s="53">
        <v>8.1363636363636367</v>
      </c>
      <c r="DF8" s="189">
        <v>125.7</v>
      </c>
      <c r="DG8" s="191">
        <v>4.71</v>
      </c>
      <c r="DH8" s="191">
        <v>59.4</v>
      </c>
      <c r="DI8" s="189">
        <v>29</v>
      </c>
      <c r="DJ8" s="189">
        <v>733</v>
      </c>
      <c r="DK8" s="189">
        <v>11</v>
      </c>
      <c r="DL8" s="189"/>
      <c r="DM8" s="190"/>
      <c r="DO8" s="5">
        <v>6</v>
      </c>
      <c r="DP8" s="42" t="s">
        <v>402</v>
      </c>
      <c r="DQ8" s="7">
        <v>0.75</v>
      </c>
    </row>
    <row r="9" spans="1:123" x14ac:dyDescent="0.2">
      <c r="A9" s="33">
        <v>7</v>
      </c>
      <c r="B9" s="34" t="s">
        <v>643</v>
      </c>
      <c r="C9" s="116">
        <v>7.916666666666667</v>
      </c>
      <c r="D9" s="117" t="s">
        <v>449</v>
      </c>
      <c r="E9" s="37">
        <v>2</v>
      </c>
      <c r="F9" s="118">
        <v>37903</v>
      </c>
      <c r="G9" s="119">
        <v>21.983561643835618</v>
      </c>
      <c r="H9" s="39" t="s">
        <v>498</v>
      </c>
      <c r="I9" s="39">
        <v>22.564383561643837</v>
      </c>
      <c r="J9" s="205">
        <v>71</v>
      </c>
      <c r="K9" s="205">
        <v>210</v>
      </c>
      <c r="L9" s="205">
        <v>4.41</v>
      </c>
      <c r="M9" s="213">
        <v>3</v>
      </c>
      <c r="N9" s="121">
        <v>0</v>
      </c>
      <c r="O9" s="122">
        <v>0</v>
      </c>
      <c r="P9" s="122">
        <v>5.8741502527453374E-2</v>
      </c>
      <c r="Q9" s="122">
        <v>0.11612505775450485</v>
      </c>
      <c r="R9" s="122">
        <v>0.13965646004480955</v>
      </c>
      <c r="S9" s="42">
        <v>0.1278907588996572</v>
      </c>
      <c r="T9" s="42">
        <v>0.1278907588996572</v>
      </c>
      <c r="U9" s="42">
        <v>3.1545741324921135E-3</v>
      </c>
      <c r="V9" s="42">
        <v>0</v>
      </c>
      <c r="W9" s="210">
        <v>3.1545741324921135E-3</v>
      </c>
      <c r="X9" s="43">
        <v>3.1545741324921135E-3</v>
      </c>
      <c r="Y9" s="44" t="s">
        <v>645</v>
      </c>
      <c r="Z9" s="170">
        <v>111.0439578328315</v>
      </c>
      <c r="AA9" s="45">
        <v>29.28585598095616</v>
      </c>
      <c r="AB9" s="45">
        <v>0.25925925925925924</v>
      </c>
      <c r="AC9" s="45">
        <v>6.9259259259259256</v>
      </c>
      <c r="AD9" s="45">
        <v>97.3</v>
      </c>
      <c r="AE9" s="45">
        <v>4.5</v>
      </c>
      <c r="AF9" s="45">
        <v>58.3</v>
      </c>
      <c r="AG9" s="128">
        <v>1</v>
      </c>
      <c r="AH9" s="49">
        <v>0</v>
      </c>
      <c r="AI9" s="49">
        <v>0</v>
      </c>
      <c r="AJ9" s="49">
        <v>9</v>
      </c>
      <c r="AK9" s="49">
        <v>6</v>
      </c>
      <c r="AL9" s="49">
        <v>7</v>
      </c>
      <c r="AM9" s="49">
        <v>4</v>
      </c>
      <c r="AN9" s="49">
        <v>7</v>
      </c>
      <c r="AO9" s="49">
        <v>6</v>
      </c>
      <c r="AP9" s="214">
        <v>1</v>
      </c>
      <c r="AQ9" s="188"/>
      <c r="AR9" s="189">
        <v>1</v>
      </c>
      <c r="AS9" s="189"/>
      <c r="AT9" s="189"/>
      <c r="AU9" s="189"/>
      <c r="AV9" s="189"/>
      <c r="AW9" s="234"/>
      <c r="AX9" s="234"/>
      <c r="AY9" s="234"/>
      <c r="AZ9" s="234"/>
      <c r="BA9" s="189"/>
      <c r="BB9" s="189">
        <v>1</v>
      </c>
      <c r="BC9" s="189"/>
      <c r="BD9" s="189"/>
      <c r="BE9" s="190"/>
      <c r="BF9" s="188"/>
      <c r="BG9" s="189">
        <v>1</v>
      </c>
      <c r="BH9" s="189"/>
      <c r="BI9" s="189"/>
      <c r="BJ9" s="189"/>
      <c r="BK9" s="189"/>
      <c r="BL9" s="234"/>
      <c r="BM9" s="234"/>
      <c r="BN9" s="234"/>
      <c r="BO9" s="234"/>
      <c r="BP9" s="189"/>
      <c r="BQ9" s="189">
        <v>1</v>
      </c>
      <c r="BR9" s="189"/>
      <c r="BS9" s="189"/>
      <c r="BT9" s="198"/>
      <c r="BU9" s="188">
        <v>272</v>
      </c>
      <c r="BV9" s="189">
        <v>2532</v>
      </c>
      <c r="BW9" s="189">
        <v>3</v>
      </c>
      <c r="BX9" s="189">
        <v>28</v>
      </c>
      <c r="BY9" s="189">
        <v>47</v>
      </c>
      <c r="BZ9" s="189">
        <v>14</v>
      </c>
      <c r="CA9" s="191">
        <v>5.7872340425531918</v>
      </c>
      <c r="CB9" s="189">
        <v>140.80000000000001</v>
      </c>
      <c r="CC9" s="191">
        <v>4.57</v>
      </c>
      <c r="CD9" s="234">
        <v>47.4</v>
      </c>
      <c r="CE9" s="189">
        <v>65</v>
      </c>
      <c r="CF9" s="189">
        <v>3205</v>
      </c>
      <c r="CG9" s="189">
        <v>5</v>
      </c>
      <c r="CH9" s="189">
        <v>1</v>
      </c>
      <c r="CI9" s="190">
        <v>31</v>
      </c>
      <c r="CJ9" s="188">
        <v>744</v>
      </c>
      <c r="CK9" s="189">
        <v>3323</v>
      </c>
      <c r="CL9" s="189">
        <v>7</v>
      </c>
      <c r="CM9" s="189">
        <v>45</v>
      </c>
      <c r="CN9" s="189">
        <v>121</v>
      </c>
      <c r="CO9" s="189">
        <v>27</v>
      </c>
      <c r="CP9" s="191">
        <v>6.1487603305785123</v>
      </c>
      <c r="CQ9" s="189">
        <v>97.3</v>
      </c>
      <c r="CR9" s="191">
        <v>4.5</v>
      </c>
      <c r="CS9" s="234">
        <v>58.3</v>
      </c>
      <c r="CT9" s="189">
        <v>10</v>
      </c>
      <c r="CU9" s="189">
        <v>3170</v>
      </c>
      <c r="CV9" s="189">
        <v>4</v>
      </c>
      <c r="CW9" s="189">
        <v>0</v>
      </c>
      <c r="CX9" s="190">
        <v>24</v>
      </c>
      <c r="CY9" s="188">
        <v>187</v>
      </c>
      <c r="CZ9" s="189">
        <v>544</v>
      </c>
      <c r="DA9" s="189"/>
      <c r="DB9" s="189"/>
      <c r="DC9" s="189">
        <v>27</v>
      </c>
      <c r="DD9" s="189">
        <v>7</v>
      </c>
      <c r="DE9" s="53">
        <v>6.9259259259259256</v>
      </c>
      <c r="DF9" s="189">
        <v>83.5</v>
      </c>
      <c r="DG9" s="191">
        <v>3.22</v>
      </c>
      <c r="DH9" s="191">
        <v>49.2</v>
      </c>
      <c r="DI9" s="189">
        <v>0</v>
      </c>
      <c r="DJ9" s="189">
        <v>795</v>
      </c>
      <c r="DK9" s="189">
        <v>0</v>
      </c>
      <c r="DL9" s="189"/>
      <c r="DM9" s="190"/>
      <c r="DO9" s="5">
        <v>7</v>
      </c>
      <c r="DP9" s="42" t="s">
        <v>405</v>
      </c>
      <c r="DQ9" s="7">
        <v>0.75</v>
      </c>
    </row>
    <row r="10" spans="1:123" x14ac:dyDescent="0.2">
      <c r="A10" s="33">
        <v>8</v>
      </c>
      <c r="B10" s="34" t="s">
        <v>610</v>
      </c>
      <c r="C10" s="116">
        <v>7.7333333333333334</v>
      </c>
      <c r="D10" s="117" t="s">
        <v>441</v>
      </c>
      <c r="E10" s="37">
        <v>1</v>
      </c>
      <c r="F10" s="118">
        <v>37575</v>
      </c>
      <c r="G10" s="119">
        <v>22.882191780821916</v>
      </c>
      <c r="H10" s="39" t="s">
        <v>389</v>
      </c>
      <c r="I10" s="39">
        <v>23.463013698630139</v>
      </c>
      <c r="J10" s="205">
        <v>72</v>
      </c>
      <c r="K10" s="205">
        <v>215</v>
      </c>
      <c r="L10" s="205">
        <v>4.34</v>
      </c>
      <c r="M10" s="213">
        <v>4</v>
      </c>
      <c r="N10" s="121">
        <v>0</v>
      </c>
      <c r="O10" s="122">
        <v>4.8291968491469738E-2</v>
      </c>
      <c r="P10" s="122">
        <v>0.15506415506415505</v>
      </c>
      <c r="Q10" s="122">
        <v>0.24779584907726851</v>
      </c>
      <c r="R10" s="122">
        <v>0.11393273850377487</v>
      </c>
      <c r="S10" s="42">
        <v>0.18086429379052169</v>
      </c>
      <c r="T10" s="42">
        <v>0.18086429379052169</v>
      </c>
      <c r="U10" s="42">
        <v>7.3968404924182385E-2</v>
      </c>
      <c r="V10" s="42">
        <v>-2.0618556701030928E-3</v>
      </c>
      <c r="W10" s="210">
        <v>3.5953274627039643E-2</v>
      </c>
      <c r="X10" s="43">
        <v>3.5953274627039643E-2</v>
      </c>
      <c r="Y10" s="44">
        <v>20.816438356164383</v>
      </c>
      <c r="Z10" s="170">
        <v>121.20193056063277</v>
      </c>
      <c r="AA10" s="45">
        <v>29.15605709876543</v>
      </c>
      <c r="AB10" s="45">
        <v>0.22916666666666666</v>
      </c>
      <c r="AC10" s="45">
        <v>6.3223140495867769</v>
      </c>
      <c r="AD10" s="45">
        <v>90.8</v>
      </c>
      <c r="AE10" s="45">
        <v>4.4000000000000004</v>
      </c>
      <c r="AF10" s="45">
        <v>39</v>
      </c>
      <c r="AG10" s="128">
        <v>3</v>
      </c>
      <c r="AH10" s="49">
        <v>3</v>
      </c>
      <c r="AI10" s="49">
        <v>3</v>
      </c>
      <c r="AJ10" s="49">
        <v>10</v>
      </c>
      <c r="AK10" s="49">
        <v>5</v>
      </c>
      <c r="AL10" s="49">
        <v>5</v>
      </c>
      <c r="AM10" s="49">
        <v>3</v>
      </c>
      <c r="AN10" s="49">
        <v>6</v>
      </c>
      <c r="AO10" s="49">
        <v>4</v>
      </c>
      <c r="AP10" s="214">
        <v>1</v>
      </c>
      <c r="AQ10" s="188"/>
      <c r="AR10" s="189">
        <v>1</v>
      </c>
      <c r="AS10" s="189"/>
      <c r="AT10" s="189"/>
      <c r="AU10" s="189"/>
      <c r="AV10" s="189"/>
      <c r="AW10" s="234"/>
      <c r="AX10" s="234"/>
      <c r="AY10" s="234"/>
      <c r="AZ10" s="234"/>
      <c r="BA10" s="189"/>
      <c r="BB10" s="189">
        <v>1</v>
      </c>
      <c r="BC10" s="189"/>
      <c r="BD10" s="189"/>
      <c r="BE10" s="190"/>
      <c r="BF10" s="188">
        <v>114</v>
      </c>
      <c r="BG10" s="189">
        <v>990.5</v>
      </c>
      <c r="BH10" s="189">
        <v>1</v>
      </c>
      <c r="BI10" s="189"/>
      <c r="BJ10" s="189">
        <v>27</v>
      </c>
      <c r="BK10" s="189">
        <v>5</v>
      </c>
      <c r="BL10" s="234"/>
      <c r="BM10" s="234">
        <v>27.5</v>
      </c>
      <c r="BN10" s="234">
        <v>3.22</v>
      </c>
      <c r="BO10" s="234">
        <v>20.2</v>
      </c>
      <c r="BP10" s="189">
        <v>8</v>
      </c>
      <c r="BQ10" s="189">
        <v>1535.8</v>
      </c>
      <c r="BR10" s="189">
        <v>1</v>
      </c>
      <c r="BS10" s="189">
        <v>0</v>
      </c>
      <c r="BT10" s="198"/>
      <c r="BU10" s="188">
        <v>484</v>
      </c>
      <c r="BV10" s="189">
        <v>1225.8</v>
      </c>
      <c r="BW10" s="189">
        <v>5</v>
      </c>
      <c r="BX10" s="189"/>
      <c r="BY10" s="189">
        <v>96</v>
      </c>
      <c r="BZ10" s="189">
        <v>22</v>
      </c>
      <c r="CA10" s="191">
        <v>5.041666666666667</v>
      </c>
      <c r="CB10" s="189">
        <v>67.3</v>
      </c>
      <c r="CC10" s="191">
        <v>3</v>
      </c>
      <c r="CD10" s="234">
        <v>24.2</v>
      </c>
      <c r="CE10" s="189">
        <v>84</v>
      </c>
      <c r="CF10" s="189">
        <v>2437.2000000000003</v>
      </c>
      <c r="CG10" s="189">
        <v>11</v>
      </c>
      <c r="CH10" s="189">
        <v>0</v>
      </c>
      <c r="CI10" s="190"/>
      <c r="CJ10" s="188">
        <v>765</v>
      </c>
      <c r="CK10" s="189">
        <v>1759.5</v>
      </c>
      <c r="CL10" s="189">
        <v>10</v>
      </c>
      <c r="CM10" s="189">
        <v>19.8</v>
      </c>
      <c r="CN10" s="189">
        <v>121</v>
      </c>
      <c r="CO10" s="189">
        <v>24</v>
      </c>
      <c r="CP10" s="191">
        <v>6.3223140495867769</v>
      </c>
      <c r="CQ10" s="189">
        <v>90.8</v>
      </c>
      <c r="CR10" s="191">
        <v>4.4000000000000004</v>
      </c>
      <c r="CS10" s="234">
        <v>39</v>
      </c>
      <c r="CT10" s="189">
        <v>140</v>
      </c>
      <c r="CU10" s="189">
        <v>1892.7</v>
      </c>
      <c r="CV10" s="189">
        <v>10</v>
      </c>
      <c r="CW10" s="189">
        <v>0</v>
      </c>
      <c r="CX10" s="190">
        <v>11.700000000000001</v>
      </c>
      <c r="CY10" s="188">
        <v>168</v>
      </c>
      <c r="CZ10" s="189">
        <v>487</v>
      </c>
      <c r="DA10" s="189"/>
      <c r="DB10" s="189"/>
      <c r="DC10" s="189">
        <v>33</v>
      </c>
      <c r="DD10" s="189">
        <v>4</v>
      </c>
      <c r="DE10" s="53">
        <v>5.0909090909090908</v>
      </c>
      <c r="DF10" s="189">
        <v>36.4</v>
      </c>
      <c r="DG10" s="191">
        <v>3.09</v>
      </c>
      <c r="DH10" s="191">
        <v>12.5</v>
      </c>
      <c r="DI10" s="189">
        <v>-2</v>
      </c>
      <c r="DJ10" s="189">
        <v>970</v>
      </c>
      <c r="DK10" s="189">
        <v>1</v>
      </c>
      <c r="DL10" s="189"/>
      <c r="DM10" s="190"/>
      <c r="DO10" s="5">
        <v>8</v>
      </c>
      <c r="DP10" s="42" t="s">
        <v>408</v>
      </c>
      <c r="DQ10" s="7">
        <v>0.65</v>
      </c>
    </row>
    <row r="11" spans="1:123" x14ac:dyDescent="0.2">
      <c r="A11" s="33">
        <v>9</v>
      </c>
      <c r="B11" s="34" t="s">
        <v>640</v>
      </c>
      <c r="C11" s="116">
        <v>7.666666666666667</v>
      </c>
      <c r="D11" s="117" t="s">
        <v>641</v>
      </c>
      <c r="E11" s="37">
        <v>4</v>
      </c>
      <c r="F11" s="226">
        <v>37903</v>
      </c>
      <c r="G11" s="119">
        <v>21.983561643835618</v>
      </c>
      <c r="H11" s="39" t="s">
        <v>389</v>
      </c>
      <c r="I11" s="39">
        <v>22.564383561643837</v>
      </c>
      <c r="J11" s="205">
        <v>69</v>
      </c>
      <c r="K11" s="205">
        <v>192</v>
      </c>
      <c r="L11" s="205">
        <v>4.5</v>
      </c>
      <c r="M11" s="213">
        <v>5</v>
      </c>
      <c r="N11" s="121">
        <v>0</v>
      </c>
      <c r="O11" s="122">
        <v>1.1754068716094032E-2</v>
      </c>
      <c r="P11" s="122">
        <v>0.18950259383582546</v>
      </c>
      <c r="Q11" s="122">
        <v>0.29294064748201437</v>
      </c>
      <c r="R11" s="122">
        <v>0.22861842105263158</v>
      </c>
      <c r="S11" s="42">
        <v>0.26077953426732298</v>
      </c>
      <c r="T11" s="42">
        <v>0.23470158084059067</v>
      </c>
      <c r="U11" s="42">
        <v>8.6775425199583478E-2</v>
      </c>
      <c r="V11" s="42">
        <v>4.1948579161028419E-2</v>
      </c>
      <c r="W11" s="210">
        <v>6.4362002180305952E-2</v>
      </c>
      <c r="X11" s="43">
        <v>5.7925801962275356E-2</v>
      </c>
      <c r="Y11" s="44">
        <v>19.917808219178081</v>
      </c>
      <c r="Z11" s="170">
        <v>93.644261545496107</v>
      </c>
      <c r="AA11" s="45">
        <v>28.350346565847513</v>
      </c>
      <c r="AB11" s="45">
        <v>0.32</v>
      </c>
      <c r="AC11" s="45">
        <v>9.8800000000000008</v>
      </c>
      <c r="AD11" s="45">
        <v>134.4</v>
      </c>
      <c r="AE11" s="45">
        <v>3.92</v>
      </c>
      <c r="AF11" s="45">
        <v>72.5</v>
      </c>
      <c r="AG11" s="128">
        <v>5</v>
      </c>
      <c r="AH11" s="49">
        <v>6</v>
      </c>
      <c r="AI11" s="49">
        <v>5</v>
      </c>
      <c r="AJ11" s="49">
        <v>2</v>
      </c>
      <c r="AK11" s="49">
        <v>9</v>
      </c>
      <c r="AL11" s="49">
        <v>10</v>
      </c>
      <c r="AM11" s="49">
        <v>7</v>
      </c>
      <c r="AN11" s="49">
        <v>4</v>
      </c>
      <c r="AO11" s="49">
        <v>3</v>
      </c>
      <c r="AP11" s="214">
        <v>0</v>
      </c>
      <c r="AQ11" s="188"/>
      <c r="AR11" s="189">
        <v>1</v>
      </c>
      <c r="AS11" s="189"/>
      <c r="AT11" s="189"/>
      <c r="AU11" s="189"/>
      <c r="AV11" s="189"/>
      <c r="AW11" s="234"/>
      <c r="AX11" s="234"/>
      <c r="AY11" s="234"/>
      <c r="AZ11" s="234"/>
      <c r="BA11" s="189"/>
      <c r="BB11" s="189"/>
      <c r="BC11" s="189"/>
      <c r="BD11" s="189"/>
      <c r="BE11" s="190"/>
      <c r="BF11" s="188">
        <v>57</v>
      </c>
      <c r="BG11" s="189">
        <v>1305</v>
      </c>
      <c r="BH11" s="189">
        <v>0</v>
      </c>
      <c r="BI11" s="189">
        <v>13</v>
      </c>
      <c r="BJ11" s="189">
        <v>14</v>
      </c>
      <c r="BK11" s="189">
        <v>4</v>
      </c>
      <c r="BL11" s="234">
        <v>4.0714285714285712</v>
      </c>
      <c r="BM11" s="234">
        <v>80</v>
      </c>
      <c r="BN11" s="234">
        <v>3</v>
      </c>
      <c r="BO11" s="234">
        <v>56.1</v>
      </c>
      <c r="BP11" s="189">
        <v>-5</v>
      </c>
      <c r="BQ11" s="189">
        <v>3119</v>
      </c>
      <c r="BR11" s="189">
        <v>1</v>
      </c>
      <c r="BS11" s="189">
        <v>0</v>
      </c>
      <c r="BT11" s="198">
        <v>33</v>
      </c>
      <c r="BU11" s="188">
        <v>586</v>
      </c>
      <c r="BV11" s="189">
        <v>1304</v>
      </c>
      <c r="BW11" s="189">
        <v>5</v>
      </c>
      <c r="BX11" s="189">
        <v>11</v>
      </c>
      <c r="BY11" s="189">
        <v>137</v>
      </c>
      <c r="BZ11" s="189">
        <v>26</v>
      </c>
      <c r="CA11" s="191">
        <v>4.2773722627737225</v>
      </c>
      <c r="CB11" s="189">
        <v>52.9</v>
      </c>
      <c r="CC11" s="191">
        <v>2.85</v>
      </c>
      <c r="CD11" s="234">
        <v>33.299999999999997</v>
      </c>
      <c r="CE11" s="189">
        <v>35</v>
      </c>
      <c r="CF11" s="189">
        <v>1973</v>
      </c>
      <c r="CG11" s="189">
        <v>3</v>
      </c>
      <c r="CH11" s="189">
        <v>2</v>
      </c>
      <c r="CI11" s="190">
        <v>12</v>
      </c>
      <c r="CJ11" s="188">
        <v>1053</v>
      </c>
      <c r="CK11" s="189">
        <v>1567</v>
      </c>
      <c r="CL11" s="189">
        <v>11</v>
      </c>
      <c r="CM11" s="189">
        <v>18</v>
      </c>
      <c r="CN11" s="189">
        <v>229</v>
      </c>
      <c r="CO11" s="189">
        <v>45</v>
      </c>
      <c r="CP11" s="191">
        <v>4.5982532751091707</v>
      </c>
      <c r="CQ11" s="189">
        <v>69.599999999999994</v>
      </c>
      <c r="CR11" s="191">
        <v>3.24</v>
      </c>
      <c r="CS11" s="234">
        <v>28.4</v>
      </c>
      <c r="CT11" s="189">
        <v>250</v>
      </c>
      <c r="CU11" s="189">
        <v>2881</v>
      </c>
      <c r="CV11" s="189">
        <v>22</v>
      </c>
      <c r="CW11" s="189">
        <v>2</v>
      </c>
      <c r="CX11" s="190">
        <v>17</v>
      </c>
      <c r="CY11" s="188">
        <v>247</v>
      </c>
      <c r="CZ11" s="189">
        <v>477</v>
      </c>
      <c r="DA11" s="189"/>
      <c r="DB11" s="189"/>
      <c r="DC11" s="189">
        <v>25</v>
      </c>
      <c r="DD11" s="189">
        <v>8</v>
      </c>
      <c r="DE11" s="53">
        <v>9.8800000000000008</v>
      </c>
      <c r="DF11" s="189">
        <v>134.4</v>
      </c>
      <c r="DG11" s="191">
        <v>3.92</v>
      </c>
      <c r="DH11" s="191">
        <v>72.5</v>
      </c>
      <c r="DI11" s="189">
        <v>31</v>
      </c>
      <c r="DJ11" s="189">
        <v>739</v>
      </c>
      <c r="DK11" s="189">
        <v>10</v>
      </c>
      <c r="DL11" s="189"/>
      <c r="DM11" s="190"/>
      <c r="DO11" s="5">
        <v>9</v>
      </c>
      <c r="DP11" s="42" t="s">
        <v>411</v>
      </c>
      <c r="DQ11" s="7">
        <v>0.65</v>
      </c>
    </row>
    <row r="12" spans="1:123" x14ac:dyDescent="0.2">
      <c r="A12" s="33">
        <v>10</v>
      </c>
      <c r="B12" s="34" t="s">
        <v>616</v>
      </c>
      <c r="C12" s="116">
        <v>7.2888888888888888</v>
      </c>
      <c r="D12" s="117" t="s">
        <v>436</v>
      </c>
      <c r="E12" s="37">
        <v>1</v>
      </c>
      <c r="F12" s="118">
        <v>38481</v>
      </c>
      <c r="G12" s="119">
        <v>20.399999999999999</v>
      </c>
      <c r="H12" s="39" t="s">
        <v>385</v>
      </c>
      <c r="I12" s="39">
        <v>20.980821917808218</v>
      </c>
      <c r="J12" s="205">
        <v>72</v>
      </c>
      <c r="K12" s="205">
        <v>194</v>
      </c>
      <c r="L12" s="205">
        <v>4.5</v>
      </c>
      <c r="M12" s="213">
        <v>4</v>
      </c>
      <c r="N12" s="121">
        <v>0</v>
      </c>
      <c r="O12" s="122">
        <v>0</v>
      </c>
      <c r="P12" s="122">
        <v>1.0919970082273748E-2</v>
      </c>
      <c r="Q12" s="122">
        <v>0.20886654478976233</v>
      </c>
      <c r="R12" s="122">
        <v>0.25297619047619047</v>
      </c>
      <c r="S12" s="42">
        <v>0.25297619047619047</v>
      </c>
      <c r="T12" s="42">
        <v>0.25297619047619047</v>
      </c>
      <c r="U12" s="42">
        <v>7.4366331898613108E-2</v>
      </c>
      <c r="V12" s="42">
        <v>2.9411764705882353E-2</v>
      </c>
      <c r="W12" s="210">
        <v>5.1889048302247734E-2</v>
      </c>
      <c r="X12" s="43">
        <v>5.1889048302247734E-2</v>
      </c>
      <c r="Y12" s="44">
        <v>19.328767123287673</v>
      </c>
      <c r="Z12" s="170">
        <v>94.619722603261692</v>
      </c>
      <c r="AA12" s="45">
        <v>26.308256172839506</v>
      </c>
      <c r="AB12" s="45">
        <v>0.25</v>
      </c>
      <c r="AC12" s="45">
        <v>5</v>
      </c>
      <c r="AD12" s="45">
        <v>67.2</v>
      </c>
      <c r="AE12" s="45">
        <v>3.08</v>
      </c>
      <c r="AF12" s="45">
        <v>30.8</v>
      </c>
      <c r="AG12" s="128">
        <v>6</v>
      </c>
      <c r="AH12" s="49">
        <v>5</v>
      </c>
      <c r="AI12" s="49">
        <v>7</v>
      </c>
      <c r="AJ12" s="49">
        <v>3</v>
      </c>
      <c r="AK12" s="49">
        <v>6</v>
      </c>
      <c r="AL12" s="49">
        <v>1</v>
      </c>
      <c r="AM12" s="49">
        <v>1</v>
      </c>
      <c r="AN12" s="49">
        <v>0</v>
      </c>
      <c r="AO12" s="49">
        <v>4</v>
      </c>
      <c r="AP12" s="214">
        <v>1</v>
      </c>
      <c r="AQ12" s="188"/>
      <c r="AR12" s="189">
        <v>1</v>
      </c>
      <c r="AS12" s="189"/>
      <c r="AT12" s="189"/>
      <c r="AU12" s="189"/>
      <c r="AV12" s="189"/>
      <c r="AW12" s="234"/>
      <c r="AX12" s="234"/>
      <c r="AY12" s="234"/>
      <c r="AZ12" s="234"/>
      <c r="BA12" s="189"/>
      <c r="BB12" s="189"/>
      <c r="BC12" s="189"/>
      <c r="BD12" s="189"/>
      <c r="BE12" s="190"/>
      <c r="BF12" s="188"/>
      <c r="BG12" s="189">
        <v>1</v>
      </c>
      <c r="BH12" s="189"/>
      <c r="BI12" s="189"/>
      <c r="BJ12" s="189"/>
      <c r="BK12" s="189"/>
      <c r="BL12" s="234"/>
      <c r="BM12" s="234"/>
      <c r="BN12" s="234"/>
      <c r="BO12" s="234"/>
      <c r="BP12" s="189"/>
      <c r="BQ12" s="189"/>
      <c r="BR12" s="189"/>
      <c r="BS12" s="189"/>
      <c r="BT12" s="198"/>
      <c r="BU12" s="188">
        <v>73</v>
      </c>
      <c r="BV12" s="189">
        <v>2638</v>
      </c>
      <c r="BW12" s="189">
        <v>1</v>
      </c>
      <c r="BX12" s="189">
        <v>29</v>
      </c>
      <c r="BY12" s="189">
        <v>12</v>
      </c>
      <c r="BZ12" s="189">
        <v>4</v>
      </c>
      <c r="CA12" s="191">
        <v>6.083333333333333</v>
      </c>
      <c r="CB12" s="189">
        <v>108.3</v>
      </c>
      <c r="CC12" s="191">
        <v>3.25</v>
      </c>
      <c r="CD12" s="234">
        <v>28.8</v>
      </c>
      <c r="CE12" s="189">
        <v>0</v>
      </c>
      <c r="CF12" s="189">
        <v>4047</v>
      </c>
      <c r="CG12" s="189">
        <v>25</v>
      </c>
      <c r="CH12" s="189">
        <v>0</v>
      </c>
      <c r="CI12" s="221">
        <v>25.2</v>
      </c>
      <c r="CJ12" s="188">
        <v>1060</v>
      </c>
      <c r="CK12" s="189">
        <v>2382</v>
      </c>
      <c r="CL12" s="189">
        <v>5</v>
      </c>
      <c r="CM12" s="189">
        <v>24</v>
      </c>
      <c r="CN12" s="189">
        <v>226</v>
      </c>
      <c r="CO12" s="189">
        <v>45</v>
      </c>
      <c r="CP12" s="191">
        <v>4.6902654867256635</v>
      </c>
      <c r="CQ12" s="189">
        <v>67.2</v>
      </c>
      <c r="CR12" s="191">
        <v>3.08</v>
      </c>
      <c r="CS12" s="234">
        <v>30.8</v>
      </c>
      <c r="CT12" s="189">
        <v>311</v>
      </c>
      <c r="CU12" s="189">
        <v>4182</v>
      </c>
      <c r="CV12" s="189">
        <v>38</v>
      </c>
      <c r="CW12" s="189">
        <v>1</v>
      </c>
      <c r="CX12" s="221">
        <v>37.5</v>
      </c>
      <c r="CY12" s="188">
        <v>80</v>
      </c>
      <c r="CZ12" s="189">
        <v>166</v>
      </c>
      <c r="DA12" s="189"/>
      <c r="DB12" s="189"/>
      <c r="DC12" s="189">
        <v>16</v>
      </c>
      <c r="DD12" s="189">
        <v>4</v>
      </c>
      <c r="DE12" s="53">
        <v>5</v>
      </c>
      <c r="DF12" s="189">
        <v>60.3</v>
      </c>
      <c r="DG12" s="191">
        <v>2.56</v>
      </c>
      <c r="DH12" s="191">
        <v>0</v>
      </c>
      <c r="DI12" s="189">
        <v>5</v>
      </c>
      <c r="DJ12" s="189">
        <v>170</v>
      </c>
      <c r="DK12" s="189">
        <v>1</v>
      </c>
      <c r="DL12" s="189"/>
      <c r="DM12" s="190"/>
      <c r="DO12" s="5">
        <v>10</v>
      </c>
      <c r="DP12" s="42" t="s">
        <v>414</v>
      </c>
      <c r="DQ12" s="7">
        <v>0.6</v>
      </c>
    </row>
    <row r="13" spans="1:123" x14ac:dyDescent="0.2">
      <c r="A13" s="33">
        <v>11</v>
      </c>
      <c r="B13" s="34" t="s">
        <v>619</v>
      </c>
      <c r="C13" s="116">
        <v>7.0777777777777784</v>
      </c>
      <c r="D13" s="117" t="s">
        <v>473</v>
      </c>
      <c r="E13" s="37">
        <v>3</v>
      </c>
      <c r="F13" s="226">
        <v>38433</v>
      </c>
      <c r="G13" s="119">
        <v>20.531506849315068</v>
      </c>
      <c r="H13" s="39" t="s">
        <v>385</v>
      </c>
      <c r="I13" s="39">
        <v>21.112328767123287</v>
      </c>
      <c r="J13" s="205">
        <v>73</v>
      </c>
      <c r="K13" s="205">
        <v>205</v>
      </c>
      <c r="L13" s="205">
        <v>4.5</v>
      </c>
      <c r="M13" s="213">
        <v>0</v>
      </c>
      <c r="N13" s="121">
        <v>0</v>
      </c>
      <c r="O13" s="122">
        <v>0</v>
      </c>
      <c r="P13" s="122">
        <v>4.0082751486940779E-2</v>
      </c>
      <c r="Q13" s="122">
        <v>8.9820359281437126E-2</v>
      </c>
      <c r="R13" s="122">
        <v>0.1872749099639856</v>
      </c>
      <c r="S13" s="42">
        <v>0.1872749099639856</v>
      </c>
      <c r="T13" s="42">
        <v>0.16854741896758704</v>
      </c>
      <c r="U13" s="42">
        <v>5.8823529411764705E-2</v>
      </c>
      <c r="V13" s="42">
        <v>0.21238938053097345</v>
      </c>
      <c r="W13" s="210">
        <v>0.21238938053097345</v>
      </c>
      <c r="X13" s="43">
        <v>0.1911504424778761</v>
      </c>
      <c r="Y13" s="44">
        <v>20.460273972602739</v>
      </c>
      <c r="Z13" s="170">
        <v>99.984758420972412</v>
      </c>
      <c r="AA13" s="45">
        <v>27.043535372490147</v>
      </c>
      <c r="AB13" s="45">
        <v>0.33333333333333331</v>
      </c>
      <c r="AC13" s="45">
        <v>9.3333333333333339</v>
      </c>
      <c r="AD13" s="45">
        <v>118.5</v>
      </c>
      <c r="AE13" s="45">
        <v>3.56</v>
      </c>
      <c r="AF13" s="45">
        <v>59.5</v>
      </c>
      <c r="AG13" s="128">
        <v>2</v>
      </c>
      <c r="AH13" s="49">
        <v>10</v>
      </c>
      <c r="AI13" s="49">
        <v>4</v>
      </c>
      <c r="AJ13" s="49">
        <v>5</v>
      </c>
      <c r="AK13" s="49">
        <v>9</v>
      </c>
      <c r="AL13" s="49">
        <v>10</v>
      </c>
      <c r="AM13" s="49">
        <v>6</v>
      </c>
      <c r="AN13" s="49">
        <v>2</v>
      </c>
      <c r="AO13" s="49">
        <v>0</v>
      </c>
      <c r="AP13" s="214">
        <v>0.5</v>
      </c>
      <c r="AQ13" s="188"/>
      <c r="AR13" s="189">
        <v>1</v>
      </c>
      <c r="AS13" s="189"/>
      <c r="AT13" s="189"/>
      <c r="AU13" s="189"/>
      <c r="AV13" s="189"/>
      <c r="AW13" s="234"/>
      <c r="AX13" s="234"/>
      <c r="AY13" s="234"/>
      <c r="AZ13" s="234"/>
      <c r="BA13" s="189"/>
      <c r="BB13" s="189">
        <v>1</v>
      </c>
      <c r="BC13" s="189"/>
      <c r="BD13" s="189"/>
      <c r="BE13" s="190"/>
      <c r="BF13" s="188"/>
      <c r="BG13" s="189">
        <v>1</v>
      </c>
      <c r="BH13" s="189"/>
      <c r="BI13" s="189"/>
      <c r="BJ13" s="189"/>
      <c r="BK13" s="189"/>
      <c r="BL13" s="234"/>
      <c r="BM13" s="234"/>
      <c r="BN13" s="234"/>
      <c r="BO13" s="234"/>
      <c r="BP13" s="189"/>
      <c r="BQ13" s="189">
        <v>1</v>
      </c>
      <c r="BR13" s="189"/>
      <c r="BS13" s="189"/>
      <c r="BT13" s="198"/>
      <c r="BU13" s="188">
        <v>106</v>
      </c>
      <c r="BV13" s="189">
        <v>1343</v>
      </c>
      <c r="BW13" s="189">
        <v>0</v>
      </c>
      <c r="BX13" s="189">
        <v>17</v>
      </c>
      <c r="BY13" s="189">
        <v>23</v>
      </c>
      <c r="BZ13" s="189">
        <v>6</v>
      </c>
      <c r="CA13" s="191">
        <v>4.6086956521739131</v>
      </c>
      <c r="CB13" s="189">
        <v>78.3</v>
      </c>
      <c r="CC13" s="191">
        <v>2.78</v>
      </c>
      <c r="CD13" s="234">
        <v>14.2</v>
      </c>
      <c r="CE13" s="189">
        <v>49</v>
      </c>
      <c r="CF13" s="189">
        <v>2524</v>
      </c>
      <c r="CG13" s="189">
        <v>9</v>
      </c>
      <c r="CH13" s="189">
        <v>0</v>
      </c>
      <c r="CI13" s="190">
        <v>8</v>
      </c>
      <c r="CJ13" s="188">
        <v>351</v>
      </c>
      <c r="CK13" s="189">
        <v>2799</v>
      </c>
      <c r="CL13" s="189">
        <v>2</v>
      </c>
      <c r="CM13" s="189">
        <v>30</v>
      </c>
      <c r="CN13" s="189">
        <v>73</v>
      </c>
      <c r="CO13" s="189">
        <v>19</v>
      </c>
      <c r="CP13" s="191">
        <v>4.8082191780821919</v>
      </c>
      <c r="CQ13" s="189">
        <v>94.8</v>
      </c>
      <c r="CR13" s="191">
        <v>3.4</v>
      </c>
      <c r="CS13" s="234">
        <v>42.2</v>
      </c>
      <c r="CT13" s="189">
        <v>189</v>
      </c>
      <c r="CU13" s="189">
        <v>3213</v>
      </c>
      <c r="CV13" s="189">
        <v>13</v>
      </c>
      <c r="CW13" s="189">
        <v>1</v>
      </c>
      <c r="CX13" s="190">
        <v>26</v>
      </c>
      <c r="CY13" s="188">
        <v>84</v>
      </c>
      <c r="CZ13" s="189">
        <v>494</v>
      </c>
      <c r="DA13" s="189"/>
      <c r="DB13" s="189"/>
      <c r="DC13" s="189">
        <v>9</v>
      </c>
      <c r="DD13" s="189">
        <v>3</v>
      </c>
      <c r="DE13" s="53">
        <v>9.3333333333333339</v>
      </c>
      <c r="DF13" s="189">
        <v>118.5</v>
      </c>
      <c r="DG13" s="191">
        <v>3.56</v>
      </c>
      <c r="DH13" s="191">
        <v>59.5</v>
      </c>
      <c r="DI13" s="189">
        <v>72</v>
      </c>
      <c r="DJ13" s="189">
        <v>339</v>
      </c>
      <c r="DK13" s="189">
        <v>6</v>
      </c>
      <c r="DL13" s="189"/>
      <c r="DM13" s="190"/>
      <c r="DO13" s="11">
        <v>11</v>
      </c>
      <c r="DP13" s="42" t="s">
        <v>417</v>
      </c>
      <c r="DQ13" s="7">
        <v>0.55000000000000004</v>
      </c>
    </row>
    <row r="14" spans="1:123" x14ac:dyDescent="0.2">
      <c r="A14" s="33">
        <v>12</v>
      </c>
      <c r="B14" s="34" t="s">
        <v>608</v>
      </c>
      <c r="C14" s="116">
        <v>6.333333333333333</v>
      </c>
      <c r="D14" s="117" t="s">
        <v>515</v>
      </c>
      <c r="E14" s="37">
        <v>2</v>
      </c>
      <c r="F14" s="197">
        <v>38139</v>
      </c>
      <c r="G14" s="119">
        <v>21.336986301369862</v>
      </c>
      <c r="H14" s="39" t="s">
        <v>385</v>
      </c>
      <c r="I14" s="39">
        <v>21.917808219178081</v>
      </c>
      <c r="J14" s="205">
        <v>71</v>
      </c>
      <c r="K14" s="205">
        <v>210</v>
      </c>
      <c r="L14" s="205">
        <v>4.4400000000000004</v>
      </c>
      <c r="M14" s="213">
        <v>0</v>
      </c>
      <c r="N14" s="121">
        <v>0</v>
      </c>
      <c r="O14" s="122">
        <v>0</v>
      </c>
      <c r="P14" s="122">
        <v>0.27793862188766649</v>
      </c>
      <c r="Q14" s="122">
        <v>0.27918871252204586</v>
      </c>
      <c r="R14" s="122">
        <v>3.1178707224334599E-2</v>
      </c>
      <c r="S14" s="42">
        <v>0.15518370987319022</v>
      </c>
      <c r="T14" s="42">
        <v>0.15518370987319022</v>
      </c>
      <c r="U14" s="42">
        <v>6.1412487205731829E-2</v>
      </c>
      <c r="V14" s="42">
        <v>6.993006993006993E-3</v>
      </c>
      <c r="W14" s="210">
        <v>3.4202747099369414E-2</v>
      </c>
      <c r="X14" s="43">
        <v>3.4202747099369414E-2</v>
      </c>
      <c r="Y14" s="44">
        <v>19.271232876712329</v>
      </c>
      <c r="Z14" s="170">
        <v>108.07305044566408</v>
      </c>
      <c r="AA14" s="45">
        <v>29.28585598095616</v>
      </c>
      <c r="AB14" s="45">
        <v>0.27272727272727271</v>
      </c>
      <c r="AC14" s="45">
        <v>5.3424124513618674</v>
      </c>
      <c r="AD14" s="45">
        <v>102.2</v>
      </c>
      <c r="AE14" s="45">
        <v>3.87</v>
      </c>
      <c r="AF14" s="45">
        <v>36.700000000000003</v>
      </c>
      <c r="AG14" s="128">
        <v>2</v>
      </c>
      <c r="AH14" s="49">
        <v>3</v>
      </c>
      <c r="AI14" s="49">
        <v>7</v>
      </c>
      <c r="AJ14" s="49">
        <v>9</v>
      </c>
      <c r="AK14" s="49">
        <v>7</v>
      </c>
      <c r="AL14" s="49">
        <v>2</v>
      </c>
      <c r="AM14" s="49">
        <v>4</v>
      </c>
      <c r="AN14" s="49">
        <v>4</v>
      </c>
      <c r="AO14" s="49">
        <v>0</v>
      </c>
      <c r="AP14" s="214">
        <v>1</v>
      </c>
      <c r="AQ14" s="188"/>
      <c r="AR14" s="189">
        <v>1</v>
      </c>
      <c r="AS14" s="189"/>
      <c r="AT14" s="189"/>
      <c r="AU14" s="189"/>
      <c r="AV14" s="189"/>
      <c r="AW14" s="234"/>
      <c r="AX14" s="234"/>
      <c r="AY14" s="234"/>
      <c r="AZ14" s="234"/>
      <c r="BA14" s="189"/>
      <c r="BB14" s="189">
        <v>1</v>
      </c>
      <c r="BC14" s="189"/>
      <c r="BD14" s="189"/>
      <c r="BE14" s="190"/>
      <c r="BF14" s="188"/>
      <c r="BG14" s="189">
        <v>1</v>
      </c>
      <c r="BH14" s="189"/>
      <c r="BI14" s="189"/>
      <c r="BJ14" s="189"/>
      <c r="BK14" s="189"/>
      <c r="BL14" s="234"/>
      <c r="BM14" s="234"/>
      <c r="BN14" s="234"/>
      <c r="BO14" s="234"/>
      <c r="BP14" s="189"/>
      <c r="BQ14" s="189">
        <v>1</v>
      </c>
      <c r="BR14" s="189"/>
      <c r="BS14" s="189"/>
      <c r="BT14" s="198"/>
      <c r="BU14" s="188">
        <v>1373</v>
      </c>
      <c r="BV14" s="189">
        <v>2171</v>
      </c>
      <c r="BW14" s="189">
        <v>7</v>
      </c>
      <c r="BX14" s="189">
        <v>16</v>
      </c>
      <c r="BY14" s="189">
        <v>257</v>
      </c>
      <c r="BZ14" s="189">
        <v>68</v>
      </c>
      <c r="CA14" s="191">
        <v>5.3424124513618674</v>
      </c>
      <c r="CB14" s="189">
        <v>102.2</v>
      </c>
      <c r="CC14" s="191">
        <v>3.75</v>
      </c>
      <c r="CD14" s="234">
        <v>36.700000000000003</v>
      </c>
      <c r="CE14" s="189">
        <v>67</v>
      </c>
      <c r="CF14" s="189">
        <v>3010</v>
      </c>
      <c r="CG14" s="189">
        <v>11</v>
      </c>
      <c r="CH14" s="189">
        <v>0</v>
      </c>
      <c r="CI14" s="190">
        <v>25</v>
      </c>
      <c r="CJ14" s="188">
        <v>1403</v>
      </c>
      <c r="CK14" s="189">
        <v>2739</v>
      </c>
      <c r="CL14" s="189">
        <v>15</v>
      </c>
      <c r="CM14" s="189">
        <v>32</v>
      </c>
      <c r="CN14" s="189">
        <v>263</v>
      </c>
      <c r="CO14" s="189">
        <v>61</v>
      </c>
      <c r="CP14" s="191">
        <v>5.334600760456274</v>
      </c>
      <c r="CQ14" s="189">
        <v>86.2</v>
      </c>
      <c r="CR14" s="191">
        <v>3.87</v>
      </c>
      <c r="CS14" s="234">
        <v>36.4</v>
      </c>
      <c r="CT14" s="189">
        <v>180</v>
      </c>
      <c r="CU14" s="189">
        <v>2931</v>
      </c>
      <c r="CV14" s="189">
        <v>20</v>
      </c>
      <c r="CW14" s="189">
        <v>2</v>
      </c>
      <c r="CX14" s="190">
        <v>25</v>
      </c>
      <c r="CY14" s="188">
        <v>37</v>
      </c>
      <c r="CZ14" s="189">
        <v>743</v>
      </c>
      <c r="DA14" s="189"/>
      <c r="DB14" s="189"/>
      <c r="DC14" s="189">
        <v>11</v>
      </c>
      <c r="DD14" s="189">
        <v>3</v>
      </c>
      <c r="DE14" s="53">
        <v>3.3636363636363638</v>
      </c>
      <c r="DF14" s="189">
        <v>61.4</v>
      </c>
      <c r="DG14" s="191">
        <v>2.4500000000000002</v>
      </c>
      <c r="DH14" s="191">
        <v>0</v>
      </c>
      <c r="DI14" s="189">
        <v>4</v>
      </c>
      <c r="DJ14" s="189">
        <v>572</v>
      </c>
      <c r="DK14" s="189">
        <v>1</v>
      </c>
      <c r="DL14" s="189"/>
      <c r="DM14" s="190"/>
      <c r="DO14" s="11">
        <v>12</v>
      </c>
      <c r="DP14" s="42" t="s">
        <v>420</v>
      </c>
      <c r="DQ14" s="7">
        <v>0.5</v>
      </c>
    </row>
    <row r="15" spans="1:123" x14ac:dyDescent="0.2">
      <c r="A15" s="33">
        <v>13</v>
      </c>
      <c r="B15" s="34" t="s">
        <v>618</v>
      </c>
      <c r="C15" s="116">
        <v>5.6999999999999993</v>
      </c>
      <c r="D15" s="117" t="s">
        <v>473</v>
      </c>
      <c r="E15" s="37">
        <v>3</v>
      </c>
      <c r="F15" s="197">
        <v>38504</v>
      </c>
      <c r="G15" s="119">
        <v>20.336986301369862</v>
      </c>
      <c r="H15" s="39" t="s">
        <v>385</v>
      </c>
      <c r="I15" s="39">
        <v>20.917808219178081</v>
      </c>
      <c r="J15" s="205">
        <v>73</v>
      </c>
      <c r="K15" s="205">
        <v>220</v>
      </c>
      <c r="L15" s="205">
        <v>4.5</v>
      </c>
      <c r="M15" s="213">
        <v>0</v>
      </c>
      <c r="N15" s="121">
        <v>0</v>
      </c>
      <c r="O15" s="122">
        <v>0</v>
      </c>
      <c r="P15" s="122">
        <v>0.16859716859716858</v>
      </c>
      <c r="Q15" s="122">
        <v>0.22485517631148699</v>
      </c>
      <c r="R15" s="122">
        <v>0.11232449297971919</v>
      </c>
      <c r="S15" s="42">
        <v>0.16858983464560309</v>
      </c>
      <c r="T15" s="42">
        <v>0.15173085118104279</v>
      </c>
      <c r="U15" s="42">
        <v>2.8631418209581982E-3</v>
      </c>
      <c r="V15" s="42">
        <v>1.1385199240986717E-2</v>
      </c>
      <c r="W15" s="210">
        <v>1.1385199240986717E-2</v>
      </c>
      <c r="X15" s="43">
        <v>1.0246679316888045E-2</v>
      </c>
      <c r="Y15" s="44">
        <v>18.271232876712329</v>
      </c>
      <c r="Z15" s="170">
        <v>107.3007163542143</v>
      </c>
      <c r="AA15" s="45">
        <v>29.022330643647965</v>
      </c>
      <c r="AB15" s="45">
        <v>0.28125</v>
      </c>
      <c r="AC15" s="45">
        <v>6.2067039106145252</v>
      </c>
      <c r="AD15" s="45">
        <v>76.099999999999994</v>
      </c>
      <c r="AE15" s="45">
        <v>3.46</v>
      </c>
      <c r="AF15" s="45">
        <v>37.9</v>
      </c>
      <c r="AG15" s="128">
        <v>2</v>
      </c>
      <c r="AH15" s="49">
        <v>1</v>
      </c>
      <c r="AI15" s="49">
        <v>10</v>
      </c>
      <c r="AJ15" s="49">
        <v>8</v>
      </c>
      <c r="AK15" s="49">
        <v>8</v>
      </c>
      <c r="AL15" s="49">
        <v>5</v>
      </c>
      <c r="AM15" s="49">
        <v>2</v>
      </c>
      <c r="AN15" s="49">
        <v>1</v>
      </c>
      <c r="AO15" s="49">
        <v>0</v>
      </c>
      <c r="AP15" s="214">
        <v>0.5</v>
      </c>
      <c r="AQ15" s="188"/>
      <c r="AR15" s="189">
        <v>1</v>
      </c>
      <c r="AS15" s="189"/>
      <c r="AT15" s="189"/>
      <c r="AU15" s="189"/>
      <c r="AV15" s="189"/>
      <c r="AW15" s="234"/>
      <c r="AX15" s="234"/>
      <c r="AY15" s="234"/>
      <c r="AZ15" s="234"/>
      <c r="BA15" s="189"/>
      <c r="BB15" s="189">
        <v>1</v>
      </c>
      <c r="BC15" s="189"/>
      <c r="BD15" s="189"/>
      <c r="BE15" s="190"/>
      <c r="BF15" s="188"/>
      <c r="BG15" s="189">
        <v>1</v>
      </c>
      <c r="BH15" s="189"/>
      <c r="BI15" s="189"/>
      <c r="BJ15" s="189"/>
      <c r="BK15" s="189"/>
      <c r="BL15" s="234"/>
      <c r="BM15" s="234"/>
      <c r="BN15" s="234"/>
      <c r="BO15" s="234"/>
      <c r="BP15" s="189"/>
      <c r="BQ15" s="189">
        <v>1</v>
      </c>
      <c r="BR15" s="189"/>
      <c r="BS15" s="189"/>
      <c r="BT15" s="198"/>
      <c r="BU15" s="188">
        <v>524</v>
      </c>
      <c r="BV15" s="189">
        <v>2080</v>
      </c>
      <c r="BW15" s="189">
        <v>1</v>
      </c>
      <c r="BX15" s="189">
        <v>16</v>
      </c>
      <c r="BY15" s="189">
        <v>99</v>
      </c>
      <c r="BZ15" s="189">
        <v>24</v>
      </c>
      <c r="CA15" s="191">
        <v>5.2929292929292933</v>
      </c>
      <c r="CB15" s="189">
        <v>76.099999999999994</v>
      </c>
      <c r="CC15" s="191">
        <v>3.17</v>
      </c>
      <c r="CD15" s="234">
        <v>13.7</v>
      </c>
      <c r="CE15" s="189">
        <v>0</v>
      </c>
      <c r="CF15" s="189">
        <v>1028</v>
      </c>
      <c r="CG15" s="189">
        <v>1</v>
      </c>
      <c r="CH15" s="189">
        <v>0</v>
      </c>
      <c r="CI15" s="190">
        <v>6</v>
      </c>
      <c r="CJ15" s="188">
        <v>1111</v>
      </c>
      <c r="CK15" s="189">
        <v>3906.5</v>
      </c>
      <c r="CL15" s="189">
        <v>10</v>
      </c>
      <c r="CM15" s="189">
        <v>44.199999999999996</v>
      </c>
      <c r="CN15" s="189">
        <v>179</v>
      </c>
      <c r="CO15" s="189">
        <v>32</v>
      </c>
      <c r="CP15" s="191">
        <v>6.2067039106145252</v>
      </c>
      <c r="CQ15" s="189">
        <v>61.6</v>
      </c>
      <c r="CR15" s="191">
        <v>3.46</v>
      </c>
      <c r="CS15" s="234">
        <v>37.9</v>
      </c>
      <c r="CT15" s="189">
        <v>3</v>
      </c>
      <c r="CU15" s="189">
        <v>1047.8</v>
      </c>
      <c r="CV15" s="189">
        <v>1</v>
      </c>
      <c r="CW15" s="189">
        <v>0</v>
      </c>
      <c r="CX15" s="190">
        <v>9.1</v>
      </c>
      <c r="CY15" s="188">
        <v>138</v>
      </c>
      <c r="CZ15" s="189">
        <v>755</v>
      </c>
      <c r="DA15" s="189"/>
      <c r="DB15" s="189"/>
      <c r="DC15" s="189">
        <v>32</v>
      </c>
      <c r="DD15" s="189">
        <v>9</v>
      </c>
      <c r="DE15" s="53">
        <v>4.3125</v>
      </c>
      <c r="DF15" s="189">
        <v>64.8</v>
      </c>
      <c r="DG15" s="191">
        <v>2.38</v>
      </c>
      <c r="DH15" s="191">
        <v>29</v>
      </c>
      <c r="DI15" s="189">
        <v>6</v>
      </c>
      <c r="DJ15" s="189">
        <v>527</v>
      </c>
      <c r="DK15" s="189">
        <v>1</v>
      </c>
      <c r="DL15" s="189"/>
      <c r="DM15" s="190"/>
      <c r="DO15" s="5"/>
      <c r="DP15" s="42"/>
      <c r="DQ15" s="7"/>
    </row>
    <row r="16" spans="1:123" x14ac:dyDescent="0.2">
      <c r="A16" s="33">
        <v>14</v>
      </c>
      <c r="B16" s="34" t="s">
        <v>623</v>
      </c>
      <c r="C16" s="116">
        <v>5.6277777777777782</v>
      </c>
      <c r="D16" s="117" t="s">
        <v>436</v>
      </c>
      <c r="E16" s="37">
        <v>1</v>
      </c>
      <c r="F16" s="118">
        <v>38531</v>
      </c>
      <c r="G16" s="119">
        <v>20.263013698630136</v>
      </c>
      <c r="H16" s="39" t="s">
        <v>494</v>
      </c>
      <c r="I16" s="39">
        <v>20.843835616438355</v>
      </c>
      <c r="J16" s="205">
        <v>73</v>
      </c>
      <c r="K16" s="205">
        <v>230</v>
      </c>
      <c r="L16" s="205">
        <v>4.5</v>
      </c>
      <c r="M16" s="213">
        <v>4</v>
      </c>
      <c r="N16" s="121">
        <v>0</v>
      </c>
      <c r="O16" s="122">
        <v>0</v>
      </c>
      <c r="P16" s="122">
        <v>0.13097060008054773</v>
      </c>
      <c r="Q16" s="122">
        <v>0</v>
      </c>
      <c r="R16" s="122">
        <v>0.13670256835128416</v>
      </c>
      <c r="S16" s="42">
        <v>0.13670256835128416</v>
      </c>
      <c r="T16" s="42">
        <v>0.13670256835128416</v>
      </c>
      <c r="U16" s="42">
        <v>3.9379506691855359E-2</v>
      </c>
      <c r="V16" s="42">
        <v>3.6605657237936774E-2</v>
      </c>
      <c r="W16" s="210">
        <v>3.7992581964896063E-2</v>
      </c>
      <c r="X16" s="43">
        <v>3.7992581964896063E-2</v>
      </c>
      <c r="Y16" s="44" t="s">
        <v>645</v>
      </c>
      <c r="Z16" s="170">
        <v>112.17802164304221</v>
      </c>
      <c r="AA16" s="45">
        <v>30.341527491086509</v>
      </c>
      <c r="AB16" s="45">
        <v>0.20863309352517986</v>
      </c>
      <c r="AC16" s="45">
        <v>4.7841726618705032</v>
      </c>
      <c r="AD16" s="45">
        <v>63.4</v>
      </c>
      <c r="AE16" s="45">
        <v>3.25</v>
      </c>
      <c r="AF16" s="45">
        <v>16.399999999999999</v>
      </c>
      <c r="AG16" s="128">
        <v>1</v>
      </c>
      <c r="AH16" s="49">
        <v>4</v>
      </c>
      <c r="AI16" s="49">
        <v>0</v>
      </c>
      <c r="AJ16" s="49">
        <v>9</v>
      </c>
      <c r="AK16" s="49">
        <v>4</v>
      </c>
      <c r="AL16" s="49">
        <v>0</v>
      </c>
      <c r="AM16" s="49">
        <v>1</v>
      </c>
      <c r="AN16" s="49">
        <v>1</v>
      </c>
      <c r="AO16" s="49">
        <v>4</v>
      </c>
      <c r="AP16" s="214">
        <v>1</v>
      </c>
      <c r="AQ16" s="188"/>
      <c r="AR16" s="189">
        <v>1</v>
      </c>
      <c r="AS16" s="189"/>
      <c r="AT16" s="189"/>
      <c r="AU16" s="189"/>
      <c r="AV16" s="189"/>
      <c r="AW16" s="234"/>
      <c r="AX16" s="234"/>
      <c r="AY16" s="234"/>
      <c r="AZ16" s="234"/>
      <c r="BA16" s="189"/>
      <c r="BB16" s="189">
        <v>1</v>
      </c>
      <c r="BC16" s="189"/>
      <c r="BD16" s="189"/>
      <c r="BE16" s="190"/>
      <c r="BF16" s="188"/>
      <c r="BG16" s="189">
        <v>1</v>
      </c>
      <c r="BH16" s="189"/>
      <c r="BI16" s="189"/>
      <c r="BJ16" s="189"/>
      <c r="BK16" s="189"/>
      <c r="BL16" s="234"/>
      <c r="BM16" s="234"/>
      <c r="BN16" s="234"/>
      <c r="BO16" s="234"/>
      <c r="BP16" s="189"/>
      <c r="BQ16" s="189">
        <v>1</v>
      </c>
      <c r="BR16" s="189"/>
      <c r="BS16" s="189"/>
      <c r="BT16" s="198"/>
      <c r="BU16" s="188">
        <v>665</v>
      </c>
      <c r="BV16" s="189">
        <v>2449.2000000000003</v>
      </c>
      <c r="BW16" s="189">
        <v>5</v>
      </c>
      <c r="BX16" s="189">
        <v>27.3</v>
      </c>
      <c r="BY16" s="189">
        <v>139</v>
      </c>
      <c r="BZ16" s="189">
        <v>29</v>
      </c>
      <c r="CA16" s="191">
        <v>4.7841726618705032</v>
      </c>
      <c r="CB16" s="189">
        <v>63.4</v>
      </c>
      <c r="CC16" s="191">
        <v>2.94</v>
      </c>
      <c r="CD16" s="234">
        <v>23.2</v>
      </c>
      <c r="CE16" s="189">
        <v>148</v>
      </c>
      <c r="CF16" s="189">
        <v>3758.3</v>
      </c>
      <c r="CG16" s="189">
        <v>23</v>
      </c>
      <c r="CH16" s="189">
        <v>0</v>
      </c>
      <c r="CI16" s="190">
        <v>23.400000000000002</v>
      </c>
      <c r="CJ16" s="188"/>
      <c r="CK16" s="189">
        <v>1</v>
      </c>
      <c r="CL16" s="189"/>
      <c r="CM16" s="189"/>
      <c r="CN16" s="189"/>
      <c r="CO16" s="189"/>
      <c r="CP16" s="191"/>
      <c r="CQ16" s="189"/>
      <c r="CR16" s="191"/>
      <c r="CS16" s="234"/>
      <c r="CT16" s="189"/>
      <c r="CU16" s="189">
        <v>1</v>
      </c>
      <c r="CV16" s="189"/>
      <c r="CW16" s="189"/>
      <c r="CX16" s="190"/>
      <c r="CY16" s="188">
        <v>110</v>
      </c>
      <c r="CZ16" s="189">
        <v>364.6</v>
      </c>
      <c r="DA16" s="189"/>
      <c r="DB16" s="189"/>
      <c r="DC16" s="189">
        <v>24</v>
      </c>
      <c r="DD16" s="189">
        <v>3</v>
      </c>
      <c r="DE16" s="53">
        <v>4.583333333333333</v>
      </c>
      <c r="DF16" s="189">
        <v>31.5</v>
      </c>
      <c r="DG16" s="191">
        <v>3.25</v>
      </c>
      <c r="DH16" s="191">
        <v>16.399999999999999</v>
      </c>
      <c r="DI16" s="189">
        <v>22</v>
      </c>
      <c r="DJ16" s="189">
        <v>601</v>
      </c>
      <c r="DK16" s="189">
        <v>7</v>
      </c>
      <c r="DL16" s="189"/>
      <c r="DM16" s="190"/>
      <c r="DO16" s="5"/>
      <c r="DP16" s="42"/>
      <c r="DQ16" s="7"/>
    </row>
    <row r="17" spans="1:121" x14ac:dyDescent="0.2">
      <c r="A17" s="33">
        <v>15</v>
      </c>
      <c r="B17" s="34" t="s">
        <v>332</v>
      </c>
      <c r="C17" s="116">
        <v>5.3888888888888893</v>
      </c>
      <c r="D17" s="117" t="s">
        <v>392</v>
      </c>
      <c r="E17" s="37">
        <v>2</v>
      </c>
      <c r="F17" s="118">
        <v>37484</v>
      </c>
      <c r="G17" s="119">
        <v>23.13150684931507</v>
      </c>
      <c r="H17" s="39" t="s">
        <v>469</v>
      </c>
      <c r="I17" s="39">
        <v>21.712328767123289</v>
      </c>
      <c r="J17" s="205">
        <v>72</v>
      </c>
      <c r="K17" s="205">
        <v>200</v>
      </c>
      <c r="L17" s="205">
        <v>4.55</v>
      </c>
      <c r="M17" s="213">
        <v>0</v>
      </c>
      <c r="N17" s="121">
        <v>5.430273776302888E-2</v>
      </c>
      <c r="O17" s="122">
        <v>0.24964077018871539</v>
      </c>
      <c r="P17" s="122">
        <v>0.20357901845121057</v>
      </c>
      <c r="Q17" s="122">
        <v>0.18994172242607382</v>
      </c>
      <c r="R17" s="122">
        <v>0.13151927437641722</v>
      </c>
      <c r="S17" s="42">
        <v>0.19058002228256632</v>
      </c>
      <c r="T17" s="42">
        <v>0.19058002228256632</v>
      </c>
      <c r="U17" s="42">
        <v>8.2527206771463121E-2</v>
      </c>
      <c r="V17" s="42">
        <v>3.9906103286384977E-2</v>
      </c>
      <c r="W17" s="210">
        <v>6.1216655028924052E-2</v>
      </c>
      <c r="X17" s="43">
        <v>6.1216655028924052E-2</v>
      </c>
      <c r="Y17" s="44">
        <v>18.057534246575344</v>
      </c>
      <c r="Z17" s="170">
        <v>93.32852555322637</v>
      </c>
      <c r="AA17" s="45">
        <v>27.121913580246911</v>
      </c>
      <c r="AB17" s="45">
        <v>0.33333333333333331</v>
      </c>
      <c r="AC17" s="45">
        <v>5.5</v>
      </c>
      <c r="AD17" s="45">
        <v>147.4</v>
      </c>
      <c r="AE17" s="45">
        <v>3.76</v>
      </c>
      <c r="AF17" s="45">
        <v>39.799999999999997</v>
      </c>
      <c r="AG17" s="128">
        <v>3</v>
      </c>
      <c r="AH17" s="49">
        <v>6</v>
      </c>
      <c r="AI17" s="49">
        <v>10</v>
      </c>
      <c r="AJ17" s="49">
        <v>2</v>
      </c>
      <c r="AK17" s="49">
        <v>9</v>
      </c>
      <c r="AL17" s="49">
        <v>3</v>
      </c>
      <c r="AM17" s="49">
        <v>7</v>
      </c>
      <c r="AN17" s="49">
        <v>3</v>
      </c>
      <c r="AO17" s="49">
        <v>0</v>
      </c>
      <c r="AP17" s="214">
        <v>0</v>
      </c>
      <c r="AQ17" s="188">
        <v>71</v>
      </c>
      <c r="AR17" s="189">
        <v>411.90000000000003</v>
      </c>
      <c r="AS17" s="189">
        <v>2</v>
      </c>
      <c r="AT17" s="189">
        <v>4.5</v>
      </c>
      <c r="AU17" s="189">
        <v>17</v>
      </c>
      <c r="AV17" s="189">
        <v>1</v>
      </c>
      <c r="AW17" s="234">
        <v>4.1764705882352944</v>
      </c>
      <c r="AX17" s="234">
        <v>15.4</v>
      </c>
      <c r="AY17" s="234">
        <v>2.76</v>
      </c>
      <c r="AZ17" s="234">
        <v>0</v>
      </c>
      <c r="BA17" s="189">
        <v>1</v>
      </c>
      <c r="BB17" s="189">
        <v>914</v>
      </c>
      <c r="BC17" s="189">
        <v>1</v>
      </c>
      <c r="BD17" s="189">
        <v>0</v>
      </c>
      <c r="BE17" s="190">
        <v>6.3000000000000007</v>
      </c>
      <c r="BF17" s="188">
        <v>988</v>
      </c>
      <c r="BG17" s="189">
        <v>1836.9</v>
      </c>
      <c r="BH17" s="189">
        <v>10</v>
      </c>
      <c r="BI17" s="189">
        <v>23.400000000000002</v>
      </c>
      <c r="BJ17" s="189">
        <v>187</v>
      </c>
      <c r="BK17" s="189">
        <v>36</v>
      </c>
      <c r="BL17" s="234">
        <v>5.2834224598930479</v>
      </c>
      <c r="BM17" s="234">
        <v>57.2</v>
      </c>
      <c r="BN17" s="234">
        <v>2.81</v>
      </c>
      <c r="BO17" s="234">
        <v>36</v>
      </c>
      <c r="BP17" s="189">
        <v>315</v>
      </c>
      <c r="BQ17" s="189">
        <v>3382.6</v>
      </c>
      <c r="BR17" s="189">
        <v>34</v>
      </c>
      <c r="BS17" s="189">
        <v>1</v>
      </c>
      <c r="BT17" s="198">
        <v>20.8</v>
      </c>
      <c r="BU17" s="188">
        <v>676</v>
      </c>
      <c r="BV17" s="189">
        <v>1409.2</v>
      </c>
      <c r="BW17" s="189">
        <v>4</v>
      </c>
      <c r="BX17" s="189">
        <v>19.5</v>
      </c>
      <c r="BY17" s="189">
        <v>142</v>
      </c>
      <c r="BZ17" s="189">
        <v>29</v>
      </c>
      <c r="CA17" s="189">
        <v>4.8</v>
      </c>
      <c r="CB17" s="189">
        <v>85.7</v>
      </c>
      <c r="CC17" s="191">
        <v>3.76</v>
      </c>
      <c r="CD17" s="234">
        <v>39.799999999999997</v>
      </c>
      <c r="CE17" s="189">
        <v>349</v>
      </c>
      <c r="CF17" s="189">
        <v>3625.7</v>
      </c>
      <c r="CG17" s="189">
        <v>38</v>
      </c>
      <c r="CH17" s="189">
        <v>3</v>
      </c>
      <c r="CI17" s="190">
        <v>27.3</v>
      </c>
      <c r="CJ17" s="188">
        <v>607</v>
      </c>
      <c r="CK17" s="189">
        <v>1325</v>
      </c>
      <c r="CL17" s="189">
        <v>6</v>
      </c>
      <c r="CM17" s="189">
        <v>15</v>
      </c>
      <c r="CN17" s="189">
        <v>134</v>
      </c>
      <c r="CO17" s="189">
        <v>26</v>
      </c>
      <c r="CP17" s="191">
        <v>4.5298507462686564</v>
      </c>
      <c r="CQ17" s="189">
        <v>61.6</v>
      </c>
      <c r="CR17" s="191">
        <v>2.98</v>
      </c>
      <c r="CS17" s="234">
        <v>29.2</v>
      </c>
      <c r="CT17" s="189">
        <v>273</v>
      </c>
      <c r="CU17" s="189">
        <v>3308</v>
      </c>
      <c r="CV17" s="189">
        <v>40</v>
      </c>
      <c r="CW17" s="189">
        <v>1</v>
      </c>
      <c r="CX17" s="190">
        <v>21</v>
      </c>
      <c r="CY17" s="188">
        <v>198</v>
      </c>
      <c r="CZ17" s="189">
        <v>912</v>
      </c>
      <c r="DA17" s="189"/>
      <c r="DB17" s="189"/>
      <c r="DC17" s="189">
        <v>36</v>
      </c>
      <c r="DD17" s="189">
        <v>12</v>
      </c>
      <c r="DE17" s="53">
        <v>5.5</v>
      </c>
      <c r="DF17" s="189">
        <v>147.4</v>
      </c>
      <c r="DG17" s="191">
        <v>3.5</v>
      </c>
      <c r="DH17" s="189">
        <v>34.799999999999997</v>
      </c>
      <c r="DI17" s="189">
        <v>34</v>
      </c>
      <c r="DJ17" s="189">
        <v>852</v>
      </c>
      <c r="DK17" s="189">
        <v>2</v>
      </c>
      <c r="DL17" s="189"/>
      <c r="DM17" s="190"/>
      <c r="DO17" s="5"/>
      <c r="DP17" s="42"/>
      <c r="DQ17" s="7"/>
    </row>
    <row r="18" spans="1:121" x14ac:dyDescent="0.2">
      <c r="A18" s="33">
        <v>16</v>
      </c>
      <c r="B18" s="34" t="s">
        <v>644</v>
      </c>
      <c r="C18" s="116">
        <v>4.7666666666666666</v>
      </c>
      <c r="D18" s="117" t="s">
        <v>473</v>
      </c>
      <c r="E18" s="37">
        <v>3</v>
      </c>
      <c r="F18" s="118">
        <v>37835</v>
      </c>
      <c r="G18" s="119">
        <v>22.169863013698631</v>
      </c>
      <c r="H18" s="39" t="s">
        <v>389</v>
      </c>
      <c r="I18" s="39">
        <v>22.75068493150685</v>
      </c>
      <c r="J18" s="205">
        <v>69</v>
      </c>
      <c r="K18" s="205">
        <v>195</v>
      </c>
      <c r="L18" s="205">
        <v>4.5</v>
      </c>
      <c r="M18" s="213">
        <v>0</v>
      </c>
      <c r="N18" s="121">
        <v>0</v>
      </c>
      <c r="O18" s="122">
        <v>5.3848245852597225E-2</v>
      </c>
      <c r="P18" s="122">
        <v>3.6355859709153122E-2</v>
      </c>
      <c r="Q18" s="122">
        <v>5.4727526781555659E-2</v>
      </c>
      <c r="R18" s="122">
        <v>0.25429017160686429</v>
      </c>
      <c r="S18" s="42">
        <v>0.15450884919420999</v>
      </c>
      <c r="T18" s="42">
        <v>0.139057964274789</v>
      </c>
      <c r="U18" s="42">
        <v>1.3071895424836602E-2</v>
      </c>
      <c r="V18" s="42">
        <v>6.4516129032258063E-2</v>
      </c>
      <c r="W18" s="210">
        <v>1.3071895424836602E-2</v>
      </c>
      <c r="X18" s="43">
        <v>1.1764705882352941E-2</v>
      </c>
      <c r="Y18" s="44">
        <v>22.098630136986301</v>
      </c>
      <c r="Z18" s="170">
        <v>95.107453132144485</v>
      </c>
      <c r="AA18" s="45">
        <v>28.793320730938877</v>
      </c>
      <c r="AB18" s="45">
        <v>0.25</v>
      </c>
      <c r="AC18" s="45">
        <v>8.3428571428571434</v>
      </c>
      <c r="AD18" s="45">
        <v>242.5</v>
      </c>
      <c r="AE18" s="45">
        <v>4.1399999999999997</v>
      </c>
      <c r="AF18" s="45">
        <v>59.6</v>
      </c>
      <c r="AG18" s="128">
        <v>1</v>
      </c>
      <c r="AH18" s="49">
        <v>1</v>
      </c>
      <c r="AI18" s="49">
        <v>1</v>
      </c>
      <c r="AJ18" s="49">
        <v>3</v>
      </c>
      <c r="AK18" s="49">
        <v>6</v>
      </c>
      <c r="AL18" s="49">
        <v>9</v>
      </c>
      <c r="AM18" s="49">
        <v>10</v>
      </c>
      <c r="AN18" s="49">
        <v>5</v>
      </c>
      <c r="AO18" s="49">
        <v>0</v>
      </c>
      <c r="AP18" s="214">
        <v>0.5</v>
      </c>
      <c r="AQ18" s="188"/>
      <c r="AR18" s="189">
        <v>1</v>
      </c>
      <c r="AS18" s="189"/>
      <c r="AT18" s="189"/>
      <c r="AU18" s="189"/>
      <c r="AV18" s="189"/>
      <c r="AW18" s="234"/>
      <c r="AX18" s="234"/>
      <c r="AY18" s="234"/>
      <c r="AZ18" s="234"/>
      <c r="BA18" s="189"/>
      <c r="BB18" s="189">
        <v>1</v>
      </c>
      <c r="BC18" s="189"/>
      <c r="BD18" s="189"/>
      <c r="BE18" s="190"/>
      <c r="BF18" s="188">
        <v>227</v>
      </c>
      <c r="BG18" s="189">
        <v>2658</v>
      </c>
      <c r="BH18" s="189">
        <v>3</v>
      </c>
      <c r="BI18" s="189">
        <v>43</v>
      </c>
      <c r="BJ18" s="189">
        <v>42</v>
      </c>
      <c r="BK18" s="189">
        <v>10</v>
      </c>
      <c r="BL18" s="234">
        <v>5.4047619047619051</v>
      </c>
      <c r="BM18" s="234">
        <v>105.3</v>
      </c>
      <c r="BN18" s="234">
        <v>3.21</v>
      </c>
      <c r="BO18" s="234">
        <v>25.6</v>
      </c>
      <c r="BP18" s="189">
        <v>169</v>
      </c>
      <c r="BQ18" s="189">
        <v>4696</v>
      </c>
      <c r="BR18" s="189">
        <v>16</v>
      </c>
      <c r="BS18" s="189">
        <v>3</v>
      </c>
      <c r="BT18" s="198">
        <v>43</v>
      </c>
      <c r="BU18" s="188">
        <v>16</v>
      </c>
      <c r="BV18" s="189">
        <v>269.2</v>
      </c>
      <c r="BW18" s="189">
        <v>1</v>
      </c>
      <c r="BX18" s="189">
        <v>33</v>
      </c>
      <c r="BY18" s="189">
        <v>3</v>
      </c>
      <c r="BZ18" s="189">
        <v>1</v>
      </c>
      <c r="CA18" s="191">
        <v>5.333333333333333</v>
      </c>
      <c r="CB18" s="189">
        <v>50</v>
      </c>
      <c r="CC18" s="191">
        <v>3</v>
      </c>
      <c r="CD18" s="234">
        <v>0</v>
      </c>
      <c r="CE18" s="189">
        <v>18</v>
      </c>
      <c r="CF18" s="189">
        <v>666</v>
      </c>
      <c r="CG18" s="189">
        <v>3</v>
      </c>
      <c r="CH18" s="189">
        <v>0</v>
      </c>
      <c r="CI18" s="190">
        <v>5.6</v>
      </c>
      <c r="CJ18" s="188">
        <v>41</v>
      </c>
      <c r="CK18" s="189">
        <v>399.8</v>
      </c>
      <c r="CL18" s="189">
        <v>0</v>
      </c>
      <c r="CM18" s="189">
        <v>4.2</v>
      </c>
      <c r="CN18" s="189">
        <v>8</v>
      </c>
      <c r="CO18" s="189">
        <v>2</v>
      </c>
      <c r="CP18" s="191">
        <v>5.125</v>
      </c>
      <c r="CQ18" s="189">
        <v>70.5</v>
      </c>
      <c r="CR18" s="191">
        <v>3.88</v>
      </c>
      <c r="CS18" s="234">
        <v>0</v>
      </c>
      <c r="CT18" s="189">
        <v>6</v>
      </c>
      <c r="CU18" s="189">
        <v>459</v>
      </c>
      <c r="CV18" s="189">
        <v>3</v>
      </c>
      <c r="CW18" s="189">
        <v>0</v>
      </c>
      <c r="CX18" s="190">
        <v>3.8</v>
      </c>
      <c r="CY18" s="188">
        <v>292</v>
      </c>
      <c r="CZ18" s="189">
        <v>755</v>
      </c>
      <c r="DA18" s="189"/>
      <c r="DB18" s="189"/>
      <c r="DC18" s="189">
        <v>35</v>
      </c>
      <c r="DD18" s="189">
        <v>20</v>
      </c>
      <c r="DE18" s="53">
        <v>8.3428571428571434</v>
      </c>
      <c r="DF18" s="189">
        <v>242.5</v>
      </c>
      <c r="DG18" s="191">
        <v>4.1399999999999997</v>
      </c>
      <c r="DH18" s="191">
        <v>59.6</v>
      </c>
      <c r="DI18" s="189">
        <v>34</v>
      </c>
      <c r="DJ18" s="189">
        <v>527</v>
      </c>
      <c r="DK18" s="189">
        <v>6</v>
      </c>
      <c r="DL18" s="189"/>
      <c r="DM18" s="190"/>
      <c r="DO18" s="5"/>
      <c r="DP18" s="42"/>
      <c r="DQ18" s="7"/>
    </row>
    <row r="19" spans="1:121" x14ac:dyDescent="0.2">
      <c r="A19" s="33">
        <v>17</v>
      </c>
      <c r="B19" s="34" t="s">
        <v>621</v>
      </c>
      <c r="C19" s="116">
        <v>4.6888888888888891</v>
      </c>
      <c r="D19" s="117" t="s">
        <v>540</v>
      </c>
      <c r="E19" s="37">
        <v>3</v>
      </c>
      <c r="F19" s="118">
        <v>38504</v>
      </c>
      <c r="G19" s="119">
        <v>20.336986301369862</v>
      </c>
      <c r="H19" s="39" t="s">
        <v>494</v>
      </c>
      <c r="I19" s="39">
        <v>20.917808219178081</v>
      </c>
      <c r="J19" s="205">
        <v>72</v>
      </c>
      <c r="K19" s="205">
        <v>203</v>
      </c>
      <c r="L19" s="205">
        <v>4.5</v>
      </c>
      <c r="M19" s="213">
        <v>0</v>
      </c>
      <c r="N19" s="121">
        <v>0</v>
      </c>
      <c r="O19" s="122">
        <v>0</v>
      </c>
      <c r="P19" s="122">
        <v>4.0585847891300507E-2</v>
      </c>
      <c r="Q19" s="122">
        <v>0.2571729565594596</v>
      </c>
      <c r="R19" s="122">
        <v>0.20654911838790932</v>
      </c>
      <c r="S19" s="42">
        <v>0.23186103747368447</v>
      </c>
      <c r="T19" s="42">
        <v>0.20867493372631604</v>
      </c>
      <c r="U19" s="42">
        <v>7.3061267091117835E-2</v>
      </c>
      <c r="V19" s="42">
        <v>2.1739130434782608E-2</v>
      </c>
      <c r="W19" s="210">
        <v>4.7400198762950221E-2</v>
      </c>
      <c r="X19" s="43">
        <v>4.2660178886655201E-2</v>
      </c>
      <c r="Y19" s="44">
        <v>19.265753424657536</v>
      </c>
      <c r="Z19" s="170">
        <v>99.009297363206827</v>
      </c>
      <c r="AA19" s="45">
        <v>27.528742283950617</v>
      </c>
      <c r="AB19" s="45">
        <v>0.16384180790960451</v>
      </c>
      <c r="AC19" s="45">
        <v>5.8474576271186445</v>
      </c>
      <c r="AD19" s="45">
        <v>70.5</v>
      </c>
      <c r="AE19" s="45">
        <v>4.1100000000000003</v>
      </c>
      <c r="AF19" s="45">
        <v>38.4</v>
      </c>
      <c r="AG19" s="128">
        <v>4</v>
      </c>
      <c r="AH19" s="49">
        <v>4</v>
      </c>
      <c r="AI19" s="49">
        <v>7</v>
      </c>
      <c r="AJ19" s="49">
        <v>5</v>
      </c>
      <c r="AK19" s="49">
        <v>2</v>
      </c>
      <c r="AL19" s="49">
        <v>4</v>
      </c>
      <c r="AM19" s="49">
        <v>1</v>
      </c>
      <c r="AN19" s="49">
        <v>5</v>
      </c>
      <c r="AO19" s="49">
        <v>0</v>
      </c>
      <c r="AP19" s="214">
        <v>0</v>
      </c>
      <c r="AQ19" s="188"/>
      <c r="AR19" s="189">
        <v>1</v>
      </c>
      <c r="AS19" s="189"/>
      <c r="AT19" s="189"/>
      <c r="AU19" s="189"/>
      <c r="AV19" s="189"/>
      <c r="AW19" s="234"/>
      <c r="AX19" s="234"/>
      <c r="AY19" s="234"/>
      <c r="AZ19" s="234"/>
      <c r="BA19" s="189"/>
      <c r="BB19" s="189">
        <v>1</v>
      </c>
      <c r="BC19" s="189"/>
      <c r="BD19" s="189"/>
      <c r="BE19" s="190"/>
      <c r="BF19" s="188"/>
      <c r="BG19" s="189">
        <v>1</v>
      </c>
      <c r="BH19" s="189"/>
      <c r="BI19" s="189"/>
      <c r="BJ19" s="189"/>
      <c r="BK19" s="189"/>
      <c r="BL19" s="234"/>
      <c r="BM19" s="234"/>
      <c r="BN19" s="234"/>
      <c r="BO19" s="234"/>
      <c r="BP19" s="189"/>
      <c r="BQ19" s="189">
        <v>1</v>
      </c>
      <c r="BR19" s="189"/>
      <c r="BS19" s="189"/>
      <c r="BT19" s="198"/>
      <c r="BU19" s="188">
        <v>45</v>
      </c>
      <c r="BV19" s="189">
        <v>344.4</v>
      </c>
      <c r="BW19" s="189">
        <v>0</v>
      </c>
      <c r="BX19" s="189">
        <v>3.3000000000000003</v>
      </c>
      <c r="BY19" s="189">
        <v>10</v>
      </c>
      <c r="BZ19" s="189">
        <v>2</v>
      </c>
      <c r="CA19" s="191">
        <v>4.5</v>
      </c>
      <c r="CB19" s="189">
        <v>69.099999999999994</v>
      </c>
      <c r="CC19" s="191">
        <v>3.8</v>
      </c>
      <c r="CD19" s="234">
        <v>0</v>
      </c>
      <c r="CE19" s="189">
        <v>1</v>
      </c>
      <c r="CF19" s="189">
        <v>789</v>
      </c>
      <c r="CG19" s="189">
        <v>1</v>
      </c>
      <c r="CH19" s="189">
        <v>0</v>
      </c>
      <c r="CI19" s="190">
        <v>3.9000000000000004</v>
      </c>
      <c r="CJ19" s="188">
        <v>1035</v>
      </c>
      <c r="CK19" s="189">
        <v>1966.8000000000002</v>
      </c>
      <c r="CL19" s="189">
        <v>12</v>
      </c>
      <c r="CM19" s="189">
        <v>20.9</v>
      </c>
      <c r="CN19" s="189">
        <v>177</v>
      </c>
      <c r="CO19" s="189">
        <v>29</v>
      </c>
      <c r="CP19" s="191">
        <v>5.8474576271186445</v>
      </c>
      <c r="CQ19" s="189">
        <v>70.5</v>
      </c>
      <c r="CR19" s="191">
        <v>4.1100000000000003</v>
      </c>
      <c r="CS19" s="234">
        <v>38.4</v>
      </c>
      <c r="CT19" s="189">
        <v>210</v>
      </c>
      <c r="CU19" s="189">
        <v>2874.3</v>
      </c>
      <c r="CV19" s="189">
        <v>21</v>
      </c>
      <c r="CW19" s="189">
        <v>1</v>
      </c>
      <c r="CX19" s="190">
        <v>26.4</v>
      </c>
      <c r="CY19" s="188">
        <v>304</v>
      </c>
      <c r="CZ19" s="189">
        <v>484</v>
      </c>
      <c r="DA19" s="189"/>
      <c r="DB19" s="189"/>
      <c r="DC19" s="189">
        <v>66</v>
      </c>
      <c r="DD19" s="189">
        <v>9</v>
      </c>
      <c r="DE19" s="53">
        <v>4.6060606060606064</v>
      </c>
      <c r="DF19" s="189">
        <v>34.1</v>
      </c>
      <c r="DG19" s="191">
        <v>2.73</v>
      </c>
      <c r="DH19" s="191">
        <v>28.6</v>
      </c>
      <c r="DI19" s="189">
        <v>24</v>
      </c>
      <c r="DJ19" s="189">
        <v>1104</v>
      </c>
      <c r="DK19" s="189">
        <v>6</v>
      </c>
      <c r="DL19" s="189"/>
      <c r="DM19" s="190"/>
      <c r="DO19" s="5"/>
      <c r="DP19" s="42"/>
      <c r="DQ19" s="7"/>
    </row>
    <row r="20" spans="1:121" x14ac:dyDescent="0.2">
      <c r="A20" s="33">
        <v>18</v>
      </c>
      <c r="B20" s="34" t="s">
        <v>626</v>
      </c>
      <c r="C20" s="116">
        <v>4.4722222222222223</v>
      </c>
      <c r="D20" s="117" t="s">
        <v>445</v>
      </c>
      <c r="E20" s="37">
        <v>2</v>
      </c>
      <c r="F20" s="118">
        <v>38177</v>
      </c>
      <c r="G20" s="119">
        <v>21.232876712328768</v>
      </c>
      <c r="H20" s="39" t="s">
        <v>389</v>
      </c>
      <c r="I20" s="39">
        <v>21.813698630136987</v>
      </c>
      <c r="J20" s="205">
        <v>74</v>
      </c>
      <c r="K20" s="205">
        <v>237</v>
      </c>
      <c r="L20" s="205">
        <v>4.5</v>
      </c>
      <c r="M20" s="213">
        <v>0</v>
      </c>
      <c r="N20" s="121">
        <v>0</v>
      </c>
      <c r="O20" s="122">
        <v>0.19799498746867167</v>
      </c>
      <c r="P20" s="122">
        <v>0.16375210921920541</v>
      </c>
      <c r="Q20" s="122">
        <v>0.1605102817974105</v>
      </c>
      <c r="R20" s="122">
        <v>0.12089447938504543</v>
      </c>
      <c r="S20" s="42">
        <v>0.15944473342685855</v>
      </c>
      <c r="T20" s="42">
        <v>0.15944473342685855</v>
      </c>
      <c r="U20" s="42">
        <v>3.8039502560351136E-2</v>
      </c>
      <c r="V20" s="42">
        <v>2.5882352941176471E-2</v>
      </c>
      <c r="W20" s="210">
        <v>3.1960927750763805E-2</v>
      </c>
      <c r="X20" s="43">
        <v>3.1960927750763805E-2</v>
      </c>
      <c r="Y20" s="44">
        <v>18.169863013698631</v>
      </c>
      <c r="Z20" s="170">
        <v>115.59213534522176</v>
      </c>
      <c r="AA20" s="45">
        <v>30.425675675675674</v>
      </c>
      <c r="AB20" s="45">
        <v>0.17901234567901234</v>
      </c>
      <c r="AC20" s="45">
        <v>4.7041420118343193</v>
      </c>
      <c r="AD20" s="45">
        <v>53</v>
      </c>
      <c r="AE20" s="45">
        <v>3.15</v>
      </c>
      <c r="AF20" s="45">
        <v>29.6</v>
      </c>
      <c r="AG20" s="128">
        <v>2</v>
      </c>
      <c r="AH20" s="49">
        <v>3</v>
      </c>
      <c r="AI20" s="49">
        <v>10</v>
      </c>
      <c r="AJ20" s="49">
        <v>10</v>
      </c>
      <c r="AK20" s="49">
        <v>2</v>
      </c>
      <c r="AL20" s="49">
        <v>0</v>
      </c>
      <c r="AM20" s="49">
        <v>0</v>
      </c>
      <c r="AN20" s="49">
        <v>0</v>
      </c>
      <c r="AO20" s="49">
        <v>0</v>
      </c>
      <c r="AP20" s="214">
        <v>0.5</v>
      </c>
      <c r="AQ20" s="188"/>
      <c r="AR20" s="189">
        <v>1</v>
      </c>
      <c r="AS20" s="189"/>
      <c r="AT20" s="189"/>
      <c r="AU20" s="189"/>
      <c r="AV20" s="189"/>
      <c r="AW20" s="234"/>
      <c r="AX20" s="234"/>
      <c r="AY20" s="234"/>
      <c r="AZ20" s="234"/>
      <c r="BA20" s="189"/>
      <c r="BB20" s="189">
        <v>1</v>
      </c>
      <c r="BC20" s="189"/>
      <c r="BD20" s="189"/>
      <c r="BE20" s="190"/>
      <c r="BF20" s="188">
        <v>526</v>
      </c>
      <c r="BG20" s="189">
        <v>1200.5</v>
      </c>
      <c r="BH20" s="189">
        <v>8</v>
      </c>
      <c r="BI20" s="189">
        <v>14</v>
      </c>
      <c r="BJ20" s="189">
        <v>87</v>
      </c>
      <c r="BK20" s="189">
        <v>18</v>
      </c>
      <c r="BL20" s="234">
        <v>6.0459770114942533</v>
      </c>
      <c r="BM20" s="234">
        <v>91.8</v>
      </c>
      <c r="BN20" s="234">
        <v>4.2</v>
      </c>
      <c r="BO20" s="234">
        <v>48.9</v>
      </c>
      <c r="BP20" s="189">
        <v>27</v>
      </c>
      <c r="BQ20" s="189">
        <v>1592.5</v>
      </c>
      <c r="BR20" s="189">
        <v>9</v>
      </c>
      <c r="BS20" s="189">
        <v>0</v>
      </c>
      <c r="BT20" s="198">
        <v>11.9</v>
      </c>
      <c r="BU20" s="188">
        <v>795</v>
      </c>
      <c r="BV20" s="189">
        <v>2746.8</v>
      </c>
      <c r="BW20" s="189">
        <v>11</v>
      </c>
      <c r="BX20" s="189">
        <v>30</v>
      </c>
      <c r="BY20" s="189">
        <v>169</v>
      </c>
      <c r="BZ20" s="189">
        <v>23</v>
      </c>
      <c r="CA20" s="191">
        <v>4.7041420118343193</v>
      </c>
      <c r="CB20" s="189">
        <v>39.299999999999997</v>
      </c>
      <c r="CC20" s="191">
        <v>2.92</v>
      </c>
      <c r="CD20" s="234">
        <v>17.899999999999999</v>
      </c>
      <c r="CE20" s="189">
        <v>59</v>
      </c>
      <c r="CF20" s="189">
        <v>2468.3999999999996</v>
      </c>
      <c r="CG20" s="189">
        <v>9</v>
      </c>
      <c r="CH20" s="189">
        <v>0</v>
      </c>
      <c r="CI20" s="190">
        <v>16.799999999999997</v>
      </c>
      <c r="CJ20" s="188">
        <v>739</v>
      </c>
      <c r="CK20" s="189">
        <v>2518</v>
      </c>
      <c r="CL20" s="189">
        <v>11</v>
      </c>
      <c r="CM20" s="189">
        <v>27</v>
      </c>
      <c r="CN20" s="189">
        <v>162</v>
      </c>
      <c r="CO20" s="189">
        <v>29</v>
      </c>
      <c r="CP20" s="191">
        <v>4.5617283950617287</v>
      </c>
      <c r="CQ20" s="189">
        <v>53</v>
      </c>
      <c r="CR20" s="191">
        <v>2.83</v>
      </c>
      <c r="CS20" s="234">
        <v>29.6</v>
      </c>
      <c r="CT20" s="189">
        <v>104</v>
      </c>
      <c r="CU20" s="189">
        <v>2734</v>
      </c>
      <c r="CV20" s="189">
        <v>14</v>
      </c>
      <c r="CW20" s="189">
        <v>1</v>
      </c>
      <c r="CX20" s="190">
        <v>20</v>
      </c>
      <c r="CY20" s="188">
        <v>151</v>
      </c>
      <c r="CZ20" s="189">
        <v>581</v>
      </c>
      <c r="DA20" s="189"/>
      <c r="DB20" s="189"/>
      <c r="DC20" s="189">
        <v>33</v>
      </c>
      <c r="DD20" s="189">
        <v>1</v>
      </c>
      <c r="DE20" s="53">
        <v>4.5757575757575761</v>
      </c>
      <c r="DF20" s="189">
        <v>8.8000000000000007</v>
      </c>
      <c r="DG20" s="191">
        <v>3.15</v>
      </c>
      <c r="DH20" s="191">
        <v>17.899999999999999</v>
      </c>
      <c r="DI20" s="189">
        <v>22</v>
      </c>
      <c r="DJ20" s="189">
        <v>850</v>
      </c>
      <c r="DK20" s="189">
        <v>3</v>
      </c>
      <c r="DL20" s="189"/>
      <c r="DM20" s="190"/>
      <c r="DO20" s="5"/>
      <c r="DP20" s="42"/>
      <c r="DQ20" s="7"/>
    </row>
    <row r="21" spans="1:121" x14ac:dyDescent="0.2">
      <c r="A21" s="33">
        <v>19</v>
      </c>
      <c r="B21" s="34" t="s">
        <v>613</v>
      </c>
      <c r="C21" s="116">
        <v>4.3388888888888886</v>
      </c>
      <c r="D21" s="117" t="s">
        <v>556</v>
      </c>
      <c r="E21" s="37">
        <v>3</v>
      </c>
      <c r="F21" s="118">
        <v>38252</v>
      </c>
      <c r="G21" s="119">
        <v>21.027397260273972</v>
      </c>
      <c r="H21" s="39" t="s">
        <v>385</v>
      </c>
      <c r="I21" s="39">
        <v>21.608219178082191</v>
      </c>
      <c r="J21" s="205">
        <v>69</v>
      </c>
      <c r="K21" s="205">
        <v>167</v>
      </c>
      <c r="L21" s="205">
        <v>4.3499999999999996</v>
      </c>
      <c r="M21" s="213">
        <v>0</v>
      </c>
      <c r="N21" s="121">
        <v>0</v>
      </c>
      <c r="O21" s="122">
        <v>0</v>
      </c>
      <c r="P21" s="122">
        <v>0.14279165711666283</v>
      </c>
      <c r="Q21" s="122">
        <v>0.13254470211603028</v>
      </c>
      <c r="R21" s="122">
        <v>0</v>
      </c>
      <c r="S21" s="42">
        <v>0.13766817961634656</v>
      </c>
      <c r="T21" s="42">
        <v>0.12390136165471191</v>
      </c>
      <c r="U21" s="42">
        <v>5.2428256070640174E-2</v>
      </c>
      <c r="V21" s="42">
        <v>0</v>
      </c>
      <c r="W21" s="210">
        <v>5.2428256070640174E-2</v>
      </c>
      <c r="X21" s="43">
        <v>4.7185430463576157E-2</v>
      </c>
      <c r="Y21" s="44" t="s">
        <v>645</v>
      </c>
      <c r="Z21" s="170">
        <v>93.280193645772101</v>
      </c>
      <c r="AA21" s="45">
        <v>24.658895190086113</v>
      </c>
      <c r="AB21" s="45">
        <v>0.27027027027027029</v>
      </c>
      <c r="AC21" s="45">
        <v>7.3783783783783781</v>
      </c>
      <c r="AD21" s="45">
        <v>120.4</v>
      </c>
      <c r="AE21" s="45">
        <v>4.1500000000000004</v>
      </c>
      <c r="AF21" s="45">
        <v>51.3</v>
      </c>
      <c r="AG21" s="128">
        <v>1</v>
      </c>
      <c r="AH21" s="49">
        <v>5</v>
      </c>
      <c r="AI21" s="49">
        <v>0</v>
      </c>
      <c r="AJ21" s="49">
        <v>2</v>
      </c>
      <c r="AK21" s="49">
        <v>7</v>
      </c>
      <c r="AL21" s="49">
        <v>8</v>
      </c>
      <c r="AM21" s="49">
        <v>6</v>
      </c>
      <c r="AN21" s="49">
        <v>5</v>
      </c>
      <c r="AO21" s="49">
        <v>0</v>
      </c>
      <c r="AP21" s="214">
        <v>0</v>
      </c>
      <c r="AQ21" s="188"/>
      <c r="AR21" s="189">
        <v>1</v>
      </c>
      <c r="AS21" s="189"/>
      <c r="AT21" s="189"/>
      <c r="AU21" s="189"/>
      <c r="AV21" s="189"/>
      <c r="AW21" s="234"/>
      <c r="AX21" s="234"/>
      <c r="AY21" s="234"/>
      <c r="AZ21" s="234"/>
      <c r="BA21" s="189"/>
      <c r="BB21" s="189">
        <v>1</v>
      </c>
      <c r="BC21" s="189"/>
      <c r="BD21" s="189"/>
      <c r="BE21" s="190"/>
      <c r="BF21" s="188"/>
      <c r="BG21" s="189">
        <v>1</v>
      </c>
      <c r="BH21" s="189"/>
      <c r="BI21" s="189"/>
      <c r="BJ21" s="189"/>
      <c r="BK21" s="189"/>
      <c r="BL21" s="234"/>
      <c r="BM21" s="234"/>
      <c r="BN21" s="234"/>
      <c r="BO21" s="234"/>
      <c r="BP21" s="189"/>
      <c r="BQ21" s="189">
        <v>1</v>
      </c>
      <c r="BR21" s="189"/>
      <c r="BS21" s="189"/>
      <c r="BT21" s="198"/>
      <c r="BU21" s="188">
        <v>324</v>
      </c>
      <c r="BV21" s="189">
        <v>827</v>
      </c>
      <c r="BW21" s="189">
        <v>1</v>
      </c>
      <c r="BX21" s="189">
        <v>12</v>
      </c>
      <c r="BY21" s="189">
        <v>74</v>
      </c>
      <c r="BZ21" s="189">
        <v>20</v>
      </c>
      <c r="CA21" s="191">
        <v>4.3783783783783781</v>
      </c>
      <c r="CB21" s="189">
        <v>62</v>
      </c>
      <c r="CC21" s="191">
        <v>2.5299999999999998</v>
      </c>
      <c r="CD21" s="234">
        <v>33.6</v>
      </c>
      <c r="CE21" s="189">
        <v>299</v>
      </c>
      <c r="CF21" s="189">
        <v>3536</v>
      </c>
      <c r="CG21" s="189">
        <v>36</v>
      </c>
      <c r="CH21" s="189">
        <v>4</v>
      </c>
      <c r="CI21" s="190">
        <v>29</v>
      </c>
      <c r="CJ21" s="188">
        <v>546</v>
      </c>
      <c r="CK21" s="189">
        <v>2586</v>
      </c>
      <c r="CL21" s="189">
        <v>5</v>
      </c>
      <c r="CM21" s="189">
        <v>19.200000000000003</v>
      </c>
      <c r="CN21" s="189">
        <v>74</v>
      </c>
      <c r="CO21" s="189">
        <v>20</v>
      </c>
      <c r="CP21" s="191">
        <v>7.3783783783783781</v>
      </c>
      <c r="CQ21" s="189">
        <v>120.4</v>
      </c>
      <c r="CR21" s="191">
        <v>4.1500000000000004</v>
      </c>
      <c r="CS21" s="234">
        <v>51.3</v>
      </c>
      <c r="CT21" s="189">
        <v>133</v>
      </c>
      <c r="CU21" s="189">
        <v>2536.8000000000002</v>
      </c>
      <c r="CV21" s="189">
        <v>19</v>
      </c>
      <c r="CW21" s="189">
        <v>2</v>
      </c>
      <c r="CX21" s="190">
        <v>22.799999999999997</v>
      </c>
      <c r="CY21" s="188"/>
      <c r="CZ21" s="189">
        <v>1</v>
      </c>
      <c r="DA21" s="189"/>
      <c r="DB21" s="189"/>
      <c r="DC21" s="189"/>
      <c r="DD21" s="189"/>
      <c r="DE21" s="53"/>
      <c r="DF21" s="189"/>
      <c r="DG21" s="191"/>
      <c r="DH21" s="191"/>
      <c r="DI21" s="189"/>
      <c r="DJ21" s="189">
        <v>1</v>
      </c>
      <c r="DK21" s="189"/>
      <c r="DL21" s="189"/>
      <c r="DM21" s="190"/>
      <c r="DO21" s="5"/>
      <c r="DP21" s="42"/>
      <c r="DQ21" s="7"/>
    </row>
    <row r="22" spans="1:121" x14ac:dyDescent="0.2">
      <c r="A22" s="33">
        <v>20</v>
      </c>
      <c r="B22" s="34" t="s">
        <v>620</v>
      </c>
      <c r="C22" s="116">
        <v>4.166666666666667</v>
      </c>
      <c r="D22" s="117" t="s">
        <v>505</v>
      </c>
      <c r="E22" s="37">
        <v>3</v>
      </c>
      <c r="F22" s="197">
        <v>38251</v>
      </c>
      <c r="G22" s="119">
        <v>21.030136986301368</v>
      </c>
      <c r="H22" s="39" t="s">
        <v>385</v>
      </c>
      <c r="I22" s="39">
        <v>21.610958904109587</v>
      </c>
      <c r="J22" s="205">
        <v>74</v>
      </c>
      <c r="K22" s="205">
        <v>220</v>
      </c>
      <c r="L22" s="205">
        <v>4.5</v>
      </c>
      <c r="M22" s="213">
        <v>0</v>
      </c>
      <c r="N22" s="121">
        <v>0</v>
      </c>
      <c r="O22" s="122">
        <v>0</v>
      </c>
      <c r="P22" s="122">
        <v>0.18146593477558928</v>
      </c>
      <c r="Q22" s="122">
        <v>0.20876879938822329</v>
      </c>
      <c r="R22" s="122">
        <v>0</v>
      </c>
      <c r="S22" s="42">
        <v>0.10438439969411165</v>
      </c>
      <c r="T22" s="42">
        <v>9.394595972470049E-2</v>
      </c>
      <c r="U22" s="42">
        <v>4.2369217466493733E-2</v>
      </c>
      <c r="V22" s="42">
        <v>0</v>
      </c>
      <c r="W22" s="210">
        <v>2.1184608733246867E-2</v>
      </c>
      <c r="X22" s="43">
        <v>1.9066147859922181E-2</v>
      </c>
      <c r="Y22" s="44">
        <v>18.964383561643835</v>
      </c>
      <c r="Z22" s="170">
        <v>107.3007163542143</v>
      </c>
      <c r="AA22" s="45">
        <v>28.243243243243246</v>
      </c>
      <c r="AB22" s="45">
        <v>0.27737226277372262</v>
      </c>
      <c r="AC22" s="45">
        <v>5.2627737226277373</v>
      </c>
      <c r="AD22" s="45">
        <v>93</v>
      </c>
      <c r="AE22" s="45">
        <v>3.42</v>
      </c>
      <c r="AF22" s="45">
        <v>42.4</v>
      </c>
      <c r="AG22" s="128">
        <v>0</v>
      </c>
      <c r="AH22" s="49">
        <v>1</v>
      </c>
      <c r="AI22" s="49">
        <v>8</v>
      </c>
      <c r="AJ22" s="49">
        <v>8</v>
      </c>
      <c r="AK22" s="49">
        <v>7</v>
      </c>
      <c r="AL22" s="49">
        <v>2</v>
      </c>
      <c r="AM22" s="49">
        <v>3</v>
      </c>
      <c r="AN22" s="49">
        <v>1</v>
      </c>
      <c r="AO22" s="49">
        <v>0</v>
      </c>
      <c r="AP22" s="214">
        <v>0</v>
      </c>
      <c r="AQ22" s="188"/>
      <c r="AR22" s="189">
        <v>1</v>
      </c>
      <c r="AS22" s="189"/>
      <c r="AT22" s="189"/>
      <c r="AU22" s="189"/>
      <c r="AV22" s="189"/>
      <c r="AW22" s="234"/>
      <c r="AX22" s="234"/>
      <c r="AY22" s="234"/>
      <c r="AZ22" s="234"/>
      <c r="BA22" s="189"/>
      <c r="BB22" s="189">
        <v>1</v>
      </c>
      <c r="BC22" s="189"/>
      <c r="BD22" s="189"/>
      <c r="BE22" s="190"/>
      <c r="BF22" s="188"/>
      <c r="BG22" s="189">
        <v>1</v>
      </c>
      <c r="BH22" s="189"/>
      <c r="BI22" s="189"/>
      <c r="BJ22" s="189"/>
      <c r="BK22" s="189"/>
      <c r="BL22" s="234"/>
      <c r="BM22" s="234"/>
      <c r="BN22" s="234"/>
      <c r="BO22" s="234"/>
      <c r="BP22" s="189"/>
      <c r="BQ22" s="189">
        <v>1</v>
      </c>
      <c r="BR22" s="189"/>
      <c r="BS22" s="189"/>
      <c r="BT22" s="198"/>
      <c r="BU22" s="188">
        <v>517</v>
      </c>
      <c r="BV22" s="189">
        <v>1043</v>
      </c>
      <c r="BW22" s="189">
        <v>4</v>
      </c>
      <c r="BX22" s="189">
        <v>13</v>
      </c>
      <c r="BY22" s="189">
        <v>108</v>
      </c>
      <c r="BZ22" s="189">
        <v>27</v>
      </c>
      <c r="CA22" s="191">
        <v>4.7870370370370372</v>
      </c>
      <c r="CB22" s="189">
        <v>81</v>
      </c>
      <c r="CC22" s="191">
        <v>3.32</v>
      </c>
      <c r="CD22" s="234">
        <v>42.4</v>
      </c>
      <c r="CE22" s="189">
        <v>45</v>
      </c>
      <c r="CF22" s="189">
        <v>2054</v>
      </c>
      <c r="CG22" s="189">
        <v>11</v>
      </c>
      <c r="CH22" s="189">
        <v>1</v>
      </c>
      <c r="CI22" s="190">
        <v>14</v>
      </c>
      <c r="CJ22" s="188">
        <v>721</v>
      </c>
      <c r="CK22" s="189">
        <v>1610</v>
      </c>
      <c r="CL22" s="189">
        <v>7</v>
      </c>
      <c r="CM22" s="189">
        <v>15</v>
      </c>
      <c r="CN22" s="189">
        <v>137</v>
      </c>
      <c r="CO22" s="189">
        <v>38</v>
      </c>
      <c r="CP22" s="191">
        <v>5.2627737226277373</v>
      </c>
      <c r="CQ22" s="189">
        <v>93</v>
      </c>
      <c r="CR22" s="191">
        <v>3.42</v>
      </c>
      <c r="CS22" s="234">
        <v>25.9</v>
      </c>
      <c r="CT22" s="189">
        <v>98</v>
      </c>
      <c r="CU22" s="189">
        <v>2313</v>
      </c>
      <c r="CV22" s="189">
        <v>10</v>
      </c>
      <c r="CW22" s="189">
        <v>2</v>
      </c>
      <c r="CX22" s="190">
        <v>16</v>
      </c>
      <c r="CY22" s="188"/>
      <c r="CZ22" s="189">
        <v>1</v>
      </c>
      <c r="DA22" s="189"/>
      <c r="DB22" s="189"/>
      <c r="DC22" s="189"/>
      <c r="DD22" s="189"/>
      <c r="DE22" s="53"/>
      <c r="DF22" s="189"/>
      <c r="DG22" s="191"/>
      <c r="DH22" s="191"/>
      <c r="DI22" s="189"/>
      <c r="DJ22" s="189">
        <v>1</v>
      </c>
      <c r="DK22" s="189"/>
      <c r="DL22" s="189"/>
      <c r="DM22" s="190"/>
      <c r="DO22" s="5"/>
      <c r="DP22" s="42"/>
      <c r="DQ22" s="7"/>
    </row>
    <row r="23" spans="1:121" x14ac:dyDescent="0.2">
      <c r="A23" s="33">
        <v>21</v>
      </c>
      <c r="B23" s="34" t="s">
        <v>627</v>
      </c>
      <c r="C23" s="116">
        <v>4.0555555555555554</v>
      </c>
      <c r="D23" s="117" t="s">
        <v>515</v>
      </c>
      <c r="E23" s="37">
        <v>2</v>
      </c>
      <c r="F23" s="197">
        <v>37043</v>
      </c>
      <c r="G23" s="119">
        <v>24.339726027397262</v>
      </c>
      <c r="H23" s="39" t="s">
        <v>469</v>
      </c>
      <c r="I23" s="39">
        <v>24.920547945205481</v>
      </c>
      <c r="J23" s="205">
        <v>68</v>
      </c>
      <c r="K23" s="205">
        <v>200</v>
      </c>
      <c r="L23" s="205">
        <v>4.5</v>
      </c>
      <c r="M23" s="194">
        <v>0</v>
      </c>
      <c r="N23" s="121">
        <v>0.10515688101894999</v>
      </c>
      <c r="O23" s="122">
        <v>0.14538189641924082</v>
      </c>
      <c r="P23" s="122">
        <v>0.10538200978547234</v>
      </c>
      <c r="Q23" s="122">
        <v>0.11038536903984324</v>
      </c>
      <c r="R23" s="122">
        <v>0.10515873015873016</v>
      </c>
      <c r="S23" s="42">
        <v>0.1252703132889855</v>
      </c>
      <c r="T23" s="42">
        <v>0.1252703132889855</v>
      </c>
      <c r="U23" s="42">
        <v>3.4755941732685917E-2</v>
      </c>
      <c r="V23" s="42">
        <v>0</v>
      </c>
      <c r="W23" s="210">
        <v>1.7377970866342959E-2</v>
      </c>
      <c r="X23" s="43">
        <v>1.7377970866342959E-2</v>
      </c>
      <c r="Y23" s="44" t="s">
        <v>645</v>
      </c>
      <c r="Z23" s="170">
        <v>97.546105776558448</v>
      </c>
      <c r="AA23" s="45">
        <v>30.406574394463664</v>
      </c>
      <c r="AB23" s="45">
        <v>0.21186440677966101</v>
      </c>
      <c r="AC23" s="45">
        <v>11.357142857142858</v>
      </c>
      <c r="AD23" s="45">
        <v>101</v>
      </c>
      <c r="AE23" s="45">
        <v>4.71</v>
      </c>
      <c r="AF23" s="45">
        <v>59.1</v>
      </c>
      <c r="AG23" s="128">
        <v>1</v>
      </c>
      <c r="AH23" s="49">
        <v>1</v>
      </c>
      <c r="AI23" s="49">
        <v>0</v>
      </c>
      <c r="AJ23" s="49">
        <v>4</v>
      </c>
      <c r="AK23" s="49">
        <v>4</v>
      </c>
      <c r="AL23" s="49">
        <v>10</v>
      </c>
      <c r="AM23" s="49">
        <v>4</v>
      </c>
      <c r="AN23" s="49">
        <v>7</v>
      </c>
      <c r="AO23" s="49">
        <v>0</v>
      </c>
      <c r="AP23" s="50">
        <v>1</v>
      </c>
      <c r="AQ23" s="188">
        <v>619</v>
      </c>
      <c r="AR23" s="189">
        <v>1233.5999999999999</v>
      </c>
      <c r="AS23" s="189">
        <v>2</v>
      </c>
      <c r="AT23" s="189">
        <v>10.8</v>
      </c>
      <c r="AU23" s="189">
        <v>102</v>
      </c>
      <c r="AV23" s="189">
        <v>13</v>
      </c>
      <c r="AW23" s="234">
        <v>6.0686274509803919</v>
      </c>
      <c r="AX23" s="234">
        <v>38.6</v>
      </c>
      <c r="AY23" s="234">
        <v>2.93</v>
      </c>
      <c r="AZ23" s="234">
        <v>26.8</v>
      </c>
      <c r="BA23" s="189">
        <v>58</v>
      </c>
      <c r="BB23" s="189">
        <v>5204.3999999999996</v>
      </c>
      <c r="BC23" s="189">
        <v>12</v>
      </c>
      <c r="BD23" s="189">
        <v>0</v>
      </c>
      <c r="BE23" s="190">
        <v>54</v>
      </c>
      <c r="BF23" s="188">
        <v>777</v>
      </c>
      <c r="BG23" s="189">
        <v>2805</v>
      </c>
      <c r="BH23" s="189">
        <v>5</v>
      </c>
      <c r="BI23" s="189">
        <v>34</v>
      </c>
      <c r="BJ23" s="189">
        <v>140</v>
      </c>
      <c r="BK23" s="189">
        <v>25</v>
      </c>
      <c r="BL23" s="234">
        <v>5.55</v>
      </c>
      <c r="BM23" s="234">
        <v>54.9</v>
      </c>
      <c r="BN23" s="234">
        <v>3.18</v>
      </c>
      <c r="BO23" s="234">
        <v>23.9</v>
      </c>
      <c r="BP23" s="189">
        <v>169</v>
      </c>
      <c r="BQ23" s="189">
        <v>3702</v>
      </c>
      <c r="BR23" s="189">
        <v>22</v>
      </c>
      <c r="BS23" s="189">
        <v>1</v>
      </c>
      <c r="BT23" s="198">
        <v>30</v>
      </c>
      <c r="BU23" s="188">
        <v>182</v>
      </c>
      <c r="BV23" s="189">
        <v>738</v>
      </c>
      <c r="BW23" s="189">
        <v>2</v>
      </c>
      <c r="BX23" s="189">
        <v>9.6</v>
      </c>
      <c r="BY23" s="189">
        <v>22</v>
      </c>
      <c r="BZ23" s="189">
        <v>2</v>
      </c>
      <c r="CA23" s="191">
        <v>8.2727272727272734</v>
      </c>
      <c r="CB23" s="189">
        <v>77.3</v>
      </c>
      <c r="CC23" s="191">
        <v>3.86</v>
      </c>
      <c r="CD23" s="234">
        <v>75.3</v>
      </c>
      <c r="CE23" s="189">
        <v>42</v>
      </c>
      <c r="CF23" s="189">
        <v>1387.6</v>
      </c>
      <c r="CG23" s="189">
        <v>8</v>
      </c>
      <c r="CH23" s="189">
        <v>0</v>
      </c>
      <c r="CI23" s="190">
        <v>14</v>
      </c>
      <c r="CJ23" s="188">
        <v>540</v>
      </c>
      <c r="CK23" s="189">
        <v>2211</v>
      </c>
      <c r="CL23" s="189">
        <v>6</v>
      </c>
      <c r="CM23" s="189">
        <v>30</v>
      </c>
      <c r="CN23" s="189">
        <v>118</v>
      </c>
      <c r="CO23" s="189">
        <v>25</v>
      </c>
      <c r="CP23" s="191">
        <v>4.5762711864406782</v>
      </c>
      <c r="CQ23" s="189">
        <v>68.7</v>
      </c>
      <c r="CR23" s="191">
        <v>2.96</v>
      </c>
      <c r="CS23" s="234">
        <v>41.5</v>
      </c>
      <c r="CT23" s="189">
        <v>136</v>
      </c>
      <c r="CU23" s="189">
        <v>3913</v>
      </c>
      <c r="CV23" s="189">
        <v>24</v>
      </c>
      <c r="CW23" s="189">
        <v>2</v>
      </c>
      <c r="CX23" s="190">
        <v>30</v>
      </c>
      <c r="CY23" s="188">
        <v>159</v>
      </c>
      <c r="CZ23" s="189">
        <v>743</v>
      </c>
      <c r="DA23" s="189"/>
      <c r="DB23" s="189"/>
      <c r="DC23" s="189">
        <v>14</v>
      </c>
      <c r="DD23" s="189">
        <v>3</v>
      </c>
      <c r="DE23" s="53">
        <v>11.357142857142858</v>
      </c>
      <c r="DF23" s="189">
        <v>101</v>
      </c>
      <c r="DG23" s="191">
        <v>4.71</v>
      </c>
      <c r="DH23" s="191">
        <v>59.1</v>
      </c>
      <c r="DI23" s="189">
        <v>0</v>
      </c>
      <c r="DJ23" s="189">
        <v>769</v>
      </c>
      <c r="DK23" s="189"/>
      <c r="DL23" s="189"/>
      <c r="DM23" s="190"/>
      <c r="DO23" s="5"/>
      <c r="DP23" s="42"/>
      <c r="DQ23" s="7"/>
    </row>
    <row r="24" spans="1:121" x14ac:dyDescent="0.2">
      <c r="A24" s="33">
        <v>22</v>
      </c>
      <c r="B24" s="34" t="s">
        <v>611</v>
      </c>
      <c r="C24" s="116">
        <v>3.9722222222222223</v>
      </c>
      <c r="D24" s="117" t="s">
        <v>493</v>
      </c>
      <c r="E24" s="37">
        <v>1</v>
      </c>
      <c r="F24" s="118">
        <v>37606</v>
      </c>
      <c r="G24" s="119">
        <v>22.797260273972604</v>
      </c>
      <c r="H24" s="39" t="s">
        <v>389</v>
      </c>
      <c r="I24" s="39">
        <v>23.378082191780823</v>
      </c>
      <c r="J24" s="205">
        <v>71</v>
      </c>
      <c r="K24" s="205">
        <v>208</v>
      </c>
      <c r="L24" s="205">
        <v>4.46</v>
      </c>
      <c r="M24" s="194">
        <v>0</v>
      </c>
      <c r="N24" s="121">
        <v>0</v>
      </c>
      <c r="O24" s="122">
        <v>0.27678734686414336</v>
      </c>
      <c r="P24" s="122">
        <v>0.32118499573742543</v>
      </c>
      <c r="Q24" s="122">
        <v>0.15969481715338069</v>
      </c>
      <c r="R24" s="122">
        <v>1.1797362942401111E-2</v>
      </c>
      <c r="S24" s="42">
        <v>0.16649117933991328</v>
      </c>
      <c r="T24" s="42">
        <v>0.16649117933991328</v>
      </c>
      <c r="U24" s="42">
        <v>8.584686774941995E-2</v>
      </c>
      <c r="V24" s="42">
        <v>0</v>
      </c>
      <c r="W24" s="210">
        <v>4.2923433874709975E-2</v>
      </c>
      <c r="X24" s="43">
        <v>4.2923433874709975E-2</v>
      </c>
      <c r="Y24" s="44">
        <v>19.734246575342464</v>
      </c>
      <c r="Z24" s="170">
        <v>105.13659212403971</v>
      </c>
      <c r="AA24" s="45">
        <v>29.006943066851814</v>
      </c>
      <c r="AB24" s="45">
        <v>0.23577235772357724</v>
      </c>
      <c r="AC24" s="45">
        <v>5.3292682926829267</v>
      </c>
      <c r="AD24" s="45">
        <v>79.7</v>
      </c>
      <c r="AE24" s="45">
        <v>3.39</v>
      </c>
      <c r="AF24" s="45">
        <v>49.9</v>
      </c>
      <c r="AG24" s="128">
        <v>2</v>
      </c>
      <c r="AH24" s="49">
        <v>4</v>
      </c>
      <c r="AI24" s="49">
        <v>6</v>
      </c>
      <c r="AJ24" s="49">
        <v>7</v>
      </c>
      <c r="AK24" s="49">
        <v>5</v>
      </c>
      <c r="AL24" s="49">
        <v>2</v>
      </c>
      <c r="AM24" s="49">
        <v>2</v>
      </c>
      <c r="AN24" s="49">
        <v>1</v>
      </c>
      <c r="AO24" s="49">
        <v>0</v>
      </c>
      <c r="AP24" s="50">
        <v>0</v>
      </c>
      <c r="AQ24" s="188"/>
      <c r="AR24" s="189">
        <v>1</v>
      </c>
      <c r="AS24" s="189"/>
      <c r="AT24" s="189"/>
      <c r="AU24" s="189"/>
      <c r="AV24" s="189"/>
      <c r="AW24" s="234"/>
      <c r="AX24" s="234"/>
      <c r="AY24" s="234"/>
      <c r="AZ24" s="234"/>
      <c r="BA24" s="189"/>
      <c r="BB24" s="189">
        <v>1</v>
      </c>
      <c r="BC24" s="189"/>
      <c r="BD24" s="189"/>
      <c r="BE24" s="190"/>
      <c r="BF24" s="188">
        <v>890</v>
      </c>
      <c r="BG24" s="189">
        <v>1159.1999999999998</v>
      </c>
      <c r="BH24" s="189">
        <v>8</v>
      </c>
      <c r="BI24" s="189">
        <v>9.6000000000000014</v>
      </c>
      <c r="BJ24" s="189">
        <v>170</v>
      </c>
      <c r="BK24" s="189">
        <v>49</v>
      </c>
      <c r="BL24" s="234">
        <v>5.2352941176470589</v>
      </c>
      <c r="BM24" s="234">
        <v>97.8</v>
      </c>
      <c r="BN24" s="234">
        <v>3.3</v>
      </c>
      <c r="BO24" s="234">
        <v>41</v>
      </c>
      <c r="BP24" s="189">
        <v>321</v>
      </c>
      <c r="BQ24" s="189">
        <v>3216</v>
      </c>
      <c r="BR24" s="189">
        <v>46</v>
      </c>
      <c r="BS24" s="189">
        <v>3</v>
      </c>
      <c r="BT24" s="198">
        <v>22.799999999999997</v>
      </c>
      <c r="BU24" s="188">
        <v>1311</v>
      </c>
      <c r="BV24" s="189">
        <v>2073.6000000000004</v>
      </c>
      <c r="BW24" s="189">
        <v>12</v>
      </c>
      <c r="BX24" s="189">
        <v>24</v>
      </c>
      <c r="BY24" s="189">
        <v>246</v>
      </c>
      <c r="BZ24" s="189">
        <v>58</v>
      </c>
      <c r="CA24" s="191">
        <v>5.3292682926829267</v>
      </c>
      <c r="CB24" s="189">
        <v>79.7</v>
      </c>
      <c r="CC24" s="191">
        <v>3.39</v>
      </c>
      <c r="CD24" s="234">
        <v>38.4</v>
      </c>
      <c r="CE24" s="189">
        <v>196</v>
      </c>
      <c r="CF24" s="189">
        <v>2618.3999999999996</v>
      </c>
      <c r="CG24" s="189">
        <v>26</v>
      </c>
      <c r="CH24" s="189">
        <v>2</v>
      </c>
      <c r="CI24" s="190">
        <v>20.399999999999999</v>
      </c>
      <c r="CJ24" s="188">
        <v>385</v>
      </c>
      <c r="CK24" s="189">
        <v>1215</v>
      </c>
      <c r="CL24" s="189">
        <v>4</v>
      </c>
      <c r="CM24" s="189">
        <v>11.700000000000001</v>
      </c>
      <c r="CN24" s="189">
        <v>116</v>
      </c>
      <c r="CO24" s="189">
        <v>12</v>
      </c>
      <c r="CP24" s="191">
        <v>3.3189655172413794</v>
      </c>
      <c r="CQ24" s="189">
        <v>19.399999999999999</v>
      </c>
      <c r="CR24" s="191">
        <v>1.94</v>
      </c>
      <c r="CS24" s="234">
        <v>49.9</v>
      </c>
      <c r="CT24" s="189">
        <v>222</v>
      </c>
      <c r="CU24" s="189">
        <v>2586</v>
      </c>
      <c r="CV24" s="189">
        <v>24</v>
      </c>
      <c r="CW24" s="189">
        <v>1</v>
      </c>
      <c r="CX24" s="190">
        <v>11.700000000000001</v>
      </c>
      <c r="CY24" s="188">
        <v>17</v>
      </c>
      <c r="CZ24" s="189">
        <v>492</v>
      </c>
      <c r="DA24" s="189"/>
      <c r="DB24" s="189"/>
      <c r="DC24" s="189">
        <v>9</v>
      </c>
      <c r="DD24" s="189">
        <v>1</v>
      </c>
      <c r="DE24" s="53">
        <v>1.8888888888888888</v>
      </c>
      <c r="DF24" s="189">
        <v>16</v>
      </c>
      <c r="DG24" s="191">
        <v>1.44</v>
      </c>
      <c r="DH24" s="191">
        <v>0</v>
      </c>
      <c r="DI24" s="189">
        <v>0</v>
      </c>
      <c r="DJ24" s="189">
        <v>949</v>
      </c>
      <c r="DK24" s="189">
        <v>0</v>
      </c>
      <c r="DL24" s="189"/>
      <c r="DM24" s="190"/>
      <c r="DO24" s="5"/>
      <c r="DP24" s="42"/>
      <c r="DQ24" s="7"/>
    </row>
    <row r="25" spans="1:121" x14ac:dyDescent="0.2">
      <c r="A25" s="33">
        <v>23</v>
      </c>
      <c r="B25" s="34" t="s">
        <v>629</v>
      </c>
      <c r="C25" s="116">
        <v>3.7888888888888892</v>
      </c>
      <c r="D25" s="117" t="s">
        <v>441</v>
      </c>
      <c r="E25" s="37">
        <v>1</v>
      </c>
      <c r="F25" s="197">
        <v>38504</v>
      </c>
      <c r="G25" s="119">
        <v>20.336986301369862</v>
      </c>
      <c r="H25" s="39" t="s">
        <v>494</v>
      </c>
      <c r="I25" s="39">
        <v>20.917808219178081</v>
      </c>
      <c r="J25" s="205">
        <v>72</v>
      </c>
      <c r="K25" s="205">
        <v>215</v>
      </c>
      <c r="L25" s="205">
        <v>4.5</v>
      </c>
      <c r="M25" s="194">
        <v>0</v>
      </c>
      <c r="N25" s="121">
        <v>0</v>
      </c>
      <c r="O25" s="122">
        <v>0</v>
      </c>
      <c r="P25" s="122">
        <v>9.3383742911153117E-2</v>
      </c>
      <c r="Q25" s="122">
        <v>8.8713652045342525E-2</v>
      </c>
      <c r="R25" s="122">
        <v>8.0988332189430343E-2</v>
      </c>
      <c r="S25" s="42">
        <v>8.7186037550291723E-2</v>
      </c>
      <c r="T25" s="42">
        <v>8.7186037550291723E-2</v>
      </c>
      <c r="U25" s="42">
        <v>1.426533523537803E-2</v>
      </c>
      <c r="V25" s="42">
        <v>3.711340206185567E-2</v>
      </c>
      <c r="W25" s="210">
        <v>3.711340206185567E-2</v>
      </c>
      <c r="X25" s="43">
        <v>3.711340206185567E-2</v>
      </c>
      <c r="Y25" s="44" t="s">
        <v>645</v>
      </c>
      <c r="Z25" s="170">
        <v>104.86206370980034</v>
      </c>
      <c r="AA25" s="45">
        <v>29.15605709876543</v>
      </c>
      <c r="AB25" s="45">
        <v>0.22772277227722773</v>
      </c>
      <c r="AC25" s="45">
        <v>5.4666666666666668</v>
      </c>
      <c r="AD25" s="45">
        <v>40.700000000000003</v>
      </c>
      <c r="AE25" s="45">
        <v>3.67</v>
      </c>
      <c r="AF25" s="45">
        <v>58.5</v>
      </c>
      <c r="AG25" s="128">
        <v>0</v>
      </c>
      <c r="AH25" s="49">
        <v>4</v>
      </c>
      <c r="AI25" s="49">
        <v>0</v>
      </c>
      <c r="AJ25" s="49">
        <v>7</v>
      </c>
      <c r="AK25" s="49">
        <v>5</v>
      </c>
      <c r="AL25" s="49">
        <v>2</v>
      </c>
      <c r="AM25" s="49">
        <v>0</v>
      </c>
      <c r="AN25" s="49">
        <v>3</v>
      </c>
      <c r="AO25" s="49">
        <v>0</v>
      </c>
      <c r="AP25" s="50">
        <v>1</v>
      </c>
      <c r="AQ25" s="56"/>
      <c r="AR25" s="57">
        <v>1</v>
      </c>
      <c r="AS25" s="57"/>
      <c r="AT25" s="57"/>
      <c r="AU25" s="57"/>
      <c r="AV25" s="57"/>
      <c r="AW25" s="129"/>
      <c r="AX25" s="129"/>
      <c r="AY25" s="129"/>
      <c r="AZ25" s="129"/>
      <c r="BA25" s="57"/>
      <c r="BB25" s="57">
        <v>1</v>
      </c>
      <c r="BC25" s="57"/>
      <c r="BD25" s="57"/>
      <c r="BE25" s="59"/>
      <c r="BF25" s="56"/>
      <c r="BG25" s="57">
        <v>1</v>
      </c>
      <c r="BH25" s="57"/>
      <c r="BI25" s="57"/>
      <c r="BJ25" s="57"/>
      <c r="BK25" s="57"/>
      <c r="BL25" s="129"/>
      <c r="BM25" s="129"/>
      <c r="BN25" s="129"/>
      <c r="BO25" s="129"/>
      <c r="BP25" s="57"/>
      <c r="BQ25" s="57">
        <v>1</v>
      </c>
      <c r="BR25" s="57"/>
      <c r="BS25" s="57"/>
      <c r="BT25" s="59"/>
      <c r="BU25" s="56">
        <v>385</v>
      </c>
      <c r="BV25" s="57">
        <v>1770</v>
      </c>
      <c r="BW25" s="57">
        <v>3</v>
      </c>
      <c r="BX25" s="57">
        <v>23</v>
      </c>
      <c r="BY25" s="57">
        <v>101</v>
      </c>
      <c r="BZ25" s="57">
        <v>23</v>
      </c>
      <c r="CA25" s="58">
        <v>3.8118811881188117</v>
      </c>
      <c r="CB25" s="57">
        <v>65</v>
      </c>
      <c r="CC25" s="58">
        <v>2.5299999999999998</v>
      </c>
      <c r="CD25" s="129">
        <v>20.8</v>
      </c>
      <c r="CE25" s="57">
        <v>109</v>
      </c>
      <c r="CF25" s="57">
        <v>3520</v>
      </c>
      <c r="CG25" s="57">
        <v>12</v>
      </c>
      <c r="CH25" s="57">
        <v>0</v>
      </c>
      <c r="CI25" s="59">
        <v>24</v>
      </c>
      <c r="CJ25" s="56">
        <v>66</v>
      </c>
      <c r="CK25" s="57">
        <v>391</v>
      </c>
      <c r="CL25" s="57">
        <v>0</v>
      </c>
      <c r="CM25" s="57">
        <v>4.2</v>
      </c>
      <c r="CN25" s="57">
        <v>16</v>
      </c>
      <c r="CO25" s="57">
        <v>1</v>
      </c>
      <c r="CP25" s="58">
        <v>4.125</v>
      </c>
      <c r="CQ25" s="57">
        <v>12.5</v>
      </c>
      <c r="CR25" s="58">
        <v>2.13</v>
      </c>
      <c r="CS25" s="129">
        <v>0</v>
      </c>
      <c r="CT25" s="57">
        <v>6</v>
      </c>
      <c r="CU25" s="57">
        <v>420.6</v>
      </c>
      <c r="CV25" s="57">
        <v>1</v>
      </c>
      <c r="CW25" s="57">
        <v>0</v>
      </c>
      <c r="CX25" s="59">
        <v>3</v>
      </c>
      <c r="CY25" s="56">
        <v>82</v>
      </c>
      <c r="CZ25" s="57">
        <v>487</v>
      </c>
      <c r="DA25" s="57"/>
      <c r="DB25" s="57"/>
      <c r="DC25" s="57">
        <v>15</v>
      </c>
      <c r="DD25" s="57">
        <v>2</v>
      </c>
      <c r="DE25" s="53">
        <v>5.4666666666666668</v>
      </c>
      <c r="DF25" s="57">
        <v>40.700000000000003</v>
      </c>
      <c r="DG25" s="58">
        <v>3.67</v>
      </c>
      <c r="DH25" s="58">
        <v>58.5</v>
      </c>
      <c r="DI25" s="57">
        <v>36</v>
      </c>
      <c r="DJ25" s="57">
        <v>970</v>
      </c>
      <c r="DK25" s="57">
        <v>3</v>
      </c>
      <c r="DL25" s="57"/>
      <c r="DM25" s="59"/>
      <c r="DO25" s="5"/>
      <c r="DP25" s="42"/>
      <c r="DQ25" s="7"/>
    </row>
    <row r="26" spans="1:121" x14ac:dyDescent="0.2">
      <c r="A26" s="33">
        <v>24</v>
      </c>
      <c r="B26" s="34" t="s">
        <v>625</v>
      </c>
      <c r="C26" s="116">
        <v>3.75</v>
      </c>
      <c r="D26" s="117" t="s">
        <v>471</v>
      </c>
      <c r="E26" s="37">
        <v>2</v>
      </c>
      <c r="F26" s="118">
        <v>38069</v>
      </c>
      <c r="G26" s="119">
        <v>21.528767123287672</v>
      </c>
      <c r="H26" s="39" t="s">
        <v>385</v>
      </c>
      <c r="I26" s="39">
        <v>22.109589041095891</v>
      </c>
      <c r="J26" s="205">
        <v>75</v>
      </c>
      <c r="K26" s="205">
        <v>250</v>
      </c>
      <c r="L26" s="205">
        <v>4.5</v>
      </c>
      <c r="M26" s="194">
        <v>0</v>
      </c>
      <c r="N26" s="121">
        <v>0</v>
      </c>
      <c r="O26" s="122">
        <v>0</v>
      </c>
      <c r="P26" s="122">
        <v>0.15743108837737993</v>
      </c>
      <c r="Q26" s="122">
        <v>0.18695175438596492</v>
      </c>
      <c r="R26" s="122">
        <v>0.18359375</v>
      </c>
      <c r="S26" s="42">
        <v>0.18695175438596492</v>
      </c>
      <c r="T26" s="42">
        <v>0.18695175438596492</v>
      </c>
      <c r="U26" s="42">
        <v>3.5037878787878785E-2</v>
      </c>
      <c r="V26" s="42">
        <v>1.7980636237897647E-2</v>
      </c>
      <c r="W26" s="210">
        <v>3.5037878787878785E-2</v>
      </c>
      <c r="X26" s="43">
        <v>3.5037878787878785E-2</v>
      </c>
      <c r="Y26" s="44">
        <v>19.463013698630139</v>
      </c>
      <c r="Z26" s="170">
        <v>121.93263222069807</v>
      </c>
      <c r="AA26" s="45">
        <v>31.244444444444447</v>
      </c>
      <c r="AB26" s="45">
        <v>0.16842105263157894</v>
      </c>
      <c r="AC26" s="45">
        <v>4.6060606060606064</v>
      </c>
      <c r="AD26" s="45">
        <v>47.6</v>
      </c>
      <c r="AE26" s="45">
        <v>3.21</v>
      </c>
      <c r="AF26" s="45">
        <v>40.1</v>
      </c>
      <c r="AG26" s="128">
        <v>3</v>
      </c>
      <c r="AH26" s="49">
        <v>3</v>
      </c>
      <c r="AI26" s="49">
        <v>6</v>
      </c>
      <c r="AJ26" s="49">
        <v>10</v>
      </c>
      <c r="AK26" s="49">
        <v>2</v>
      </c>
      <c r="AL26" s="49">
        <v>0</v>
      </c>
      <c r="AM26" s="49">
        <v>0</v>
      </c>
      <c r="AN26" s="49">
        <v>0</v>
      </c>
      <c r="AO26" s="49">
        <v>0</v>
      </c>
      <c r="AP26" s="50">
        <v>0</v>
      </c>
      <c r="AQ26" s="188"/>
      <c r="AR26" s="189">
        <v>1</v>
      </c>
      <c r="AS26" s="189"/>
      <c r="AT26" s="189"/>
      <c r="AU26" s="189"/>
      <c r="AV26" s="189"/>
      <c r="AW26" s="234"/>
      <c r="AX26" s="234"/>
      <c r="AY26" s="234"/>
      <c r="AZ26" s="234"/>
      <c r="BA26" s="189"/>
      <c r="BB26" s="189">
        <v>1</v>
      </c>
      <c r="BC26" s="189"/>
      <c r="BD26" s="189"/>
      <c r="BE26" s="190"/>
      <c r="BF26" s="188"/>
      <c r="BG26" s="189">
        <v>1</v>
      </c>
      <c r="BH26" s="189"/>
      <c r="BI26" s="189"/>
      <c r="BJ26" s="189"/>
      <c r="BK26" s="189"/>
      <c r="BL26" s="234"/>
      <c r="BM26" s="234"/>
      <c r="BN26" s="234"/>
      <c r="BO26" s="234"/>
      <c r="BP26" s="189"/>
      <c r="BQ26" s="189">
        <v>1</v>
      </c>
      <c r="BR26" s="189"/>
      <c r="BS26" s="189"/>
      <c r="BT26" s="198"/>
      <c r="BU26" s="188">
        <v>438</v>
      </c>
      <c r="BV26" s="189">
        <v>1137.6000000000001</v>
      </c>
      <c r="BW26" s="189">
        <v>2</v>
      </c>
      <c r="BX26" s="189">
        <v>9</v>
      </c>
      <c r="BY26" s="189">
        <v>95</v>
      </c>
      <c r="BZ26" s="189">
        <v>16</v>
      </c>
      <c r="CA26" s="191">
        <v>4.6105263157894738</v>
      </c>
      <c r="CB26" s="189">
        <v>47.6</v>
      </c>
      <c r="CC26" s="191">
        <v>3.09</v>
      </c>
      <c r="CD26" s="234">
        <v>17.8</v>
      </c>
      <c r="CE26" s="189">
        <v>116</v>
      </c>
      <c r="CF26" s="189">
        <v>2381.4</v>
      </c>
      <c r="CG26" s="189">
        <v>9</v>
      </c>
      <c r="CH26" s="189">
        <v>1</v>
      </c>
      <c r="CI26" s="190">
        <v>17.099999999999998</v>
      </c>
      <c r="CJ26" s="188">
        <v>304</v>
      </c>
      <c r="CK26" s="189">
        <v>768</v>
      </c>
      <c r="CL26" s="189">
        <v>3</v>
      </c>
      <c r="CM26" s="189">
        <v>8.5</v>
      </c>
      <c r="CN26" s="189">
        <v>66</v>
      </c>
      <c r="CO26" s="189">
        <v>9</v>
      </c>
      <c r="CP26" s="191">
        <v>4.6060606060606064</v>
      </c>
      <c r="CQ26" s="189">
        <v>40.700000000000003</v>
      </c>
      <c r="CR26" s="191">
        <v>3.21</v>
      </c>
      <c r="CS26" s="234">
        <v>40.1</v>
      </c>
      <c r="CT26" s="189">
        <v>37</v>
      </c>
      <c r="CU26" s="189">
        <v>1056</v>
      </c>
      <c r="CV26" s="189">
        <v>5</v>
      </c>
      <c r="CW26" s="189">
        <v>0</v>
      </c>
      <c r="CX26" s="190">
        <v>8.5</v>
      </c>
      <c r="CY26" s="188">
        <v>222</v>
      </c>
      <c r="CZ26" s="189">
        <v>557</v>
      </c>
      <c r="DA26" s="189"/>
      <c r="DB26" s="189"/>
      <c r="DC26" s="189">
        <v>50</v>
      </c>
      <c r="DD26" s="189">
        <v>7</v>
      </c>
      <c r="DE26" s="53">
        <v>4.4400000000000004</v>
      </c>
      <c r="DF26" s="189">
        <v>41.7</v>
      </c>
      <c r="DG26" s="191">
        <v>3.04</v>
      </c>
      <c r="DH26" s="191">
        <v>19.8</v>
      </c>
      <c r="DI26" s="189">
        <v>13</v>
      </c>
      <c r="DJ26" s="189">
        <v>723</v>
      </c>
      <c r="DK26" s="189">
        <v>1</v>
      </c>
      <c r="DL26" s="189"/>
      <c r="DM26" s="190"/>
      <c r="DO26" s="5"/>
      <c r="DP26" s="42"/>
      <c r="DQ26" s="7"/>
    </row>
    <row r="27" spans="1:121" x14ac:dyDescent="0.2">
      <c r="A27" s="33">
        <v>25</v>
      </c>
      <c r="B27" s="34" t="s">
        <v>639</v>
      </c>
      <c r="C27" s="116">
        <v>3.572222222222222</v>
      </c>
      <c r="D27" s="117" t="s">
        <v>398</v>
      </c>
      <c r="E27" s="37">
        <v>1</v>
      </c>
      <c r="F27" s="226">
        <v>38106</v>
      </c>
      <c r="G27" s="119">
        <v>21.427397260273974</v>
      </c>
      <c r="H27" s="39" t="s">
        <v>389</v>
      </c>
      <c r="I27" s="39">
        <v>22.008219178082193</v>
      </c>
      <c r="J27" s="205">
        <v>70</v>
      </c>
      <c r="K27" s="205">
        <v>220</v>
      </c>
      <c r="L27" s="205">
        <v>4.5</v>
      </c>
      <c r="M27" s="213">
        <v>0</v>
      </c>
      <c r="N27" s="121">
        <v>0</v>
      </c>
      <c r="O27" s="122">
        <v>3.5794904869396967E-2</v>
      </c>
      <c r="P27" s="122">
        <v>4.9791023078320916E-2</v>
      </c>
      <c r="Q27" s="122">
        <v>0.15605633802816901</v>
      </c>
      <c r="R27" s="122">
        <v>0</v>
      </c>
      <c r="S27" s="42">
        <v>0.15605633802816901</v>
      </c>
      <c r="T27" s="42">
        <v>0.15605633802816901</v>
      </c>
      <c r="U27" s="42">
        <v>5.0570962479608482E-2</v>
      </c>
      <c r="V27" s="42">
        <v>0</v>
      </c>
      <c r="W27" s="210">
        <v>5.0570962479608482E-2</v>
      </c>
      <c r="X27" s="43">
        <v>5.0570962479608482E-2</v>
      </c>
      <c r="Y27" s="44">
        <v>20.356164383561644</v>
      </c>
      <c r="Z27" s="170">
        <v>107.3007163542143</v>
      </c>
      <c r="AA27" s="45">
        <v>31.563265306122446</v>
      </c>
      <c r="AB27" s="45">
        <v>0.26829268292682928</v>
      </c>
      <c r="AC27" s="45">
        <v>4.6301369863013697</v>
      </c>
      <c r="AD27" s="45">
        <v>43.4</v>
      </c>
      <c r="AE27" s="45">
        <v>2.71</v>
      </c>
      <c r="AF27" s="45">
        <v>27.5</v>
      </c>
      <c r="AG27" s="128">
        <v>2</v>
      </c>
      <c r="AH27" s="49">
        <v>5</v>
      </c>
      <c r="AI27" s="49">
        <v>4</v>
      </c>
      <c r="AJ27" s="49">
        <v>8</v>
      </c>
      <c r="AK27" s="49">
        <v>7</v>
      </c>
      <c r="AL27" s="49">
        <v>0</v>
      </c>
      <c r="AM27" s="49">
        <v>0</v>
      </c>
      <c r="AN27" s="49">
        <v>0</v>
      </c>
      <c r="AO27" s="49">
        <v>0</v>
      </c>
      <c r="AP27" s="214">
        <v>0</v>
      </c>
      <c r="AQ27" s="188"/>
      <c r="AR27" s="189">
        <v>1</v>
      </c>
      <c r="AS27" s="189"/>
      <c r="AT27" s="189"/>
      <c r="AU27" s="189"/>
      <c r="AV27" s="189"/>
      <c r="AW27" s="234"/>
      <c r="AX27" s="234"/>
      <c r="AY27" s="234"/>
      <c r="AZ27" s="234"/>
      <c r="BA27" s="189"/>
      <c r="BB27" s="189">
        <v>1</v>
      </c>
      <c r="BC27" s="189"/>
      <c r="BD27" s="189"/>
      <c r="BE27" s="190"/>
      <c r="BF27" s="188">
        <v>223</v>
      </c>
      <c r="BG27" s="189">
        <v>2542</v>
      </c>
      <c r="BH27" s="189">
        <v>2</v>
      </c>
      <c r="BI27" s="189">
        <v>26</v>
      </c>
      <c r="BJ27" s="189">
        <v>33</v>
      </c>
      <c r="BK27" s="189">
        <v>4</v>
      </c>
      <c r="BL27" s="234">
        <v>6.7575757575757578</v>
      </c>
      <c r="BM27" s="234">
        <v>37.1</v>
      </c>
      <c r="BN27" s="234">
        <v>3.15</v>
      </c>
      <c r="BO27" s="234">
        <v>56.5</v>
      </c>
      <c r="BP27" s="189">
        <v>-1</v>
      </c>
      <c r="BQ27" s="189">
        <v>3660</v>
      </c>
      <c r="BR27" s="189">
        <v>1</v>
      </c>
      <c r="BS27" s="189">
        <v>0</v>
      </c>
      <c r="BT27" s="198">
        <v>37</v>
      </c>
      <c r="BU27" s="188">
        <v>201</v>
      </c>
      <c r="BV27" s="189">
        <v>2417</v>
      </c>
      <c r="BW27" s="189">
        <v>1</v>
      </c>
      <c r="BX27" s="189">
        <v>32</v>
      </c>
      <c r="BY27" s="189">
        <v>41</v>
      </c>
      <c r="BZ27" s="189">
        <v>11</v>
      </c>
      <c r="CA27" s="191">
        <v>4.9024390243902438</v>
      </c>
      <c r="CB27" s="189">
        <v>71.5</v>
      </c>
      <c r="CC27" s="191">
        <v>2.93</v>
      </c>
      <c r="CD27" s="234">
        <v>39.799999999999997</v>
      </c>
      <c r="CE27" s="189">
        <v>73</v>
      </c>
      <c r="CF27" s="189">
        <v>3086</v>
      </c>
      <c r="CG27" s="189">
        <v>4</v>
      </c>
      <c r="CH27" s="189">
        <v>1</v>
      </c>
      <c r="CI27" s="190">
        <v>23</v>
      </c>
      <c r="CJ27" s="188">
        <v>676</v>
      </c>
      <c r="CK27" s="189">
        <v>2260</v>
      </c>
      <c r="CL27" s="189">
        <v>7</v>
      </c>
      <c r="CM27" s="189">
        <v>41</v>
      </c>
      <c r="CN27" s="189">
        <v>146</v>
      </c>
      <c r="CO27" s="189">
        <v>24</v>
      </c>
      <c r="CP27" s="191">
        <v>4.6301369863013697</v>
      </c>
      <c r="CQ27" s="189">
        <v>43.4</v>
      </c>
      <c r="CR27" s="191">
        <v>2.71</v>
      </c>
      <c r="CS27" s="234">
        <v>27.5</v>
      </c>
      <c r="CT27" s="189">
        <v>155</v>
      </c>
      <c r="CU27" s="189">
        <v>3065</v>
      </c>
      <c r="CV27" s="189">
        <v>16</v>
      </c>
      <c r="CW27" s="189">
        <v>1</v>
      </c>
      <c r="CX27" s="190">
        <v>17</v>
      </c>
      <c r="CY27" s="188"/>
      <c r="CZ27" s="189">
        <v>1</v>
      </c>
      <c r="DA27" s="189"/>
      <c r="DB27" s="189"/>
      <c r="DC27" s="189"/>
      <c r="DD27" s="189"/>
      <c r="DE27" s="53"/>
      <c r="DF27" s="189"/>
      <c r="DG27" s="191"/>
      <c r="DH27" s="191"/>
      <c r="DI27" s="189"/>
      <c r="DJ27" s="189">
        <v>1</v>
      </c>
      <c r="DK27" s="189"/>
      <c r="DL27" s="189"/>
      <c r="DM27" s="190"/>
      <c r="DO27" s="5"/>
      <c r="DP27" s="42"/>
      <c r="DQ27" s="7"/>
    </row>
    <row r="28" spans="1:121" x14ac:dyDescent="0.2">
      <c r="A28" s="33">
        <v>26</v>
      </c>
      <c r="B28" s="34" t="s">
        <v>630</v>
      </c>
      <c r="C28" s="116">
        <v>3.3333333333333335</v>
      </c>
      <c r="D28" s="117" t="s">
        <v>538</v>
      </c>
      <c r="E28" s="37">
        <v>3</v>
      </c>
      <c r="F28" s="197">
        <v>38504</v>
      </c>
      <c r="G28" s="119">
        <v>20.336986301369862</v>
      </c>
      <c r="H28" s="39" t="s">
        <v>385</v>
      </c>
      <c r="I28" s="39">
        <v>20.917808219178081</v>
      </c>
      <c r="J28" s="205">
        <v>72</v>
      </c>
      <c r="K28" s="205">
        <v>213</v>
      </c>
      <c r="L28" s="205">
        <v>4.5</v>
      </c>
      <c r="M28" s="213">
        <v>0</v>
      </c>
      <c r="N28" s="121">
        <v>0</v>
      </c>
      <c r="O28" s="122">
        <v>0</v>
      </c>
      <c r="P28" s="122">
        <v>0</v>
      </c>
      <c r="Q28" s="122">
        <v>9.4734367653972737E-2</v>
      </c>
      <c r="R28" s="122">
        <v>0</v>
      </c>
      <c r="S28" s="42">
        <v>9.4734367653972737E-2</v>
      </c>
      <c r="T28" s="42">
        <v>8.5260930888575462E-2</v>
      </c>
      <c r="U28" s="42">
        <v>1.5798319327731094E-2</v>
      </c>
      <c r="V28" s="42">
        <v>0</v>
      </c>
      <c r="W28" s="210">
        <v>1.5798319327731094E-2</v>
      </c>
      <c r="X28" s="43">
        <v>1.4218487394957985E-2</v>
      </c>
      <c r="Y28" s="44" t="s">
        <v>645</v>
      </c>
      <c r="Z28" s="170">
        <v>103.88660265203475</v>
      </c>
      <c r="AA28" s="45">
        <v>28.884837962962965</v>
      </c>
      <c r="AB28" s="45">
        <v>0.36363636363636365</v>
      </c>
      <c r="AC28" s="45">
        <v>4.6233766233766236</v>
      </c>
      <c r="AD28" s="45">
        <v>133.5</v>
      </c>
      <c r="AE28" s="45">
        <v>3.55</v>
      </c>
      <c r="AF28" s="45">
        <v>37.6</v>
      </c>
      <c r="AG28" s="128">
        <v>0</v>
      </c>
      <c r="AH28" s="49">
        <v>1</v>
      </c>
      <c r="AI28" s="49">
        <v>0</v>
      </c>
      <c r="AJ28" s="49">
        <v>7</v>
      </c>
      <c r="AK28" s="49">
        <v>9</v>
      </c>
      <c r="AL28" s="49">
        <v>0</v>
      </c>
      <c r="AM28" s="49">
        <v>7</v>
      </c>
      <c r="AN28" s="49">
        <v>2</v>
      </c>
      <c r="AO28" s="49">
        <v>0</v>
      </c>
      <c r="AP28" s="214">
        <v>0</v>
      </c>
      <c r="AQ28" s="188"/>
      <c r="AR28" s="189">
        <v>1</v>
      </c>
      <c r="AS28" s="189"/>
      <c r="AT28" s="189"/>
      <c r="AU28" s="189"/>
      <c r="AV28" s="189"/>
      <c r="AW28" s="234"/>
      <c r="AX28" s="234"/>
      <c r="AY28" s="234"/>
      <c r="AZ28" s="234"/>
      <c r="BA28" s="189"/>
      <c r="BB28" s="189">
        <v>1</v>
      </c>
      <c r="BC28" s="189"/>
      <c r="BD28" s="189"/>
      <c r="BE28" s="190"/>
      <c r="BF28" s="188"/>
      <c r="BG28" s="189">
        <v>1</v>
      </c>
      <c r="BH28" s="189"/>
      <c r="BI28" s="189"/>
      <c r="BJ28" s="189"/>
      <c r="BK28" s="189"/>
      <c r="BL28" s="234"/>
      <c r="BM28" s="234"/>
      <c r="BN28" s="234"/>
      <c r="BO28" s="234"/>
      <c r="BP28" s="189"/>
      <c r="BQ28" s="189">
        <v>1</v>
      </c>
      <c r="BR28" s="189"/>
      <c r="BS28" s="189"/>
      <c r="BT28" s="198"/>
      <c r="BU28" s="188"/>
      <c r="BV28" s="189">
        <v>1</v>
      </c>
      <c r="BW28" s="189"/>
      <c r="BX28" s="189"/>
      <c r="BY28" s="189"/>
      <c r="BZ28" s="189"/>
      <c r="CA28" s="191"/>
      <c r="CB28" s="189"/>
      <c r="CC28" s="191"/>
      <c r="CD28" s="234"/>
      <c r="CE28" s="189"/>
      <c r="CF28" s="189">
        <v>1</v>
      </c>
      <c r="CG28" s="189"/>
      <c r="CH28" s="189"/>
      <c r="CI28" s="190"/>
      <c r="CJ28" s="188">
        <v>356</v>
      </c>
      <c r="CK28" s="189">
        <v>1279</v>
      </c>
      <c r="CL28" s="189">
        <v>1</v>
      </c>
      <c r="CM28" s="189">
        <v>11</v>
      </c>
      <c r="CN28" s="189">
        <v>77</v>
      </c>
      <c r="CO28" s="189">
        <v>28</v>
      </c>
      <c r="CP28" s="191">
        <v>4.6233766233766236</v>
      </c>
      <c r="CQ28" s="189">
        <v>133.5</v>
      </c>
      <c r="CR28" s="191">
        <v>3.55</v>
      </c>
      <c r="CS28" s="234">
        <v>37.6</v>
      </c>
      <c r="CT28" s="189">
        <v>47</v>
      </c>
      <c r="CU28" s="189">
        <v>2975</v>
      </c>
      <c r="CV28" s="189">
        <v>8</v>
      </c>
      <c r="CW28" s="189">
        <v>0</v>
      </c>
      <c r="CX28" s="190">
        <v>18</v>
      </c>
      <c r="CY28" s="188"/>
      <c r="CZ28" s="189">
        <v>1</v>
      </c>
      <c r="DA28" s="189"/>
      <c r="DB28" s="189"/>
      <c r="DC28" s="189"/>
      <c r="DD28" s="189"/>
      <c r="DE28" s="53"/>
      <c r="DF28" s="189"/>
      <c r="DG28" s="191"/>
      <c r="DH28" s="191"/>
      <c r="DI28" s="189"/>
      <c r="DJ28" s="189">
        <v>1</v>
      </c>
      <c r="DK28" s="189"/>
      <c r="DL28" s="189"/>
      <c r="DM28" s="190"/>
      <c r="DO28" s="5"/>
      <c r="DP28" s="42"/>
      <c r="DQ28" s="7"/>
    </row>
    <row r="29" spans="1:121" x14ac:dyDescent="0.2">
      <c r="A29" s="33">
        <v>27</v>
      </c>
      <c r="B29" s="34" t="s">
        <v>617</v>
      </c>
      <c r="C29" s="116">
        <v>3.1944444444444446</v>
      </c>
      <c r="D29" s="117" t="s">
        <v>384</v>
      </c>
      <c r="E29" s="37">
        <v>1</v>
      </c>
      <c r="F29" s="118">
        <v>37311</v>
      </c>
      <c r="G29" s="119">
        <v>23.605479452054794</v>
      </c>
      <c r="H29" s="39" t="s">
        <v>469</v>
      </c>
      <c r="I29" s="39">
        <v>24.186301369863013</v>
      </c>
      <c r="J29" s="205">
        <v>73</v>
      </c>
      <c r="K29" s="205">
        <v>235</v>
      </c>
      <c r="L29" s="205">
        <v>4.5</v>
      </c>
      <c r="M29" s="194">
        <v>0</v>
      </c>
      <c r="N29" s="121">
        <v>0.1630853994490358</v>
      </c>
      <c r="O29" s="122">
        <v>4.96031746031746E-2</v>
      </c>
      <c r="P29" s="122">
        <v>9.5140664961636826E-2</v>
      </c>
      <c r="Q29" s="122">
        <v>0.15264600463841452</v>
      </c>
      <c r="R29" s="122">
        <v>0</v>
      </c>
      <c r="S29" s="42">
        <v>0.15786570204372516</v>
      </c>
      <c r="T29" s="42">
        <v>0.15786570204372516</v>
      </c>
      <c r="U29" s="42">
        <v>4.2243262927895119E-2</v>
      </c>
      <c r="V29" s="42">
        <v>0</v>
      </c>
      <c r="W29" s="210">
        <v>4.2243262927895119E-2</v>
      </c>
      <c r="X29" s="43">
        <v>4.2243262927895119E-2</v>
      </c>
      <c r="Y29" s="44">
        <v>19.528767123287672</v>
      </c>
      <c r="Z29" s="170">
        <v>114.61667428745618</v>
      </c>
      <c r="AA29" s="45">
        <v>31.00112591480578</v>
      </c>
      <c r="AB29" s="45">
        <v>0.1623931623931624</v>
      </c>
      <c r="AC29" s="45">
        <v>5.1965811965811968</v>
      </c>
      <c r="AD29" s="45">
        <v>50</v>
      </c>
      <c r="AE29" s="45">
        <v>3.25</v>
      </c>
      <c r="AF29" s="45">
        <v>35.5</v>
      </c>
      <c r="AG29" s="128">
        <v>2</v>
      </c>
      <c r="AH29" s="49">
        <v>4</v>
      </c>
      <c r="AI29" s="49">
        <v>6</v>
      </c>
      <c r="AJ29" s="49">
        <v>10</v>
      </c>
      <c r="AK29" s="49">
        <v>2</v>
      </c>
      <c r="AL29" s="49">
        <v>1</v>
      </c>
      <c r="AM29" s="49">
        <v>0</v>
      </c>
      <c r="AN29" s="49">
        <v>1</v>
      </c>
      <c r="AO29" s="49">
        <v>0</v>
      </c>
      <c r="AP29" s="50">
        <v>0</v>
      </c>
      <c r="AQ29" s="188">
        <v>549</v>
      </c>
      <c r="AR29" s="189">
        <v>1911.8000000000002</v>
      </c>
      <c r="AS29" s="189">
        <v>2</v>
      </c>
      <c r="AT29" s="189">
        <v>11</v>
      </c>
      <c r="AU29" s="189">
        <v>112</v>
      </c>
      <c r="AV29" s="189">
        <v>31</v>
      </c>
      <c r="AW29" s="234">
        <v>4.9017857142857144</v>
      </c>
      <c r="AX29" s="234">
        <v>107.3</v>
      </c>
      <c r="AY29" s="234">
        <v>3.95</v>
      </c>
      <c r="AZ29" s="234">
        <v>31.5</v>
      </c>
      <c r="BA29" s="189">
        <v>43</v>
      </c>
      <c r="BB29" s="189">
        <v>1718.1999999999998</v>
      </c>
      <c r="BC29" s="189">
        <v>2</v>
      </c>
      <c r="BD29" s="189">
        <v>0</v>
      </c>
      <c r="BE29" s="190">
        <v>12.100000000000001</v>
      </c>
      <c r="BF29" s="188">
        <v>56</v>
      </c>
      <c r="BG29" s="189">
        <v>664.8</v>
      </c>
      <c r="BH29" s="189">
        <v>0</v>
      </c>
      <c r="BI29" s="189">
        <v>5.6</v>
      </c>
      <c r="BJ29" s="189">
        <v>19</v>
      </c>
      <c r="BK29" s="189">
        <v>6</v>
      </c>
      <c r="BL29" s="234">
        <v>2.9473684210526314</v>
      </c>
      <c r="BM29" s="234">
        <v>71.400000000000006</v>
      </c>
      <c r="BN29" s="234">
        <v>2.74</v>
      </c>
      <c r="BO29" s="234">
        <v>0</v>
      </c>
      <c r="BP29" s="189">
        <v>19</v>
      </c>
      <c r="BQ29" s="189">
        <v>847.2</v>
      </c>
      <c r="BR29" s="189">
        <v>4</v>
      </c>
      <c r="BS29" s="189">
        <v>0</v>
      </c>
      <c r="BT29" s="198">
        <v>4.8</v>
      </c>
      <c r="BU29" s="188">
        <v>156</v>
      </c>
      <c r="BV29" s="189">
        <v>632</v>
      </c>
      <c r="BW29" s="189">
        <v>2</v>
      </c>
      <c r="BX29" s="189">
        <v>5</v>
      </c>
      <c r="BY29" s="189">
        <v>43</v>
      </c>
      <c r="BZ29" s="189">
        <v>9</v>
      </c>
      <c r="CA29" s="191">
        <v>3.6279069767441858</v>
      </c>
      <c r="CB29" s="189">
        <v>67.900000000000006</v>
      </c>
      <c r="CC29" s="191">
        <v>3.02</v>
      </c>
      <c r="CD29" s="234">
        <v>0</v>
      </c>
      <c r="CE29" s="189">
        <v>30</v>
      </c>
      <c r="CF29" s="189">
        <v>1323</v>
      </c>
      <c r="CG29" s="189">
        <v>6</v>
      </c>
      <c r="CH29" s="189">
        <v>0</v>
      </c>
      <c r="CI29" s="190">
        <v>9.5</v>
      </c>
      <c r="CJ29" s="188">
        <v>608</v>
      </c>
      <c r="CK29" s="189">
        <v>1997</v>
      </c>
      <c r="CL29" s="189">
        <v>10</v>
      </c>
      <c r="CM29" s="189">
        <v>22</v>
      </c>
      <c r="CN29" s="189">
        <v>117</v>
      </c>
      <c r="CO29" s="189">
        <v>19</v>
      </c>
      <c r="CP29" s="191">
        <v>5.1965811965811968</v>
      </c>
      <c r="CQ29" s="189">
        <v>50</v>
      </c>
      <c r="CR29" s="191">
        <v>3.25</v>
      </c>
      <c r="CS29" s="234">
        <v>35.5</v>
      </c>
      <c r="CT29" s="189">
        <v>116</v>
      </c>
      <c r="CU29" s="189">
        <v>2746</v>
      </c>
      <c r="CV29" s="189">
        <v>13</v>
      </c>
      <c r="CW29" s="189">
        <v>1</v>
      </c>
      <c r="CX29" s="190">
        <v>22</v>
      </c>
      <c r="CY29" s="188"/>
      <c r="CZ29" s="189">
        <v>1</v>
      </c>
      <c r="DA29" s="189"/>
      <c r="DB29" s="189"/>
      <c r="DC29" s="189"/>
      <c r="DD29" s="189"/>
      <c r="DE29" s="53"/>
      <c r="DF29" s="189"/>
      <c r="DG29" s="191"/>
      <c r="DH29" s="191"/>
      <c r="DI29" s="189"/>
      <c r="DJ29" s="189">
        <v>1</v>
      </c>
      <c r="DK29" s="189"/>
      <c r="DL29" s="189"/>
      <c r="DM29" s="190"/>
      <c r="DO29" s="5"/>
      <c r="DP29" s="42"/>
      <c r="DQ29" s="7"/>
    </row>
    <row r="30" spans="1:121" x14ac:dyDescent="0.2">
      <c r="A30" s="33">
        <v>28</v>
      </c>
      <c r="B30" s="34" t="s">
        <v>614</v>
      </c>
      <c r="C30" s="116">
        <v>2.0666666666666664</v>
      </c>
      <c r="D30" s="117" t="s">
        <v>395</v>
      </c>
      <c r="E30" s="37">
        <v>4</v>
      </c>
      <c r="F30" s="118">
        <v>38277</v>
      </c>
      <c r="G30" s="119">
        <v>20.958904109589042</v>
      </c>
      <c r="H30" s="39" t="s">
        <v>385</v>
      </c>
      <c r="I30" s="39">
        <v>21.539726027397261</v>
      </c>
      <c r="J30" s="205">
        <v>74</v>
      </c>
      <c r="K30" s="205">
        <v>225</v>
      </c>
      <c r="L30" s="205">
        <v>4.5199999999999996</v>
      </c>
      <c r="M30" s="213">
        <v>0</v>
      </c>
      <c r="N30" s="121">
        <v>0</v>
      </c>
      <c r="O30" s="122">
        <v>0</v>
      </c>
      <c r="P30" s="122">
        <v>0.13381261595547309</v>
      </c>
      <c r="Q30" s="122">
        <v>0.1021051124158671</v>
      </c>
      <c r="R30" s="122">
        <v>0</v>
      </c>
      <c r="S30" s="42">
        <v>0.11795886418567009</v>
      </c>
      <c r="T30" s="42">
        <v>0.10616297776710308</v>
      </c>
      <c r="U30" s="42">
        <v>2.3415065164568146E-2</v>
      </c>
      <c r="V30" s="42">
        <v>0</v>
      </c>
      <c r="W30" s="210">
        <v>2.3415065164568146E-2</v>
      </c>
      <c r="X30" s="43">
        <v>2.1073558648111331E-2</v>
      </c>
      <c r="Y30" s="44" t="s">
        <v>645</v>
      </c>
      <c r="Z30" s="170">
        <v>107.80993259989046</v>
      </c>
      <c r="AA30" s="45">
        <v>28.885135135135133</v>
      </c>
      <c r="AB30" s="45">
        <v>0.16071428571428573</v>
      </c>
      <c r="AC30" s="45">
        <v>5.4196428571428568</v>
      </c>
      <c r="AD30" s="45">
        <v>63.1</v>
      </c>
      <c r="AE30" s="45">
        <v>3.08</v>
      </c>
      <c r="AF30" s="45">
        <v>30.6</v>
      </c>
      <c r="AG30" s="128">
        <v>0</v>
      </c>
      <c r="AH30" s="49">
        <v>2</v>
      </c>
      <c r="AI30" s="49">
        <v>0</v>
      </c>
      <c r="AJ30" s="49">
        <v>8</v>
      </c>
      <c r="AK30" s="49">
        <v>2</v>
      </c>
      <c r="AL30" s="49">
        <v>2</v>
      </c>
      <c r="AM30" s="49">
        <v>1</v>
      </c>
      <c r="AN30" s="49">
        <v>0</v>
      </c>
      <c r="AO30" s="49">
        <v>0</v>
      </c>
      <c r="AP30" s="50">
        <v>0</v>
      </c>
      <c r="AQ30" s="188"/>
      <c r="AR30" s="189">
        <v>1</v>
      </c>
      <c r="AS30" s="189"/>
      <c r="AT30" s="189"/>
      <c r="AU30" s="189"/>
      <c r="AV30" s="189"/>
      <c r="AW30" s="234"/>
      <c r="AX30" s="234"/>
      <c r="AY30" s="234"/>
      <c r="AZ30" s="234"/>
      <c r="BA30" s="189"/>
      <c r="BB30" s="189">
        <v>1</v>
      </c>
      <c r="BC30" s="189"/>
      <c r="BD30" s="189"/>
      <c r="BE30" s="190"/>
      <c r="BF30" s="188"/>
      <c r="BG30" s="189">
        <v>1</v>
      </c>
      <c r="BH30" s="189"/>
      <c r="BI30" s="189"/>
      <c r="BJ30" s="189"/>
      <c r="BK30" s="189"/>
      <c r="BL30" s="234"/>
      <c r="BM30" s="234"/>
      <c r="BN30" s="234"/>
      <c r="BO30" s="234"/>
      <c r="BP30" s="189"/>
      <c r="BQ30" s="189">
        <v>1</v>
      </c>
      <c r="BR30" s="189"/>
      <c r="BS30" s="189"/>
      <c r="BT30" s="198"/>
      <c r="BU30" s="188">
        <v>515</v>
      </c>
      <c r="BV30" s="189">
        <v>1732</v>
      </c>
      <c r="BW30" s="189">
        <v>5</v>
      </c>
      <c r="BX30" s="189">
        <v>18</v>
      </c>
      <c r="BY30" s="189">
        <v>104</v>
      </c>
      <c r="BZ30" s="189">
        <v>33</v>
      </c>
      <c r="CA30" s="191">
        <v>4.9519230769230766</v>
      </c>
      <c r="CB30" s="189">
        <v>116.6</v>
      </c>
      <c r="CC30" s="191">
        <v>3.81</v>
      </c>
      <c r="CD30" s="234">
        <v>40.200000000000003</v>
      </c>
      <c r="CE30" s="189">
        <v>62</v>
      </c>
      <c r="CF30" s="189">
        <v>2580</v>
      </c>
      <c r="CG30" s="189">
        <v>7</v>
      </c>
      <c r="CH30" s="189">
        <v>0</v>
      </c>
      <c r="CI30" s="190">
        <v>18</v>
      </c>
      <c r="CJ30" s="188">
        <v>607</v>
      </c>
      <c r="CK30" s="189">
        <v>2456</v>
      </c>
      <c r="CL30" s="189">
        <v>9</v>
      </c>
      <c r="CM30" s="189">
        <v>30</v>
      </c>
      <c r="CN30" s="189">
        <v>112</v>
      </c>
      <c r="CO30" s="189">
        <v>18</v>
      </c>
      <c r="CP30" s="191">
        <v>5.4196428571428568</v>
      </c>
      <c r="CQ30" s="189">
        <v>63.1</v>
      </c>
      <c r="CR30" s="191">
        <v>3.08</v>
      </c>
      <c r="CS30" s="234">
        <v>30.6</v>
      </c>
      <c r="CT30" s="189">
        <v>106</v>
      </c>
      <c r="CU30" s="189">
        <v>4527</v>
      </c>
      <c r="CV30" s="189">
        <v>10</v>
      </c>
      <c r="CW30" s="189">
        <v>0</v>
      </c>
      <c r="CX30" s="190">
        <v>41</v>
      </c>
      <c r="CY30" s="188"/>
      <c r="CZ30" s="189">
        <v>1</v>
      </c>
      <c r="DA30" s="189"/>
      <c r="DB30" s="189"/>
      <c r="DC30" s="189"/>
      <c r="DD30" s="189"/>
      <c r="DE30" s="53"/>
      <c r="DF30" s="189"/>
      <c r="DG30" s="191"/>
      <c r="DH30" s="191"/>
      <c r="DI30" s="189"/>
      <c r="DJ30" s="189">
        <v>1</v>
      </c>
      <c r="DK30" s="189"/>
      <c r="DL30" s="189"/>
      <c r="DM30" s="190"/>
      <c r="DO30" s="5"/>
      <c r="DP30" s="42"/>
      <c r="DQ30" s="7"/>
    </row>
    <row r="31" spans="1:121" x14ac:dyDescent="0.2">
      <c r="A31" s="33">
        <v>29</v>
      </c>
      <c r="B31" s="34" t="s">
        <v>624</v>
      </c>
      <c r="C31" s="116">
        <v>1.4944444444444445</v>
      </c>
      <c r="D31" s="117" t="s">
        <v>529</v>
      </c>
      <c r="E31" s="37">
        <v>1</v>
      </c>
      <c r="F31" s="118">
        <v>38418</v>
      </c>
      <c r="G31" s="119">
        <v>20.572602739726026</v>
      </c>
      <c r="H31" s="39" t="s">
        <v>385</v>
      </c>
      <c r="I31" s="39">
        <v>21.153424657534245</v>
      </c>
      <c r="J31" s="205">
        <v>74</v>
      </c>
      <c r="K31" s="205">
        <v>227</v>
      </c>
      <c r="L31" s="205">
        <v>4.5</v>
      </c>
      <c r="M31" s="213">
        <v>0</v>
      </c>
      <c r="N31" s="121">
        <v>0</v>
      </c>
      <c r="O31" s="122">
        <v>0</v>
      </c>
      <c r="P31" s="122">
        <v>2.8227324049680095E-2</v>
      </c>
      <c r="Q31" s="122">
        <v>0.14647168059424326</v>
      </c>
      <c r="R31" s="122">
        <v>0</v>
      </c>
      <c r="S31" s="42">
        <v>0.14647168059424326</v>
      </c>
      <c r="T31" s="42">
        <v>0.14647168059424326</v>
      </c>
      <c r="U31" s="42">
        <v>7.661996497373029E-3</v>
      </c>
      <c r="V31" s="42">
        <v>0</v>
      </c>
      <c r="W31" s="210">
        <v>7.661996497373029E-3</v>
      </c>
      <c r="X31" s="43">
        <v>7.661996497373029E-3</v>
      </c>
      <c r="Y31" s="44" t="s">
        <v>645</v>
      </c>
      <c r="Z31" s="170">
        <v>110.71483005639384</v>
      </c>
      <c r="AA31" s="45">
        <v>29.141891891891891</v>
      </c>
      <c r="AB31" s="45">
        <v>0.12587412587412589</v>
      </c>
      <c r="AC31" s="45">
        <v>4.2657342657342658</v>
      </c>
      <c r="AD31" s="45">
        <v>33</v>
      </c>
      <c r="AE31" s="45">
        <v>2.75</v>
      </c>
      <c r="AF31" s="45">
        <v>15.1</v>
      </c>
      <c r="AG31" s="128">
        <v>1</v>
      </c>
      <c r="AH31" s="49">
        <v>0</v>
      </c>
      <c r="AI31" s="49">
        <v>0</v>
      </c>
      <c r="AJ31" s="49">
        <v>9</v>
      </c>
      <c r="AK31" s="49">
        <v>0</v>
      </c>
      <c r="AL31" s="49">
        <v>0</v>
      </c>
      <c r="AM31" s="49">
        <v>0</v>
      </c>
      <c r="AN31" s="49">
        <v>0</v>
      </c>
      <c r="AO31" s="49">
        <v>0</v>
      </c>
      <c r="AP31" s="50">
        <v>0</v>
      </c>
      <c r="AQ31" s="188"/>
      <c r="AR31" s="189">
        <v>1</v>
      </c>
      <c r="AS31" s="189"/>
      <c r="AT31" s="189"/>
      <c r="AU31" s="189"/>
      <c r="AV31" s="189"/>
      <c r="AW31" s="234"/>
      <c r="AX31" s="234"/>
      <c r="AY31" s="234"/>
      <c r="AZ31" s="234"/>
      <c r="BA31" s="189"/>
      <c r="BB31" s="189">
        <v>1</v>
      </c>
      <c r="BC31" s="189"/>
      <c r="BD31" s="189"/>
      <c r="BE31" s="190"/>
      <c r="BF31" s="188"/>
      <c r="BG31" s="189">
        <v>1</v>
      </c>
      <c r="BH31" s="189"/>
      <c r="BI31" s="189"/>
      <c r="BJ31" s="189"/>
      <c r="BK31" s="189"/>
      <c r="BL31" s="234"/>
      <c r="BM31" s="234"/>
      <c r="BN31" s="234"/>
      <c r="BO31" s="234"/>
      <c r="BP31" s="189"/>
      <c r="BQ31" s="189">
        <v>1</v>
      </c>
      <c r="BR31" s="189"/>
      <c r="BS31" s="189"/>
      <c r="BT31" s="198"/>
      <c r="BU31" s="188">
        <v>90</v>
      </c>
      <c r="BV31" s="189">
        <v>1107</v>
      </c>
      <c r="BW31" s="189">
        <v>1</v>
      </c>
      <c r="BX31" s="189">
        <v>14.399999999999999</v>
      </c>
      <c r="BY31" s="189">
        <v>17</v>
      </c>
      <c r="BZ31" s="189">
        <v>3</v>
      </c>
      <c r="CA31" s="191">
        <v>5.2941176470588234</v>
      </c>
      <c r="CB31" s="189">
        <v>67.5</v>
      </c>
      <c r="CC31" s="191">
        <v>3.82</v>
      </c>
      <c r="CD31" s="234">
        <v>0</v>
      </c>
      <c r="CE31" s="189">
        <v>0</v>
      </c>
      <c r="CF31" s="189">
        <v>2081.3999999999996</v>
      </c>
      <c r="CG31" s="189">
        <v>0</v>
      </c>
      <c r="CH31" s="189">
        <v>0</v>
      </c>
      <c r="CI31" s="190">
        <v>21</v>
      </c>
      <c r="CJ31" s="188">
        <v>610</v>
      </c>
      <c r="CK31" s="189">
        <v>1567.1999999999998</v>
      </c>
      <c r="CL31" s="189">
        <v>12</v>
      </c>
      <c r="CM31" s="189">
        <v>20.399999999999999</v>
      </c>
      <c r="CN31" s="189">
        <v>143</v>
      </c>
      <c r="CO31" s="189">
        <v>18</v>
      </c>
      <c r="CP31" s="191">
        <v>4.2657342657342658</v>
      </c>
      <c r="CQ31" s="189">
        <v>33</v>
      </c>
      <c r="CR31" s="191">
        <v>2.75</v>
      </c>
      <c r="CS31" s="234">
        <v>15.1</v>
      </c>
      <c r="CT31" s="189">
        <v>21</v>
      </c>
      <c r="CU31" s="189">
        <v>2740.8</v>
      </c>
      <c r="CV31" s="189">
        <v>7</v>
      </c>
      <c r="CW31" s="189">
        <v>0</v>
      </c>
      <c r="CX31" s="190">
        <v>12</v>
      </c>
      <c r="CY31" s="188"/>
      <c r="CZ31" s="189">
        <v>1</v>
      </c>
      <c r="DA31" s="189"/>
      <c r="DB31" s="189"/>
      <c r="DC31" s="189"/>
      <c r="DD31" s="189"/>
      <c r="DE31" s="53"/>
      <c r="DF31" s="189"/>
      <c r="DG31" s="191"/>
      <c r="DH31" s="191"/>
      <c r="DI31" s="189"/>
      <c r="DJ31" s="189">
        <v>1</v>
      </c>
      <c r="DK31" s="189"/>
      <c r="DL31" s="189"/>
      <c r="DM31" s="190"/>
      <c r="DO31" s="5"/>
      <c r="DP31" s="42"/>
      <c r="DQ31" s="7"/>
    </row>
    <row r="32" spans="1:121" x14ac:dyDescent="0.2">
      <c r="A32" s="230">
        <v>30</v>
      </c>
      <c r="B32" s="34" t="s">
        <v>622</v>
      </c>
      <c r="C32" s="231">
        <v>0.56111111111111089</v>
      </c>
      <c r="D32" s="117" t="s">
        <v>416</v>
      </c>
      <c r="E32" s="37">
        <v>7</v>
      </c>
      <c r="F32" s="197">
        <v>37043</v>
      </c>
      <c r="G32" s="119">
        <v>24.339726027397262</v>
      </c>
      <c r="H32" s="39" t="s">
        <v>469</v>
      </c>
      <c r="I32" s="39">
        <v>24.920547945205481</v>
      </c>
      <c r="J32" s="205">
        <v>68</v>
      </c>
      <c r="K32" s="205">
        <v>177</v>
      </c>
      <c r="L32" s="205">
        <v>4.4000000000000004</v>
      </c>
      <c r="M32" s="213">
        <v>0</v>
      </c>
      <c r="N32" s="232">
        <v>8.3494936436112905E-3</v>
      </c>
      <c r="O32" s="122">
        <v>8.4944139031743221E-2</v>
      </c>
      <c r="P32" s="122">
        <v>0.2637348465308228</v>
      </c>
      <c r="Q32" s="122">
        <v>0.17170531259172292</v>
      </c>
      <c r="R32" s="122">
        <v>0</v>
      </c>
      <c r="S32" s="42">
        <v>0.21772007956127287</v>
      </c>
      <c r="T32" s="42">
        <v>0.16329005967095467</v>
      </c>
      <c r="U32" s="42">
        <v>3.9175257731958762E-2</v>
      </c>
      <c r="V32" s="42">
        <v>0</v>
      </c>
      <c r="W32" s="210">
        <v>3.9175257731958762E-2</v>
      </c>
      <c r="X32" s="43">
        <v>2.9381443298969072E-2</v>
      </c>
      <c r="Y32" s="44">
        <v>22.273972602739725</v>
      </c>
      <c r="Z32" s="170">
        <v>94.447954374701155</v>
      </c>
      <c r="AA32" s="45">
        <v>26.909818339100344</v>
      </c>
      <c r="AB32" s="45">
        <v>0.19767441860465115</v>
      </c>
      <c r="AC32" s="45">
        <v>3.2666666666666666</v>
      </c>
      <c r="AD32" s="45">
        <v>81.2</v>
      </c>
      <c r="AE32" s="45">
        <v>3.51</v>
      </c>
      <c r="AF32" s="45">
        <v>43.3</v>
      </c>
      <c r="AG32" s="128">
        <v>2</v>
      </c>
      <c r="AH32" s="49">
        <v>3</v>
      </c>
      <c r="AI32" s="49">
        <v>1</v>
      </c>
      <c r="AJ32" s="49">
        <v>3</v>
      </c>
      <c r="AK32" s="49">
        <v>3</v>
      </c>
      <c r="AL32" s="49">
        <v>0</v>
      </c>
      <c r="AM32" s="49">
        <v>2</v>
      </c>
      <c r="AN32" s="49">
        <v>2</v>
      </c>
      <c r="AO32" s="49">
        <v>0</v>
      </c>
      <c r="AP32" s="214">
        <v>0</v>
      </c>
      <c r="AQ32" s="188">
        <v>31</v>
      </c>
      <c r="AR32" s="189">
        <v>1099.2</v>
      </c>
      <c r="AS32" s="189">
        <v>0</v>
      </c>
      <c r="AT32" s="189">
        <v>10.4</v>
      </c>
      <c r="AU32" s="189">
        <v>11</v>
      </c>
      <c r="AV32" s="189">
        <v>1</v>
      </c>
      <c r="AW32" s="234">
        <v>2.8181818181818183</v>
      </c>
      <c r="AX32" s="234">
        <v>15.7</v>
      </c>
      <c r="AY32" s="234">
        <v>1.73</v>
      </c>
      <c r="AZ32" s="234">
        <v>0</v>
      </c>
      <c r="BA32" s="189">
        <v>0</v>
      </c>
      <c r="BB32" s="189">
        <v>2613.6</v>
      </c>
      <c r="BC32" s="189">
        <v>0</v>
      </c>
      <c r="BD32" s="189">
        <v>0</v>
      </c>
      <c r="BE32" s="190">
        <v>21.6</v>
      </c>
      <c r="BF32" s="188">
        <v>428</v>
      </c>
      <c r="BG32" s="189">
        <v>1851</v>
      </c>
      <c r="BH32" s="189">
        <v>2</v>
      </c>
      <c r="BI32" s="189">
        <v>28</v>
      </c>
      <c r="BJ32" s="189">
        <v>80</v>
      </c>
      <c r="BK32" s="189">
        <v>12</v>
      </c>
      <c r="BL32" s="234">
        <v>5.35</v>
      </c>
      <c r="BM32" s="234">
        <v>42</v>
      </c>
      <c r="BN32" s="234">
        <v>2.44</v>
      </c>
      <c r="BO32" s="234">
        <v>28</v>
      </c>
      <c r="BP32" s="189">
        <v>51</v>
      </c>
      <c r="BQ32" s="189">
        <v>3788</v>
      </c>
      <c r="BR32" s="189">
        <v>7</v>
      </c>
      <c r="BS32" s="189">
        <v>0</v>
      </c>
      <c r="BT32" s="198">
        <v>22</v>
      </c>
      <c r="BU32" s="188">
        <v>967</v>
      </c>
      <c r="BV32" s="189">
        <v>1266</v>
      </c>
      <c r="BW32" s="189">
        <v>9</v>
      </c>
      <c r="BX32" s="189">
        <v>14.399999999999999</v>
      </c>
      <c r="BY32" s="189">
        <v>172</v>
      </c>
      <c r="BZ32" s="189">
        <v>34</v>
      </c>
      <c r="CA32" s="191">
        <v>5.6220930232558137</v>
      </c>
      <c r="CB32" s="189">
        <v>81.2</v>
      </c>
      <c r="CC32" s="191">
        <v>3.51</v>
      </c>
      <c r="CD32" s="234">
        <v>43.3</v>
      </c>
      <c r="CE32" s="189">
        <v>260</v>
      </c>
      <c r="CF32" s="189">
        <v>3386.3999999999996</v>
      </c>
      <c r="CG32" s="189">
        <v>7</v>
      </c>
      <c r="CH32" s="189">
        <v>0</v>
      </c>
      <c r="CI32" s="190">
        <v>26.400000000000002</v>
      </c>
      <c r="CJ32" s="188">
        <v>196</v>
      </c>
      <c r="CK32" s="189">
        <v>392.8</v>
      </c>
      <c r="CL32" s="189">
        <v>4</v>
      </c>
      <c r="CM32" s="189">
        <v>6.4</v>
      </c>
      <c r="CN32" s="189">
        <v>60</v>
      </c>
      <c r="CO32" s="189">
        <v>11</v>
      </c>
      <c r="CP32" s="191">
        <v>3.2666666666666666</v>
      </c>
      <c r="CQ32" s="189">
        <v>45.3</v>
      </c>
      <c r="CR32" s="191">
        <v>2.57</v>
      </c>
      <c r="CS32" s="234">
        <v>40.799999999999997</v>
      </c>
      <c r="CT32" s="189">
        <v>38</v>
      </c>
      <c r="CU32" s="189">
        <v>970</v>
      </c>
      <c r="CV32" s="189">
        <v>8</v>
      </c>
      <c r="CW32" s="189">
        <v>0</v>
      </c>
      <c r="CX32" s="190">
        <v>6</v>
      </c>
      <c r="CY32" s="188"/>
      <c r="CZ32" s="189">
        <v>1</v>
      </c>
      <c r="DA32" s="189"/>
      <c r="DB32" s="189"/>
      <c r="DC32" s="189"/>
      <c r="DD32" s="189"/>
      <c r="DE32" s="53"/>
      <c r="DF32" s="189"/>
      <c r="DG32" s="191"/>
      <c r="DH32" s="191"/>
      <c r="DI32" s="189"/>
      <c r="DJ32" s="189">
        <v>1</v>
      </c>
      <c r="DK32" s="189"/>
      <c r="DL32" s="189"/>
      <c r="DM32" s="190"/>
      <c r="DO32" s="5"/>
      <c r="DP32" s="42"/>
      <c r="DQ32" s="7"/>
    </row>
    <row r="33" spans="1:122" x14ac:dyDescent="0.2">
      <c r="A33" s="11"/>
      <c r="E33" s="11"/>
      <c r="H33" s="11"/>
      <c r="M33" s="201"/>
      <c r="DO33" s="5"/>
      <c r="DP33" s="42"/>
      <c r="DQ33" s="7"/>
    </row>
    <row r="34" spans="1:122" x14ac:dyDescent="0.2">
      <c r="A34" s="11"/>
      <c r="E34" s="11"/>
      <c r="H34" s="11"/>
      <c r="M34" s="201"/>
      <c r="DO34" s="5"/>
      <c r="DP34" s="42"/>
      <c r="DQ34" s="7"/>
    </row>
    <row r="35" spans="1:122" x14ac:dyDescent="0.2">
      <c r="A35" s="11"/>
      <c r="E35" s="11"/>
      <c r="H35" s="11"/>
      <c r="M35" s="201"/>
      <c r="DO35" s="5"/>
      <c r="DP35" s="42"/>
      <c r="DQ35" s="7"/>
    </row>
    <row r="36" spans="1:122" x14ac:dyDescent="0.2">
      <c r="A36" s="11"/>
      <c r="E36" s="11"/>
      <c r="H36" s="11"/>
      <c r="M36" s="201"/>
    </row>
    <row r="37" spans="1:122" x14ac:dyDescent="0.2">
      <c r="A37" s="11"/>
      <c r="E37" s="11"/>
      <c r="H37" s="11"/>
    </row>
    <row r="38" spans="1:122" x14ac:dyDescent="0.2">
      <c r="A38" s="11"/>
      <c r="E38" s="11"/>
      <c r="H38" s="11"/>
    </row>
    <row r="39" spans="1:122" x14ac:dyDescent="0.2">
      <c r="A39" s="11"/>
      <c r="E39" s="11"/>
      <c r="H39" s="11"/>
    </row>
    <row r="40" spans="1:122" x14ac:dyDescent="0.2"/>
    <row r="41" spans="1:122" x14ac:dyDescent="0.2"/>
    <row r="42" spans="1:122" x14ac:dyDescent="0.2"/>
    <row r="43" spans="1:122" x14ac:dyDescent="0.2"/>
    <row r="44" spans="1:122" x14ac:dyDescent="0.2">
      <c r="DN44" s="171"/>
    </row>
    <row r="45" spans="1:122" x14ac:dyDescent="0.2">
      <c r="DN45" s="171"/>
      <c r="DR45" s="131"/>
    </row>
    <row r="46" spans="1:122" x14ac:dyDescent="0.2">
      <c r="DR46" s="131"/>
    </row>
    <row r="47" spans="1:122" x14ac:dyDescent="0.2"/>
    <row r="48" spans="1:122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  <row r="1002" ht="15.75" customHeight="1" x14ac:dyDescent="0.2"/>
    <row r="1003" ht="15.75" customHeight="1" x14ac:dyDescent="0.2"/>
    <row r="1004" ht="15.75" customHeight="1" x14ac:dyDescent="0.2"/>
    <row r="1005" ht="15.75" customHeight="1" x14ac:dyDescent="0.2"/>
    <row r="1006" ht="15.75" customHeight="1" x14ac:dyDescent="0.2"/>
    <row r="1007" ht="15.75" customHeight="1" x14ac:dyDescent="0.2"/>
    <row r="1008" ht="15.75" customHeight="1" x14ac:dyDescent="0.2"/>
    <row r="1009" ht="15.75" customHeight="1" x14ac:dyDescent="0.2"/>
    <row r="1010" ht="15.75" customHeight="1" x14ac:dyDescent="0.2"/>
    <row r="1011" ht="15.75" customHeight="1" x14ac:dyDescent="0.2"/>
    <row r="1012" ht="15.75" customHeight="1" x14ac:dyDescent="0.2"/>
    <row r="1013" ht="15.75" customHeight="1" x14ac:dyDescent="0.2"/>
    <row r="1014" ht="15.75" customHeight="1" x14ac:dyDescent="0.2"/>
    <row r="1015" ht="15.75" customHeight="1" x14ac:dyDescent="0.2"/>
    <row r="1016" ht="15.75" customHeight="1" x14ac:dyDescent="0.2"/>
    <row r="1017" ht="15.75" customHeight="1" x14ac:dyDescent="0.2"/>
    <row r="1018" ht="15.75" customHeight="1" x14ac:dyDescent="0.2"/>
    <row r="1019" ht="15.75" customHeight="1" x14ac:dyDescent="0.2"/>
    <row r="1020" ht="15.75" customHeight="1" x14ac:dyDescent="0.2"/>
    <row r="1021" ht="15.75" customHeight="1" x14ac:dyDescent="0.2"/>
    <row r="1022" ht="15.75" customHeight="1" x14ac:dyDescent="0.2"/>
    <row r="1023" ht="15.75" customHeight="1" x14ac:dyDescent="0.2"/>
    <row r="1024" ht="15.75" customHeight="1" x14ac:dyDescent="0.2"/>
    <row r="1025" ht="15.75" customHeight="1" x14ac:dyDescent="0.2"/>
    <row r="1026" ht="15.75" customHeight="1" x14ac:dyDescent="0.2"/>
    <row r="1027" ht="15.75" customHeight="1" x14ac:dyDescent="0.2"/>
    <row r="1028" ht="15.75" customHeight="1" x14ac:dyDescent="0.2"/>
  </sheetData>
  <autoFilter ref="A2:DM2" xr:uid="{00000000-0009-0000-0000-000011000000}">
    <sortState xmlns:xlrd2="http://schemas.microsoft.com/office/spreadsheetml/2017/richdata2" ref="A3:DM32">
      <sortCondition ref="A2"/>
    </sortState>
  </autoFilter>
  <mergeCells count="10">
    <mergeCell ref="BU1:CI1"/>
    <mergeCell ref="CJ1:CX1"/>
    <mergeCell ref="CY1:DM1"/>
    <mergeCell ref="A1:C1"/>
    <mergeCell ref="D1:M1"/>
    <mergeCell ref="N1:X1"/>
    <mergeCell ref="Y1:AF1"/>
    <mergeCell ref="AG1:AP1"/>
    <mergeCell ref="AQ1:BE1"/>
    <mergeCell ref="BF1:BT1"/>
  </mergeCells>
  <conditionalFormatting sqref="B3:B32">
    <cfRule type="expression" dxfId="21" priority="22" stopIfTrue="1">
      <formula>C3&gt;=13</formula>
    </cfRule>
    <cfRule type="expression" dxfId="20" priority="23">
      <formula>AND(C3&gt;=12,C3&lt;13)</formula>
    </cfRule>
    <cfRule type="expression" dxfId="19" priority="24" stopIfTrue="1">
      <formula>AND(C3&gt;=11,C3&lt;12)</formula>
    </cfRule>
    <cfRule type="expression" dxfId="18" priority="25">
      <formula>AND(C3&gt;=9,C3&lt;11)</formula>
    </cfRule>
    <cfRule type="expression" dxfId="17" priority="26">
      <formula>AND(C3&gt;=7,C3&lt;9)</formula>
    </cfRule>
    <cfRule type="expression" dxfId="16" priority="27" stopIfTrue="1">
      <formula>AND(C3&gt;=6,C3&lt;7)</formula>
    </cfRule>
    <cfRule type="expression" dxfId="15" priority="28" stopIfTrue="1">
      <formula>AND(C3&gt;=5,C3&lt;6)</formula>
    </cfRule>
    <cfRule type="expression" dxfId="14" priority="29">
      <formula>C3&lt;5</formula>
    </cfRule>
  </conditionalFormatting>
  <conditionalFormatting sqref="C3:C32">
    <cfRule type="colorScale" priority="5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H32">
    <cfRule type="containsText" dxfId="13" priority="5" operator="containsText" text="SR">
      <formula>NOT(ISERROR(SEARCH(("SR"),(H3))))</formula>
    </cfRule>
  </conditionalFormatting>
  <conditionalFormatting sqref="N3:R32">
    <cfRule type="cellIs" dxfId="12" priority="1" stopIfTrue="1" operator="between">
      <formula>0.15</formula>
      <formula>0.199</formula>
    </cfRule>
    <cfRule type="cellIs" dxfId="11" priority="2" operator="equal">
      <formula>0</formula>
    </cfRule>
    <cfRule type="colorScale" priority="3">
      <colorScale>
        <cfvo type="formula" val="0.1499"/>
        <cfvo type="formula" val="0.15"/>
        <cfvo type="formula" val="0.4"/>
        <color rgb="FFFACACA"/>
        <color rgb="FFC0E399"/>
        <color rgb="FF63BE7B"/>
      </colorScale>
    </cfRule>
  </conditionalFormatting>
  <conditionalFormatting sqref="S3:T32">
    <cfRule type="colorScale" priority="34">
      <colorScale>
        <cfvo type="formula" val="0.1499"/>
        <cfvo type="formula" val="0.15"/>
        <cfvo type="formula" val="0.4"/>
        <color rgb="FFFACACA"/>
        <color rgb="FFCEF9B9"/>
        <color rgb="FF00B050"/>
      </colorScale>
    </cfRule>
  </conditionalFormatting>
  <conditionalFormatting sqref="U3:V32">
    <cfRule type="colorScale" priority="5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:W32">
    <cfRule type="colorScale" priority="5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:X32">
    <cfRule type="colorScale" priority="5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FC4EC-9CC6-404E-B810-9312033A79B0}">
  <dimension ref="A1:DS1025"/>
  <sheetViews>
    <sheetView zoomScale="80" zoomScaleNormal="8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E6" sqref="E6"/>
    </sheetView>
  </sheetViews>
  <sheetFormatPr baseColWidth="10" defaultColWidth="14.5" defaultRowHeight="15" customHeight="1" x14ac:dyDescent="0.2"/>
  <cols>
    <col min="1" max="1" width="8.5" customWidth="1"/>
    <col min="2" max="2" width="20" customWidth="1"/>
    <col min="3" max="3" width="12" customWidth="1"/>
    <col min="4" max="4" width="15.6640625" bestFit="1" customWidth="1"/>
    <col min="5" max="5" width="10.83203125" customWidth="1"/>
    <col min="6" max="6" width="11.5" customWidth="1"/>
    <col min="7" max="7" width="7.5" customWidth="1"/>
    <col min="8" max="8" width="8" customWidth="1"/>
    <col min="9" max="9" width="12.6640625" customWidth="1"/>
    <col min="10" max="10" width="10" customWidth="1"/>
    <col min="11" max="11" width="10.5" customWidth="1"/>
    <col min="12" max="12" width="11.33203125" customWidth="1"/>
    <col min="13" max="13" width="12.5" customWidth="1"/>
    <col min="14" max="20" width="9.83203125" customWidth="1"/>
    <col min="21" max="22" width="11" customWidth="1"/>
    <col min="23" max="23" width="10" customWidth="1"/>
    <col min="24" max="24" width="11" customWidth="1"/>
    <col min="25" max="25" width="9.33203125" customWidth="1"/>
    <col min="26" max="26" width="9.5" customWidth="1"/>
    <col min="27" max="27" width="7.6640625" customWidth="1"/>
    <col min="28" max="28" width="10.1640625" customWidth="1"/>
    <col min="29" max="29" width="7.33203125" customWidth="1"/>
    <col min="30" max="30" width="7.5" customWidth="1"/>
    <col min="31" max="31" width="9.83203125" customWidth="1"/>
    <col min="32" max="32" width="11.5" customWidth="1"/>
    <col min="33" max="33" width="10.83203125" customWidth="1"/>
    <col min="34" max="34" width="11" customWidth="1"/>
    <col min="35" max="35" width="10.33203125" customWidth="1"/>
    <col min="36" max="36" width="10.5" customWidth="1"/>
    <col min="37" max="37" width="10.1640625" customWidth="1"/>
    <col min="38" max="39" width="8.5" customWidth="1"/>
    <col min="40" max="40" width="10.83203125" customWidth="1"/>
    <col min="41" max="41" width="7.6640625" customWidth="1"/>
    <col min="42" max="42" width="9.5" customWidth="1"/>
    <col min="43" max="43" width="12" customWidth="1"/>
    <col min="44" max="44" width="12.6640625" customWidth="1"/>
    <col min="45" max="45" width="12.33203125" customWidth="1"/>
    <col min="46" max="46" width="12.1640625" customWidth="1"/>
    <col min="47" max="47" width="6.6640625" customWidth="1"/>
    <col min="48" max="48" width="8" customWidth="1"/>
    <col min="49" max="49" width="7.33203125" customWidth="1"/>
    <col min="50" max="50" width="7.5" customWidth="1"/>
    <col min="51" max="51" width="9.83203125" customWidth="1"/>
    <col min="52" max="52" width="11.5" customWidth="1"/>
    <col min="53" max="53" width="10.83203125" customWidth="1"/>
    <col min="54" max="54" width="12.6640625" customWidth="1"/>
    <col min="55" max="55" width="8.1640625" customWidth="1"/>
    <col min="56" max="56" width="11.33203125" customWidth="1"/>
    <col min="57" max="57" width="13" customWidth="1"/>
    <col min="58" max="58" width="12" customWidth="1"/>
    <col min="59" max="59" width="12.6640625" customWidth="1"/>
    <col min="60" max="60" width="12.33203125" customWidth="1"/>
    <col min="61" max="61" width="12.1640625" customWidth="1"/>
    <col min="62" max="62" width="6.6640625" customWidth="1"/>
    <col min="63" max="63" width="8" customWidth="1"/>
    <col min="64" max="64" width="7.33203125" customWidth="1"/>
    <col min="65" max="65" width="7.5" customWidth="1"/>
    <col min="66" max="66" width="9.83203125" customWidth="1"/>
    <col min="67" max="67" width="11.5" customWidth="1"/>
    <col min="68" max="68" width="10.83203125" customWidth="1"/>
    <col min="69" max="69" width="12.6640625" customWidth="1"/>
    <col min="70" max="70" width="8.1640625" customWidth="1"/>
    <col min="71" max="71" width="11.33203125" customWidth="1"/>
    <col min="72" max="72" width="13" customWidth="1"/>
    <col min="73" max="73" width="12" customWidth="1"/>
    <col min="74" max="74" width="12.6640625" customWidth="1"/>
    <col min="75" max="75" width="12.33203125" customWidth="1"/>
    <col min="76" max="76" width="12.1640625" customWidth="1"/>
    <col min="77" max="77" width="6.6640625" customWidth="1"/>
    <col min="78" max="78" width="8" customWidth="1"/>
    <col min="79" max="79" width="7.33203125" customWidth="1"/>
    <col min="80" max="80" width="7.5" customWidth="1"/>
    <col min="81" max="81" width="9.83203125" customWidth="1"/>
    <col min="82" max="82" width="11.5" customWidth="1"/>
    <col min="83" max="83" width="10.83203125" customWidth="1"/>
    <col min="84" max="84" width="12.6640625" customWidth="1"/>
    <col min="85" max="85" width="8.1640625" customWidth="1"/>
    <col min="86" max="86" width="11.33203125" customWidth="1"/>
    <col min="87" max="87" width="13" customWidth="1"/>
    <col min="88" max="88" width="12" customWidth="1"/>
    <col min="89" max="89" width="12.6640625" customWidth="1"/>
    <col min="90" max="90" width="12.33203125" customWidth="1"/>
    <col min="91" max="91" width="12.1640625" customWidth="1"/>
    <col min="92" max="92" width="6.6640625" customWidth="1"/>
    <col min="93" max="93" width="8" customWidth="1"/>
    <col min="94" max="94" width="7.33203125" customWidth="1"/>
    <col min="95" max="95" width="7.5" customWidth="1"/>
    <col min="96" max="96" width="9.83203125" customWidth="1"/>
    <col min="97" max="97" width="11.5" customWidth="1"/>
    <col min="98" max="98" width="10.83203125" customWidth="1"/>
    <col min="99" max="99" width="12.6640625" customWidth="1"/>
    <col min="100" max="100" width="8.1640625" customWidth="1"/>
    <col min="101" max="101" width="11.33203125" customWidth="1"/>
    <col min="102" max="102" width="13" customWidth="1"/>
    <col min="103" max="103" width="12" customWidth="1"/>
    <col min="104" max="104" width="12.6640625" customWidth="1"/>
    <col min="105" max="105" width="12.33203125" customWidth="1"/>
    <col min="106" max="106" width="12.1640625" customWidth="1"/>
    <col min="107" max="107" width="6.6640625" customWidth="1"/>
    <col min="108" max="108" width="8" customWidth="1"/>
    <col min="109" max="109" width="7.33203125" customWidth="1"/>
    <col min="110" max="110" width="7.5" customWidth="1"/>
    <col min="111" max="111" width="9.83203125" customWidth="1"/>
    <col min="112" max="112" width="11.5" customWidth="1"/>
    <col min="113" max="113" width="10.83203125" customWidth="1"/>
    <col min="114" max="114" width="12.6640625" customWidth="1"/>
    <col min="115" max="115" width="8.1640625" customWidth="1"/>
    <col min="116" max="116" width="11.33203125" customWidth="1"/>
    <col min="117" max="117" width="13" customWidth="1"/>
    <col min="118" max="118" width="4.5" customWidth="1"/>
    <col min="119" max="119" width="3.5" customWidth="1"/>
    <col min="120" max="120" width="16.5" customWidth="1"/>
    <col min="121" max="121" width="11" customWidth="1"/>
    <col min="122" max="122" width="14.5" customWidth="1"/>
    <col min="123" max="123" width="10.5" customWidth="1"/>
  </cols>
  <sheetData>
    <row r="1" spans="1:123" x14ac:dyDescent="0.2">
      <c r="A1" s="250"/>
      <c r="B1" s="251"/>
      <c r="C1" s="253"/>
      <c r="D1" s="254" t="s">
        <v>156</v>
      </c>
      <c r="E1" s="251"/>
      <c r="F1" s="251"/>
      <c r="G1" s="251"/>
      <c r="H1" s="251"/>
      <c r="I1" s="251"/>
      <c r="J1" s="251"/>
      <c r="K1" s="251"/>
      <c r="L1" s="251"/>
      <c r="M1" s="253"/>
      <c r="N1" s="255" t="s">
        <v>157</v>
      </c>
      <c r="O1" s="251"/>
      <c r="P1" s="251"/>
      <c r="Q1" s="251"/>
      <c r="R1" s="251"/>
      <c r="S1" s="251"/>
      <c r="T1" s="251"/>
      <c r="U1" s="251"/>
      <c r="V1" s="251"/>
      <c r="W1" s="251"/>
      <c r="X1" s="253"/>
      <c r="Y1" s="256" t="s">
        <v>158</v>
      </c>
      <c r="Z1" s="251"/>
      <c r="AA1" s="251"/>
      <c r="AB1" s="251"/>
      <c r="AC1" s="251"/>
      <c r="AD1" s="251"/>
      <c r="AE1" s="251"/>
      <c r="AF1" s="253"/>
      <c r="AG1" s="257" t="s">
        <v>159</v>
      </c>
      <c r="AH1" s="251"/>
      <c r="AI1" s="251"/>
      <c r="AJ1" s="251"/>
      <c r="AK1" s="251"/>
      <c r="AL1" s="251"/>
      <c r="AM1" s="251"/>
      <c r="AN1" s="251"/>
      <c r="AO1" s="251"/>
      <c r="AP1" s="253"/>
      <c r="AQ1" s="247" t="s">
        <v>553</v>
      </c>
      <c r="AR1" s="248"/>
      <c r="AS1" s="248"/>
      <c r="AT1" s="248"/>
      <c r="AU1" s="248"/>
      <c r="AV1" s="248"/>
      <c r="AW1" s="248"/>
      <c r="AX1" s="248"/>
      <c r="AY1" s="248"/>
      <c r="AZ1" s="248"/>
      <c r="BA1" s="248"/>
      <c r="BB1" s="248"/>
      <c r="BC1" s="248"/>
      <c r="BD1" s="248"/>
      <c r="BE1" s="249"/>
      <c r="BF1" s="247" t="s">
        <v>590</v>
      </c>
      <c r="BG1" s="248"/>
      <c r="BH1" s="248"/>
      <c r="BI1" s="248"/>
      <c r="BJ1" s="248"/>
      <c r="BK1" s="248"/>
      <c r="BL1" s="248"/>
      <c r="BM1" s="248"/>
      <c r="BN1" s="248"/>
      <c r="BO1" s="248"/>
      <c r="BP1" s="248"/>
      <c r="BQ1" s="248"/>
      <c r="BR1" s="248"/>
      <c r="BS1" s="248"/>
      <c r="BT1" s="263"/>
      <c r="BU1" s="247" t="s">
        <v>592</v>
      </c>
      <c r="BV1" s="248"/>
      <c r="BW1" s="248"/>
      <c r="BX1" s="248"/>
      <c r="BY1" s="248"/>
      <c r="BZ1" s="248"/>
      <c r="CA1" s="248"/>
      <c r="CB1" s="248"/>
      <c r="CC1" s="248"/>
      <c r="CD1" s="248"/>
      <c r="CE1" s="248"/>
      <c r="CF1" s="248"/>
      <c r="CG1" s="248"/>
      <c r="CH1" s="248"/>
      <c r="CI1" s="249"/>
      <c r="CJ1" s="247" t="s">
        <v>604</v>
      </c>
      <c r="CK1" s="248"/>
      <c r="CL1" s="248"/>
      <c r="CM1" s="248"/>
      <c r="CN1" s="248"/>
      <c r="CO1" s="248"/>
      <c r="CP1" s="248"/>
      <c r="CQ1" s="248"/>
      <c r="CR1" s="248"/>
      <c r="CS1" s="248"/>
      <c r="CT1" s="248"/>
      <c r="CU1" s="248"/>
      <c r="CV1" s="248"/>
      <c r="CW1" s="248"/>
      <c r="CX1" s="249"/>
      <c r="CY1" s="247" t="s">
        <v>632</v>
      </c>
      <c r="CZ1" s="248"/>
      <c r="DA1" s="248"/>
      <c r="DB1" s="248"/>
      <c r="DC1" s="248"/>
      <c r="DD1" s="248"/>
      <c r="DE1" s="248"/>
      <c r="DF1" s="248"/>
      <c r="DG1" s="248"/>
      <c r="DH1" s="248"/>
      <c r="DI1" s="248"/>
      <c r="DJ1" s="248"/>
      <c r="DK1" s="248"/>
      <c r="DL1" s="248"/>
      <c r="DM1" s="249"/>
    </row>
    <row r="2" spans="1:123" ht="16" thickBot="1" x14ac:dyDescent="0.25">
      <c r="A2" s="15" t="s">
        <v>56</v>
      </c>
      <c r="B2" s="16" t="s">
        <v>58</v>
      </c>
      <c r="C2" s="17" t="s">
        <v>2</v>
      </c>
      <c r="D2" s="115" t="s">
        <v>168</v>
      </c>
      <c r="E2" s="19" t="s">
        <v>24</v>
      </c>
      <c r="F2" s="19" t="s">
        <v>28</v>
      </c>
      <c r="G2" s="19" t="s">
        <v>30</v>
      </c>
      <c r="H2" s="19" t="s">
        <v>57</v>
      </c>
      <c r="I2" s="19" t="s">
        <v>34</v>
      </c>
      <c r="J2" s="19" t="s">
        <v>170</v>
      </c>
      <c r="K2" s="19" t="s">
        <v>171</v>
      </c>
      <c r="L2" s="19" t="s">
        <v>172</v>
      </c>
      <c r="M2" s="20" t="s">
        <v>22</v>
      </c>
      <c r="N2" s="21" t="s">
        <v>36</v>
      </c>
      <c r="O2" s="22" t="s">
        <v>38</v>
      </c>
      <c r="P2" s="22" t="s">
        <v>40</v>
      </c>
      <c r="Q2" s="22" t="s">
        <v>42</v>
      </c>
      <c r="R2" s="22" t="s">
        <v>44</v>
      </c>
      <c r="S2" s="212" t="s">
        <v>18</v>
      </c>
      <c r="T2" s="212" t="s">
        <v>20</v>
      </c>
      <c r="U2" s="212" t="s">
        <v>173</v>
      </c>
      <c r="V2" s="212" t="s">
        <v>174</v>
      </c>
      <c r="W2" s="212" t="s">
        <v>175</v>
      </c>
      <c r="X2" s="23" t="s">
        <v>176</v>
      </c>
      <c r="Y2" s="24" t="s">
        <v>177</v>
      </c>
      <c r="Z2" s="25" t="s">
        <v>178</v>
      </c>
      <c r="AA2" s="25" t="s">
        <v>179</v>
      </c>
      <c r="AB2" s="192" t="s">
        <v>180</v>
      </c>
      <c r="AC2" s="192" t="s">
        <v>8</v>
      </c>
      <c r="AD2" s="192" t="s">
        <v>12</v>
      </c>
      <c r="AE2" s="192" t="s">
        <v>10</v>
      </c>
      <c r="AF2" s="228" t="s">
        <v>14</v>
      </c>
      <c r="AG2" s="27" t="s">
        <v>183</v>
      </c>
      <c r="AH2" s="28" t="s">
        <v>176</v>
      </c>
      <c r="AI2" s="28" t="s">
        <v>185</v>
      </c>
      <c r="AJ2" s="28" t="s">
        <v>186</v>
      </c>
      <c r="AK2" s="28" t="s">
        <v>180</v>
      </c>
      <c r="AL2" s="216" t="s">
        <v>187</v>
      </c>
      <c r="AM2" s="28" t="s">
        <v>188</v>
      </c>
      <c r="AN2" s="28" t="s">
        <v>189</v>
      </c>
      <c r="AO2" s="28" t="s">
        <v>26</v>
      </c>
      <c r="AP2" s="29" t="s">
        <v>16</v>
      </c>
      <c r="AQ2" s="30" t="s">
        <v>190</v>
      </c>
      <c r="AR2" s="31" t="s">
        <v>191</v>
      </c>
      <c r="AS2" s="31" t="s">
        <v>192</v>
      </c>
      <c r="AT2" s="31" t="s">
        <v>193</v>
      </c>
      <c r="AU2" s="31" t="s">
        <v>194</v>
      </c>
      <c r="AV2" s="31" t="s">
        <v>195</v>
      </c>
      <c r="AW2" s="31" t="s">
        <v>8</v>
      </c>
      <c r="AX2" s="31" t="s">
        <v>12</v>
      </c>
      <c r="AY2" s="31" t="s">
        <v>10</v>
      </c>
      <c r="AZ2" s="31" t="s">
        <v>14</v>
      </c>
      <c r="BA2" s="31" t="s">
        <v>196</v>
      </c>
      <c r="BB2" s="31" t="s">
        <v>191</v>
      </c>
      <c r="BC2" s="31" t="s">
        <v>197</v>
      </c>
      <c r="BD2" s="31" t="s">
        <v>198</v>
      </c>
      <c r="BE2" s="32" t="s">
        <v>199</v>
      </c>
      <c r="BF2" s="30" t="s">
        <v>190</v>
      </c>
      <c r="BG2" s="31" t="s">
        <v>191</v>
      </c>
      <c r="BH2" s="31" t="s">
        <v>192</v>
      </c>
      <c r="BI2" s="31" t="s">
        <v>193</v>
      </c>
      <c r="BJ2" s="31" t="s">
        <v>194</v>
      </c>
      <c r="BK2" s="31" t="s">
        <v>195</v>
      </c>
      <c r="BL2" s="31" t="s">
        <v>8</v>
      </c>
      <c r="BM2" s="31" t="s">
        <v>12</v>
      </c>
      <c r="BN2" s="31" t="s">
        <v>10</v>
      </c>
      <c r="BO2" s="31" t="s">
        <v>14</v>
      </c>
      <c r="BP2" s="31" t="s">
        <v>196</v>
      </c>
      <c r="BQ2" s="31" t="s">
        <v>191</v>
      </c>
      <c r="BR2" s="31" t="s">
        <v>197</v>
      </c>
      <c r="BS2" s="31" t="s">
        <v>198</v>
      </c>
      <c r="BT2" s="193" t="s">
        <v>199</v>
      </c>
      <c r="BU2" s="30" t="s">
        <v>190</v>
      </c>
      <c r="BV2" s="31" t="s">
        <v>191</v>
      </c>
      <c r="BW2" s="31" t="s">
        <v>192</v>
      </c>
      <c r="BX2" s="31" t="s">
        <v>193</v>
      </c>
      <c r="BY2" s="31" t="s">
        <v>194</v>
      </c>
      <c r="BZ2" s="31" t="s">
        <v>195</v>
      </c>
      <c r="CA2" s="31" t="s">
        <v>8</v>
      </c>
      <c r="CB2" s="31" t="s">
        <v>12</v>
      </c>
      <c r="CC2" s="31" t="s">
        <v>10</v>
      </c>
      <c r="CD2" s="31" t="s">
        <v>14</v>
      </c>
      <c r="CE2" s="31" t="s">
        <v>196</v>
      </c>
      <c r="CF2" s="31" t="s">
        <v>191</v>
      </c>
      <c r="CG2" s="31" t="s">
        <v>197</v>
      </c>
      <c r="CH2" s="31" t="s">
        <v>198</v>
      </c>
      <c r="CI2" s="32" t="s">
        <v>199</v>
      </c>
      <c r="CJ2" s="30" t="s">
        <v>190</v>
      </c>
      <c r="CK2" s="31" t="s">
        <v>191</v>
      </c>
      <c r="CL2" s="31" t="s">
        <v>192</v>
      </c>
      <c r="CM2" s="31" t="s">
        <v>193</v>
      </c>
      <c r="CN2" s="31" t="s">
        <v>194</v>
      </c>
      <c r="CO2" s="31" t="s">
        <v>195</v>
      </c>
      <c r="CP2" s="31" t="s">
        <v>8</v>
      </c>
      <c r="CQ2" s="31" t="s">
        <v>12</v>
      </c>
      <c r="CR2" s="31" t="s">
        <v>10</v>
      </c>
      <c r="CS2" s="31" t="s">
        <v>14</v>
      </c>
      <c r="CT2" s="31" t="s">
        <v>196</v>
      </c>
      <c r="CU2" s="31" t="s">
        <v>191</v>
      </c>
      <c r="CV2" s="31" t="s">
        <v>197</v>
      </c>
      <c r="CW2" s="31" t="s">
        <v>198</v>
      </c>
      <c r="CX2" s="32" t="s">
        <v>199</v>
      </c>
      <c r="CY2" s="30" t="s">
        <v>190</v>
      </c>
      <c r="CZ2" s="31" t="s">
        <v>191</v>
      </c>
      <c r="DA2" s="31" t="s">
        <v>192</v>
      </c>
      <c r="DB2" s="31" t="s">
        <v>193</v>
      </c>
      <c r="DC2" s="31" t="s">
        <v>194</v>
      </c>
      <c r="DD2" s="31" t="s">
        <v>195</v>
      </c>
      <c r="DE2" s="31" t="s">
        <v>8</v>
      </c>
      <c r="DF2" s="31" t="s">
        <v>12</v>
      </c>
      <c r="DG2" s="31" t="s">
        <v>10</v>
      </c>
      <c r="DH2" s="31" t="s">
        <v>14</v>
      </c>
      <c r="DI2" s="31" t="s">
        <v>196</v>
      </c>
      <c r="DJ2" s="31" t="s">
        <v>191</v>
      </c>
      <c r="DK2" s="31" t="s">
        <v>197</v>
      </c>
      <c r="DL2" s="31" t="s">
        <v>198</v>
      </c>
      <c r="DM2" s="32" t="s">
        <v>199</v>
      </c>
      <c r="DN2" s="11"/>
      <c r="DO2" s="34"/>
      <c r="DP2" s="34" t="s">
        <v>379</v>
      </c>
      <c r="DQ2" s="34" t="s">
        <v>380</v>
      </c>
      <c r="DR2" s="7" t="s">
        <v>381</v>
      </c>
      <c r="DS2" s="11" t="s">
        <v>382</v>
      </c>
    </row>
    <row r="3" spans="1:123" x14ac:dyDescent="0.2">
      <c r="A3" s="33">
        <f t="shared" ref="A3:A11" si="0">_xlfn.RANK.EQ(C3,C$3:C$10)</f>
        <v>1</v>
      </c>
      <c r="B3" s="34" t="s">
        <v>635</v>
      </c>
      <c r="C3" s="116">
        <f t="shared" ref="C3:C30" si="1">AVERAGE((AG3*1.75),(AH3*1.5),(AI3*1.5),(AJ3*1.3),(AK3*1),(AL3*1),(AM3*1.2),(AN3*1),(AO3*4))+AP3+IF(H3="SR",-0.25,IF(H3="RS SR",-0.75,))+IF(AND(E3&gt;5,W3&lt;10%),-1,0)</f>
        <v>8.3055555555555554</v>
      </c>
      <c r="D3" s="117" t="s">
        <v>438</v>
      </c>
      <c r="E3" s="37">
        <v>4</v>
      </c>
      <c r="F3" s="226">
        <v>38413</v>
      </c>
      <c r="G3" s="119">
        <f t="shared" ref="G3:G30" ca="1" si="2">(TODAY()-F3)/365</f>
        <v>20.610958904109587</v>
      </c>
      <c r="H3" s="39" t="s">
        <v>385</v>
      </c>
      <c r="I3" s="39">
        <f t="shared" ref="I3:I17" si="3">($DS$3-F3)/365</f>
        <v>22.167123287671235</v>
      </c>
      <c r="J3" s="205">
        <v>69</v>
      </c>
      <c r="K3" s="205">
        <v>190</v>
      </c>
      <c r="L3" s="205">
        <v>4.42</v>
      </c>
      <c r="M3" s="194">
        <v>0</v>
      </c>
      <c r="N3" s="121">
        <f t="shared" ref="N3:N30" si="4">(AQ3+BA3)/(AR3+BB3)</f>
        <v>0</v>
      </c>
      <c r="O3" s="122">
        <f t="shared" ref="O3:O30" si="5">(BF3+BP3)/(BG3+BQ3)</f>
        <v>0</v>
      </c>
      <c r="P3" s="122">
        <f t="shared" ref="P3:P30" si="6">(BU3+CE3)/(BV3+CF3)</f>
        <v>0.22602739726027396</v>
      </c>
      <c r="Q3" s="122">
        <f t="shared" ref="Q3:Q30" si="7">(CJ3+CT3)/(CK3+CU3)</f>
        <v>0.29611650485436891</v>
      </c>
      <c r="R3" s="122">
        <f t="shared" ref="R3:R30" si="8">(CY3+DI3)/(CZ3+DJ3)</f>
        <v>0</v>
      </c>
      <c r="S3" s="42">
        <f>AVERAGE(MAX(N3:Q3),Q3)</f>
        <v>0.29611650485436891</v>
      </c>
      <c r="T3" s="42">
        <f>IF(E3=1,S3*$DQ$3,IF(E3=2,S3*$DQ$4,IF(E3=3,S3*$DQ$5,IF(E3=4,S3*$DQ$6,IF(E3=5,S3*$DQ$7,IF(E3=6,S3*#REF!,IF(E3=7,S3*$DQ$9,IF(E3=8,S3*$DQ$10,IF(E3=9,S3*$DQ$11,IF(E3=10,S3*$DQ$12,IF(E3=11,S3*$DQ$13)))))))))))</f>
        <v>0.26650485436893201</v>
      </c>
      <c r="U3" s="42">
        <f>CE3/CF3</f>
        <v>4.4276143314884941E-2</v>
      </c>
      <c r="V3" s="42">
        <f>CT3/CU3</f>
        <v>3.017241379310345E-2</v>
      </c>
      <c r="W3" s="209">
        <f>AVERAGE(MAX(U3:U3),U3)</f>
        <v>4.4276143314884941E-2</v>
      </c>
      <c r="X3" s="43">
        <f>IF(E3=1,W3*DQ$3,IF(E3=2,W3*DQ$4,IF(E3=3,W3*DQ$5,IF(E3=4,W3*DQ$6,IF(E3=5,W3*DQ$7,IF(E3=6,W3*DQ$8,IF(E3=7,W3*DQ$9,IF(E3=8,W3*DQ$10,IF(E3=9,W3*DQ$11,IF(E3=10,W3*DQ$12,IF(E3=11,W3*DQ$13,IF(E3=12,W3*DQ$14))))))))))))</f>
        <v>3.9848528983396449E-2</v>
      </c>
      <c r="Y3" s="44">
        <f t="shared" ref="Y3:Y17" si="9">IF(N3&gt;=0.15,($DR$3-$F3)/365,(IF(O3&gt;=0.15,($DR$4-$F3)/365,(IF(P3&gt;=0.15,($DR$5-$F3)/365,(IF(Q3&gt;=0.15,($DR$6-$F3)/365,(IF(R3&gt;=0.15,($DR$7-$F3)/365,"N/A")))))))))</f>
        <v>19.515068493150686</v>
      </c>
      <c r="Z3" s="170">
        <f t="shared" ref="Z3:Z30" si="10">(K3*200)/(L3^4)</f>
        <v>99.562207951738756</v>
      </c>
      <c r="AA3" s="45">
        <f t="shared" ref="AA3:AA30" si="11">(K3/(J3^2))*703</f>
        <v>28.0550304557866</v>
      </c>
      <c r="AB3" s="45">
        <f>IF($P3&gt;=15%,MAX((BZ3/BY3),(CO3/CN3)),MAX((CO3/CN3)))</f>
        <v>0.33333333333333331</v>
      </c>
      <c r="AC3" s="45">
        <f>IF($P3&gt;=15%,MAX(CA3,CP3,DE3),MAX(CP3,DE3))</f>
        <v>12.777777777777779</v>
      </c>
      <c r="AD3" s="45">
        <f>IF($P3&gt;=15%,MAX(CB3,CQ3,DF3),MAX(CQ3,DF3))</f>
        <v>274.10000000000002</v>
      </c>
      <c r="AE3" s="45">
        <f>IF($P3&gt;=15%,MAX(CC3,CR3,DG3),MAX(CR3,DG3))</f>
        <v>8.2200000000000006</v>
      </c>
      <c r="AF3" s="45">
        <f>IF($P3&gt;=15%,MAX(CD3,CS3,DH3),MAX(CS3,DH3))</f>
        <v>84.3</v>
      </c>
      <c r="AG3" s="128">
        <f t="shared" ref="AG3:AG30" si="12">IF(T3&gt;=35%,10,IF(T3&gt;=33%,9,IF(T3&gt;=28%,8,IF(T3&gt;=26%,7,IF(T3&gt;=24%,6,IF(T3&gt;=23%,5,IF(T3&gt;=20%,4,IF(T3&gt;=17%,3,IF(T3&gt;=15%,2,IF(T3&gt;=12%,1,IF(T3&lt;12%,0,FALSE)))))))))))</f>
        <v>7</v>
      </c>
      <c r="AH3" s="49">
        <f t="shared" ref="AH3:AH30" si="13">IF(X3&gt;=13.12%,10,IF(X3&gt;=9.07%,9,IF(X3&gt;=7.5%,8,IF(X3&gt;=6.28%,7,IF(X3&gt;=5.37%,6,IF(X3&gt;=4.3%,5,IF(X3&gt;=3.68%,4,IF(X3&gt;=2.62%,3,IF(X3&gt;=1.96%,2,IF(X3&gt;=0.83%,1,IF(X3&lt;0.83%,0,FALSE)))))))))))</f>
        <v>4</v>
      </c>
      <c r="AI3" s="49">
        <f>IF(Y3&lt;=18.39,10,IF(Y3&lt;=18.87,9,IF(Y3&lt;=19.09,8,IF(Y3&lt;=19.37,7,IF(Y3&lt;=19.74,6,IF(Y3&lt;=20.03,5,IF(Y3&lt;=20.53,4,IF(Y3&lt;=21.19,3,IF(Y3&lt;=22,2,IF(Y3&lt;=22.5,1,IF(Y3&gt;22.5,0,FALSE)))))))))))</f>
        <v>6</v>
      </c>
      <c r="AJ3" s="49">
        <f t="shared" ref="AJ3:AJ30" si="14">IF(Z3&gt;113.25,10,IF(Z3&gt;=107.84,9,IF(Z3&gt;=105.37,8,IF(Z3&gt;=103.25,7,IF(Z3&gt;=100.55,6,IF(Z3&gt;=98.75,5,IF(Z3&gt;=96.08,4,IF(Z3&gt;=94.39,3,IF(Z3&gt;=88.43,2,IF(Z3&gt;=85.16,1,IF(Z3&lt;85.16,0,FALSE)))))))))))</f>
        <v>5</v>
      </c>
      <c r="AK3" s="49">
        <f t="shared" ref="AK3:AK30" si="15">IF(AB3&gt;0.37,10,IF(AB3&gt;=0.32,9,IF(AB3&gt;=0.28,8,IF(AB3&gt;=0.26,7,IF(AB3&gt;=0.24,6,IF(AB3&gt;=0.22,5,IF(AB3&gt;=0.2,4,IF(AB3&gt;=0.19,3,IF(AB3&gt;=0.16,2,IF(AB3&gt;=0.14,1,IF(AB3&lt;0.14,0,FALSE)))))))))))</f>
        <v>9</v>
      </c>
      <c r="AL3" s="219">
        <f t="shared" ref="AL3:AL30" si="16">IF(AC3&gt;8.5,10,IF(AC3&gt;=7.6,9,IF(AC3&gt;=7,8,IF(AC3&gt;=6.7,7,IF(AC3&gt;=6.4,6,IF(AC3&gt;=6.1,5,IF(AC3&gt;=5.8,4,IF(AC3&gt;=5.5,3,IF(AC3&gt;=5.25,2,IF(AC3&gt;=4.9,1,IF(AC3&lt;4.9,0,FALSE)))))))))))</f>
        <v>10</v>
      </c>
      <c r="AM3" s="49">
        <f t="shared" ref="AM3:AM30" si="17">IF(AD3&gt;218.16,10,IF(AD3&gt;=181.46,9,IF(AD3&gt;=152.12,8,IF(AD3&gt;=129.91,7,IF(AD3&gt;=118.38,6,IF(AD3&gt;=106.2,5,IF(AD3&gt;=95.46,4,IF(AD3&gt;=86.7,3,IF(AD3&gt;=74.92,2,IF(AD3&gt;=61.41,1,IF(AD3&lt;61.41,0,FALSE)))))))))))</f>
        <v>10</v>
      </c>
      <c r="AN3" s="49">
        <f t="shared" ref="AN3:AN30" si="18">IF(AE3&gt;6.09,10,IF(AE3&gt;=5.15,9,IF(AE3&gt;=4.75,8,IF(AE3&gt;=4.46,7,IF(AE3&gt;=4.17,6,IF(AE3&gt;=4,5,IF(AE3&gt;=3.85,4,IF(AE3&gt;=3.67,3,IF(AE3&gt;=3.48,2,IF(AE3&gt;=3.23,1,IF(AE3&lt;3.23,0,FALSE)))))))))))</f>
        <v>10</v>
      </c>
      <c r="AO3" s="49">
        <f t="shared" ref="AO3:AO30" si="19">IF(M3=1,10,IF(M3=2,7,IF(M3=3,6,IF(M3=4,4,IF(M3=5,3,IF(M3=6,2,IF(M3=7,1,IF(M3=0,0,"-"))))))))</f>
        <v>0</v>
      </c>
      <c r="AP3" s="50">
        <v>0</v>
      </c>
      <c r="AQ3" s="51"/>
      <c r="AR3" s="52">
        <v>1</v>
      </c>
      <c r="AS3" s="52"/>
      <c r="AT3" s="52"/>
      <c r="AU3" s="52"/>
      <c r="AV3" s="52"/>
      <c r="AW3" s="52"/>
      <c r="AX3" s="52"/>
      <c r="AY3" s="52"/>
      <c r="AZ3" s="52"/>
      <c r="BA3" s="52"/>
      <c r="BB3" s="52">
        <v>1</v>
      </c>
      <c r="BC3" s="52"/>
      <c r="BD3" s="52"/>
      <c r="BE3" s="54"/>
      <c r="BF3" s="51"/>
      <c r="BG3" s="52">
        <v>1</v>
      </c>
      <c r="BH3" s="52"/>
      <c r="BI3" s="52"/>
      <c r="BJ3" s="52"/>
      <c r="BK3" s="52"/>
      <c r="BL3" s="52"/>
      <c r="BM3" s="52"/>
      <c r="BN3" s="52"/>
      <c r="BO3" s="52"/>
      <c r="BP3" s="52"/>
      <c r="BQ3" s="52">
        <v>1</v>
      </c>
      <c r="BR3" s="52"/>
      <c r="BS3" s="52"/>
      <c r="BT3" s="195"/>
      <c r="BU3" s="51">
        <v>1168</v>
      </c>
      <c r="BV3" s="52">
        <v>2407</v>
      </c>
      <c r="BW3" s="52">
        <v>11</v>
      </c>
      <c r="BX3" s="52">
        <v>28</v>
      </c>
      <c r="BY3" s="52">
        <v>163</v>
      </c>
      <c r="BZ3" s="52">
        <v>37</v>
      </c>
      <c r="CA3" s="53">
        <f t="shared" ref="CA3:CA10" si="20">BU3/BY3</f>
        <v>7.1656441717791415</v>
      </c>
      <c r="CB3" s="52">
        <v>101</v>
      </c>
      <c r="CC3" s="53">
        <v>4.0599999999999996</v>
      </c>
      <c r="CD3" s="52">
        <v>60.3</v>
      </c>
      <c r="CE3" s="52">
        <v>152</v>
      </c>
      <c r="CF3" s="52">
        <v>3433</v>
      </c>
      <c r="CG3" s="52">
        <v>30</v>
      </c>
      <c r="CH3" s="52">
        <v>1</v>
      </c>
      <c r="CI3" s="54">
        <v>26</v>
      </c>
      <c r="CJ3" s="51">
        <v>230</v>
      </c>
      <c r="CK3" s="52">
        <v>360</v>
      </c>
      <c r="CL3" s="52"/>
      <c r="CM3" s="52"/>
      <c r="CN3" s="52">
        <v>18</v>
      </c>
      <c r="CO3" s="52">
        <v>6</v>
      </c>
      <c r="CP3" s="53">
        <f>CJ3/CN3</f>
        <v>12.777777777777779</v>
      </c>
      <c r="CQ3" s="52">
        <v>274.10000000000002</v>
      </c>
      <c r="CR3" s="53">
        <v>8.2200000000000006</v>
      </c>
      <c r="CS3" s="52">
        <v>84.3</v>
      </c>
      <c r="CT3" s="52">
        <v>14</v>
      </c>
      <c r="CU3" s="52">
        <v>464</v>
      </c>
      <c r="CV3" s="52">
        <v>3</v>
      </c>
      <c r="CW3" s="52"/>
      <c r="CX3" s="54"/>
      <c r="CY3" s="51"/>
      <c r="CZ3" s="52">
        <v>1</v>
      </c>
      <c r="DA3" s="52"/>
      <c r="DB3" s="52"/>
      <c r="DC3" s="52"/>
      <c r="DD3" s="52"/>
      <c r="DE3" s="53"/>
      <c r="DF3" s="52"/>
      <c r="DG3" s="53"/>
      <c r="DH3" s="53"/>
      <c r="DI3" s="52"/>
      <c r="DJ3" s="52">
        <v>1</v>
      </c>
      <c r="DK3" s="52"/>
      <c r="DL3" s="52"/>
      <c r="DM3" s="54"/>
      <c r="DO3" s="11">
        <v>1</v>
      </c>
      <c r="DP3" s="42" t="s">
        <v>386</v>
      </c>
      <c r="DQ3" s="7">
        <v>1</v>
      </c>
      <c r="DR3" s="130">
        <v>44809</v>
      </c>
      <c r="DS3" s="130">
        <v>46504</v>
      </c>
    </row>
    <row r="4" spans="1:123" x14ac:dyDescent="0.2">
      <c r="A4" s="33">
        <f t="shared" si="0"/>
        <v>2</v>
      </c>
      <c r="B4" s="34" t="s">
        <v>628</v>
      </c>
      <c r="C4" s="116">
        <f t="shared" si="1"/>
        <v>5.2722222222222221</v>
      </c>
      <c r="D4" s="117" t="s">
        <v>465</v>
      </c>
      <c r="E4" s="37">
        <v>4</v>
      </c>
      <c r="F4" s="118">
        <v>38461</v>
      </c>
      <c r="G4" s="119">
        <f t="shared" ca="1" si="2"/>
        <v>20.479452054794521</v>
      </c>
      <c r="H4" s="39" t="s">
        <v>389</v>
      </c>
      <c r="I4" s="39">
        <f t="shared" si="3"/>
        <v>22.035616438356165</v>
      </c>
      <c r="J4" s="205">
        <v>67</v>
      </c>
      <c r="K4" s="205">
        <v>192</v>
      </c>
      <c r="L4" s="205">
        <v>4.4000000000000004</v>
      </c>
      <c r="M4" s="194">
        <v>0</v>
      </c>
      <c r="N4" s="121">
        <f t="shared" si="4"/>
        <v>0</v>
      </c>
      <c r="O4" s="122">
        <f t="shared" si="5"/>
        <v>0.18541954287467405</v>
      </c>
      <c r="P4" s="122">
        <f t="shared" si="6"/>
        <v>0.18240670220868241</v>
      </c>
      <c r="Q4" s="122">
        <f t="shared" si="7"/>
        <v>0.16837315130830488</v>
      </c>
      <c r="R4" s="122">
        <f t="shared" si="8"/>
        <v>0</v>
      </c>
      <c r="S4" s="42">
        <f>AVERAGE(MAX(N4:R4),R4)</f>
        <v>9.2709771437337024E-2</v>
      </c>
      <c r="T4" s="42">
        <f>IF(E4=1,S4*$DQ$3,IF(E4=2,S4*$DQ$4,IF(E4=3,S4*$DQ$5,IF(E4=4,S4*$DQ$6,IF(E4=5,S4*$DQ$7,IF(E4=6,S4*#REF!,IF(E4=7,S4*$DQ$9,IF(E4=8,S4*$DQ$10,IF(E4=9,S4*$DQ$11,IF(E4=10,S4*$DQ$12,IF(E4=11,S4*$DQ$13)))))))))))</f>
        <v>8.3438794293603319E-2</v>
      </c>
      <c r="U4" s="42">
        <f>CT4/CU4</f>
        <v>3.7783375314861464E-2</v>
      </c>
      <c r="V4" s="42">
        <f>DI4/DJ4</f>
        <v>0</v>
      </c>
      <c r="W4" s="210">
        <f>AVERAGE(MAX(U4:V4),V4)</f>
        <v>1.8891687657430732E-2</v>
      </c>
      <c r="X4" s="43">
        <f>IF(E4=1,W4*DQ$3,IF(E4=2,W4*DQ$4,IF(E4=3,W4*DQ$5,IF(E4=4,W4*DQ$6,IF(E4=5,W4*DQ$7,IF(E4=6,W4*DQ$8,IF(E4=7,W4*DQ$9,IF(E4=8,W4*DQ$10,IF(E4=9,W4*DQ$11,IF(E4=10,W4*DQ$12,IF(E4=11,W4*DQ$13,IF(E4=12,W4*DQ$14))))))))))))</f>
        <v>1.7002518891687659E-2</v>
      </c>
      <c r="Y4" s="44">
        <f t="shared" si="9"/>
        <v>18.389041095890413</v>
      </c>
      <c r="Z4" s="170">
        <f t="shared" si="10"/>
        <v>102.45201830476057</v>
      </c>
      <c r="AA4" s="45">
        <f t="shared" si="11"/>
        <v>30.068166629538872</v>
      </c>
      <c r="AB4" s="45">
        <f>BZ4/BY4</f>
        <v>0.35570469798657717</v>
      </c>
      <c r="AC4" s="45">
        <f>CA4</f>
        <v>5.6577181208053693</v>
      </c>
      <c r="AD4" s="45">
        <f>CB4</f>
        <v>134</v>
      </c>
      <c r="AE4" s="45">
        <f>CC4</f>
        <v>4.0199999999999996</v>
      </c>
      <c r="AF4" s="45">
        <f>CD4</f>
        <v>40.799999999999997</v>
      </c>
      <c r="AG4" s="128">
        <f t="shared" si="12"/>
        <v>0</v>
      </c>
      <c r="AH4" s="49">
        <f t="shared" si="13"/>
        <v>1</v>
      </c>
      <c r="AI4" s="49">
        <f t="shared" ref="AI4:AI30" si="21">IF(Y4&lt;=18.39,10,IF(Y4&lt;=18.85,9,IF(Y4&lt;=19.09,8,IF(Y4&lt;=19.37,7,IF(Y4&lt;=19.74,6,IF(Y4&lt;=20.03,5,IF(Y4&lt;=20.53,4,IF(Y4&lt;=21.19,3,IF(Y4&lt;=22,2,IF(Y4&lt;=22.5,1,IF(Y4&gt;22.5,0,FALSE)))))))))))</f>
        <v>10</v>
      </c>
      <c r="AJ4" s="49">
        <f t="shared" si="14"/>
        <v>6</v>
      </c>
      <c r="AK4" s="49">
        <f t="shared" si="15"/>
        <v>9</v>
      </c>
      <c r="AL4" s="49">
        <f t="shared" si="16"/>
        <v>3</v>
      </c>
      <c r="AM4" s="49">
        <f t="shared" si="17"/>
        <v>7</v>
      </c>
      <c r="AN4" s="49">
        <f t="shared" si="18"/>
        <v>5</v>
      </c>
      <c r="AO4" s="49">
        <f t="shared" si="19"/>
        <v>0</v>
      </c>
      <c r="AP4" s="50">
        <v>0</v>
      </c>
      <c r="AQ4" s="56"/>
      <c r="AR4" s="57">
        <v>1</v>
      </c>
      <c r="AS4" s="57"/>
      <c r="AT4" s="57"/>
      <c r="AU4" s="57"/>
      <c r="AV4" s="57"/>
      <c r="AW4" s="129"/>
      <c r="AX4" s="129"/>
      <c r="AY4" s="129"/>
      <c r="AZ4" s="129"/>
      <c r="BA4" s="57"/>
      <c r="BB4" s="57">
        <v>1</v>
      </c>
      <c r="BC4" s="57"/>
      <c r="BD4" s="57"/>
      <c r="BE4" s="59"/>
      <c r="BF4" s="56">
        <v>842</v>
      </c>
      <c r="BG4" s="57">
        <f>12*228.9</f>
        <v>2746.8</v>
      </c>
      <c r="BH4" s="57">
        <v>4</v>
      </c>
      <c r="BI4" s="57">
        <f>12*2.5</f>
        <v>30</v>
      </c>
      <c r="BJ4" s="57">
        <v>109</v>
      </c>
      <c r="BK4" s="57">
        <v>32</v>
      </c>
      <c r="BL4" s="58">
        <f>BF4/BJ4</f>
        <v>7.7247706422018352</v>
      </c>
      <c r="BM4" s="57">
        <v>107.8</v>
      </c>
      <c r="BN4" s="58">
        <v>3.72</v>
      </c>
      <c r="BO4" s="129">
        <v>55</v>
      </c>
      <c r="BP4" s="57">
        <v>125</v>
      </c>
      <c r="BQ4" s="57">
        <f>12*205.7</f>
        <v>2468.3999999999996</v>
      </c>
      <c r="BR4" s="57">
        <v>5</v>
      </c>
      <c r="BS4" s="57">
        <v>2</v>
      </c>
      <c r="BT4" s="196">
        <f>12*1.4</f>
        <v>16.799999999999997</v>
      </c>
      <c r="BU4" s="56">
        <v>843</v>
      </c>
      <c r="BV4" s="57">
        <v>2518</v>
      </c>
      <c r="BW4" s="57">
        <v>7</v>
      </c>
      <c r="BX4" s="57">
        <v>27</v>
      </c>
      <c r="BY4" s="57">
        <v>149</v>
      </c>
      <c r="BZ4" s="57">
        <v>53</v>
      </c>
      <c r="CA4" s="53">
        <f t="shared" si="20"/>
        <v>5.6577181208053693</v>
      </c>
      <c r="CB4" s="57">
        <v>134</v>
      </c>
      <c r="CC4" s="58">
        <v>4.0199999999999996</v>
      </c>
      <c r="CD4" s="129">
        <v>40.799999999999997</v>
      </c>
      <c r="CE4" s="57">
        <v>115</v>
      </c>
      <c r="CF4" s="57">
        <v>2734</v>
      </c>
      <c r="CG4" s="57">
        <v>19</v>
      </c>
      <c r="CH4" s="57">
        <v>1</v>
      </c>
      <c r="CI4" s="59">
        <v>20</v>
      </c>
      <c r="CJ4" s="56">
        <v>133</v>
      </c>
      <c r="CK4" s="57">
        <v>482</v>
      </c>
      <c r="CL4" s="57"/>
      <c r="CM4" s="57"/>
      <c r="CN4" s="57">
        <v>24</v>
      </c>
      <c r="CO4" s="57">
        <v>10</v>
      </c>
      <c r="CP4" s="58">
        <f>CJ4/CN4</f>
        <v>5.541666666666667</v>
      </c>
      <c r="CQ4" s="57">
        <v>202</v>
      </c>
      <c r="CR4" s="58">
        <v>4.96</v>
      </c>
      <c r="CS4" s="58">
        <v>38.299999999999997</v>
      </c>
      <c r="CT4" s="57">
        <v>15</v>
      </c>
      <c r="CU4" s="57">
        <v>397</v>
      </c>
      <c r="CV4" s="57">
        <v>3</v>
      </c>
      <c r="CW4" s="57"/>
      <c r="CX4" s="59"/>
      <c r="CY4" s="56"/>
      <c r="CZ4" s="57">
        <v>1</v>
      </c>
      <c r="DA4" s="57"/>
      <c r="DB4" s="57"/>
      <c r="DC4" s="57"/>
      <c r="DD4" s="57"/>
      <c r="DE4" s="58"/>
      <c r="DF4" s="57"/>
      <c r="DG4" s="58"/>
      <c r="DH4" s="58"/>
      <c r="DI4" s="57"/>
      <c r="DJ4" s="57">
        <v>1</v>
      </c>
      <c r="DK4" s="57"/>
      <c r="DL4" s="57"/>
      <c r="DM4" s="59"/>
      <c r="DO4" s="11">
        <v>2</v>
      </c>
      <c r="DP4" s="42" t="s">
        <v>390</v>
      </c>
      <c r="DQ4" s="7">
        <v>1</v>
      </c>
      <c r="DR4" s="130">
        <v>45173</v>
      </c>
    </row>
    <row r="5" spans="1:123" x14ac:dyDescent="0.2">
      <c r="A5" s="33">
        <f t="shared" si="0"/>
        <v>3</v>
      </c>
      <c r="B5" s="34" t="s">
        <v>634</v>
      </c>
      <c r="C5" s="116">
        <f t="shared" si="1"/>
        <v>5.0500000000000007</v>
      </c>
      <c r="D5" s="117" t="s">
        <v>432</v>
      </c>
      <c r="E5" s="37">
        <v>1</v>
      </c>
      <c r="F5" s="197">
        <v>38869</v>
      </c>
      <c r="G5" s="119">
        <f t="shared" ca="1" si="2"/>
        <v>19.361643835616437</v>
      </c>
      <c r="H5" s="39" t="s">
        <v>385</v>
      </c>
      <c r="I5" s="39">
        <f t="shared" si="3"/>
        <v>20.917808219178081</v>
      </c>
      <c r="J5" s="205">
        <v>69</v>
      </c>
      <c r="K5" s="205">
        <v>205</v>
      </c>
      <c r="L5" s="205">
        <v>4.5</v>
      </c>
      <c r="M5" s="194">
        <v>0</v>
      </c>
      <c r="N5" s="121">
        <f t="shared" si="4"/>
        <v>0</v>
      </c>
      <c r="O5" s="122">
        <f t="shared" si="5"/>
        <v>0</v>
      </c>
      <c r="P5" s="122">
        <f t="shared" si="6"/>
        <v>0.19559005251776337</v>
      </c>
      <c r="Q5" s="122">
        <f t="shared" si="7"/>
        <v>0.17810026385224276</v>
      </c>
      <c r="R5" s="122">
        <f t="shared" si="8"/>
        <v>0</v>
      </c>
      <c r="S5" s="42">
        <f>AVERAGE(MAX(N5:Q5),Q5)</f>
        <v>0.18684515818500308</v>
      </c>
      <c r="T5" s="42">
        <f>IF(E5=1,S5*$DQ$3,IF(E5=2,S5*$DQ$4,IF(E5=3,S5*$DQ$5,IF(E5=4,S5*$DQ$6,IF(E5=5,S5*$DQ$7,IF(E5=6,S5*DQ18,IF(E5=7,S5*$DQ$9,IF(E5=8,S5*$DQ$10,IF(E5=9,S5*$DQ$11,IF(E5=10,S5*$DQ$12,IF(E5=11,S5*$DQ$13)))))))))))</f>
        <v>0.18684515818500308</v>
      </c>
      <c r="U5" s="42">
        <f t="shared" ref="U5:U10" si="22">CE5/CF5</f>
        <v>6.9003807106598994E-2</v>
      </c>
      <c r="V5" s="42">
        <f>CT5/CU5</f>
        <v>6.6252587991718431E-2</v>
      </c>
      <c r="W5" s="210">
        <f t="shared" ref="W5:W30" si="23">AVERAGE(MAX(U5:U5),U5)</f>
        <v>6.9003807106598994E-2</v>
      </c>
      <c r="X5" s="43">
        <f>IF(E5=1,W5*DQ$3,IF(E5=2,W5*DQ$4,IF(E5=3,W5*DQ$5,IF(E5=4,W5*DQ$6,IF(E5=5,W5*DQ$7,IF(E5=6,W5*DQ$8,IF(E5=7,W5*DQ$9,IF(E5=8,W5*DQ$10,IF(E5=9,W5*DQ$11,IF(E5=10,W5*DQ$12,IF(E5=11,W5*DQ$13,IF(E5=12,W5*DQ$14))))))))))))</f>
        <v>6.9003807106598994E-2</v>
      </c>
      <c r="Y5" s="44">
        <f t="shared" si="9"/>
        <v>18.265753424657536</v>
      </c>
      <c r="Z5" s="170">
        <f t="shared" si="10"/>
        <v>99.984758420972412</v>
      </c>
      <c r="AA5" s="45">
        <f t="shared" si="11"/>
        <v>30.269901281243438</v>
      </c>
      <c r="AB5" s="45">
        <f>IF($P5&gt;=15%,MAX((BZ5/BY5),(CO5/CN5)),MAX((CO5/CN5)))</f>
        <v>0.19858156028368795</v>
      </c>
      <c r="AC5" s="45">
        <f>IF($P5&gt;=15%,MAX(CA5,CP5,DE5),MAX(CP5,DE5))</f>
        <v>5.333333333333333</v>
      </c>
      <c r="AD5" s="45">
        <f>IF($P5&gt;=15%,MAX(CB5,CQ5,DF5),MAX(CQ5,DF5))</f>
        <v>70.3</v>
      </c>
      <c r="AE5" s="45">
        <f>IF($P5&gt;=15%,MAX(CC5,CR5,DG5),MAX(CR5,DG5))</f>
        <v>3.48</v>
      </c>
      <c r="AF5" s="45">
        <f>IF($P5&gt;=15%,MAX(CD5,CS5,DH5),MAX(CS5,DH5))</f>
        <v>41.8</v>
      </c>
      <c r="AG5" s="128">
        <f t="shared" si="12"/>
        <v>3</v>
      </c>
      <c r="AH5" s="49">
        <f t="shared" si="13"/>
        <v>7</v>
      </c>
      <c r="AI5" s="49">
        <f t="shared" si="21"/>
        <v>10</v>
      </c>
      <c r="AJ5" s="49">
        <f t="shared" si="14"/>
        <v>5</v>
      </c>
      <c r="AK5" s="49">
        <f t="shared" si="15"/>
        <v>3</v>
      </c>
      <c r="AL5" s="49">
        <f t="shared" si="16"/>
        <v>2</v>
      </c>
      <c r="AM5" s="49">
        <f t="shared" si="17"/>
        <v>1</v>
      </c>
      <c r="AN5" s="49">
        <f t="shared" si="18"/>
        <v>2</v>
      </c>
      <c r="AO5" s="49">
        <f t="shared" si="19"/>
        <v>0</v>
      </c>
      <c r="AP5" s="50">
        <v>0</v>
      </c>
      <c r="AQ5" s="188"/>
      <c r="AR5" s="189">
        <v>1</v>
      </c>
      <c r="AS5" s="189"/>
      <c r="AT5" s="189"/>
      <c r="AU5" s="189"/>
      <c r="AV5" s="189"/>
      <c r="AW5" s="189"/>
      <c r="AX5" s="189"/>
      <c r="AY5" s="189"/>
      <c r="AZ5" s="189"/>
      <c r="BA5" s="189"/>
      <c r="BB5" s="189">
        <v>1</v>
      </c>
      <c r="BC5" s="189"/>
      <c r="BD5" s="189"/>
      <c r="BE5" s="190"/>
      <c r="BF5" s="188"/>
      <c r="BG5" s="189">
        <v>1</v>
      </c>
      <c r="BH5" s="189"/>
      <c r="BI5" s="189"/>
      <c r="BJ5" s="189"/>
      <c r="BK5" s="189"/>
      <c r="BL5" s="189"/>
      <c r="BM5" s="189"/>
      <c r="BN5" s="189"/>
      <c r="BO5" s="189"/>
      <c r="BP5" s="189"/>
      <c r="BQ5" s="189">
        <v>1</v>
      </c>
      <c r="BR5" s="189"/>
      <c r="BS5" s="189"/>
      <c r="BT5" s="198"/>
      <c r="BU5" s="188">
        <v>752</v>
      </c>
      <c r="BV5" s="189">
        <f>12*116.4</f>
        <v>1396.8000000000002</v>
      </c>
      <c r="BW5" s="189">
        <v>6</v>
      </c>
      <c r="BX5" s="189">
        <f>12*1.2</f>
        <v>14.399999999999999</v>
      </c>
      <c r="BY5" s="189">
        <v>141</v>
      </c>
      <c r="BZ5" s="189">
        <v>28</v>
      </c>
      <c r="CA5" s="53">
        <f t="shared" si="20"/>
        <v>5.333333333333333</v>
      </c>
      <c r="CB5" s="189">
        <v>70.3</v>
      </c>
      <c r="CC5" s="191">
        <v>3.48</v>
      </c>
      <c r="CD5" s="189">
        <v>41.8</v>
      </c>
      <c r="CE5" s="189">
        <v>261</v>
      </c>
      <c r="CF5" s="189">
        <f>12*315.2</f>
        <v>3782.3999999999996</v>
      </c>
      <c r="CG5" s="189">
        <v>27</v>
      </c>
      <c r="CH5" s="189">
        <v>2</v>
      </c>
      <c r="CI5" s="190">
        <f>12*2.2</f>
        <v>26.400000000000002</v>
      </c>
      <c r="CJ5" s="188">
        <v>103</v>
      </c>
      <c r="CK5" s="189">
        <v>275</v>
      </c>
      <c r="CL5" s="189"/>
      <c r="CM5" s="189"/>
      <c r="CN5" s="189">
        <v>30</v>
      </c>
      <c r="CO5" s="189">
        <v>4</v>
      </c>
      <c r="CP5" s="191">
        <f>CJ5/CN5</f>
        <v>3.4333333333333331</v>
      </c>
      <c r="CQ5" s="189">
        <v>33.1</v>
      </c>
      <c r="CR5" s="191">
        <v>2.9</v>
      </c>
      <c r="CS5" s="189">
        <v>37.9</v>
      </c>
      <c r="CT5" s="189">
        <v>32</v>
      </c>
      <c r="CU5" s="189">
        <v>483</v>
      </c>
      <c r="CV5" s="189">
        <v>5</v>
      </c>
      <c r="CW5" s="189"/>
      <c r="CX5" s="190"/>
      <c r="CY5" s="188"/>
      <c r="CZ5" s="189">
        <v>1</v>
      </c>
      <c r="DA5" s="189"/>
      <c r="DB5" s="189"/>
      <c r="DC5" s="189"/>
      <c r="DD5" s="189"/>
      <c r="DE5" s="191"/>
      <c r="DF5" s="189"/>
      <c r="DG5" s="191"/>
      <c r="DH5" s="189"/>
      <c r="DI5" s="189"/>
      <c r="DJ5" s="189">
        <v>1</v>
      </c>
      <c r="DK5" s="189"/>
      <c r="DL5" s="189"/>
      <c r="DM5" s="190"/>
      <c r="DN5" s="171"/>
      <c r="DO5" s="5">
        <v>3</v>
      </c>
      <c r="DP5" s="42" t="s">
        <v>393</v>
      </c>
      <c r="DQ5" s="7">
        <v>0.9</v>
      </c>
      <c r="DR5" s="130">
        <v>45536</v>
      </c>
    </row>
    <row r="6" spans="1:123" x14ac:dyDescent="0.2">
      <c r="A6" s="33">
        <f t="shared" si="0"/>
        <v>4</v>
      </c>
      <c r="B6" s="34" t="s">
        <v>642</v>
      </c>
      <c r="C6" s="116">
        <f t="shared" si="1"/>
        <v>4.4777777777777779</v>
      </c>
      <c r="D6" s="117" t="s">
        <v>410</v>
      </c>
      <c r="E6" s="37">
        <v>2</v>
      </c>
      <c r="F6" s="197">
        <v>38139</v>
      </c>
      <c r="G6" s="119">
        <f t="shared" ca="1" si="2"/>
        <v>21.361643835616437</v>
      </c>
      <c r="H6" s="39" t="s">
        <v>498</v>
      </c>
      <c r="I6" s="39">
        <f t="shared" si="3"/>
        <v>22.917808219178081</v>
      </c>
      <c r="J6" s="205">
        <v>71</v>
      </c>
      <c r="K6" s="205">
        <v>216</v>
      </c>
      <c r="L6" s="205">
        <v>4.47</v>
      </c>
      <c r="M6" s="194">
        <v>0</v>
      </c>
      <c r="N6" s="121">
        <f t="shared" si="4"/>
        <v>0</v>
      </c>
      <c r="O6" s="122">
        <f t="shared" si="5"/>
        <v>4.7048759623609923E-2</v>
      </c>
      <c r="P6" s="122">
        <f t="shared" si="6"/>
        <v>4.8604757548032937E-2</v>
      </c>
      <c r="Q6" s="122">
        <f t="shared" si="7"/>
        <v>0</v>
      </c>
      <c r="R6" s="122">
        <f t="shared" si="8"/>
        <v>0</v>
      </c>
      <c r="S6" s="42">
        <f>AVERAGE(MAX(N6:P6),P6)</f>
        <v>4.8604757548032937E-2</v>
      </c>
      <c r="T6" s="42">
        <f>IF(E6=1,S6*$DQ$3,IF(E6=2,S6*$DQ$4,IF(E6=3,S6*$DQ$5,IF(E6=4,S6*$DQ$6,IF(E6=5,S6*$DQ$7,IF(E6=6,S6*DQ42,IF(E6=7,S6*$DQ$9,IF(E6=8,S6*$DQ$10,IF(E6=9,S6*$DQ$11,IF(E6=10,S6*$DQ$12,IF(E6=11,S6*$DQ$13)))))))))))</f>
        <v>4.8604757548032937E-2</v>
      </c>
      <c r="U6" s="42">
        <f t="shared" si="22"/>
        <v>2.5693730729701953E-2</v>
      </c>
      <c r="V6" s="42">
        <f t="shared" ref="V6:V30" si="24">DI6/DJ6</f>
        <v>0</v>
      </c>
      <c r="W6" s="210">
        <f t="shared" si="23"/>
        <v>2.5693730729701953E-2</v>
      </c>
      <c r="X6" s="43">
        <f>IF(E6=1,W6*'2025'!DQ$3,IF(E6=2,W6*'2025'!DQ$4,IF(E6=3,W6*'2025'!DQ$5,IF(E6=4,W6*'2025'!DQ$6,IF(E6=5,W6*'2025'!DQ$7,IF(E6=6,W6*'2025'!DQ$8,IF(E6=7,W6*'2025'!DQ$9,IF(E6=8,W6*'2025'!DQ$10,IF(E6=9,W6*'2025'!DQ$11,IF(E6=10,W6*'2025'!DQ$12,IF(E6=11,W6*'2025'!DQ$13,IF(E6=12,W6*'2025'!DQ$14))))))))))))</f>
        <v>2.5693730729701953E-2</v>
      </c>
      <c r="Y6" s="44" t="str">
        <f t="shared" si="9"/>
        <v>N/A</v>
      </c>
      <c r="Z6" s="170">
        <f t="shared" si="10"/>
        <v>108.20657587281474</v>
      </c>
      <c r="AA6" s="45">
        <f t="shared" si="11"/>
        <v>30.122594723269192</v>
      </c>
      <c r="AB6" s="45">
        <f t="shared" ref="AB6:AB26" si="25">BZ6/BY6</f>
        <v>0.34375</v>
      </c>
      <c r="AC6" s="45">
        <f t="shared" ref="AC6:AF10" si="26">CA6</f>
        <v>2.578125</v>
      </c>
      <c r="AD6" s="45">
        <f t="shared" si="26"/>
        <v>153.9</v>
      </c>
      <c r="AE6" s="45">
        <f t="shared" si="26"/>
        <v>4.5</v>
      </c>
      <c r="AF6" s="45">
        <f t="shared" si="26"/>
        <v>42.8</v>
      </c>
      <c r="AG6" s="128">
        <f t="shared" si="12"/>
        <v>0</v>
      </c>
      <c r="AH6" s="49">
        <f t="shared" si="13"/>
        <v>2</v>
      </c>
      <c r="AI6" s="49">
        <f t="shared" si="21"/>
        <v>0</v>
      </c>
      <c r="AJ6" s="49">
        <f t="shared" si="14"/>
        <v>9</v>
      </c>
      <c r="AK6" s="49">
        <f t="shared" si="15"/>
        <v>9</v>
      </c>
      <c r="AL6" s="49">
        <f t="shared" si="16"/>
        <v>0</v>
      </c>
      <c r="AM6" s="49">
        <f t="shared" si="17"/>
        <v>8</v>
      </c>
      <c r="AN6" s="49">
        <f t="shared" si="18"/>
        <v>7</v>
      </c>
      <c r="AO6" s="49">
        <f t="shared" si="19"/>
        <v>0</v>
      </c>
      <c r="AP6" s="50">
        <v>0</v>
      </c>
      <c r="AQ6" s="188"/>
      <c r="AR6" s="189">
        <v>1</v>
      </c>
      <c r="AS6" s="189"/>
      <c r="AT6" s="189"/>
      <c r="AU6" s="189"/>
      <c r="AV6" s="189"/>
      <c r="AW6" s="234"/>
      <c r="AX6" s="234"/>
      <c r="AY6" s="234"/>
      <c r="AZ6" s="234"/>
      <c r="BA6" s="189"/>
      <c r="BB6" s="189">
        <v>1</v>
      </c>
      <c r="BC6" s="189"/>
      <c r="BD6" s="189"/>
      <c r="BE6" s="190"/>
      <c r="BF6" s="188">
        <v>125</v>
      </c>
      <c r="BG6" s="189">
        <f>6*134.6</f>
        <v>807.59999999999991</v>
      </c>
      <c r="BH6" s="189">
        <v>1</v>
      </c>
      <c r="BI6" s="189">
        <f>6*2.5</f>
        <v>15</v>
      </c>
      <c r="BJ6" s="189">
        <v>18</v>
      </c>
      <c r="BK6" s="189">
        <v>10</v>
      </c>
      <c r="BL6" s="191">
        <f>BF6/BJ6</f>
        <v>6.9444444444444446</v>
      </c>
      <c r="BM6" s="189">
        <v>131.6</v>
      </c>
      <c r="BN6" s="191">
        <v>2.5</v>
      </c>
      <c r="BO6" s="234">
        <v>37.6</v>
      </c>
      <c r="BP6" s="189">
        <v>7</v>
      </c>
      <c r="BQ6" s="189">
        <f>6*333</f>
        <v>1998</v>
      </c>
      <c r="BR6" s="189">
        <v>1</v>
      </c>
      <c r="BS6" s="189">
        <v>0</v>
      </c>
      <c r="BT6" s="198">
        <f>6*2.8</f>
        <v>16.799999999999997</v>
      </c>
      <c r="BU6" s="188">
        <v>165</v>
      </c>
      <c r="BV6" s="189">
        <f>12*145.3</f>
        <v>1743.6000000000001</v>
      </c>
      <c r="BW6" s="189">
        <v>3</v>
      </c>
      <c r="BX6" s="189">
        <f>12*1.5</f>
        <v>18</v>
      </c>
      <c r="BY6" s="189">
        <v>64</v>
      </c>
      <c r="BZ6" s="189">
        <v>22</v>
      </c>
      <c r="CA6" s="53">
        <f t="shared" si="20"/>
        <v>2.578125</v>
      </c>
      <c r="CB6" s="189">
        <v>153.9</v>
      </c>
      <c r="CC6" s="191">
        <v>4.5</v>
      </c>
      <c r="CD6" s="234">
        <v>42.8</v>
      </c>
      <c r="CE6" s="189">
        <v>90</v>
      </c>
      <c r="CF6" s="189">
        <f>12*291.9</f>
        <v>3502.7999999999997</v>
      </c>
      <c r="CG6" s="189">
        <v>12</v>
      </c>
      <c r="CH6" s="189">
        <v>1</v>
      </c>
      <c r="CI6" s="190">
        <f>12*2.2</f>
        <v>26.400000000000002</v>
      </c>
      <c r="CJ6" s="188"/>
      <c r="CK6" s="189">
        <v>1</v>
      </c>
      <c r="CL6" s="189"/>
      <c r="CM6" s="189"/>
      <c r="CN6" s="189"/>
      <c r="CO6" s="189"/>
      <c r="CP6" s="191"/>
      <c r="CQ6" s="189"/>
      <c r="CR6" s="191"/>
      <c r="CS6" s="234"/>
      <c r="CT6" s="189"/>
      <c r="CU6" s="189">
        <v>1</v>
      </c>
      <c r="CV6" s="189"/>
      <c r="CW6" s="189"/>
      <c r="CX6" s="190"/>
      <c r="CY6" s="188"/>
      <c r="CZ6" s="189">
        <v>1</v>
      </c>
      <c r="DA6" s="189"/>
      <c r="DB6" s="189"/>
      <c r="DC6" s="189"/>
      <c r="DD6" s="189"/>
      <c r="DE6" s="191"/>
      <c r="DF6" s="189"/>
      <c r="DG6" s="191"/>
      <c r="DH6" s="191"/>
      <c r="DI6" s="189"/>
      <c r="DJ6" s="189">
        <v>1</v>
      </c>
      <c r="DK6" s="189"/>
      <c r="DL6" s="189"/>
      <c r="DM6" s="190"/>
      <c r="DO6" s="5">
        <v>4</v>
      </c>
      <c r="DP6" s="42" t="s">
        <v>396</v>
      </c>
      <c r="DQ6" s="7">
        <v>0.9</v>
      </c>
      <c r="DR6" s="130">
        <v>45901</v>
      </c>
    </row>
    <row r="7" spans="1:123" x14ac:dyDescent="0.2">
      <c r="A7" s="33">
        <f t="shared" si="0"/>
        <v>5</v>
      </c>
      <c r="B7" s="34" t="s">
        <v>637</v>
      </c>
      <c r="C7" s="116">
        <f t="shared" si="1"/>
        <v>2.8499999999999996</v>
      </c>
      <c r="D7" s="117" t="s">
        <v>424</v>
      </c>
      <c r="E7" s="37">
        <v>1</v>
      </c>
      <c r="F7" s="118">
        <v>38504</v>
      </c>
      <c r="G7" s="119">
        <f t="shared" ca="1" si="2"/>
        <v>20.361643835616437</v>
      </c>
      <c r="H7" s="39" t="s">
        <v>385</v>
      </c>
      <c r="I7" s="39">
        <f t="shared" si="3"/>
        <v>21.917808219178081</v>
      </c>
      <c r="J7" s="205">
        <v>73</v>
      </c>
      <c r="K7" s="205">
        <v>233</v>
      </c>
      <c r="L7" s="205">
        <v>4.5</v>
      </c>
      <c r="M7" s="213">
        <v>0</v>
      </c>
      <c r="N7" s="121">
        <f t="shared" si="4"/>
        <v>0</v>
      </c>
      <c r="O7" s="122">
        <f t="shared" si="5"/>
        <v>0</v>
      </c>
      <c r="P7" s="122">
        <f t="shared" si="6"/>
        <v>0.13976143141153083</v>
      </c>
      <c r="Q7" s="122">
        <f t="shared" si="7"/>
        <v>0</v>
      </c>
      <c r="R7" s="122">
        <f t="shared" si="8"/>
        <v>0</v>
      </c>
      <c r="S7" s="42">
        <f>AVERAGE(MAX(N7:P7),P7)</f>
        <v>0.13976143141153083</v>
      </c>
      <c r="T7" s="42">
        <f>IF(E7=1,S7*$DQ$3,IF(E7=2,S7*$DQ$4,IF(E7=3,S7*$DQ$5,IF(E7=4,S7*$DQ$6,IF(E7=5,S7*$DQ$7,IF(E7=6,S7*DQ43,IF(E7=7,S7*$DQ$9,IF(E7=8,S7*$DQ$10,IF(E7=9,S7*$DQ$11,IF(E7=10,S7*$DQ$12,IF(E7=11,S7*$DQ$13)))))))))))</f>
        <v>0.13976143141153083</v>
      </c>
      <c r="U7" s="42">
        <f t="shared" si="22"/>
        <v>1.1247443762781187E-2</v>
      </c>
      <c r="V7" s="42">
        <f t="shared" si="24"/>
        <v>0</v>
      </c>
      <c r="W7" s="210">
        <f t="shared" si="23"/>
        <v>1.1247443762781187E-2</v>
      </c>
      <c r="X7" s="43">
        <f>IF(E7=1,W7*DQ$3,IF(E7=2,W7*DQ$4,IF(E7=3,W7*DQ$5,IF(E7=4,W7*DQ$6,IF(E7=5,W7*DQ$7,IF(E7=6,W7*DQ$8,IF(E7=7,W7*DQ$9,IF(E7=8,W7*DQ$10,IF(E7=9,W7*DQ$11,IF(E7=10,W7*DQ$12,IF(E7=11,W7*DQ$13,IF(E7=12,W7*DQ$14))))))))))))</f>
        <v>1.1247443762781187E-2</v>
      </c>
      <c r="Y7" s="44" t="str">
        <f t="shared" si="9"/>
        <v>N/A</v>
      </c>
      <c r="Z7" s="170">
        <f t="shared" si="10"/>
        <v>113.64121322969059</v>
      </c>
      <c r="AA7" s="45">
        <f t="shared" si="11"/>
        <v>30.737286545318071</v>
      </c>
      <c r="AB7" s="45">
        <f t="shared" si="25"/>
        <v>0.24060150375939848</v>
      </c>
      <c r="AC7" s="45">
        <f t="shared" si="26"/>
        <v>5.0375939849624061</v>
      </c>
      <c r="AD7" s="45">
        <f t="shared" si="26"/>
        <v>75</v>
      </c>
      <c r="AE7" s="45">
        <f t="shared" si="26"/>
        <v>3.21</v>
      </c>
      <c r="AF7" s="45">
        <f t="shared" si="26"/>
        <v>34.299999999999997</v>
      </c>
      <c r="AG7" s="128">
        <f t="shared" si="12"/>
        <v>1</v>
      </c>
      <c r="AH7" s="49">
        <f t="shared" si="13"/>
        <v>1</v>
      </c>
      <c r="AI7" s="49">
        <f t="shared" si="21"/>
        <v>0</v>
      </c>
      <c r="AJ7" s="49">
        <f t="shared" si="14"/>
        <v>10</v>
      </c>
      <c r="AK7" s="49">
        <f t="shared" si="15"/>
        <v>6</v>
      </c>
      <c r="AL7" s="49">
        <f t="shared" si="16"/>
        <v>1</v>
      </c>
      <c r="AM7" s="49">
        <f t="shared" si="17"/>
        <v>2</v>
      </c>
      <c r="AN7" s="49">
        <f t="shared" si="18"/>
        <v>0</v>
      </c>
      <c r="AO7" s="49">
        <f t="shared" si="19"/>
        <v>0</v>
      </c>
      <c r="AP7" s="214">
        <v>0</v>
      </c>
      <c r="AQ7" s="188"/>
      <c r="AR7" s="189">
        <v>1</v>
      </c>
      <c r="AS7" s="189"/>
      <c r="AT7" s="189"/>
      <c r="AU7" s="189"/>
      <c r="AV7" s="189"/>
      <c r="AW7" s="189"/>
      <c r="AX7" s="189"/>
      <c r="AY7" s="189"/>
      <c r="AZ7" s="189"/>
      <c r="BA7" s="189"/>
      <c r="BB7" s="189">
        <v>1</v>
      </c>
      <c r="BC7" s="189"/>
      <c r="BD7" s="189"/>
      <c r="BE7" s="190"/>
      <c r="BF7" s="188"/>
      <c r="BG7" s="189">
        <v>1</v>
      </c>
      <c r="BH7" s="189"/>
      <c r="BI7" s="189"/>
      <c r="BJ7" s="189"/>
      <c r="BK7" s="189"/>
      <c r="BL7" s="189"/>
      <c r="BM7" s="189"/>
      <c r="BN7" s="189"/>
      <c r="BO7" s="189"/>
      <c r="BP7" s="189"/>
      <c r="BQ7" s="189">
        <v>1</v>
      </c>
      <c r="BR7" s="189"/>
      <c r="BS7" s="189"/>
      <c r="BT7" s="198"/>
      <c r="BU7" s="188">
        <v>670</v>
      </c>
      <c r="BV7" s="189">
        <v>2096</v>
      </c>
      <c r="BW7" s="189">
        <v>7</v>
      </c>
      <c r="BX7" s="189">
        <v>25</v>
      </c>
      <c r="BY7" s="189">
        <v>133</v>
      </c>
      <c r="BZ7" s="189">
        <v>32</v>
      </c>
      <c r="CA7" s="53">
        <f t="shared" si="20"/>
        <v>5.0375939849624061</v>
      </c>
      <c r="CB7" s="189">
        <v>75</v>
      </c>
      <c r="CC7" s="191">
        <v>3.21</v>
      </c>
      <c r="CD7" s="189">
        <v>34.299999999999997</v>
      </c>
      <c r="CE7" s="189">
        <v>33</v>
      </c>
      <c r="CF7" s="189">
        <v>2934</v>
      </c>
      <c r="CG7" s="189">
        <v>4</v>
      </c>
      <c r="CH7" s="189">
        <v>1</v>
      </c>
      <c r="CI7" s="190">
        <v>18</v>
      </c>
      <c r="CJ7" s="188"/>
      <c r="CK7" s="189">
        <v>1</v>
      </c>
      <c r="CL7" s="189"/>
      <c r="CM7" s="189"/>
      <c r="CN7" s="189"/>
      <c r="CO7" s="189"/>
      <c r="CP7" s="191"/>
      <c r="CQ7" s="189"/>
      <c r="CR7" s="191"/>
      <c r="CS7" s="189"/>
      <c r="CT7" s="189"/>
      <c r="CU7" s="189">
        <v>1</v>
      </c>
      <c r="CV7" s="189"/>
      <c r="CW7" s="189"/>
      <c r="CX7" s="190"/>
      <c r="CY7" s="188"/>
      <c r="CZ7" s="189">
        <v>1</v>
      </c>
      <c r="DA7" s="189"/>
      <c r="DB7" s="189"/>
      <c r="DC7" s="189"/>
      <c r="DD7" s="189"/>
      <c r="DE7" s="191"/>
      <c r="DF7" s="189"/>
      <c r="DG7" s="191"/>
      <c r="DH7" s="189"/>
      <c r="DI7" s="189"/>
      <c r="DJ7" s="189">
        <v>1</v>
      </c>
      <c r="DK7" s="189"/>
      <c r="DL7" s="189"/>
      <c r="DM7" s="190"/>
      <c r="DO7" s="5">
        <v>5</v>
      </c>
      <c r="DP7" s="42" t="s">
        <v>399</v>
      </c>
      <c r="DQ7" s="7">
        <v>0.85</v>
      </c>
      <c r="DR7" s="130">
        <v>45902</v>
      </c>
    </row>
    <row r="8" spans="1:123" x14ac:dyDescent="0.2">
      <c r="A8" s="33">
        <f t="shared" si="0"/>
        <v>6</v>
      </c>
      <c r="B8" s="34" t="s">
        <v>633</v>
      </c>
      <c r="C8" s="116">
        <f t="shared" si="1"/>
        <v>1.9055555555555554</v>
      </c>
      <c r="D8" s="117" t="s">
        <v>384</v>
      </c>
      <c r="E8" s="37">
        <v>1</v>
      </c>
      <c r="F8" s="118">
        <v>38621</v>
      </c>
      <c r="G8" s="119">
        <f t="shared" ca="1" si="2"/>
        <v>20.041095890410958</v>
      </c>
      <c r="H8" s="39" t="s">
        <v>385</v>
      </c>
      <c r="I8" s="39">
        <f t="shared" si="3"/>
        <v>21.597260273972601</v>
      </c>
      <c r="J8" s="205">
        <v>70</v>
      </c>
      <c r="K8" s="205">
        <v>210</v>
      </c>
      <c r="L8" s="205">
        <v>4.45</v>
      </c>
      <c r="M8" s="213">
        <v>0</v>
      </c>
      <c r="N8" s="121">
        <f t="shared" si="4"/>
        <v>0</v>
      </c>
      <c r="O8" s="122">
        <f t="shared" si="5"/>
        <v>0</v>
      </c>
      <c r="P8" s="122">
        <f t="shared" si="6"/>
        <v>0.14287882812796479</v>
      </c>
      <c r="Q8" s="122">
        <f t="shared" si="7"/>
        <v>0</v>
      </c>
      <c r="R8" s="122">
        <f t="shared" si="8"/>
        <v>0</v>
      </c>
      <c r="S8" s="42">
        <f>AVERAGE(MAX(N8:P8),P8)</f>
        <v>0.14287882812796479</v>
      </c>
      <c r="T8" s="42">
        <f>IF(E8=1,S8*$DQ$3,IF(E8=2,S8*$DQ$4,IF(E8=3,S8*$DQ$5,IF(E8=4,S8*$DQ$6,IF(E8=5,S8*$DQ$7,IF(E8=6,S8*DQ21,IF(E8=7,S8*$DQ$9,IF(E8=8,S8*$DQ$10,IF(E8=9,S8*$DQ$11,IF(E8=10,S8*$DQ$12,IF(E8=11,S8*$DQ$13)))))))))))</f>
        <v>0.14287882812796479</v>
      </c>
      <c r="U8" s="42">
        <f t="shared" si="22"/>
        <v>2.3268546400218998E-2</v>
      </c>
      <c r="V8" s="42">
        <f t="shared" si="24"/>
        <v>0</v>
      </c>
      <c r="W8" s="210">
        <f t="shared" si="23"/>
        <v>2.3268546400218998E-2</v>
      </c>
      <c r="X8" s="43">
        <f>IF(E8=1,W8*DQ$3,IF(E8=2,W8*DQ$4,IF(E8=3,W8*DQ$5,IF(E8=4,W8*DQ$6,IF(E8=5,W8*DQ$7,IF(E8=6,W8*DQ$8,IF(E8=7,W8*DQ$9,IF(E8=8,W8*DQ$10,IF(E8=9,W8*DQ$11,IF(E8=10,W8*DQ$12,IF(E8=11,W8*DQ$13,IF(E8=12,W8*DQ$14))))))))))))</f>
        <v>2.3268546400218998E-2</v>
      </c>
      <c r="Y8" s="44" t="str">
        <f t="shared" si="9"/>
        <v>N/A</v>
      </c>
      <c r="Z8" s="170">
        <f t="shared" si="10"/>
        <v>107.10487692015971</v>
      </c>
      <c r="AA8" s="45">
        <f t="shared" si="11"/>
        <v>30.12857142857143</v>
      </c>
      <c r="AB8" s="45">
        <f t="shared" si="25"/>
        <v>0.15789473684210525</v>
      </c>
      <c r="AC8" s="45">
        <f t="shared" si="26"/>
        <v>5.022556390977444</v>
      </c>
      <c r="AD8" s="45">
        <f t="shared" si="26"/>
        <v>46.5</v>
      </c>
      <c r="AE8" s="45">
        <f t="shared" si="26"/>
        <v>2.81</v>
      </c>
      <c r="AF8" s="45">
        <f t="shared" si="26"/>
        <v>24.9</v>
      </c>
      <c r="AG8" s="128">
        <f t="shared" si="12"/>
        <v>1</v>
      </c>
      <c r="AH8" s="49">
        <f t="shared" si="13"/>
        <v>2</v>
      </c>
      <c r="AI8" s="49">
        <f t="shared" si="21"/>
        <v>0</v>
      </c>
      <c r="AJ8" s="49">
        <f t="shared" si="14"/>
        <v>8</v>
      </c>
      <c r="AK8" s="49">
        <f t="shared" si="15"/>
        <v>1</v>
      </c>
      <c r="AL8" s="49">
        <f t="shared" si="16"/>
        <v>1</v>
      </c>
      <c r="AM8" s="49">
        <f t="shared" si="17"/>
        <v>0</v>
      </c>
      <c r="AN8" s="49">
        <f t="shared" si="18"/>
        <v>0</v>
      </c>
      <c r="AO8" s="49">
        <f t="shared" si="19"/>
        <v>0</v>
      </c>
      <c r="AP8" s="214">
        <v>0</v>
      </c>
      <c r="AQ8" s="188"/>
      <c r="AR8" s="189">
        <v>1</v>
      </c>
      <c r="AS8" s="189"/>
      <c r="AT8" s="189"/>
      <c r="AU8" s="189"/>
      <c r="AV8" s="189"/>
      <c r="AW8" s="189"/>
      <c r="AX8" s="189"/>
      <c r="AY8" s="189"/>
      <c r="AZ8" s="189"/>
      <c r="BA8" s="189"/>
      <c r="BB8" s="189">
        <v>1</v>
      </c>
      <c r="BC8" s="189"/>
      <c r="BD8" s="189"/>
      <c r="BE8" s="190"/>
      <c r="BF8" s="188"/>
      <c r="BG8" s="189">
        <v>1</v>
      </c>
      <c r="BH8" s="189"/>
      <c r="BI8" s="189"/>
      <c r="BJ8" s="189"/>
      <c r="BK8" s="189"/>
      <c r="BL8" s="189"/>
      <c r="BM8" s="189"/>
      <c r="BN8" s="189"/>
      <c r="BO8" s="189"/>
      <c r="BP8" s="189"/>
      <c r="BQ8" s="189">
        <v>1</v>
      </c>
      <c r="BR8" s="189"/>
      <c r="BS8" s="189"/>
      <c r="BT8" s="198"/>
      <c r="BU8" s="188">
        <v>668</v>
      </c>
      <c r="BV8" s="189">
        <f>13*124.4</f>
        <v>1617.2</v>
      </c>
      <c r="BW8" s="189">
        <v>8</v>
      </c>
      <c r="BX8" s="189">
        <f>13*1.7</f>
        <v>22.099999999999998</v>
      </c>
      <c r="BY8" s="189">
        <v>133</v>
      </c>
      <c r="BZ8" s="189">
        <v>21</v>
      </c>
      <c r="CA8" s="53">
        <f t="shared" si="20"/>
        <v>5.022556390977444</v>
      </c>
      <c r="CB8" s="189">
        <v>46.5</v>
      </c>
      <c r="CC8" s="191">
        <v>2.81</v>
      </c>
      <c r="CD8" s="189">
        <v>24.9</v>
      </c>
      <c r="CE8" s="189">
        <v>85</v>
      </c>
      <c r="CF8" s="189">
        <f>13*281</f>
        <v>3653</v>
      </c>
      <c r="CG8" s="189">
        <v>12</v>
      </c>
      <c r="CH8" s="189">
        <v>0</v>
      </c>
      <c r="CI8" s="190">
        <f>13*2.1</f>
        <v>27.3</v>
      </c>
      <c r="CJ8" s="188"/>
      <c r="CK8" s="189">
        <v>1</v>
      </c>
      <c r="CL8" s="189"/>
      <c r="CM8" s="189"/>
      <c r="CN8" s="189"/>
      <c r="CO8" s="189"/>
      <c r="CP8" s="191"/>
      <c r="CQ8" s="189"/>
      <c r="CR8" s="191"/>
      <c r="CS8" s="189"/>
      <c r="CT8" s="189"/>
      <c r="CU8" s="189">
        <v>1</v>
      </c>
      <c r="CV8" s="189"/>
      <c r="CW8" s="189"/>
      <c r="CX8" s="190"/>
      <c r="CY8" s="188"/>
      <c r="CZ8" s="189">
        <v>1</v>
      </c>
      <c r="DA8" s="189"/>
      <c r="DB8" s="189"/>
      <c r="DC8" s="189"/>
      <c r="DD8" s="189"/>
      <c r="DE8" s="241"/>
      <c r="DF8" s="189"/>
      <c r="DG8" s="191"/>
      <c r="DH8" s="189"/>
      <c r="DI8" s="189"/>
      <c r="DJ8" s="189">
        <v>1</v>
      </c>
      <c r="DK8" s="189"/>
      <c r="DL8" s="189"/>
      <c r="DM8" s="190"/>
      <c r="DO8" s="5">
        <v>6</v>
      </c>
      <c r="DP8" s="42" t="s">
        <v>402</v>
      </c>
      <c r="DQ8" s="7">
        <v>0.75</v>
      </c>
    </row>
    <row r="9" spans="1:123" x14ac:dyDescent="0.2">
      <c r="A9" s="33">
        <f t="shared" si="0"/>
        <v>7</v>
      </c>
      <c r="B9" s="34" t="s">
        <v>638</v>
      </c>
      <c r="C9" s="116">
        <f t="shared" si="1"/>
        <v>1.4888888888888889</v>
      </c>
      <c r="D9" s="117" t="s">
        <v>493</v>
      </c>
      <c r="E9" s="37">
        <v>1</v>
      </c>
      <c r="F9" s="226">
        <v>38831</v>
      </c>
      <c r="G9" s="119">
        <f t="shared" ca="1" si="2"/>
        <v>19.465753424657535</v>
      </c>
      <c r="H9" s="39" t="s">
        <v>385</v>
      </c>
      <c r="I9" s="39">
        <f t="shared" si="3"/>
        <v>21.021917808219179</v>
      </c>
      <c r="J9" s="205">
        <v>70</v>
      </c>
      <c r="K9" s="205">
        <v>209</v>
      </c>
      <c r="L9" s="205">
        <v>4.45</v>
      </c>
      <c r="M9" s="213">
        <v>0</v>
      </c>
      <c r="N9" s="121">
        <f t="shared" si="4"/>
        <v>0</v>
      </c>
      <c r="O9" s="122">
        <f t="shared" si="5"/>
        <v>0</v>
      </c>
      <c r="P9" s="122">
        <f t="shared" si="6"/>
        <v>8.5965394122493821E-2</v>
      </c>
      <c r="Q9" s="122">
        <f t="shared" si="7"/>
        <v>0</v>
      </c>
      <c r="R9" s="122">
        <f t="shared" si="8"/>
        <v>0</v>
      </c>
      <c r="S9" s="42">
        <f>AVERAGE(MAX(N9:P9),P9)</f>
        <v>8.5965394122493821E-2</v>
      </c>
      <c r="T9" s="42">
        <f>IF(E9=1,S9*$DQ$3,IF(E9=2,S9*$DQ$4,IF(E9=3,S9*$DQ$5,IF(E9=4,S9*$DQ$6,IF(E9=5,S9*$DQ$7,IF(E9=6,S9*#REF!,IF(E9=7,S9*$DQ$9,IF(E9=8,S9*$DQ$10,IF(E9=9,S9*$DQ$11,IF(E9=10,S9*$DQ$12,IF(E9=11,S9*$DQ$13)))))))))))</f>
        <v>8.5965394122493821E-2</v>
      </c>
      <c r="U9" s="42">
        <f t="shared" si="22"/>
        <v>2.1201778880959768E-2</v>
      </c>
      <c r="V9" s="42">
        <f t="shared" si="24"/>
        <v>0</v>
      </c>
      <c r="W9" s="210">
        <f t="shared" si="23"/>
        <v>2.1201778880959768E-2</v>
      </c>
      <c r="X9" s="43">
        <f>IF(E9=1,W9*DQ$3,IF(E9=2,W9*DQ$4,IF(E9=3,W9*DQ$5,IF(E9=4,W9*DQ$6,IF(E9=5,W9*DQ$7,IF(E9=6,W9*DQ$8,IF(E9=7,W9*DQ$9,IF(E9=8,W9*DQ$10,IF(E9=9,W9*DQ$11,IF(E9=10,W9*DQ$12,IF(E9=11,W9*DQ$13,IF(E9=12,W9*DQ$14))))))))))))</f>
        <v>2.1201778880959768E-2</v>
      </c>
      <c r="Y9" s="44" t="str">
        <f t="shared" si="9"/>
        <v>N/A</v>
      </c>
      <c r="Z9" s="170">
        <f t="shared" si="10"/>
        <v>106.59485369673038</v>
      </c>
      <c r="AA9" s="45">
        <f t="shared" si="11"/>
        <v>29.985102040816326</v>
      </c>
      <c r="AB9" s="45">
        <f t="shared" si="25"/>
        <v>7.1428571428571425E-2</v>
      </c>
      <c r="AC9" s="45">
        <f t="shared" si="26"/>
        <v>4.8571428571428568</v>
      </c>
      <c r="AD9" s="45">
        <f t="shared" si="26"/>
        <v>24.7</v>
      </c>
      <c r="AE9" s="45">
        <f t="shared" si="26"/>
        <v>3.02</v>
      </c>
      <c r="AF9" s="45">
        <f t="shared" si="26"/>
        <v>26.1</v>
      </c>
      <c r="AG9" s="128">
        <f t="shared" si="12"/>
        <v>0</v>
      </c>
      <c r="AH9" s="49">
        <f t="shared" si="13"/>
        <v>2</v>
      </c>
      <c r="AI9" s="49">
        <f t="shared" si="21"/>
        <v>0</v>
      </c>
      <c r="AJ9" s="49">
        <f t="shared" si="14"/>
        <v>8</v>
      </c>
      <c r="AK9" s="49">
        <f t="shared" si="15"/>
        <v>0</v>
      </c>
      <c r="AL9" s="49">
        <f t="shared" si="16"/>
        <v>0</v>
      </c>
      <c r="AM9" s="49">
        <f t="shared" si="17"/>
        <v>0</v>
      </c>
      <c r="AN9" s="49">
        <f t="shared" si="18"/>
        <v>0</v>
      </c>
      <c r="AO9" s="49">
        <f t="shared" si="19"/>
        <v>0</v>
      </c>
      <c r="AP9" s="214">
        <v>0</v>
      </c>
      <c r="AQ9" s="188"/>
      <c r="AR9" s="189">
        <v>1</v>
      </c>
      <c r="AS9" s="189"/>
      <c r="AT9" s="189"/>
      <c r="AU9" s="189"/>
      <c r="AV9" s="189"/>
      <c r="AW9" s="189"/>
      <c r="AX9" s="189"/>
      <c r="AY9" s="189"/>
      <c r="AZ9" s="189"/>
      <c r="BA9" s="189"/>
      <c r="BB9" s="189">
        <v>1</v>
      </c>
      <c r="BC9" s="189"/>
      <c r="BD9" s="189"/>
      <c r="BE9" s="190"/>
      <c r="BF9" s="188"/>
      <c r="BG9" s="189">
        <v>1</v>
      </c>
      <c r="BH9" s="189"/>
      <c r="BI9" s="189"/>
      <c r="BJ9" s="189"/>
      <c r="BK9" s="189"/>
      <c r="BL9" s="189"/>
      <c r="BM9" s="189"/>
      <c r="BN9" s="189"/>
      <c r="BO9" s="189"/>
      <c r="BP9" s="189"/>
      <c r="BQ9" s="189">
        <v>1</v>
      </c>
      <c r="BR9" s="189"/>
      <c r="BS9" s="189"/>
      <c r="BT9" s="190"/>
      <c r="BU9" s="188">
        <v>272</v>
      </c>
      <c r="BV9" s="189">
        <f>11*155.2</f>
        <v>1707.1999999999998</v>
      </c>
      <c r="BW9" s="189">
        <v>3</v>
      </c>
      <c r="BX9" s="189">
        <f>11*1.3</f>
        <v>14.3</v>
      </c>
      <c r="BY9" s="189">
        <v>56</v>
      </c>
      <c r="BZ9" s="189">
        <v>4</v>
      </c>
      <c r="CA9" s="191">
        <f t="shared" si="20"/>
        <v>4.8571428571428568</v>
      </c>
      <c r="CB9" s="189">
        <v>24.7</v>
      </c>
      <c r="CC9" s="191">
        <v>3.02</v>
      </c>
      <c r="CD9" s="189">
        <v>26.1</v>
      </c>
      <c r="CE9" s="189">
        <v>41</v>
      </c>
      <c r="CF9" s="189">
        <f>11*175.8</f>
        <v>1933.8000000000002</v>
      </c>
      <c r="CG9" s="189">
        <v>5</v>
      </c>
      <c r="CH9" s="189">
        <v>1</v>
      </c>
      <c r="CI9" s="190">
        <f>11*1.2</f>
        <v>13.2</v>
      </c>
      <c r="CJ9" s="188"/>
      <c r="CK9" s="189">
        <v>1</v>
      </c>
      <c r="CL9" s="189"/>
      <c r="CM9" s="189"/>
      <c r="CN9" s="189"/>
      <c r="CO9" s="189"/>
      <c r="CP9" s="241"/>
      <c r="CQ9" s="189"/>
      <c r="CR9" s="191"/>
      <c r="CS9" s="191"/>
      <c r="CT9" s="189"/>
      <c r="CU9" s="189">
        <v>1</v>
      </c>
      <c r="CV9" s="189"/>
      <c r="CW9" s="189"/>
      <c r="CX9" s="190"/>
      <c r="CY9" s="188"/>
      <c r="CZ9" s="189">
        <v>1</v>
      </c>
      <c r="DA9" s="189"/>
      <c r="DB9" s="189"/>
      <c r="DC9" s="189"/>
      <c r="DD9" s="189"/>
      <c r="DE9" s="53"/>
      <c r="DF9" s="189"/>
      <c r="DG9" s="191"/>
      <c r="DH9" s="191"/>
      <c r="DI9" s="189"/>
      <c r="DJ9" s="189">
        <v>1</v>
      </c>
      <c r="DK9" s="189"/>
      <c r="DL9" s="189"/>
      <c r="DM9" s="190"/>
      <c r="DO9" s="5">
        <v>7</v>
      </c>
      <c r="DP9" s="42" t="s">
        <v>405</v>
      </c>
      <c r="DQ9" s="7">
        <v>0.75</v>
      </c>
    </row>
    <row r="10" spans="1:123" x14ac:dyDescent="0.2">
      <c r="A10" s="33">
        <f t="shared" si="0"/>
        <v>8</v>
      </c>
      <c r="B10" s="34" t="s">
        <v>636</v>
      </c>
      <c r="C10" s="116">
        <f t="shared" si="1"/>
        <v>0.94444444444444442</v>
      </c>
      <c r="D10" s="117" t="s">
        <v>436</v>
      </c>
      <c r="E10" s="37">
        <v>1</v>
      </c>
      <c r="F10" s="197">
        <v>38504</v>
      </c>
      <c r="G10" s="119">
        <f t="shared" ca="1" si="2"/>
        <v>20.361643835616437</v>
      </c>
      <c r="H10" s="39" t="s">
        <v>385</v>
      </c>
      <c r="I10" s="39">
        <f t="shared" si="3"/>
        <v>21.917808219178081</v>
      </c>
      <c r="J10" s="205">
        <v>70</v>
      </c>
      <c r="K10" s="205">
        <v>206</v>
      </c>
      <c r="L10" s="205">
        <v>4.5</v>
      </c>
      <c r="M10" s="213">
        <v>0</v>
      </c>
      <c r="N10" s="121">
        <f t="shared" si="4"/>
        <v>0</v>
      </c>
      <c r="O10" s="122">
        <f t="shared" si="5"/>
        <v>0</v>
      </c>
      <c r="P10" s="122">
        <f t="shared" si="6"/>
        <v>6.0786106032906767E-2</v>
      </c>
      <c r="Q10" s="122">
        <f t="shared" si="7"/>
        <v>0</v>
      </c>
      <c r="R10" s="122">
        <f t="shared" si="8"/>
        <v>0</v>
      </c>
      <c r="S10" s="42">
        <f>AVERAGE(MAX(N10:P10),P10)</f>
        <v>6.0786106032906767E-2</v>
      </c>
      <c r="T10" s="42">
        <f>IF(E10=1,S10*$DQ$3,IF(E10=2,S10*$DQ$4,IF(E10=3,S10*$DQ$5,IF(E10=4,S10*$DQ$6,IF(E10=5,S10*$DQ$7,IF(E10=6,S10*DQ46,IF(E10=7,S10*$DQ$9,IF(E10=8,S10*$DQ$10,IF(E10=9,S10*$DQ$11,IF(E10=10,S10*$DQ$12,IF(E10=11,S10*$DQ$13)))))))))))</f>
        <v>6.0786106032906767E-2</v>
      </c>
      <c r="U10" s="42">
        <f t="shared" si="22"/>
        <v>5.9780009564801527E-3</v>
      </c>
      <c r="V10" s="42">
        <f t="shared" si="24"/>
        <v>0</v>
      </c>
      <c r="W10" s="210">
        <f t="shared" si="23"/>
        <v>5.9780009564801527E-3</v>
      </c>
      <c r="X10" s="43">
        <f>IF(E10=1,W10*'2025'!DQ$3,IF(E10=2,W10*'2025'!DQ$4,IF(E10=3,W10*'2025'!DQ$5,IF(E10=4,W10*'2025'!DQ$6,IF(E10=5,W10*'2025'!DQ$7,IF(E10=6,W10*'2025'!DQ$8,IF(E10=7,W10*'2025'!DQ$9,IF(E10=8,W10*'2025'!DQ$10,IF(E10=9,W10*'2025'!DQ$11,IF(E10=10,W10*'2025'!DQ$12,IF(E10=11,W10*'2025'!DQ$13,IF(E10=12,W10*'2025'!DQ$14))))))))))))</f>
        <v>5.9780009564801527E-3</v>
      </c>
      <c r="Y10" s="44" t="str">
        <f t="shared" si="9"/>
        <v>N/A</v>
      </c>
      <c r="Z10" s="170">
        <f t="shared" si="10"/>
        <v>100.4724889498552</v>
      </c>
      <c r="AA10" s="45">
        <f t="shared" si="11"/>
        <v>29.554693877551017</v>
      </c>
      <c r="AB10" s="45">
        <f t="shared" si="25"/>
        <v>0.17948717948717949</v>
      </c>
      <c r="AC10" s="45">
        <f t="shared" si="26"/>
        <v>4.7948717948717947</v>
      </c>
      <c r="AD10" s="45">
        <f t="shared" si="26"/>
        <v>51.4</v>
      </c>
      <c r="AE10" s="45">
        <f t="shared" si="26"/>
        <v>2.97</v>
      </c>
      <c r="AF10" s="45">
        <f t="shared" si="26"/>
        <v>18.2</v>
      </c>
      <c r="AG10" s="128">
        <f t="shared" si="12"/>
        <v>0</v>
      </c>
      <c r="AH10" s="49">
        <f t="shared" si="13"/>
        <v>0</v>
      </c>
      <c r="AI10" s="49">
        <f t="shared" si="21"/>
        <v>0</v>
      </c>
      <c r="AJ10" s="49">
        <f t="shared" si="14"/>
        <v>5</v>
      </c>
      <c r="AK10" s="49">
        <f t="shared" si="15"/>
        <v>2</v>
      </c>
      <c r="AL10" s="49">
        <f t="shared" si="16"/>
        <v>0</v>
      </c>
      <c r="AM10" s="49">
        <f t="shared" si="17"/>
        <v>0</v>
      </c>
      <c r="AN10" s="49">
        <f t="shared" si="18"/>
        <v>0</v>
      </c>
      <c r="AO10" s="49">
        <f t="shared" si="19"/>
        <v>0</v>
      </c>
      <c r="AP10" s="214">
        <v>0</v>
      </c>
      <c r="AQ10" s="188"/>
      <c r="AR10" s="189">
        <v>1</v>
      </c>
      <c r="AS10" s="189"/>
      <c r="AT10" s="189"/>
      <c r="AU10" s="189"/>
      <c r="AV10" s="189"/>
      <c r="AW10" s="189"/>
      <c r="AX10" s="189"/>
      <c r="AY10" s="189"/>
      <c r="AZ10" s="189"/>
      <c r="BA10" s="189"/>
      <c r="BB10" s="189">
        <v>1</v>
      </c>
      <c r="BC10" s="189"/>
      <c r="BD10" s="189"/>
      <c r="BE10" s="190"/>
      <c r="BF10" s="188"/>
      <c r="BG10" s="189">
        <v>1</v>
      </c>
      <c r="BH10" s="189"/>
      <c r="BI10" s="189"/>
      <c r="BJ10" s="189"/>
      <c r="BK10" s="189"/>
      <c r="BL10" s="189"/>
      <c r="BM10" s="189"/>
      <c r="BN10" s="189"/>
      <c r="BO10" s="189"/>
      <c r="BP10" s="189"/>
      <c r="BQ10" s="189">
        <v>1</v>
      </c>
      <c r="BR10" s="189"/>
      <c r="BS10" s="189"/>
      <c r="BT10" s="190"/>
      <c r="BU10" s="188">
        <v>374</v>
      </c>
      <c r="BV10" s="189">
        <f>15*158.8</f>
        <v>2382</v>
      </c>
      <c r="BW10" s="189">
        <v>4</v>
      </c>
      <c r="BX10" s="189">
        <f>15*1.6</f>
        <v>24</v>
      </c>
      <c r="BY10" s="189">
        <v>78</v>
      </c>
      <c r="BZ10" s="189">
        <v>14</v>
      </c>
      <c r="CA10" s="191">
        <f t="shared" si="20"/>
        <v>4.7948717948717947</v>
      </c>
      <c r="CB10" s="189">
        <v>51.4</v>
      </c>
      <c r="CC10" s="191">
        <v>2.97</v>
      </c>
      <c r="CD10" s="189">
        <v>18.2</v>
      </c>
      <c r="CE10" s="189">
        <v>25</v>
      </c>
      <c r="CF10" s="189">
        <f>15*278.8</f>
        <v>4182</v>
      </c>
      <c r="CG10" s="189">
        <v>3</v>
      </c>
      <c r="CH10" s="189">
        <v>0</v>
      </c>
      <c r="CI10" s="190">
        <f>15*2.5</f>
        <v>37.5</v>
      </c>
      <c r="CJ10" s="188"/>
      <c r="CK10" s="189">
        <v>1</v>
      </c>
      <c r="CL10" s="189"/>
      <c r="CM10" s="189"/>
      <c r="CN10" s="189"/>
      <c r="CO10" s="189"/>
      <c r="CP10" s="53"/>
      <c r="CQ10" s="189"/>
      <c r="CR10" s="191"/>
      <c r="CS10" s="191"/>
      <c r="CT10" s="189"/>
      <c r="CU10" s="189">
        <v>1</v>
      </c>
      <c r="CV10" s="189"/>
      <c r="CW10" s="189"/>
      <c r="CX10" s="190"/>
      <c r="CY10" s="188"/>
      <c r="CZ10" s="189">
        <v>1</v>
      </c>
      <c r="DA10" s="189"/>
      <c r="DB10" s="189"/>
      <c r="DC10" s="189"/>
      <c r="DD10" s="189"/>
      <c r="DE10" s="53"/>
      <c r="DF10" s="189"/>
      <c r="DG10" s="191"/>
      <c r="DH10" s="191"/>
      <c r="DI10" s="189"/>
      <c r="DJ10" s="189">
        <v>1</v>
      </c>
      <c r="DK10" s="189"/>
      <c r="DL10" s="189"/>
      <c r="DM10" s="190"/>
      <c r="DO10" s="5">
        <v>8</v>
      </c>
      <c r="DP10" s="42" t="s">
        <v>408</v>
      </c>
      <c r="DQ10" s="7">
        <v>0.65</v>
      </c>
    </row>
    <row r="11" spans="1:123" x14ac:dyDescent="0.2">
      <c r="A11" s="33" t="e">
        <f t="shared" si="0"/>
        <v>#DIV/0!</v>
      </c>
      <c r="B11" s="34"/>
      <c r="C11" s="116" t="e">
        <f t="shared" si="1"/>
        <v>#DIV/0!</v>
      </c>
      <c r="D11" s="117"/>
      <c r="E11" s="37"/>
      <c r="F11" s="118"/>
      <c r="G11" s="119">
        <f t="shared" ca="1" si="2"/>
        <v>125.85205479452055</v>
      </c>
      <c r="H11" s="39"/>
      <c r="I11" s="39">
        <f t="shared" si="3"/>
        <v>127.40821917808219</v>
      </c>
      <c r="J11" s="205"/>
      <c r="K11" s="205"/>
      <c r="L11" s="205"/>
      <c r="M11" s="213"/>
      <c r="N11" s="121">
        <f t="shared" si="4"/>
        <v>0</v>
      </c>
      <c r="O11" s="122">
        <f t="shared" si="5"/>
        <v>0</v>
      </c>
      <c r="P11" s="122">
        <f t="shared" si="6"/>
        <v>0</v>
      </c>
      <c r="Q11" s="122">
        <f t="shared" si="7"/>
        <v>0</v>
      </c>
      <c r="R11" s="122">
        <f t="shared" si="8"/>
        <v>0</v>
      </c>
      <c r="S11" s="42">
        <f t="shared" ref="S11:S20" si="27">AVERAGE(MAX(N11:R11),Q11)</f>
        <v>0</v>
      </c>
      <c r="T11" s="42" t="b">
        <f>IF(E11=1,S11*$DQ$3,IF(E11=2,S11*$DQ$4,IF(E11=3,S11*$DQ$5,IF(E11=4,S11*$DQ$6,IF(E11=5,S11*$DQ$7,IF(E11=6,S11*#REF!,IF(E11=7,S11*$DQ$9,IF(E11=8,S11*$DQ$10,IF(E11=9,S11*$DQ$11,IF(E11=10,S11*$DQ$12,IF(E11=11,S11*$DQ$13)))))))))))</f>
        <v>0</v>
      </c>
      <c r="U11" s="42">
        <f t="shared" ref="U11:U20" si="28">CT11/CU11</f>
        <v>0</v>
      </c>
      <c r="V11" s="42">
        <f t="shared" si="24"/>
        <v>0</v>
      </c>
      <c r="W11" s="210">
        <f t="shared" si="23"/>
        <v>0</v>
      </c>
      <c r="X11" s="43" t="b">
        <f t="shared" ref="X11:X17" si="29">IF(E11=1,W11*DQ$3,IF(E11=2,W11*DQ$4,IF(E11=3,W11*DQ$5,IF(E11=4,W11*DQ$6,IF(E11=5,W11*DQ$7,IF(E11=6,W11*DQ$8,IF(E11=7,W11*DQ$9,IF(E11=8,W11*DQ$10,IF(E11=9,W11*DQ$11,IF(E11=10,W11*DQ$12,IF(E11=11,W11*DQ$13,IF(E11=12,W11*DQ$14))))))))))))</f>
        <v>0</v>
      </c>
      <c r="Y11" s="44" t="str">
        <f t="shared" si="9"/>
        <v>N/A</v>
      </c>
      <c r="Z11" s="170" t="e">
        <f t="shared" si="10"/>
        <v>#DIV/0!</v>
      </c>
      <c r="AA11" s="45" t="e">
        <f t="shared" si="11"/>
        <v>#DIV/0!</v>
      </c>
      <c r="AB11" s="45" t="e">
        <f t="shared" si="25"/>
        <v>#DIV/0!</v>
      </c>
      <c r="AC11" s="45">
        <f t="shared" ref="AC11:AC30" si="30">IF($P11&gt;=15%,MAX(CP11,DE11),MAX(CP11,DE11))</f>
        <v>0</v>
      </c>
      <c r="AD11" s="45">
        <f t="shared" ref="AD11:AD20" si="31">IF($P11&gt;=15%,MAX(CB11,CQ11,DF11),MAX(CQ11,DF11))</f>
        <v>0</v>
      </c>
      <c r="AE11" s="45">
        <f t="shared" ref="AE11:AE20" si="32">IF($P11&gt;=15%,MAX(CC11,CR11,DG11),MAX(CR11,DG11))</f>
        <v>0</v>
      </c>
      <c r="AF11" s="45">
        <f t="shared" ref="AF11:AF20" si="33">IF($P11&gt;=15%,MAX(CD11,CS11,DH11),MAX(CS11,DH11))</f>
        <v>0</v>
      </c>
      <c r="AG11" s="128">
        <f t="shared" si="12"/>
        <v>10</v>
      </c>
      <c r="AH11" s="49">
        <f t="shared" si="13"/>
        <v>10</v>
      </c>
      <c r="AI11" s="49">
        <f t="shared" si="21"/>
        <v>0</v>
      </c>
      <c r="AJ11" s="49" t="e">
        <f t="shared" si="14"/>
        <v>#DIV/0!</v>
      </c>
      <c r="AK11" s="49" t="e">
        <f t="shared" si="15"/>
        <v>#DIV/0!</v>
      </c>
      <c r="AL11" s="49">
        <f t="shared" si="16"/>
        <v>0</v>
      </c>
      <c r="AM11" s="49">
        <f t="shared" si="17"/>
        <v>0</v>
      </c>
      <c r="AN11" s="49">
        <f t="shared" si="18"/>
        <v>0</v>
      </c>
      <c r="AO11" s="49">
        <f t="shared" si="19"/>
        <v>0</v>
      </c>
      <c r="AP11" s="214">
        <v>0</v>
      </c>
      <c r="AQ11" s="188"/>
      <c r="AR11" s="189">
        <v>1</v>
      </c>
      <c r="AS11" s="189"/>
      <c r="AT11" s="189"/>
      <c r="AU11" s="189"/>
      <c r="AV11" s="189"/>
      <c r="AW11" s="189"/>
      <c r="AX11" s="189"/>
      <c r="AY11" s="189"/>
      <c r="AZ11" s="189"/>
      <c r="BA11" s="189"/>
      <c r="BB11" s="189">
        <v>1</v>
      </c>
      <c r="BC11" s="189"/>
      <c r="BD11" s="189"/>
      <c r="BE11" s="190"/>
      <c r="BF11" s="188"/>
      <c r="BG11" s="189">
        <v>1</v>
      </c>
      <c r="BH11" s="189"/>
      <c r="BI11" s="189"/>
      <c r="BJ11" s="189"/>
      <c r="BK11" s="189"/>
      <c r="BL11" s="189"/>
      <c r="BM11" s="189"/>
      <c r="BN11" s="189"/>
      <c r="BO11" s="189"/>
      <c r="BP11" s="189"/>
      <c r="BQ11" s="189">
        <v>1</v>
      </c>
      <c r="BR11" s="189"/>
      <c r="BS11" s="189"/>
      <c r="BT11" s="198"/>
      <c r="BU11" s="188"/>
      <c r="BV11" s="189">
        <v>1</v>
      </c>
      <c r="BW11" s="189"/>
      <c r="BX11" s="189"/>
      <c r="BY11" s="189"/>
      <c r="BZ11" s="189"/>
      <c r="CA11" s="53"/>
      <c r="CB11" s="189"/>
      <c r="CC11" s="191"/>
      <c r="CD11" s="189"/>
      <c r="CE11" s="189"/>
      <c r="CF11" s="189">
        <v>1</v>
      </c>
      <c r="CG11" s="189"/>
      <c r="CH11" s="189"/>
      <c r="CI11" s="190"/>
      <c r="CJ11" s="188"/>
      <c r="CK11" s="189">
        <v>1</v>
      </c>
      <c r="CL11" s="189"/>
      <c r="CM11" s="189"/>
      <c r="CN11" s="189"/>
      <c r="CO11" s="189"/>
      <c r="CP11" s="191"/>
      <c r="CQ11" s="189"/>
      <c r="CR11" s="191"/>
      <c r="CS11" s="191"/>
      <c r="CT11" s="189"/>
      <c r="CU11" s="189">
        <v>1</v>
      </c>
      <c r="CV11" s="189"/>
      <c r="CW11" s="189"/>
      <c r="CX11" s="190"/>
      <c r="CY11" s="188"/>
      <c r="CZ11" s="189">
        <v>1</v>
      </c>
      <c r="DA11" s="189"/>
      <c r="DB11" s="189"/>
      <c r="DC11" s="189"/>
      <c r="DD11" s="189"/>
      <c r="DE11" s="191"/>
      <c r="DF11" s="189"/>
      <c r="DG11" s="191"/>
      <c r="DH11" s="191"/>
      <c r="DI11" s="189"/>
      <c r="DJ11" s="189">
        <v>1</v>
      </c>
      <c r="DK11" s="189"/>
      <c r="DL11" s="189"/>
      <c r="DM11" s="190"/>
      <c r="DO11" s="5">
        <v>9</v>
      </c>
      <c r="DP11" s="42" t="s">
        <v>411</v>
      </c>
      <c r="DQ11" s="7">
        <v>0.65</v>
      </c>
    </row>
    <row r="12" spans="1:123" x14ac:dyDescent="0.2">
      <c r="A12" s="33" t="e">
        <f t="shared" ref="A12:A30" si="34">_xlfn.RANK.EQ(C12,C$3:C$9)</f>
        <v>#DIV/0!</v>
      </c>
      <c r="B12" s="34"/>
      <c r="C12" s="116" t="e">
        <f t="shared" si="1"/>
        <v>#DIV/0!</v>
      </c>
      <c r="D12" s="117"/>
      <c r="E12" s="37"/>
      <c r="F12" s="118"/>
      <c r="G12" s="119">
        <f t="shared" ca="1" si="2"/>
        <v>125.85205479452055</v>
      </c>
      <c r="H12" s="39"/>
      <c r="I12" s="39">
        <f t="shared" si="3"/>
        <v>127.40821917808219</v>
      </c>
      <c r="J12" s="205"/>
      <c r="K12" s="205"/>
      <c r="L12" s="205"/>
      <c r="M12" s="213"/>
      <c r="N12" s="121">
        <f t="shared" si="4"/>
        <v>0</v>
      </c>
      <c r="O12" s="122">
        <f t="shared" si="5"/>
        <v>0</v>
      </c>
      <c r="P12" s="122">
        <f t="shared" si="6"/>
        <v>0</v>
      </c>
      <c r="Q12" s="122">
        <f t="shared" si="7"/>
        <v>0</v>
      </c>
      <c r="R12" s="122">
        <f t="shared" si="8"/>
        <v>0</v>
      </c>
      <c r="S12" s="42">
        <f t="shared" si="27"/>
        <v>0</v>
      </c>
      <c r="T12" s="42" t="b">
        <f>IF(E12=1,S12*$DQ$3,IF(E12=2,S12*$DQ$4,IF(E12=3,S12*$DQ$5,IF(E12=4,S12*$DQ$6,IF(E12=5,S12*$DQ$7,IF(E12=6,S12*#REF!,IF(E12=7,S12*$DQ$9,IF(E12=8,S12*$DQ$10,IF(E12=9,S12*$DQ$11,IF(E12=10,S12*$DQ$12,IF(E12=11,S12*$DQ$13)))))))))))</f>
        <v>0</v>
      </c>
      <c r="U12" s="42">
        <f t="shared" si="28"/>
        <v>0</v>
      </c>
      <c r="V12" s="42">
        <f t="shared" si="24"/>
        <v>0</v>
      </c>
      <c r="W12" s="210">
        <f t="shared" si="23"/>
        <v>0</v>
      </c>
      <c r="X12" s="43" t="b">
        <f t="shared" si="29"/>
        <v>0</v>
      </c>
      <c r="Y12" s="44" t="str">
        <f t="shared" si="9"/>
        <v>N/A</v>
      </c>
      <c r="Z12" s="170" t="e">
        <f t="shared" si="10"/>
        <v>#DIV/0!</v>
      </c>
      <c r="AA12" s="45" t="e">
        <f t="shared" si="11"/>
        <v>#DIV/0!</v>
      </c>
      <c r="AB12" s="45" t="e">
        <f t="shared" si="25"/>
        <v>#DIV/0!</v>
      </c>
      <c r="AC12" s="45">
        <f t="shared" si="30"/>
        <v>0</v>
      </c>
      <c r="AD12" s="45">
        <f t="shared" si="31"/>
        <v>0</v>
      </c>
      <c r="AE12" s="45">
        <f t="shared" si="32"/>
        <v>0</v>
      </c>
      <c r="AF12" s="45">
        <f t="shared" si="33"/>
        <v>0</v>
      </c>
      <c r="AG12" s="128">
        <f t="shared" si="12"/>
        <v>10</v>
      </c>
      <c r="AH12" s="49">
        <f t="shared" si="13"/>
        <v>10</v>
      </c>
      <c r="AI12" s="49">
        <f t="shared" si="21"/>
        <v>0</v>
      </c>
      <c r="AJ12" s="49" t="e">
        <f t="shared" si="14"/>
        <v>#DIV/0!</v>
      </c>
      <c r="AK12" s="49" t="e">
        <f t="shared" si="15"/>
        <v>#DIV/0!</v>
      </c>
      <c r="AL12" s="49">
        <f t="shared" si="16"/>
        <v>0</v>
      </c>
      <c r="AM12" s="49">
        <f t="shared" si="17"/>
        <v>0</v>
      </c>
      <c r="AN12" s="49">
        <f t="shared" si="18"/>
        <v>0</v>
      </c>
      <c r="AO12" s="49">
        <f t="shared" si="19"/>
        <v>0</v>
      </c>
      <c r="AP12" s="214">
        <v>0</v>
      </c>
      <c r="AQ12" s="188"/>
      <c r="AR12" s="189">
        <v>1</v>
      </c>
      <c r="AS12" s="189"/>
      <c r="AT12" s="189"/>
      <c r="AU12" s="189"/>
      <c r="AV12" s="189"/>
      <c r="AW12" s="189"/>
      <c r="AX12" s="189"/>
      <c r="AY12" s="189"/>
      <c r="AZ12" s="189"/>
      <c r="BA12" s="189"/>
      <c r="BB12" s="189">
        <v>1</v>
      </c>
      <c r="BC12" s="189"/>
      <c r="BD12" s="189"/>
      <c r="BE12" s="190"/>
      <c r="BF12" s="188"/>
      <c r="BG12" s="189">
        <v>1</v>
      </c>
      <c r="BH12" s="189"/>
      <c r="BI12" s="189"/>
      <c r="BJ12" s="189"/>
      <c r="BK12" s="189"/>
      <c r="BL12" s="189"/>
      <c r="BM12" s="189"/>
      <c r="BN12" s="189"/>
      <c r="BO12" s="189"/>
      <c r="BP12" s="189"/>
      <c r="BQ12" s="189">
        <v>1</v>
      </c>
      <c r="BR12" s="189"/>
      <c r="BS12" s="189"/>
      <c r="BT12" s="198"/>
      <c r="BU12" s="188"/>
      <c r="BV12" s="189">
        <v>1</v>
      </c>
      <c r="BW12" s="189"/>
      <c r="BX12" s="189"/>
      <c r="BY12" s="189"/>
      <c r="BZ12" s="189"/>
      <c r="CA12" s="53"/>
      <c r="CB12" s="189"/>
      <c r="CC12" s="191"/>
      <c r="CD12" s="189"/>
      <c r="CE12" s="189"/>
      <c r="CF12" s="189">
        <v>1</v>
      </c>
      <c r="CG12" s="189"/>
      <c r="CH12" s="189"/>
      <c r="CI12" s="190"/>
      <c r="CJ12" s="188"/>
      <c r="CK12" s="189">
        <v>1</v>
      </c>
      <c r="CL12" s="189"/>
      <c r="CM12" s="189"/>
      <c r="CN12" s="189"/>
      <c r="CO12" s="189"/>
      <c r="CP12" s="191"/>
      <c r="CQ12" s="189"/>
      <c r="CR12" s="191"/>
      <c r="CS12" s="191"/>
      <c r="CT12" s="189"/>
      <c r="CU12" s="189">
        <v>1</v>
      </c>
      <c r="CV12" s="189"/>
      <c r="CW12" s="189"/>
      <c r="CX12" s="190"/>
      <c r="CY12" s="188"/>
      <c r="CZ12" s="189">
        <v>1</v>
      </c>
      <c r="DA12" s="189"/>
      <c r="DB12" s="189"/>
      <c r="DC12" s="189"/>
      <c r="DD12" s="189"/>
      <c r="DE12" s="191"/>
      <c r="DF12" s="189"/>
      <c r="DG12" s="191"/>
      <c r="DH12" s="191"/>
      <c r="DI12" s="189"/>
      <c r="DJ12" s="189">
        <v>1</v>
      </c>
      <c r="DK12" s="189"/>
      <c r="DL12" s="189"/>
      <c r="DM12" s="190"/>
      <c r="DO12" s="5">
        <v>10</v>
      </c>
      <c r="DP12" s="42" t="s">
        <v>414</v>
      </c>
      <c r="DQ12" s="7">
        <v>0.6</v>
      </c>
    </row>
    <row r="13" spans="1:123" x14ac:dyDescent="0.2">
      <c r="A13" s="33" t="e">
        <f t="shared" si="34"/>
        <v>#DIV/0!</v>
      </c>
      <c r="B13" s="34"/>
      <c r="C13" s="116" t="e">
        <f t="shared" si="1"/>
        <v>#DIV/0!</v>
      </c>
      <c r="D13" s="117"/>
      <c r="E13" s="37"/>
      <c r="F13" s="118"/>
      <c r="G13" s="119">
        <f t="shared" ca="1" si="2"/>
        <v>125.85205479452055</v>
      </c>
      <c r="H13" s="39"/>
      <c r="I13" s="39">
        <f t="shared" si="3"/>
        <v>127.40821917808219</v>
      </c>
      <c r="J13" s="205"/>
      <c r="K13" s="205"/>
      <c r="L13" s="205"/>
      <c r="M13" s="213"/>
      <c r="N13" s="121">
        <f t="shared" si="4"/>
        <v>0</v>
      </c>
      <c r="O13" s="122">
        <f t="shared" si="5"/>
        <v>0</v>
      </c>
      <c r="P13" s="122">
        <f t="shared" si="6"/>
        <v>0</v>
      </c>
      <c r="Q13" s="122">
        <f t="shared" si="7"/>
        <v>0</v>
      </c>
      <c r="R13" s="122">
        <f t="shared" si="8"/>
        <v>0</v>
      </c>
      <c r="S13" s="42">
        <f t="shared" si="27"/>
        <v>0</v>
      </c>
      <c r="T13" s="42" t="b">
        <f>IF(E13=1,S13*$DQ$3,IF(E13=2,S13*$DQ$4,IF(E13=3,S13*$DQ$5,IF(E13=4,S13*$DQ$6,IF(E13=5,S13*$DQ$7,IF(E13=6,S13*#REF!,IF(E13=7,S13*$DQ$9,IF(E13=8,S13*$DQ$10,IF(E13=9,S13*$DQ$11,IF(E13=10,S13*$DQ$12,IF(E13=11,S13*$DQ$13)))))))))))</f>
        <v>0</v>
      </c>
      <c r="U13" s="42">
        <f t="shared" si="28"/>
        <v>0</v>
      </c>
      <c r="V13" s="42">
        <f t="shared" si="24"/>
        <v>0</v>
      </c>
      <c r="W13" s="210">
        <f t="shared" si="23"/>
        <v>0</v>
      </c>
      <c r="X13" s="43" t="b">
        <f t="shared" si="29"/>
        <v>0</v>
      </c>
      <c r="Y13" s="44" t="str">
        <f t="shared" si="9"/>
        <v>N/A</v>
      </c>
      <c r="Z13" s="170" t="e">
        <f t="shared" si="10"/>
        <v>#DIV/0!</v>
      </c>
      <c r="AA13" s="45" t="e">
        <f t="shared" si="11"/>
        <v>#DIV/0!</v>
      </c>
      <c r="AB13" s="45" t="e">
        <f t="shared" si="25"/>
        <v>#DIV/0!</v>
      </c>
      <c r="AC13" s="45">
        <f t="shared" si="30"/>
        <v>0</v>
      </c>
      <c r="AD13" s="45">
        <f t="shared" si="31"/>
        <v>0</v>
      </c>
      <c r="AE13" s="45">
        <f t="shared" si="32"/>
        <v>0</v>
      </c>
      <c r="AF13" s="45">
        <f t="shared" si="33"/>
        <v>0</v>
      </c>
      <c r="AG13" s="128">
        <f t="shared" si="12"/>
        <v>10</v>
      </c>
      <c r="AH13" s="49">
        <f t="shared" si="13"/>
        <v>10</v>
      </c>
      <c r="AI13" s="49">
        <f t="shared" si="21"/>
        <v>0</v>
      </c>
      <c r="AJ13" s="49" t="e">
        <f t="shared" si="14"/>
        <v>#DIV/0!</v>
      </c>
      <c r="AK13" s="49" t="e">
        <f t="shared" si="15"/>
        <v>#DIV/0!</v>
      </c>
      <c r="AL13" s="49">
        <f t="shared" si="16"/>
        <v>0</v>
      </c>
      <c r="AM13" s="49">
        <f t="shared" si="17"/>
        <v>0</v>
      </c>
      <c r="AN13" s="49">
        <f t="shared" si="18"/>
        <v>0</v>
      </c>
      <c r="AO13" s="49">
        <f t="shared" si="19"/>
        <v>0</v>
      </c>
      <c r="AP13" s="214">
        <v>0</v>
      </c>
      <c r="AQ13" s="188"/>
      <c r="AR13" s="189">
        <v>1</v>
      </c>
      <c r="AS13" s="189"/>
      <c r="AT13" s="189"/>
      <c r="AU13" s="189"/>
      <c r="AV13" s="189"/>
      <c r="AW13" s="189"/>
      <c r="AX13" s="189"/>
      <c r="AY13" s="189"/>
      <c r="AZ13" s="189"/>
      <c r="BA13" s="189"/>
      <c r="BB13" s="189">
        <v>1</v>
      </c>
      <c r="BC13" s="189"/>
      <c r="BD13" s="189"/>
      <c r="BE13" s="190"/>
      <c r="BF13" s="188"/>
      <c r="BG13" s="189">
        <v>1</v>
      </c>
      <c r="BH13" s="189"/>
      <c r="BI13" s="189"/>
      <c r="BJ13" s="189"/>
      <c r="BK13" s="189"/>
      <c r="BL13" s="189"/>
      <c r="BM13" s="189"/>
      <c r="BN13" s="189"/>
      <c r="BO13" s="189"/>
      <c r="BP13" s="189"/>
      <c r="BQ13" s="189">
        <v>1</v>
      </c>
      <c r="BR13" s="189"/>
      <c r="BS13" s="189"/>
      <c r="BT13" s="198"/>
      <c r="BU13" s="188"/>
      <c r="BV13" s="189">
        <v>1</v>
      </c>
      <c r="BW13" s="189"/>
      <c r="BX13" s="189"/>
      <c r="BY13" s="189"/>
      <c r="BZ13" s="189"/>
      <c r="CA13" s="53"/>
      <c r="CB13" s="189"/>
      <c r="CC13" s="191"/>
      <c r="CD13" s="189"/>
      <c r="CE13" s="189"/>
      <c r="CF13" s="189">
        <v>1</v>
      </c>
      <c r="CG13" s="189"/>
      <c r="CH13" s="189"/>
      <c r="CI13" s="190"/>
      <c r="CJ13" s="188"/>
      <c r="CK13" s="189">
        <v>1</v>
      </c>
      <c r="CL13" s="189"/>
      <c r="CM13" s="189"/>
      <c r="CN13" s="189"/>
      <c r="CO13" s="189"/>
      <c r="CP13" s="191"/>
      <c r="CQ13" s="189"/>
      <c r="CR13" s="191"/>
      <c r="CS13" s="191"/>
      <c r="CT13" s="189"/>
      <c r="CU13" s="189">
        <v>1</v>
      </c>
      <c r="CV13" s="189"/>
      <c r="CW13" s="189"/>
      <c r="CX13" s="190"/>
      <c r="CY13" s="188"/>
      <c r="CZ13" s="189">
        <v>1</v>
      </c>
      <c r="DA13" s="189"/>
      <c r="DB13" s="189"/>
      <c r="DC13" s="189"/>
      <c r="DD13" s="189"/>
      <c r="DE13" s="191"/>
      <c r="DF13" s="189"/>
      <c r="DG13" s="191"/>
      <c r="DH13" s="191"/>
      <c r="DI13" s="189"/>
      <c r="DJ13" s="189">
        <v>1</v>
      </c>
      <c r="DK13" s="189"/>
      <c r="DL13" s="189"/>
      <c r="DM13" s="190"/>
      <c r="DO13" s="11">
        <v>11</v>
      </c>
      <c r="DP13" s="42" t="s">
        <v>417</v>
      </c>
      <c r="DQ13" s="7">
        <v>0.55000000000000004</v>
      </c>
    </row>
    <row r="14" spans="1:123" x14ac:dyDescent="0.2">
      <c r="A14" s="33" t="e">
        <f t="shared" si="34"/>
        <v>#DIV/0!</v>
      </c>
      <c r="B14" s="34"/>
      <c r="C14" s="116" t="e">
        <f t="shared" si="1"/>
        <v>#DIV/0!</v>
      </c>
      <c r="D14" s="117"/>
      <c r="E14" s="37"/>
      <c r="F14" s="197"/>
      <c r="G14" s="119">
        <f t="shared" ca="1" si="2"/>
        <v>125.85205479452055</v>
      </c>
      <c r="H14" s="39"/>
      <c r="I14" s="39">
        <f t="shared" si="3"/>
        <v>127.40821917808219</v>
      </c>
      <c r="J14" s="205"/>
      <c r="K14" s="205"/>
      <c r="L14" s="205"/>
      <c r="M14" s="213"/>
      <c r="N14" s="121">
        <f t="shared" si="4"/>
        <v>0</v>
      </c>
      <c r="O14" s="122">
        <f t="shared" si="5"/>
        <v>0</v>
      </c>
      <c r="P14" s="122">
        <f t="shared" si="6"/>
        <v>0</v>
      </c>
      <c r="Q14" s="122">
        <f t="shared" si="7"/>
        <v>0</v>
      </c>
      <c r="R14" s="122">
        <f t="shared" si="8"/>
        <v>0</v>
      </c>
      <c r="S14" s="42">
        <f t="shared" si="27"/>
        <v>0</v>
      </c>
      <c r="T14" s="42" t="b">
        <f>IF(E14=1,S14*$DQ$3,IF(E14=2,S14*$DQ$4,IF(E14=3,S14*$DQ$5,IF(E14=4,S14*$DQ$6,IF(E14=5,S14*$DQ$7,IF(E14=6,S14*#REF!,IF(E14=7,S14*$DQ$9,IF(E14=8,S14*$DQ$10,IF(E14=9,S14*$DQ$11,IF(E14=10,S14*$DQ$12,IF(E14=11,S14*$DQ$13)))))))))))</f>
        <v>0</v>
      </c>
      <c r="U14" s="42">
        <f t="shared" si="28"/>
        <v>0</v>
      </c>
      <c r="V14" s="42">
        <f t="shared" si="24"/>
        <v>0</v>
      </c>
      <c r="W14" s="210">
        <f t="shared" si="23"/>
        <v>0</v>
      </c>
      <c r="X14" s="43" t="b">
        <f t="shared" si="29"/>
        <v>0</v>
      </c>
      <c r="Y14" s="44" t="str">
        <f t="shared" si="9"/>
        <v>N/A</v>
      </c>
      <c r="Z14" s="170" t="e">
        <f t="shared" si="10"/>
        <v>#DIV/0!</v>
      </c>
      <c r="AA14" s="45" t="e">
        <f t="shared" si="11"/>
        <v>#DIV/0!</v>
      </c>
      <c r="AB14" s="45" t="e">
        <f t="shared" si="25"/>
        <v>#DIV/0!</v>
      </c>
      <c r="AC14" s="45">
        <f t="shared" si="30"/>
        <v>0</v>
      </c>
      <c r="AD14" s="45">
        <f t="shared" si="31"/>
        <v>0</v>
      </c>
      <c r="AE14" s="45">
        <f t="shared" si="32"/>
        <v>0</v>
      </c>
      <c r="AF14" s="45">
        <f t="shared" si="33"/>
        <v>0</v>
      </c>
      <c r="AG14" s="128">
        <f t="shared" si="12"/>
        <v>10</v>
      </c>
      <c r="AH14" s="49">
        <f t="shared" si="13"/>
        <v>10</v>
      </c>
      <c r="AI14" s="49">
        <f t="shared" si="21"/>
        <v>0</v>
      </c>
      <c r="AJ14" s="49" t="e">
        <f t="shared" si="14"/>
        <v>#DIV/0!</v>
      </c>
      <c r="AK14" s="49" t="e">
        <f t="shared" si="15"/>
        <v>#DIV/0!</v>
      </c>
      <c r="AL14" s="49">
        <f t="shared" si="16"/>
        <v>0</v>
      </c>
      <c r="AM14" s="49">
        <f t="shared" si="17"/>
        <v>0</v>
      </c>
      <c r="AN14" s="49">
        <f t="shared" si="18"/>
        <v>0</v>
      </c>
      <c r="AO14" s="49">
        <f t="shared" si="19"/>
        <v>0</v>
      </c>
      <c r="AP14" s="214">
        <v>0</v>
      </c>
      <c r="AQ14" s="188"/>
      <c r="AR14" s="189">
        <v>1</v>
      </c>
      <c r="AS14" s="189"/>
      <c r="AT14" s="189"/>
      <c r="AU14" s="189"/>
      <c r="AV14" s="189"/>
      <c r="AW14" s="189"/>
      <c r="AX14" s="189"/>
      <c r="AY14" s="189"/>
      <c r="AZ14" s="189"/>
      <c r="BA14" s="189"/>
      <c r="BB14" s="189">
        <v>1</v>
      </c>
      <c r="BC14" s="189"/>
      <c r="BD14" s="189"/>
      <c r="BE14" s="190"/>
      <c r="BF14" s="188"/>
      <c r="BG14" s="189">
        <v>1</v>
      </c>
      <c r="BH14" s="189"/>
      <c r="BI14" s="189"/>
      <c r="BJ14" s="189"/>
      <c r="BK14" s="189"/>
      <c r="BL14" s="189"/>
      <c r="BM14" s="189"/>
      <c r="BN14" s="189"/>
      <c r="BO14" s="189"/>
      <c r="BP14" s="189"/>
      <c r="BQ14" s="189">
        <v>1</v>
      </c>
      <c r="BR14" s="189"/>
      <c r="BS14" s="189"/>
      <c r="BT14" s="198"/>
      <c r="BU14" s="188"/>
      <c r="BV14" s="189">
        <v>1</v>
      </c>
      <c r="BW14" s="189"/>
      <c r="BX14" s="189"/>
      <c r="BY14" s="189"/>
      <c r="BZ14" s="189"/>
      <c r="CA14" s="53"/>
      <c r="CB14" s="189"/>
      <c r="CC14" s="191"/>
      <c r="CD14" s="189"/>
      <c r="CE14" s="189"/>
      <c r="CF14" s="189">
        <v>1</v>
      </c>
      <c r="CG14" s="189"/>
      <c r="CH14" s="189"/>
      <c r="CI14" s="190"/>
      <c r="CJ14" s="188"/>
      <c r="CK14" s="189">
        <v>1</v>
      </c>
      <c r="CL14" s="189"/>
      <c r="CM14" s="189"/>
      <c r="CN14" s="189"/>
      <c r="CO14" s="189"/>
      <c r="CP14" s="191"/>
      <c r="CQ14" s="189"/>
      <c r="CR14" s="191"/>
      <c r="CS14" s="191"/>
      <c r="CT14" s="189"/>
      <c r="CU14" s="189">
        <v>1</v>
      </c>
      <c r="CV14" s="189"/>
      <c r="CW14" s="189"/>
      <c r="CX14" s="190"/>
      <c r="CY14" s="188"/>
      <c r="CZ14" s="189">
        <v>1</v>
      </c>
      <c r="DA14" s="189"/>
      <c r="DB14" s="189"/>
      <c r="DC14" s="189"/>
      <c r="DD14" s="189"/>
      <c r="DE14" s="191"/>
      <c r="DF14" s="189"/>
      <c r="DG14" s="191"/>
      <c r="DH14" s="191"/>
      <c r="DI14" s="189"/>
      <c r="DJ14" s="189">
        <v>1</v>
      </c>
      <c r="DK14" s="189"/>
      <c r="DL14" s="189"/>
      <c r="DM14" s="190"/>
      <c r="DO14" s="11">
        <v>12</v>
      </c>
      <c r="DP14" s="42" t="s">
        <v>420</v>
      </c>
      <c r="DQ14" s="7">
        <v>0.5</v>
      </c>
    </row>
    <row r="15" spans="1:123" x14ac:dyDescent="0.2">
      <c r="A15" s="33" t="e">
        <f t="shared" si="34"/>
        <v>#DIV/0!</v>
      </c>
      <c r="B15" s="34"/>
      <c r="C15" s="116" t="e">
        <f t="shared" si="1"/>
        <v>#DIV/0!</v>
      </c>
      <c r="D15" s="117"/>
      <c r="E15" s="37"/>
      <c r="F15" s="118"/>
      <c r="G15" s="119">
        <f t="shared" ca="1" si="2"/>
        <v>125.85205479452055</v>
      </c>
      <c r="H15" s="39"/>
      <c r="I15" s="39">
        <f t="shared" si="3"/>
        <v>127.40821917808219</v>
      </c>
      <c r="J15" s="205"/>
      <c r="K15" s="205"/>
      <c r="L15" s="205"/>
      <c r="M15" s="213"/>
      <c r="N15" s="121">
        <f t="shared" si="4"/>
        <v>0</v>
      </c>
      <c r="O15" s="122">
        <f t="shared" si="5"/>
        <v>0</v>
      </c>
      <c r="P15" s="122">
        <f t="shared" si="6"/>
        <v>0</v>
      </c>
      <c r="Q15" s="122">
        <f t="shared" si="7"/>
        <v>0</v>
      </c>
      <c r="R15" s="122">
        <f t="shared" si="8"/>
        <v>0</v>
      </c>
      <c r="S15" s="42">
        <f t="shared" si="27"/>
        <v>0</v>
      </c>
      <c r="T15" s="42" t="b">
        <f>IF(E15=1,S15*$DQ$3,IF(E15=2,S15*$DQ$4,IF(E15=3,S15*$DQ$5,IF(E15=4,S15*$DQ$6,IF(E15=5,S15*$DQ$7,IF(E15=6,S15*#REF!,IF(E15=7,S15*$DQ$9,IF(E15=8,S15*$DQ$10,IF(E15=9,S15*$DQ$11,IF(E15=10,S15*$DQ$12,IF(E15=11,S15*$DQ$13)))))))))))</f>
        <v>0</v>
      </c>
      <c r="U15" s="42">
        <f t="shared" si="28"/>
        <v>0</v>
      </c>
      <c r="V15" s="42">
        <f t="shared" si="24"/>
        <v>0</v>
      </c>
      <c r="W15" s="210">
        <f t="shared" si="23"/>
        <v>0</v>
      </c>
      <c r="X15" s="43" t="b">
        <f t="shared" si="29"/>
        <v>0</v>
      </c>
      <c r="Y15" s="44" t="str">
        <f t="shared" si="9"/>
        <v>N/A</v>
      </c>
      <c r="Z15" s="170" t="e">
        <f t="shared" si="10"/>
        <v>#DIV/0!</v>
      </c>
      <c r="AA15" s="45" t="e">
        <f t="shared" si="11"/>
        <v>#DIV/0!</v>
      </c>
      <c r="AB15" s="45" t="e">
        <f t="shared" si="25"/>
        <v>#DIV/0!</v>
      </c>
      <c r="AC15" s="45">
        <f t="shared" si="30"/>
        <v>0</v>
      </c>
      <c r="AD15" s="45">
        <f t="shared" si="31"/>
        <v>0</v>
      </c>
      <c r="AE15" s="45">
        <f t="shared" si="32"/>
        <v>0</v>
      </c>
      <c r="AF15" s="45">
        <f t="shared" si="33"/>
        <v>0</v>
      </c>
      <c r="AG15" s="128">
        <f t="shared" si="12"/>
        <v>10</v>
      </c>
      <c r="AH15" s="49">
        <f t="shared" si="13"/>
        <v>10</v>
      </c>
      <c r="AI15" s="49">
        <f t="shared" si="21"/>
        <v>0</v>
      </c>
      <c r="AJ15" s="49" t="e">
        <f t="shared" si="14"/>
        <v>#DIV/0!</v>
      </c>
      <c r="AK15" s="49" t="e">
        <f t="shared" si="15"/>
        <v>#DIV/0!</v>
      </c>
      <c r="AL15" s="49">
        <f t="shared" si="16"/>
        <v>0</v>
      </c>
      <c r="AM15" s="49">
        <f t="shared" si="17"/>
        <v>0</v>
      </c>
      <c r="AN15" s="49">
        <f t="shared" si="18"/>
        <v>0</v>
      </c>
      <c r="AO15" s="49">
        <f t="shared" si="19"/>
        <v>0</v>
      </c>
      <c r="AP15" s="214">
        <v>0</v>
      </c>
      <c r="AQ15" s="188"/>
      <c r="AR15" s="189">
        <v>1</v>
      </c>
      <c r="AS15" s="189"/>
      <c r="AT15" s="189"/>
      <c r="AU15" s="189"/>
      <c r="AV15" s="189"/>
      <c r="AW15" s="189"/>
      <c r="AX15" s="189"/>
      <c r="AY15" s="189"/>
      <c r="AZ15" s="189"/>
      <c r="BA15" s="189"/>
      <c r="BB15" s="189">
        <v>1</v>
      </c>
      <c r="BC15" s="189"/>
      <c r="BD15" s="189"/>
      <c r="BE15" s="190"/>
      <c r="BF15" s="188"/>
      <c r="BG15" s="189">
        <v>1</v>
      </c>
      <c r="BH15" s="189"/>
      <c r="BI15" s="189"/>
      <c r="BJ15" s="189"/>
      <c r="BK15" s="189"/>
      <c r="BL15" s="189"/>
      <c r="BM15" s="189"/>
      <c r="BN15" s="189"/>
      <c r="BO15" s="189"/>
      <c r="BP15" s="189"/>
      <c r="BQ15" s="189">
        <v>1</v>
      </c>
      <c r="BR15" s="189"/>
      <c r="BS15" s="189"/>
      <c r="BT15" s="198"/>
      <c r="BU15" s="188"/>
      <c r="BV15" s="189">
        <v>1</v>
      </c>
      <c r="BW15" s="189"/>
      <c r="BX15" s="189"/>
      <c r="BY15" s="189"/>
      <c r="BZ15" s="189"/>
      <c r="CA15" s="53"/>
      <c r="CB15" s="189"/>
      <c r="CC15" s="191"/>
      <c r="CD15" s="189"/>
      <c r="CE15" s="189"/>
      <c r="CF15" s="189">
        <v>1</v>
      </c>
      <c r="CG15" s="189"/>
      <c r="CH15" s="189"/>
      <c r="CI15" s="221"/>
      <c r="CJ15" s="188"/>
      <c r="CK15" s="189">
        <v>1</v>
      </c>
      <c r="CL15" s="189"/>
      <c r="CM15" s="189"/>
      <c r="CN15" s="189"/>
      <c r="CO15" s="189"/>
      <c r="CP15" s="191"/>
      <c r="CQ15" s="189"/>
      <c r="CR15" s="191"/>
      <c r="CS15" s="191"/>
      <c r="CT15" s="189"/>
      <c r="CU15" s="189">
        <v>1</v>
      </c>
      <c r="CV15" s="189"/>
      <c r="CW15" s="189"/>
      <c r="CX15" s="221"/>
      <c r="CY15" s="188"/>
      <c r="CZ15" s="189">
        <v>1</v>
      </c>
      <c r="DA15" s="189"/>
      <c r="DB15" s="189"/>
      <c r="DC15" s="189"/>
      <c r="DD15" s="189"/>
      <c r="DE15" s="191"/>
      <c r="DF15" s="189"/>
      <c r="DG15" s="191"/>
      <c r="DH15" s="191"/>
      <c r="DI15" s="189"/>
      <c r="DJ15" s="189">
        <v>1</v>
      </c>
      <c r="DK15" s="189"/>
      <c r="DL15" s="189"/>
      <c r="DM15" s="190"/>
      <c r="DO15" s="5"/>
      <c r="DP15" s="42"/>
      <c r="DQ15" s="7"/>
    </row>
    <row r="16" spans="1:123" x14ac:dyDescent="0.2">
      <c r="A16" s="33" t="e">
        <f t="shared" si="34"/>
        <v>#DIV/0!</v>
      </c>
      <c r="B16" s="34"/>
      <c r="C16" s="116" t="e">
        <f t="shared" si="1"/>
        <v>#DIV/0!</v>
      </c>
      <c r="D16" s="117"/>
      <c r="E16" s="37"/>
      <c r="F16" s="197"/>
      <c r="G16" s="119">
        <f t="shared" ca="1" si="2"/>
        <v>125.85205479452055</v>
      </c>
      <c r="H16" s="39"/>
      <c r="I16" s="39">
        <f t="shared" si="3"/>
        <v>127.40821917808219</v>
      </c>
      <c r="J16" s="205"/>
      <c r="K16" s="205"/>
      <c r="L16" s="205"/>
      <c r="M16" s="213"/>
      <c r="N16" s="121">
        <f t="shared" si="4"/>
        <v>0</v>
      </c>
      <c r="O16" s="122">
        <f t="shared" si="5"/>
        <v>0</v>
      </c>
      <c r="P16" s="122">
        <f t="shared" si="6"/>
        <v>0</v>
      </c>
      <c r="Q16" s="122">
        <f t="shared" si="7"/>
        <v>0</v>
      </c>
      <c r="R16" s="122">
        <f t="shared" si="8"/>
        <v>0</v>
      </c>
      <c r="S16" s="42">
        <f t="shared" si="27"/>
        <v>0</v>
      </c>
      <c r="T16" s="42" t="b">
        <f>IF(E16=1,S16*$DQ$3,IF(E16=2,S16*$DQ$4,IF(E16=3,S16*$DQ$5,IF(E16=4,S16*$DQ$6,IF(E16=5,S16*$DQ$7,IF(E16=6,S16*#REF!,IF(E16=7,S16*$DQ$9,IF(E16=8,S16*$DQ$10,IF(E16=9,S16*$DQ$11,IF(E16=10,S16*$DQ$12,IF(E16=11,S16*$DQ$13)))))))))))</f>
        <v>0</v>
      </c>
      <c r="U16" s="42">
        <f t="shared" si="28"/>
        <v>0</v>
      </c>
      <c r="V16" s="42">
        <f t="shared" si="24"/>
        <v>0</v>
      </c>
      <c r="W16" s="210">
        <f t="shared" si="23"/>
        <v>0</v>
      </c>
      <c r="X16" s="43" t="b">
        <f t="shared" si="29"/>
        <v>0</v>
      </c>
      <c r="Y16" s="44" t="str">
        <f t="shared" si="9"/>
        <v>N/A</v>
      </c>
      <c r="Z16" s="170" t="e">
        <f t="shared" si="10"/>
        <v>#DIV/0!</v>
      </c>
      <c r="AA16" s="45" t="e">
        <f t="shared" si="11"/>
        <v>#DIV/0!</v>
      </c>
      <c r="AB16" s="45" t="e">
        <f t="shared" si="25"/>
        <v>#DIV/0!</v>
      </c>
      <c r="AC16" s="45">
        <f t="shared" si="30"/>
        <v>0</v>
      </c>
      <c r="AD16" s="45">
        <f t="shared" si="31"/>
        <v>0</v>
      </c>
      <c r="AE16" s="45">
        <f t="shared" si="32"/>
        <v>0</v>
      </c>
      <c r="AF16" s="45">
        <f t="shared" si="33"/>
        <v>0</v>
      </c>
      <c r="AG16" s="128">
        <f t="shared" si="12"/>
        <v>10</v>
      </c>
      <c r="AH16" s="49">
        <f t="shared" si="13"/>
        <v>10</v>
      </c>
      <c r="AI16" s="49">
        <f t="shared" si="21"/>
        <v>0</v>
      </c>
      <c r="AJ16" s="49" t="e">
        <f t="shared" si="14"/>
        <v>#DIV/0!</v>
      </c>
      <c r="AK16" s="49" t="e">
        <f t="shared" si="15"/>
        <v>#DIV/0!</v>
      </c>
      <c r="AL16" s="49">
        <f t="shared" si="16"/>
        <v>0</v>
      </c>
      <c r="AM16" s="49">
        <f t="shared" si="17"/>
        <v>0</v>
      </c>
      <c r="AN16" s="49">
        <f t="shared" si="18"/>
        <v>0</v>
      </c>
      <c r="AO16" s="49">
        <f t="shared" si="19"/>
        <v>0</v>
      </c>
      <c r="AP16" s="214">
        <v>0</v>
      </c>
      <c r="AQ16" s="188"/>
      <c r="AR16" s="189">
        <v>1</v>
      </c>
      <c r="AS16" s="189"/>
      <c r="AT16" s="189"/>
      <c r="AU16" s="189"/>
      <c r="AV16" s="189"/>
      <c r="AW16" s="189"/>
      <c r="AX16" s="189"/>
      <c r="AY16" s="189"/>
      <c r="AZ16" s="189"/>
      <c r="BA16" s="189"/>
      <c r="BB16" s="189">
        <v>1</v>
      </c>
      <c r="BC16" s="189"/>
      <c r="BD16" s="189"/>
      <c r="BE16" s="190"/>
      <c r="BF16" s="188"/>
      <c r="BG16" s="189">
        <v>1</v>
      </c>
      <c r="BH16" s="189"/>
      <c r="BI16" s="189"/>
      <c r="BJ16" s="189"/>
      <c r="BK16" s="189"/>
      <c r="BL16" s="189"/>
      <c r="BM16" s="189"/>
      <c r="BN16" s="189"/>
      <c r="BO16" s="189"/>
      <c r="BP16" s="189"/>
      <c r="BQ16" s="189">
        <v>1</v>
      </c>
      <c r="BR16" s="189"/>
      <c r="BS16" s="189"/>
      <c r="BT16" s="198"/>
      <c r="BU16" s="188"/>
      <c r="BV16" s="189">
        <v>1</v>
      </c>
      <c r="BW16" s="189"/>
      <c r="BX16" s="189"/>
      <c r="BY16" s="189"/>
      <c r="BZ16" s="189"/>
      <c r="CA16" s="53"/>
      <c r="CB16" s="189"/>
      <c r="CC16" s="191"/>
      <c r="CD16" s="189"/>
      <c r="CE16" s="189"/>
      <c r="CF16" s="189">
        <v>1</v>
      </c>
      <c r="CG16" s="189"/>
      <c r="CH16" s="189"/>
      <c r="CI16" s="190"/>
      <c r="CJ16" s="188"/>
      <c r="CK16" s="189">
        <v>1</v>
      </c>
      <c r="CL16" s="189"/>
      <c r="CM16" s="189"/>
      <c r="CN16" s="189"/>
      <c r="CO16" s="189"/>
      <c r="CP16" s="191"/>
      <c r="CQ16" s="189"/>
      <c r="CR16" s="191"/>
      <c r="CS16" s="189"/>
      <c r="CT16" s="189"/>
      <c r="CU16" s="189">
        <v>1</v>
      </c>
      <c r="CV16" s="189"/>
      <c r="CW16" s="189"/>
      <c r="CX16" s="190"/>
      <c r="CY16" s="188"/>
      <c r="CZ16" s="189">
        <v>1</v>
      </c>
      <c r="DA16" s="189"/>
      <c r="DB16" s="189"/>
      <c r="DC16" s="189"/>
      <c r="DD16" s="189"/>
      <c r="DE16" s="191"/>
      <c r="DF16" s="189"/>
      <c r="DG16" s="191"/>
      <c r="DH16" s="191"/>
      <c r="DI16" s="189"/>
      <c r="DJ16" s="189">
        <v>1</v>
      </c>
      <c r="DK16" s="189"/>
      <c r="DL16" s="189"/>
      <c r="DM16" s="190"/>
      <c r="DO16" s="5"/>
      <c r="DP16" s="42"/>
      <c r="DQ16" s="7"/>
    </row>
    <row r="17" spans="1:121" x14ac:dyDescent="0.2">
      <c r="A17" s="33" t="e">
        <f t="shared" si="34"/>
        <v>#DIV/0!</v>
      </c>
      <c r="B17" s="34"/>
      <c r="C17" s="116" t="e">
        <f t="shared" si="1"/>
        <v>#DIV/0!</v>
      </c>
      <c r="D17" s="117"/>
      <c r="E17" s="37"/>
      <c r="F17" s="118"/>
      <c r="G17" s="119">
        <f t="shared" ca="1" si="2"/>
        <v>125.85205479452055</v>
      </c>
      <c r="H17" s="39"/>
      <c r="I17" s="39">
        <f t="shared" si="3"/>
        <v>127.40821917808219</v>
      </c>
      <c r="J17" s="205"/>
      <c r="K17" s="205"/>
      <c r="L17" s="205"/>
      <c r="M17" s="213"/>
      <c r="N17" s="121">
        <f t="shared" si="4"/>
        <v>0</v>
      </c>
      <c r="O17" s="122">
        <f t="shared" si="5"/>
        <v>0</v>
      </c>
      <c r="P17" s="122">
        <f t="shared" si="6"/>
        <v>0</v>
      </c>
      <c r="Q17" s="122">
        <f t="shared" si="7"/>
        <v>0</v>
      </c>
      <c r="R17" s="122">
        <f t="shared" si="8"/>
        <v>0</v>
      </c>
      <c r="S17" s="42">
        <f t="shared" si="27"/>
        <v>0</v>
      </c>
      <c r="T17" s="42" t="b">
        <f>IF(E17=1,S17*$DQ$3,IF(E17=2,S17*$DQ$4,IF(E17=3,S17*$DQ$5,IF(E17=4,S17*$DQ$6,IF(E17=5,S17*$DQ$7,IF(E17=6,S17*DQ2,IF(E17=7,S17*$DQ$9,IF(E17=8,S17*$DQ$10,IF(E17=9,S17*$DQ$11,IF(E17=10,S17*$DQ$12,IF(E17=11,S17*$DQ$13)))))))))))</f>
        <v>0</v>
      </c>
      <c r="U17" s="42">
        <f t="shared" si="28"/>
        <v>0</v>
      </c>
      <c r="V17" s="42">
        <f t="shared" si="24"/>
        <v>0</v>
      </c>
      <c r="W17" s="210">
        <f t="shared" si="23"/>
        <v>0</v>
      </c>
      <c r="X17" s="43" t="b">
        <f t="shared" si="29"/>
        <v>0</v>
      </c>
      <c r="Y17" s="44" t="str">
        <f t="shared" si="9"/>
        <v>N/A</v>
      </c>
      <c r="Z17" s="170" t="e">
        <f t="shared" si="10"/>
        <v>#DIV/0!</v>
      </c>
      <c r="AA17" s="45" t="e">
        <f t="shared" si="11"/>
        <v>#DIV/0!</v>
      </c>
      <c r="AB17" s="45" t="e">
        <f t="shared" si="25"/>
        <v>#DIV/0!</v>
      </c>
      <c r="AC17" s="45">
        <f t="shared" si="30"/>
        <v>0</v>
      </c>
      <c r="AD17" s="45">
        <f t="shared" si="31"/>
        <v>0</v>
      </c>
      <c r="AE17" s="45">
        <f t="shared" si="32"/>
        <v>0</v>
      </c>
      <c r="AF17" s="45">
        <f t="shared" si="33"/>
        <v>0</v>
      </c>
      <c r="AG17" s="128">
        <f t="shared" si="12"/>
        <v>10</v>
      </c>
      <c r="AH17" s="49">
        <f t="shared" si="13"/>
        <v>10</v>
      </c>
      <c r="AI17" s="49">
        <f t="shared" si="21"/>
        <v>0</v>
      </c>
      <c r="AJ17" s="49" t="e">
        <f t="shared" si="14"/>
        <v>#DIV/0!</v>
      </c>
      <c r="AK17" s="49" t="e">
        <f t="shared" si="15"/>
        <v>#DIV/0!</v>
      </c>
      <c r="AL17" s="49">
        <f t="shared" si="16"/>
        <v>0</v>
      </c>
      <c r="AM17" s="49">
        <f t="shared" si="17"/>
        <v>0</v>
      </c>
      <c r="AN17" s="49">
        <f t="shared" si="18"/>
        <v>0</v>
      </c>
      <c r="AO17" s="49">
        <f t="shared" si="19"/>
        <v>0</v>
      </c>
      <c r="AP17" s="214">
        <v>0</v>
      </c>
      <c r="AQ17" s="188"/>
      <c r="AR17" s="189">
        <v>1</v>
      </c>
      <c r="AS17" s="189"/>
      <c r="AT17" s="189"/>
      <c r="AU17" s="189"/>
      <c r="AV17" s="189"/>
      <c r="AW17" s="189"/>
      <c r="AX17" s="189"/>
      <c r="AY17" s="189"/>
      <c r="AZ17" s="189"/>
      <c r="BA17" s="189"/>
      <c r="BB17" s="189">
        <v>1</v>
      </c>
      <c r="BC17" s="189"/>
      <c r="BD17" s="189"/>
      <c r="BE17" s="190"/>
      <c r="BF17" s="188"/>
      <c r="BG17" s="189">
        <v>1</v>
      </c>
      <c r="BH17" s="189"/>
      <c r="BI17" s="189"/>
      <c r="BJ17" s="189"/>
      <c r="BK17" s="189"/>
      <c r="BL17" s="189"/>
      <c r="BM17" s="189"/>
      <c r="BN17" s="189"/>
      <c r="BO17" s="189"/>
      <c r="BP17" s="189"/>
      <c r="BQ17" s="189">
        <v>1</v>
      </c>
      <c r="BR17" s="189"/>
      <c r="BS17" s="189"/>
      <c r="BT17" s="198"/>
      <c r="BU17" s="188"/>
      <c r="BV17" s="189">
        <v>1</v>
      </c>
      <c r="BW17" s="189"/>
      <c r="BX17" s="189"/>
      <c r="BY17" s="189"/>
      <c r="BZ17" s="189"/>
      <c r="CA17" s="53"/>
      <c r="CB17" s="189"/>
      <c r="CC17" s="191"/>
      <c r="CD17" s="189"/>
      <c r="CE17" s="189"/>
      <c r="CF17" s="189">
        <v>1</v>
      </c>
      <c r="CG17" s="189"/>
      <c r="CH17" s="189"/>
      <c r="CI17" s="190"/>
      <c r="CJ17" s="188"/>
      <c r="CK17" s="189">
        <v>1</v>
      </c>
      <c r="CL17" s="189"/>
      <c r="CM17" s="189"/>
      <c r="CN17" s="189"/>
      <c r="CO17" s="189"/>
      <c r="CP17" s="191"/>
      <c r="CQ17" s="189"/>
      <c r="CR17" s="191"/>
      <c r="CS17" s="189"/>
      <c r="CT17" s="189"/>
      <c r="CU17" s="189">
        <v>1</v>
      </c>
      <c r="CV17" s="189"/>
      <c r="CW17" s="189"/>
      <c r="CX17" s="190"/>
      <c r="CY17" s="188"/>
      <c r="CZ17" s="189">
        <v>1</v>
      </c>
      <c r="DA17" s="189"/>
      <c r="DB17" s="189"/>
      <c r="DC17" s="189"/>
      <c r="DD17" s="189"/>
      <c r="DE17" s="191"/>
      <c r="DF17" s="189"/>
      <c r="DG17" s="191"/>
      <c r="DH17" s="189"/>
      <c r="DI17" s="189"/>
      <c r="DJ17" s="189">
        <v>1</v>
      </c>
      <c r="DK17" s="189"/>
      <c r="DL17" s="189"/>
      <c r="DM17" s="190"/>
      <c r="DO17" s="5"/>
      <c r="DP17" s="42"/>
      <c r="DQ17" s="7"/>
    </row>
    <row r="18" spans="1:121" x14ac:dyDescent="0.2">
      <c r="A18" s="33" t="e">
        <f t="shared" si="34"/>
        <v>#DIV/0!</v>
      </c>
      <c r="B18" s="34"/>
      <c r="C18" s="116" t="e">
        <f t="shared" si="1"/>
        <v>#DIV/0!</v>
      </c>
      <c r="D18" s="117"/>
      <c r="E18" s="37"/>
      <c r="F18" s="118"/>
      <c r="G18" s="119">
        <f t="shared" ca="1" si="2"/>
        <v>125.85205479452055</v>
      </c>
      <c r="H18" s="39"/>
      <c r="I18" s="39">
        <f>('2024'!$DS$3-F18)/365</f>
        <v>124.40821917808219</v>
      </c>
      <c r="J18" s="205"/>
      <c r="K18" s="205"/>
      <c r="L18" s="205"/>
      <c r="M18" s="213"/>
      <c r="N18" s="121">
        <f t="shared" si="4"/>
        <v>0</v>
      </c>
      <c r="O18" s="122">
        <f t="shared" si="5"/>
        <v>0</v>
      </c>
      <c r="P18" s="122">
        <f t="shared" si="6"/>
        <v>0</v>
      </c>
      <c r="Q18" s="122">
        <f t="shared" si="7"/>
        <v>0</v>
      </c>
      <c r="R18" s="122">
        <f t="shared" si="8"/>
        <v>0</v>
      </c>
      <c r="S18" s="42">
        <f t="shared" si="27"/>
        <v>0</v>
      </c>
      <c r="T18" s="42" t="b">
        <f>IF(E18=1,S18*$DQ$3,IF(E18=2,S18*$DQ$4,IF(E18=3,S18*$DQ$5,IF(E18=4,S18*$DQ$6,IF(E18=5,S18*$DQ$7,IF(E18=6,S18*DQ3,IF(E18=7,S18*$DQ$9,IF(E18=8,S18*$DQ$10,IF(E18=9,S18*$DQ$11,IF(E18=10,S18*$DQ$12,IF(E18=11,S18*$DQ$13)))))))))))</f>
        <v>0</v>
      </c>
      <c r="U18" s="42">
        <f t="shared" si="28"/>
        <v>0</v>
      </c>
      <c r="V18" s="42">
        <f t="shared" si="24"/>
        <v>0</v>
      </c>
      <c r="W18" s="210">
        <f t="shared" si="23"/>
        <v>0</v>
      </c>
      <c r="X18" s="43" t="b">
        <f>IF(E18=1,W18*'2024'!DQ$3,IF(E18=2,W18*'2024'!DQ$4,IF(E18=3,W18*'2024'!DQ$5,IF(E18=4,W18*'2024'!DQ$6,IF(E18=5,W18*'2024'!DQ$7,IF(E18=6,W18*'2024'!DQ$8,IF(E18=7,W18*'2024'!DQ$9,IF(E18=8,W18*'2024'!DQ$10,IF(E18=9,W18*'2024'!DQ$11,IF(E18=10,W18*'2024'!DQ$12,IF(E18=11,W18*'2024'!DQ$13,IF(E18=12,W18*'2024'!DQ$14))))))))))))</f>
        <v>0</v>
      </c>
      <c r="Y18" s="44" t="str">
        <f>IF(N18&gt;=0.15,('2024'!$DR$3-$F18)/365,(IF(O18&gt;=0.15,('2024'!$DR$4-$F18)/365,(IF(P18&gt;=0.15,('2024'!$DR$5-$F18)/365,(IF(Q18&gt;=0.15,('2024'!$DR$6-$F18)/365,(IF(R18&gt;=0.15,('2024'!$DR$7-$F18)/365,"N/A")))))))))</f>
        <v>N/A</v>
      </c>
      <c r="Z18" s="170" t="e">
        <f t="shared" si="10"/>
        <v>#DIV/0!</v>
      </c>
      <c r="AA18" s="45" t="e">
        <f t="shared" si="11"/>
        <v>#DIV/0!</v>
      </c>
      <c r="AB18" s="45" t="e">
        <f t="shared" si="25"/>
        <v>#DIV/0!</v>
      </c>
      <c r="AC18" s="45">
        <f t="shared" si="30"/>
        <v>0</v>
      </c>
      <c r="AD18" s="45">
        <f t="shared" si="31"/>
        <v>0</v>
      </c>
      <c r="AE18" s="45">
        <f t="shared" si="32"/>
        <v>0</v>
      </c>
      <c r="AF18" s="45">
        <f t="shared" si="33"/>
        <v>0</v>
      </c>
      <c r="AG18" s="128">
        <f t="shared" si="12"/>
        <v>10</v>
      </c>
      <c r="AH18" s="49">
        <f t="shared" si="13"/>
        <v>10</v>
      </c>
      <c r="AI18" s="49">
        <f t="shared" si="21"/>
        <v>0</v>
      </c>
      <c r="AJ18" s="49" t="e">
        <f t="shared" si="14"/>
        <v>#DIV/0!</v>
      </c>
      <c r="AK18" s="49" t="e">
        <f t="shared" si="15"/>
        <v>#DIV/0!</v>
      </c>
      <c r="AL18" s="49">
        <f t="shared" si="16"/>
        <v>0</v>
      </c>
      <c r="AM18" s="49">
        <f t="shared" si="17"/>
        <v>0</v>
      </c>
      <c r="AN18" s="49">
        <f t="shared" si="18"/>
        <v>0</v>
      </c>
      <c r="AO18" s="49">
        <f t="shared" si="19"/>
        <v>0</v>
      </c>
      <c r="AP18" s="220">
        <v>0</v>
      </c>
      <c r="AQ18" s="188"/>
      <c r="AR18" s="189">
        <v>1</v>
      </c>
      <c r="AS18" s="189"/>
      <c r="AT18" s="189"/>
      <c r="AU18" s="189"/>
      <c r="AV18" s="189"/>
      <c r="AW18" s="191"/>
      <c r="AX18" s="189"/>
      <c r="AY18" s="189"/>
      <c r="AZ18" s="189"/>
      <c r="BA18" s="189"/>
      <c r="BB18" s="189">
        <v>1</v>
      </c>
      <c r="BC18" s="189"/>
      <c r="BD18" s="189"/>
      <c r="BE18" s="190"/>
      <c r="BF18" s="188"/>
      <c r="BG18" s="189">
        <v>1</v>
      </c>
      <c r="BH18" s="189"/>
      <c r="BI18" s="189"/>
      <c r="BJ18" s="189"/>
      <c r="BK18" s="189"/>
      <c r="BL18" s="191"/>
      <c r="BM18" s="189"/>
      <c r="BN18" s="191"/>
      <c r="BO18" s="189"/>
      <c r="BP18" s="189"/>
      <c r="BQ18" s="189">
        <v>1</v>
      </c>
      <c r="BR18" s="189"/>
      <c r="BS18" s="189"/>
      <c r="BT18" s="198"/>
      <c r="BU18" s="188"/>
      <c r="BV18" s="189">
        <v>1</v>
      </c>
      <c r="BW18" s="189"/>
      <c r="BX18" s="189"/>
      <c r="BY18" s="189"/>
      <c r="BZ18" s="189"/>
      <c r="CA18" s="53"/>
      <c r="CB18" s="189"/>
      <c r="CC18" s="191"/>
      <c r="CD18" s="189"/>
      <c r="CE18" s="189"/>
      <c r="CF18" s="189">
        <v>1</v>
      </c>
      <c r="CG18" s="189"/>
      <c r="CH18" s="189"/>
      <c r="CI18" s="190"/>
      <c r="CJ18" s="188"/>
      <c r="CK18" s="189">
        <v>1</v>
      </c>
      <c r="CL18" s="189"/>
      <c r="CM18" s="189"/>
      <c r="CN18" s="189"/>
      <c r="CO18" s="189"/>
      <c r="CP18" s="191"/>
      <c r="CQ18" s="189"/>
      <c r="CR18" s="191"/>
      <c r="CS18" s="189"/>
      <c r="CT18" s="189"/>
      <c r="CU18" s="189">
        <v>1</v>
      </c>
      <c r="CV18" s="189"/>
      <c r="CW18" s="189"/>
      <c r="CX18" s="190"/>
      <c r="CY18" s="188"/>
      <c r="CZ18" s="189">
        <v>1</v>
      </c>
      <c r="DA18" s="189"/>
      <c r="DB18" s="189"/>
      <c r="DC18" s="189"/>
      <c r="DD18" s="189"/>
      <c r="DE18" s="189"/>
      <c r="DF18" s="189"/>
      <c r="DG18" s="191"/>
      <c r="DH18" s="189"/>
      <c r="DI18" s="189"/>
      <c r="DJ18" s="189">
        <v>1</v>
      </c>
      <c r="DK18" s="189"/>
      <c r="DL18" s="189"/>
      <c r="DM18" s="190"/>
      <c r="DO18" s="5"/>
      <c r="DP18" s="42"/>
      <c r="DQ18" s="7"/>
    </row>
    <row r="19" spans="1:121" x14ac:dyDescent="0.2">
      <c r="A19" s="33" t="e">
        <f t="shared" si="34"/>
        <v>#DIV/0!</v>
      </c>
      <c r="B19" s="34"/>
      <c r="C19" s="116" t="e">
        <f t="shared" si="1"/>
        <v>#DIV/0!</v>
      </c>
      <c r="D19" s="117"/>
      <c r="E19" s="37"/>
      <c r="F19" s="118"/>
      <c r="G19" s="119">
        <f t="shared" ca="1" si="2"/>
        <v>125.85205479452055</v>
      </c>
      <c r="H19" s="39"/>
      <c r="I19" s="39">
        <f t="shared" ref="I19:I30" si="35">($DS$3-F19)/365</f>
        <v>127.40821917808219</v>
      </c>
      <c r="J19" s="205"/>
      <c r="K19" s="205"/>
      <c r="L19" s="205"/>
      <c r="M19" s="213"/>
      <c r="N19" s="121">
        <f t="shared" si="4"/>
        <v>0</v>
      </c>
      <c r="O19" s="122">
        <f t="shared" si="5"/>
        <v>0</v>
      </c>
      <c r="P19" s="122">
        <f t="shared" si="6"/>
        <v>0</v>
      </c>
      <c r="Q19" s="122">
        <f t="shared" si="7"/>
        <v>0</v>
      </c>
      <c r="R19" s="122">
        <f t="shared" si="8"/>
        <v>0</v>
      </c>
      <c r="S19" s="42">
        <f t="shared" si="27"/>
        <v>0</v>
      </c>
      <c r="T19" s="42" t="b">
        <f>IF(E19=1,S19*$DQ$3,IF(E19=2,S19*$DQ$4,IF(E19=3,S19*$DQ$5,IF(E19=4,S19*$DQ$6,IF(E19=5,S19*$DQ$7,IF(E19=6,S19*#REF!,IF(E19=7,S19*$DQ$9,IF(E19=8,S19*$DQ$10,IF(E19=9,S19*$DQ$11,IF(E19=10,S19*$DQ$12,IF(E19=11,S19*$DQ$13)))))))))))</f>
        <v>0</v>
      </c>
      <c r="U19" s="42">
        <f t="shared" si="28"/>
        <v>0</v>
      </c>
      <c r="V19" s="42">
        <f t="shared" si="24"/>
        <v>0</v>
      </c>
      <c r="W19" s="210">
        <f t="shared" si="23"/>
        <v>0</v>
      </c>
      <c r="X19" s="43" t="b">
        <f t="shared" ref="X19:X30" si="36">IF(E19=1,W19*DQ$3,IF(E19=2,W19*DQ$4,IF(E19=3,W19*DQ$5,IF(E19=4,W19*DQ$6,IF(E19=5,W19*DQ$7,IF(E19=6,W19*DQ$8,IF(E19=7,W19*DQ$9,IF(E19=8,W19*DQ$10,IF(E19=9,W19*DQ$11,IF(E19=10,W19*DQ$12,IF(E19=11,W19*DQ$13,IF(E19=12,W19*DQ$14))))))))))))</f>
        <v>0</v>
      </c>
      <c r="Y19" s="44" t="str">
        <f t="shared" ref="Y19:Y30" si="37">IF(N19&gt;=0.15,($DR$3-$F19)/365,(IF(O19&gt;=0.15,($DR$4-$F19)/365,(IF(P19&gt;=0.15,($DR$5-$F19)/365,(IF(Q19&gt;=0.15,($DR$6-$F19)/365,(IF(R19&gt;=0.15,($DR$7-$F19)/365,"N/A")))))))))</f>
        <v>N/A</v>
      </c>
      <c r="Z19" s="170" t="e">
        <f t="shared" si="10"/>
        <v>#DIV/0!</v>
      </c>
      <c r="AA19" s="45" t="e">
        <f t="shared" si="11"/>
        <v>#DIV/0!</v>
      </c>
      <c r="AB19" s="45" t="e">
        <f t="shared" si="25"/>
        <v>#DIV/0!</v>
      </c>
      <c r="AC19" s="45">
        <f t="shared" si="30"/>
        <v>0</v>
      </c>
      <c r="AD19" s="45">
        <f t="shared" si="31"/>
        <v>0</v>
      </c>
      <c r="AE19" s="45">
        <f t="shared" si="32"/>
        <v>0</v>
      </c>
      <c r="AF19" s="45">
        <f t="shared" si="33"/>
        <v>0</v>
      </c>
      <c r="AG19" s="128">
        <f t="shared" si="12"/>
        <v>10</v>
      </c>
      <c r="AH19" s="49">
        <f t="shared" si="13"/>
        <v>10</v>
      </c>
      <c r="AI19" s="49">
        <f t="shared" si="21"/>
        <v>0</v>
      </c>
      <c r="AJ19" s="49" t="e">
        <f t="shared" si="14"/>
        <v>#DIV/0!</v>
      </c>
      <c r="AK19" s="49" t="e">
        <f t="shared" si="15"/>
        <v>#DIV/0!</v>
      </c>
      <c r="AL19" s="49">
        <f t="shared" si="16"/>
        <v>0</v>
      </c>
      <c r="AM19" s="49">
        <f t="shared" si="17"/>
        <v>0</v>
      </c>
      <c r="AN19" s="49">
        <f t="shared" si="18"/>
        <v>0</v>
      </c>
      <c r="AO19" s="49">
        <f t="shared" si="19"/>
        <v>0</v>
      </c>
      <c r="AP19" s="214">
        <v>0</v>
      </c>
      <c r="AQ19" s="188"/>
      <c r="AR19" s="189">
        <v>1</v>
      </c>
      <c r="AS19" s="189"/>
      <c r="AT19" s="189"/>
      <c r="AU19" s="189"/>
      <c r="AV19" s="189"/>
      <c r="AW19" s="189"/>
      <c r="AX19" s="189"/>
      <c r="AY19" s="189"/>
      <c r="AZ19" s="189"/>
      <c r="BA19" s="189"/>
      <c r="BB19" s="189">
        <v>1</v>
      </c>
      <c r="BC19" s="189"/>
      <c r="BD19" s="189"/>
      <c r="BE19" s="190"/>
      <c r="BF19" s="188"/>
      <c r="BG19" s="189">
        <v>1</v>
      </c>
      <c r="BH19" s="189"/>
      <c r="BI19" s="189"/>
      <c r="BJ19" s="189"/>
      <c r="BK19" s="189"/>
      <c r="BL19" s="189"/>
      <c r="BM19" s="189"/>
      <c r="BN19" s="189"/>
      <c r="BO19" s="189"/>
      <c r="BP19" s="189"/>
      <c r="BQ19" s="189">
        <v>1</v>
      </c>
      <c r="BR19" s="189"/>
      <c r="BS19" s="189"/>
      <c r="BT19" s="198"/>
      <c r="BU19" s="188"/>
      <c r="BV19" s="189">
        <v>1</v>
      </c>
      <c r="BW19" s="189"/>
      <c r="BX19" s="189"/>
      <c r="BY19" s="189"/>
      <c r="BZ19" s="189"/>
      <c r="CA19" s="53"/>
      <c r="CB19" s="189"/>
      <c r="CC19" s="191"/>
      <c r="CD19" s="189"/>
      <c r="CE19" s="189"/>
      <c r="CF19" s="189">
        <v>1</v>
      </c>
      <c r="CG19" s="189"/>
      <c r="CH19" s="189"/>
      <c r="CI19" s="190"/>
      <c r="CJ19" s="188"/>
      <c r="CK19" s="189">
        <v>1</v>
      </c>
      <c r="CL19" s="189"/>
      <c r="CM19" s="189"/>
      <c r="CN19" s="189"/>
      <c r="CO19" s="189"/>
      <c r="CP19" s="191"/>
      <c r="CQ19" s="189"/>
      <c r="CR19" s="191"/>
      <c r="CS19" s="189"/>
      <c r="CT19" s="189"/>
      <c r="CU19" s="189">
        <v>1</v>
      </c>
      <c r="CV19" s="189"/>
      <c r="CW19" s="189"/>
      <c r="CX19" s="190"/>
      <c r="CY19" s="188"/>
      <c r="CZ19" s="189">
        <v>1</v>
      </c>
      <c r="DA19" s="189"/>
      <c r="DB19" s="189"/>
      <c r="DC19" s="189"/>
      <c r="DD19" s="189"/>
      <c r="DE19" s="191"/>
      <c r="DF19" s="189"/>
      <c r="DG19" s="191"/>
      <c r="DH19" s="191"/>
      <c r="DI19" s="189"/>
      <c r="DJ19" s="189">
        <v>1</v>
      </c>
      <c r="DK19" s="189"/>
      <c r="DL19" s="189"/>
      <c r="DM19" s="190"/>
      <c r="DO19" s="5"/>
      <c r="DP19" s="42"/>
      <c r="DQ19" s="7"/>
    </row>
    <row r="20" spans="1:121" x14ac:dyDescent="0.2">
      <c r="A20" s="33" t="e">
        <f t="shared" si="34"/>
        <v>#DIV/0!</v>
      </c>
      <c r="B20" s="34"/>
      <c r="C20" s="116" t="e">
        <f t="shared" si="1"/>
        <v>#DIV/0!</v>
      </c>
      <c r="D20" s="117"/>
      <c r="E20" s="37"/>
      <c r="F20" s="118"/>
      <c r="G20" s="119">
        <f t="shared" ca="1" si="2"/>
        <v>125.85205479452055</v>
      </c>
      <c r="H20" s="39"/>
      <c r="I20" s="39">
        <f t="shared" si="35"/>
        <v>127.40821917808219</v>
      </c>
      <c r="J20" s="205"/>
      <c r="K20" s="205"/>
      <c r="L20" s="205"/>
      <c r="M20" s="213"/>
      <c r="N20" s="121">
        <f t="shared" si="4"/>
        <v>0</v>
      </c>
      <c r="O20" s="122">
        <f t="shared" si="5"/>
        <v>0</v>
      </c>
      <c r="P20" s="122">
        <f t="shared" si="6"/>
        <v>0</v>
      </c>
      <c r="Q20" s="122">
        <f t="shared" si="7"/>
        <v>0</v>
      </c>
      <c r="R20" s="122">
        <f t="shared" si="8"/>
        <v>0</v>
      </c>
      <c r="S20" s="42">
        <f t="shared" si="27"/>
        <v>0</v>
      </c>
      <c r="T20" s="42" t="b">
        <f>IF(E20=1,S20*$DQ$3,IF(E20=2,S20*$DQ$4,IF(E20=3,S20*$DQ$5,IF(E20=4,S20*$DQ$6,IF(E20=5,S20*$DQ$7,IF(E20=6,S20*#REF!,IF(E20=7,S20*$DQ$9,IF(E20=8,S20*$DQ$10,IF(E20=9,S20*$DQ$11,IF(E20=10,S20*$DQ$12,IF(E20=11,S20*$DQ$13)))))))))))</f>
        <v>0</v>
      </c>
      <c r="U20" s="42">
        <f t="shared" si="28"/>
        <v>0</v>
      </c>
      <c r="V20" s="42">
        <f t="shared" si="24"/>
        <v>0</v>
      </c>
      <c r="W20" s="210">
        <f t="shared" si="23"/>
        <v>0</v>
      </c>
      <c r="X20" s="43" t="b">
        <f t="shared" si="36"/>
        <v>0</v>
      </c>
      <c r="Y20" s="44" t="str">
        <f t="shared" si="37"/>
        <v>N/A</v>
      </c>
      <c r="Z20" s="170" t="e">
        <f t="shared" si="10"/>
        <v>#DIV/0!</v>
      </c>
      <c r="AA20" s="45" t="e">
        <f t="shared" si="11"/>
        <v>#DIV/0!</v>
      </c>
      <c r="AB20" s="45" t="e">
        <f t="shared" si="25"/>
        <v>#DIV/0!</v>
      </c>
      <c r="AC20" s="45">
        <f t="shared" si="30"/>
        <v>0</v>
      </c>
      <c r="AD20" s="45">
        <f t="shared" si="31"/>
        <v>0</v>
      </c>
      <c r="AE20" s="45">
        <f t="shared" si="32"/>
        <v>0</v>
      </c>
      <c r="AF20" s="45">
        <f t="shared" si="33"/>
        <v>0</v>
      </c>
      <c r="AG20" s="128">
        <f t="shared" si="12"/>
        <v>10</v>
      </c>
      <c r="AH20" s="49">
        <f t="shared" si="13"/>
        <v>10</v>
      </c>
      <c r="AI20" s="49">
        <f t="shared" si="21"/>
        <v>0</v>
      </c>
      <c r="AJ20" s="49" t="e">
        <f t="shared" si="14"/>
        <v>#DIV/0!</v>
      </c>
      <c r="AK20" s="49" t="e">
        <f t="shared" si="15"/>
        <v>#DIV/0!</v>
      </c>
      <c r="AL20" s="49">
        <f t="shared" si="16"/>
        <v>0</v>
      </c>
      <c r="AM20" s="49">
        <f t="shared" si="17"/>
        <v>0</v>
      </c>
      <c r="AN20" s="49">
        <f t="shared" si="18"/>
        <v>0</v>
      </c>
      <c r="AO20" s="49">
        <f t="shared" si="19"/>
        <v>0</v>
      </c>
      <c r="AP20" s="214">
        <v>0</v>
      </c>
      <c r="AQ20" s="188"/>
      <c r="AR20" s="189">
        <v>1</v>
      </c>
      <c r="AS20" s="189"/>
      <c r="AT20" s="189"/>
      <c r="AU20" s="189"/>
      <c r="AV20" s="189"/>
      <c r="AW20" s="189"/>
      <c r="AX20" s="189"/>
      <c r="AY20" s="189"/>
      <c r="AZ20" s="189"/>
      <c r="BA20" s="189"/>
      <c r="BB20" s="189">
        <v>1</v>
      </c>
      <c r="BC20" s="189"/>
      <c r="BD20" s="189"/>
      <c r="BE20" s="190"/>
      <c r="BF20" s="188"/>
      <c r="BG20" s="189">
        <v>1</v>
      </c>
      <c r="BH20" s="189"/>
      <c r="BI20" s="189"/>
      <c r="BJ20" s="189"/>
      <c r="BK20" s="189"/>
      <c r="BL20" s="189"/>
      <c r="BM20" s="189"/>
      <c r="BN20" s="189"/>
      <c r="BO20" s="189"/>
      <c r="BP20" s="189"/>
      <c r="BQ20" s="189">
        <v>1</v>
      </c>
      <c r="BR20" s="189"/>
      <c r="BS20" s="189"/>
      <c r="BT20" s="198"/>
      <c r="BU20" s="188"/>
      <c r="BV20" s="189">
        <v>1</v>
      </c>
      <c r="BW20" s="189"/>
      <c r="BX20" s="189"/>
      <c r="BY20" s="189"/>
      <c r="BZ20" s="189"/>
      <c r="CA20" s="53"/>
      <c r="CB20" s="189"/>
      <c r="CC20" s="191"/>
      <c r="CD20" s="189"/>
      <c r="CE20" s="189"/>
      <c r="CF20" s="189">
        <v>1</v>
      </c>
      <c r="CG20" s="189"/>
      <c r="CH20" s="189"/>
      <c r="CI20" s="190"/>
      <c r="CJ20" s="188"/>
      <c r="CK20" s="189">
        <v>1</v>
      </c>
      <c r="CL20" s="189"/>
      <c r="CM20" s="189"/>
      <c r="CN20" s="189"/>
      <c r="CO20" s="189"/>
      <c r="CP20" s="191"/>
      <c r="CQ20" s="189"/>
      <c r="CR20" s="191"/>
      <c r="CS20" s="191"/>
      <c r="CT20" s="189"/>
      <c r="CU20" s="189">
        <v>1</v>
      </c>
      <c r="CV20" s="189"/>
      <c r="CW20" s="189"/>
      <c r="CX20" s="190"/>
      <c r="CY20" s="188"/>
      <c r="CZ20" s="189">
        <v>1</v>
      </c>
      <c r="DA20" s="189"/>
      <c r="DB20" s="189"/>
      <c r="DC20" s="189"/>
      <c r="DD20" s="189"/>
      <c r="DE20" s="191"/>
      <c r="DF20" s="189"/>
      <c r="DG20" s="191"/>
      <c r="DH20" s="191"/>
      <c r="DI20" s="189"/>
      <c r="DJ20" s="189">
        <v>1</v>
      </c>
      <c r="DK20" s="189"/>
      <c r="DL20" s="189"/>
      <c r="DM20" s="190"/>
      <c r="DO20" s="5"/>
      <c r="DP20" s="42"/>
      <c r="DQ20" s="7"/>
    </row>
    <row r="21" spans="1:121" x14ac:dyDescent="0.2">
      <c r="A21" s="33" t="e">
        <f t="shared" si="34"/>
        <v>#DIV/0!</v>
      </c>
      <c r="B21" s="34"/>
      <c r="C21" s="116" t="e">
        <f t="shared" si="1"/>
        <v>#DIV/0!</v>
      </c>
      <c r="D21" s="117"/>
      <c r="E21" s="37"/>
      <c r="F21" s="118"/>
      <c r="G21" s="119">
        <f t="shared" ca="1" si="2"/>
        <v>125.85205479452055</v>
      </c>
      <c r="H21" s="39"/>
      <c r="I21" s="39">
        <f t="shared" si="35"/>
        <v>127.40821917808219</v>
      </c>
      <c r="J21" s="205"/>
      <c r="K21" s="205"/>
      <c r="L21" s="205"/>
      <c r="M21" s="213"/>
      <c r="N21" s="121">
        <f t="shared" si="4"/>
        <v>0</v>
      </c>
      <c r="O21" s="122">
        <f t="shared" si="5"/>
        <v>0</v>
      </c>
      <c r="P21" s="122">
        <f t="shared" si="6"/>
        <v>0</v>
      </c>
      <c r="Q21" s="122">
        <f t="shared" si="7"/>
        <v>0</v>
      </c>
      <c r="R21" s="122">
        <f t="shared" si="8"/>
        <v>0</v>
      </c>
      <c r="S21" s="42">
        <f>AVERAGE(MAX(N21:P21),P21)</f>
        <v>0</v>
      </c>
      <c r="T21" s="42" t="b">
        <f>IF(E21=1,S21*$DQ$3,IF(E21=2,S21*$DQ$4,IF(E21=3,S21*$DQ$5,IF(E21=4,S21*$DQ$6,IF(E21=5,S21*$DQ$7,IF(E21=6,S21*#REF!,IF(E21=7,S21*$DQ$9,IF(E21=8,S21*$DQ$10,IF(E21=9,S21*$DQ$11,IF(E21=10,S21*$DQ$12,IF(E21=11,S21*$DQ$13)))))))))))</f>
        <v>0</v>
      </c>
      <c r="U21" s="42">
        <f>CE21/CF21</f>
        <v>0</v>
      </c>
      <c r="V21" s="42">
        <f t="shared" si="24"/>
        <v>0</v>
      </c>
      <c r="W21" s="210">
        <f t="shared" si="23"/>
        <v>0</v>
      </c>
      <c r="X21" s="43" t="b">
        <f t="shared" si="36"/>
        <v>0</v>
      </c>
      <c r="Y21" s="44" t="str">
        <f t="shared" si="37"/>
        <v>N/A</v>
      </c>
      <c r="Z21" s="170" t="e">
        <f t="shared" si="10"/>
        <v>#DIV/0!</v>
      </c>
      <c r="AA21" s="45" t="e">
        <f t="shared" si="11"/>
        <v>#DIV/0!</v>
      </c>
      <c r="AB21" s="45" t="e">
        <f t="shared" si="25"/>
        <v>#DIV/0!</v>
      </c>
      <c r="AC21" s="45">
        <f t="shared" si="30"/>
        <v>0</v>
      </c>
      <c r="AD21" s="45">
        <f>IF($P21&gt;=15%,MAX(CB21,CQ21,DF21),MAX(CB21,CQ21,DF21))</f>
        <v>0</v>
      </c>
      <c r="AE21" s="45">
        <f>IF($P21&gt;=15%,MAX(CC21,CR21,DG21),MAX(CC21,CR21,DG21))</f>
        <v>0</v>
      </c>
      <c r="AF21" s="45">
        <f t="shared" ref="AF21:AF30" si="38">IF($P21&gt;=15%,MAX(CD21,CS21,DH21),MAX(CS21,DH21))</f>
        <v>0</v>
      </c>
      <c r="AG21" s="128">
        <f t="shared" si="12"/>
        <v>10</v>
      </c>
      <c r="AH21" s="49">
        <f t="shared" si="13"/>
        <v>10</v>
      </c>
      <c r="AI21" s="49">
        <f t="shared" si="21"/>
        <v>0</v>
      </c>
      <c r="AJ21" s="49" t="e">
        <f t="shared" si="14"/>
        <v>#DIV/0!</v>
      </c>
      <c r="AK21" s="49" t="e">
        <f t="shared" si="15"/>
        <v>#DIV/0!</v>
      </c>
      <c r="AL21" s="49">
        <f t="shared" si="16"/>
        <v>0</v>
      </c>
      <c r="AM21" s="49">
        <f t="shared" si="17"/>
        <v>0</v>
      </c>
      <c r="AN21" s="49">
        <f t="shared" si="18"/>
        <v>0</v>
      </c>
      <c r="AO21" s="49">
        <f t="shared" si="19"/>
        <v>0</v>
      </c>
      <c r="AP21" s="214">
        <v>0</v>
      </c>
      <c r="AQ21" s="188"/>
      <c r="AR21" s="189">
        <v>1</v>
      </c>
      <c r="AS21" s="189"/>
      <c r="AT21" s="189"/>
      <c r="AU21" s="189"/>
      <c r="AV21" s="189"/>
      <c r="AW21" s="189"/>
      <c r="AX21" s="189"/>
      <c r="AY21" s="189"/>
      <c r="AZ21" s="189"/>
      <c r="BA21" s="189"/>
      <c r="BB21" s="189">
        <v>1</v>
      </c>
      <c r="BC21" s="189"/>
      <c r="BD21" s="189"/>
      <c r="BE21" s="190"/>
      <c r="BF21" s="188"/>
      <c r="BG21" s="189">
        <v>1</v>
      </c>
      <c r="BH21" s="189"/>
      <c r="BI21" s="189"/>
      <c r="BJ21" s="189"/>
      <c r="BK21" s="189"/>
      <c r="BL21" s="189"/>
      <c r="BM21" s="189"/>
      <c r="BN21" s="189"/>
      <c r="BO21" s="189"/>
      <c r="BP21" s="189"/>
      <c r="BQ21" s="189">
        <v>1</v>
      </c>
      <c r="BR21" s="189"/>
      <c r="BS21" s="189"/>
      <c r="BT21" s="198"/>
      <c r="BU21" s="188"/>
      <c r="BV21" s="189">
        <v>1</v>
      </c>
      <c r="BW21" s="189"/>
      <c r="BX21" s="189"/>
      <c r="BY21" s="189"/>
      <c r="BZ21" s="189"/>
      <c r="CA21" s="53"/>
      <c r="CB21" s="189"/>
      <c r="CC21" s="191"/>
      <c r="CD21" s="189"/>
      <c r="CE21" s="189"/>
      <c r="CF21" s="189">
        <v>1</v>
      </c>
      <c r="CG21" s="189"/>
      <c r="CH21" s="189"/>
      <c r="CI21" s="190"/>
      <c r="CJ21" s="188"/>
      <c r="CK21" s="189">
        <v>1</v>
      </c>
      <c r="CL21" s="189"/>
      <c r="CM21" s="189"/>
      <c r="CN21" s="189"/>
      <c r="CO21" s="189"/>
      <c r="CP21" s="191"/>
      <c r="CQ21" s="189"/>
      <c r="CR21" s="191"/>
      <c r="CS21" s="191"/>
      <c r="CT21" s="189"/>
      <c r="CU21" s="189">
        <v>1</v>
      </c>
      <c r="CV21" s="189"/>
      <c r="CW21" s="189"/>
      <c r="CX21" s="190"/>
      <c r="CY21" s="188"/>
      <c r="CZ21" s="189">
        <v>1</v>
      </c>
      <c r="DA21" s="189"/>
      <c r="DB21" s="189"/>
      <c r="DC21" s="189"/>
      <c r="DD21" s="189"/>
      <c r="DE21" s="191"/>
      <c r="DF21" s="189"/>
      <c r="DG21" s="191"/>
      <c r="DH21" s="191"/>
      <c r="DI21" s="189"/>
      <c r="DJ21" s="189">
        <v>1</v>
      </c>
      <c r="DK21" s="189"/>
      <c r="DL21" s="189"/>
      <c r="DM21" s="190"/>
      <c r="DO21" s="5"/>
      <c r="DP21" s="42"/>
      <c r="DQ21" s="7"/>
    </row>
    <row r="22" spans="1:121" x14ac:dyDescent="0.2">
      <c r="A22" s="33" t="e">
        <f t="shared" si="34"/>
        <v>#DIV/0!</v>
      </c>
      <c r="B22" s="34"/>
      <c r="C22" s="116" t="e">
        <f t="shared" si="1"/>
        <v>#DIV/0!</v>
      </c>
      <c r="D22" s="117"/>
      <c r="E22" s="37"/>
      <c r="F22" s="197"/>
      <c r="G22" s="119">
        <f t="shared" ca="1" si="2"/>
        <v>125.85205479452055</v>
      </c>
      <c r="H22" s="39"/>
      <c r="I22" s="39">
        <f t="shared" si="35"/>
        <v>127.40821917808219</v>
      </c>
      <c r="J22" s="205"/>
      <c r="K22" s="205"/>
      <c r="L22" s="205"/>
      <c r="M22" s="213"/>
      <c r="N22" s="121">
        <f t="shared" si="4"/>
        <v>0</v>
      </c>
      <c r="O22" s="122">
        <f t="shared" si="5"/>
        <v>0</v>
      </c>
      <c r="P22" s="122">
        <f t="shared" si="6"/>
        <v>0</v>
      </c>
      <c r="Q22" s="122">
        <f t="shared" si="7"/>
        <v>0</v>
      </c>
      <c r="R22" s="122">
        <f t="shared" si="8"/>
        <v>0</v>
      </c>
      <c r="S22" s="42">
        <f t="shared" ref="S22:S30" si="39">AVERAGE(MAX(N22:R22),Q22)</f>
        <v>0</v>
      </c>
      <c r="T22" s="42" t="b">
        <f>IF(E22=1,S22*$DQ$3,IF(E22=2,S22*$DQ$4,IF(E22=3,S22*$DQ$5,IF(E22=4,S22*$DQ$6,IF(E22=5,S22*$DQ$7,IF(E22=6,S22*#REF!,IF(E22=7,S22*$DQ$9,IF(E22=8,S22*$DQ$10,IF(E22=9,S22*$DQ$11,IF(E22=10,S22*$DQ$12,IF(E22=11,S22*$DQ$13)))))))))))</f>
        <v>0</v>
      </c>
      <c r="U22" s="42">
        <f t="shared" ref="U22:U30" si="40">CT22/CU22</f>
        <v>0</v>
      </c>
      <c r="V22" s="42">
        <f t="shared" si="24"/>
        <v>0</v>
      </c>
      <c r="W22" s="210">
        <f t="shared" si="23"/>
        <v>0</v>
      </c>
      <c r="X22" s="43" t="b">
        <f t="shared" si="36"/>
        <v>0</v>
      </c>
      <c r="Y22" s="44" t="str">
        <f t="shared" si="37"/>
        <v>N/A</v>
      </c>
      <c r="Z22" s="170" t="e">
        <f t="shared" si="10"/>
        <v>#DIV/0!</v>
      </c>
      <c r="AA22" s="45" t="e">
        <f t="shared" si="11"/>
        <v>#DIV/0!</v>
      </c>
      <c r="AB22" s="45" t="e">
        <f t="shared" si="25"/>
        <v>#DIV/0!</v>
      </c>
      <c r="AC22" s="45">
        <f t="shared" si="30"/>
        <v>0</v>
      </c>
      <c r="AD22" s="45">
        <f t="shared" ref="AD22:AD30" si="41">IF($P22&gt;=15%,MAX(CB22,CQ22,DF22),MAX(CQ22,DF22))</f>
        <v>0</v>
      </c>
      <c r="AE22" s="45">
        <f t="shared" ref="AE22:AE30" si="42">IF($P22&gt;=15%,MAX(CC22,CR22,DG22),MAX(CR22,DG22))</f>
        <v>0</v>
      </c>
      <c r="AF22" s="45">
        <f t="shared" si="38"/>
        <v>0</v>
      </c>
      <c r="AG22" s="128">
        <f t="shared" si="12"/>
        <v>10</v>
      </c>
      <c r="AH22" s="49">
        <f t="shared" si="13"/>
        <v>10</v>
      </c>
      <c r="AI22" s="49">
        <f t="shared" si="21"/>
        <v>0</v>
      </c>
      <c r="AJ22" s="49" t="e">
        <f t="shared" si="14"/>
        <v>#DIV/0!</v>
      </c>
      <c r="AK22" s="49" t="e">
        <f t="shared" si="15"/>
        <v>#DIV/0!</v>
      </c>
      <c r="AL22" s="49">
        <f t="shared" si="16"/>
        <v>0</v>
      </c>
      <c r="AM22" s="49">
        <f t="shared" si="17"/>
        <v>0</v>
      </c>
      <c r="AN22" s="49">
        <f t="shared" si="18"/>
        <v>0</v>
      </c>
      <c r="AO22" s="49">
        <f t="shared" si="19"/>
        <v>0</v>
      </c>
      <c r="AP22" s="214">
        <v>0</v>
      </c>
      <c r="AQ22" s="188"/>
      <c r="AR22" s="189">
        <v>1</v>
      </c>
      <c r="AS22" s="189"/>
      <c r="AT22" s="189"/>
      <c r="AU22" s="189"/>
      <c r="AV22" s="189"/>
      <c r="AW22" s="189"/>
      <c r="AX22" s="189"/>
      <c r="AY22" s="189"/>
      <c r="AZ22" s="189"/>
      <c r="BA22" s="189"/>
      <c r="BB22" s="189">
        <v>1</v>
      </c>
      <c r="BC22" s="189"/>
      <c r="BD22" s="189"/>
      <c r="BE22" s="190"/>
      <c r="BF22" s="188"/>
      <c r="BG22" s="189">
        <v>1</v>
      </c>
      <c r="BH22" s="189"/>
      <c r="BI22" s="189"/>
      <c r="BJ22" s="189"/>
      <c r="BK22" s="189"/>
      <c r="BL22" s="189"/>
      <c r="BM22" s="189"/>
      <c r="BN22" s="189"/>
      <c r="BO22" s="189"/>
      <c r="BP22" s="189"/>
      <c r="BQ22" s="189">
        <v>1</v>
      </c>
      <c r="BR22" s="189"/>
      <c r="BS22" s="189"/>
      <c r="BT22" s="198"/>
      <c r="BU22" s="188"/>
      <c r="BV22" s="189">
        <v>1</v>
      </c>
      <c r="BW22" s="189"/>
      <c r="BX22" s="189"/>
      <c r="BY22" s="189"/>
      <c r="BZ22" s="189"/>
      <c r="CA22" s="53"/>
      <c r="CB22" s="189"/>
      <c r="CC22" s="191"/>
      <c r="CD22" s="189"/>
      <c r="CE22" s="189"/>
      <c r="CF22" s="189">
        <v>1</v>
      </c>
      <c r="CG22" s="189"/>
      <c r="CH22" s="189"/>
      <c r="CI22" s="190"/>
      <c r="CJ22" s="188"/>
      <c r="CK22" s="189">
        <v>1</v>
      </c>
      <c r="CL22" s="189"/>
      <c r="CM22" s="189"/>
      <c r="CN22" s="189"/>
      <c r="CO22" s="189"/>
      <c r="CP22" s="191"/>
      <c r="CQ22" s="189"/>
      <c r="CR22" s="191"/>
      <c r="CS22" s="191"/>
      <c r="CT22" s="189"/>
      <c r="CU22" s="189">
        <v>1</v>
      </c>
      <c r="CV22" s="189"/>
      <c r="CW22" s="189"/>
      <c r="CX22" s="190"/>
      <c r="CY22" s="188"/>
      <c r="CZ22" s="189">
        <v>1</v>
      </c>
      <c r="DA22" s="189"/>
      <c r="DB22" s="189"/>
      <c r="DC22" s="189"/>
      <c r="DD22" s="189"/>
      <c r="DE22" s="191"/>
      <c r="DF22" s="189"/>
      <c r="DG22" s="191"/>
      <c r="DH22" s="191"/>
      <c r="DI22" s="189"/>
      <c r="DJ22" s="189">
        <v>1</v>
      </c>
      <c r="DK22" s="189"/>
      <c r="DL22" s="189"/>
      <c r="DM22" s="190"/>
      <c r="DO22" s="5"/>
      <c r="DP22" s="42"/>
      <c r="DQ22" s="7"/>
    </row>
    <row r="23" spans="1:121" x14ac:dyDescent="0.2">
      <c r="A23" s="33" t="e">
        <f t="shared" si="34"/>
        <v>#DIV/0!</v>
      </c>
      <c r="B23" s="34"/>
      <c r="C23" s="116" t="e">
        <f t="shared" si="1"/>
        <v>#DIV/0!</v>
      </c>
      <c r="D23" s="117"/>
      <c r="E23" s="37"/>
      <c r="F23" s="118"/>
      <c r="G23" s="119">
        <f t="shared" ca="1" si="2"/>
        <v>125.85205479452055</v>
      </c>
      <c r="H23" s="39"/>
      <c r="I23" s="39">
        <f t="shared" si="35"/>
        <v>127.40821917808219</v>
      </c>
      <c r="J23" s="205"/>
      <c r="K23" s="205"/>
      <c r="L23" s="205"/>
      <c r="M23" s="213"/>
      <c r="N23" s="121">
        <f t="shared" si="4"/>
        <v>0</v>
      </c>
      <c r="O23" s="122">
        <f t="shared" si="5"/>
        <v>0</v>
      </c>
      <c r="P23" s="122">
        <f t="shared" si="6"/>
        <v>0</v>
      </c>
      <c r="Q23" s="122">
        <f t="shared" si="7"/>
        <v>0</v>
      </c>
      <c r="R23" s="122">
        <f t="shared" si="8"/>
        <v>0</v>
      </c>
      <c r="S23" s="42">
        <f t="shared" si="39"/>
        <v>0</v>
      </c>
      <c r="T23" s="42" t="b">
        <f>IF(E23=1,S23*$DQ$3,IF(E23=2,S23*$DQ$4,IF(E23=3,S23*$DQ$5,IF(E23=4,S23*$DQ$6,IF(E23=5,S23*$DQ$7,IF(E23=6,S23*#REF!,IF(E23=7,S23*$DQ$9,IF(E23=8,S23*$DQ$10,IF(E23=9,S23*$DQ$11,IF(E23=10,S23*$DQ$12,IF(E23=11,S23*$DQ$13)))))))))))</f>
        <v>0</v>
      </c>
      <c r="U23" s="42">
        <f t="shared" si="40"/>
        <v>0</v>
      </c>
      <c r="V23" s="42">
        <f t="shared" si="24"/>
        <v>0</v>
      </c>
      <c r="W23" s="210">
        <f t="shared" si="23"/>
        <v>0</v>
      </c>
      <c r="X23" s="43" t="b">
        <f t="shared" si="36"/>
        <v>0</v>
      </c>
      <c r="Y23" s="44" t="str">
        <f t="shared" si="37"/>
        <v>N/A</v>
      </c>
      <c r="Z23" s="170" t="e">
        <f t="shared" si="10"/>
        <v>#DIV/0!</v>
      </c>
      <c r="AA23" s="45" t="e">
        <f t="shared" si="11"/>
        <v>#DIV/0!</v>
      </c>
      <c r="AB23" s="45" t="e">
        <f t="shared" si="25"/>
        <v>#DIV/0!</v>
      </c>
      <c r="AC23" s="45">
        <f t="shared" si="30"/>
        <v>0</v>
      </c>
      <c r="AD23" s="45">
        <f t="shared" si="41"/>
        <v>0</v>
      </c>
      <c r="AE23" s="45">
        <f t="shared" si="42"/>
        <v>0</v>
      </c>
      <c r="AF23" s="45">
        <f t="shared" si="38"/>
        <v>0</v>
      </c>
      <c r="AG23" s="128">
        <f t="shared" si="12"/>
        <v>10</v>
      </c>
      <c r="AH23" s="49">
        <f t="shared" si="13"/>
        <v>10</v>
      </c>
      <c r="AI23" s="49">
        <f t="shared" si="21"/>
        <v>0</v>
      </c>
      <c r="AJ23" s="49" t="e">
        <f t="shared" si="14"/>
        <v>#DIV/0!</v>
      </c>
      <c r="AK23" s="49" t="e">
        <f t="shared" si="15"/>
        <v>#DIV/0!</v>
      </c>
      <c r="AL23" s="49">
        <f t="shared" si="16"/>
        <v>0</v>
      </c>
      <c r="AM23" s="49">
        <f t="shared" si="17"/>
        <v>0</v>
      </c>
      <c r="AN23" s="49">
        <f t="shared" si="18"/>
        <v>0</v>
      </c>
      <c r="AO23" s="49">
        <f t="shared" si="19"/>
        <v>0</v>
      </c>
      <c r="AP23" s="214">
        <v>0</v>
      </c>
      <c r="AQ23" s="188"/>
      <c r="AR23" s="189">
        <v>1</v>
      </c>
      <c r="AS23" s="189"/>
      <c r="AT23" s="189"/>
      <c r="AU23" s="189"/>
      <c r="AV23" s="189"/>
      <c r="AW23" s="189"/>
      <c r="AX23" s="189"/>
      <c r="AY23" s="189"/>
      <c r="AZ23" s="189"/>
      <c r="BA23" s="189"/>
      <c r="BB23" s="189">
        <v>1</v>
      </c>
      <c r="BC23" s="189"/>
      <c r="BD23" s="189"/>
      <c r="BE23" s="190"/>
      <c r="BF23" s="188"/>
      <c r="BG23" s="189">
        <v>1</v>
      </c>
      <c r="BH23" s="189"/>
      <c r="BI23" s="189"/>
      <c r="BJ23" s="189"/>
      <c r="BK23" s="189"/>
      <c r="BL23" s="189"/>
      <c r="BM23" s="189"/>
      <c r="BN23" s="189"/>
      <c r="BO23" s="189"/>
      <c r="BP23" s="189"/>
      <c r="BQ23" s="189">
        <v>1</v>
      </c>
      <c r="BR23" s="189"/>
      <c r="BS23" s="189"/>
      <c r="BT23" s="198"/>
      <c r="BU23" s="188"/>
      <c r="BV23" s="189">
        <v>1</v>
      </c>
      <c r="BW23" s="189"/>
      <c r="BX23" s="189"/>
      <c r="BY23" s="189"/>
      <c r="BZ23" s="189"/>
      <c r="CA23" s="53"/>
      <c r="CB23" s="189"/>
      <c r="CC23" s="191"/>
      <c r="CD23" s="189"/>
      <c r="CE23" s="189"/>
      <c r="CF23" s="189">
        <v>1</v>
      </c>
      <c r="CG23" s="189"/>
      <c r="CH23" s="189"/>
      <c r="CI23" s="190"/>
      <c r="CJ23" s="188"/>
      <c r="CK23" s="189">
        <v>1</v>
      </c>
      <c r="CL23" s="189"/>
      <c r="CM23" s="189"/>
      <c r="CN23" s="189"/>
      <c r="CO23" s="189"/>
      <c r="CP23" s="191"/>
      <c r="CQ23" s="189"/>
      <c r="CR23" s="191"/>
      <c r="CS23" s="191"/>
      <c r="CT23" s="189"/>
      <c r="CU23" s="189">
        <v>1</v>
      </c>
      <c r="CV23" s="189"/>
      <c r="CW23" s="189"/>
      <c r="CX23" s="190"/>
      <c r="CY23" s="188"/>
      <c r="CZ23" s="189">
        <v>1</v>
      </c>
      <c r="DA23" s="189"/>
      <c r="DB23" s="189"/>
      <c r="DC23" s="189"/>
      <c r="DD23" s="189"/>
      <c r="DE23" s="191"/>
      <c r="DF23" s="189"/>
      <c r="DG23" s="191"/>
      <c r="DH23" s="191"/>
      <c r="DI23" s="189"/>
      <c r="DJ23" s="189">
        <v>1</v>
      </c>
      <c r="DK23" s="189"/>
      <c r="DL23" s="189"/>
      <c r="DM23" s="190"/>
      <c r="DO23" s="5"/>
      <c r="DP23" s="42"/>
      <c r="DQ23" s="7"/>
    </row>
    <row r="24" spans="1:121" x14ac:dyDescent="0.2">
      <c r="A24" s="33" t="e">
        <f t="shared" si="34"/>
        <v>#DIV/0!</v>
      </c>
      <c r="B24" s="34"/>
      <c r="C24" s="116" t="e">
        <f t="shared" si="1"/>
        <v>#DIV/0!</v>
      </c>
      <c r="D24" s="117"/>
      <c r="E24" s="37"/>
      <c r="F24" s="197"/>
      <c r="G24" s="119">
        <f t="shared" ca="1" si="2"/>
        <v>125.85205479452055</v>
      </c>
      <c r="H24" s="39"/>
      <c r="I24" s="39">
        <f t="shared" si="35"/>
        <v>127.40821917808219</v>
      </c>
      <c r="J24" s="205"/>
      <c r="K24" s="205"/>
      <c r="L24" s="205"/>
      <c r="M24" s="213"/>
      <c r="N24" s="121">
        <f t="shared" si="4"/>
        <v>0</v>
      </c>
      <c r="O24" s="122">
        <f t="shared" si="5"/>
        <v>0</v>
      </c>
      <c r="P24" s="122">
        <f t="shared" si="6"/>
        <v>0</v>
      </c>
      <c r="Q24" s="122">
        <f t="shared" si="7"/>
        <v>0</v>
      </c>
      <c r="R24" s="122">
        <f t="shared" si="8"/>
        <v>0</v>
      </c>
      <c r="S24" s="42">
        <f t="shared" si="39"/>
        <v>0</v>
      </c>
      <c r="T24" s="42" t="b">
        <f>IF(E24=1,S24*$DQ$3,IF(E24=2,S24*$DQ$4,IF(E24=3,S24*$DQ$5,IF(E24=4,S24*$DQ$6,IF(E24=5,S24*$DQ$7,IF(E24=6,S24*#REF!,IF(E24=7,S24*$DQ$9,IF(E24=8,S24*$DQ$10,IF(E24=9,S24*$DQ$11,IF(E24=10,S24*$DQ$12,IF(E24=11,S24*$DQ$13)))))))))))</f>
        <v>0</v>
      </c>
      <c r="U24" s="42">
        <f t="shared" si="40"/>
        <v>0</v>
      </c>
      <c r="V24" s="42">
        <f t="shared" si="24"/>
        <v>0</v>
      </c>
      <c r="W24" s="210">
        <f t="shared" si="23"/>
        <v>0</v>
      </c>
      <c r="X24" s="43" t="b">
        <f t="shared" si="36"/>
        <v>0</v>
      </c>
      <c r="Y24" s="44" t="str">
        <f t="shared" si="37"/>
        <v>N/A</v>
      </c>
      <c r="Z24" s="170" t="e">
        <f t="shared" si="10"/>
        <v>#DIV/0!</v>
      </c>
      <c r="AA24" s="45" t="e">
        <f t="shared" si="11"/>
        <v>#DIV/0!</v>
      </c>
      <c r="AB24" s="45" t="e">
        <f t="shared" si="25"/>
        <v>#DIV/0!</v>
      </c>
      <c r="AC24" s="45">
        <f t="shared" si="30"/>
        <v>0</v>
      </c>
      <c r="AD24" s="45">
        <f t="shared" si="41"/>
        <v>0</v>
      </c>
      <c r="AE24" s="45">
        <f t="shared" si="42"/>
        <v>0</v>
      </c>
      <c r="AF24" s="45">
        <f t="shared" si="38"/>
        <v>0</v>
      </c>
      <c r="AG24" s="128">
        <f t="shared" si="12"/>
        <v>10</v>
      </c>
      <c r="AH24" s="49">
        <f t="shared" si="13"/>
        <v>10</v>
      </c>
      <c r="AI24" s="49">
        <f t="shared" si="21"/>
        <v>0</v>
      </c>
      <c r="AJ24" s="49" t="e">
        <f t="shared" si="14"/>
        <v>#DIV/0!</v>
      </c>
      <c r="AK24" s="49" t="e">
        <f t="shared" si="15"/>
        <v>#DIV/0!</v>
      </c>
      <c r="AL24" s="49">
        <f t="shared" si="16"/>
        <v>0</v>
      </c>
      <c r="AM24" s="49">
        <f t="shared" si="17"/>
        <v>0</v>
      </c>
      <c r="AN24" s="49">
        <f t="shared" si="18"/>
        <v>0</v>
      </c>
      <c r="AO24" s="49">
        <f t="shared" si="19"/>
        <v>0</v>
      </c>
      <c r="AP24" s="214">
        <v>0</v>
      </c>
      <c r="AQ24" s="188"/>
      <c r="AR24" s="189">
        <v>1</v>
      </c>
      <c r="AS24" s="189"/>
      <c r="AT24" s="189"/>
      <c r="AU24" s="189"/>
      <c r="AV24" s="189"/>
      <c r="AW24" s="189"/>
      <c r="AX24" s="189"/>
      <c r="AY24" s="189"/>
      <c r="AZ24" s="189"/>
      <c r="BA24" s="189"/>
      <c r="BB24" s="189">
        <v>1</v>
      </c>
      <c r="BC24" s="189"/>
      <c r="BD24" s="189"/>
      <c r="BE24" s="190"/>
      <c r="BF24" s="188"/>
      <c r="BG24" s="189">
        <v>1</v>
      </c>
      <c r="BH24" s="189"/>
      <c r="BI24" s="189"/>
      <c r="BJ24" s="189"/>
      <c r="BK24" s="189"/>
      <c r="BL24" s="189"/>
      <c r="BM24" s="189"/>
      <c r="BN24" s="189"/>
      <c r="BO24" s="189"/>
      <c r="BP24" s="189"/>
      <c r="BQ24" s="189">
        <v>1</v>
      </c>
      <c r="BR24" s="189"/>
      <c r="BS24" s="189"/>
      <c r="BT24" s="198"/>
      <c r="BU24" s="188"/>
      <c r="BV24" s="189">
        <v>1</v>
      </c>
      <c r="BW24" s="189"/>
      <c r="BX24" s="189"/>
      <c r="BY24" s="189"/>
      <c r="BZ24" s="189"/>
      <c r="CA24" s="53"/>
      <c r="CB24" s="189"/>
      <c r="CC24" s="191"/>
      <c r="CD24" s="189"/>
      <c r="CE24" s="189"/>
      <c r="CF24" s="189">
        <v>1</v>
      </c>
      <c r="CG24" s="189"/>
      <c r="CH24" s="189"/>
      <c r="CI24" s="190"/>
      <c r="CJ24" s="188"/>
      <c r="CK24" s="189">
        <v>1</v>
      </c>
      <c r="CL24" s="189"/>
      <c r="CM24" s="189"/>
      <c r="CN24" s="189"/>
      <c r="CO24" s="189"/>
      <c r="CP24" s="191"/>
      <c r="CQ24" s="189"/>
      <c r="CR24" s="191"/>
      <c r="CS24" s="191"/>
      <c r="CT24" s="189"/>
      <c r="CU24" s="189">
        <v>1</v>
      </c>
      <c r="CV24" s="189"/>
      <c r="CW24" s="189"/>
      <c r="CX24" s="190"/>
      <c r="CY24" s="188"/>
      <c r="CZ24" s="189">
        <v>1</v>
      </c>
      <c r="DA24" s="189"/>
      <c r="DB24" s="189"/>
      <c r="DC24" s="189"/>
      <c r="DD24" s="189"/>
      <c r="DE24" s="191"/>
      <c r="DF24" s="189"/>
      <c r="DG24" s="191"/>
      <c r="DH24" s="191"/>
      <c r="DI24" s="189"/>
      <c r="DJ24" s="189">
        <v>1</v>
      </c>
      <c r="DK24" s="189"/>
      <c r="DL24" s="189"/>
      <c r="DM24" s="190"/>
      <c r="DO24" s="5"/>
      <c r="DP24" s="42"/>
      <c r="DQ24" s="7"/>
    </row>
    <row r="25" spans="1:121" x14ac:dyDescent="0.2">
      <c r="A25" s="33" t="e">
        <f t="shared" si="34"/>
        <v>#DIV/0!</v>
      </c>
      <c r="B25" s="34"/>
      <c r="C25" s="116" t="e">
        <f t="shared" si="1"/>
        <v>#DIV/0!</v>
      </c>
      <c r="D25" s="117"/>
      <c r="E25" s="37"/>
      <c r="F25" s="197"/>
      <c r="G25" s="119">
        <f t="shared" ca="1" si="2"/>
        <v>125.85205479452055</v>
      </c>
      <c r="H25" s="39"/>
      <c r="I25" s="39">
        <f t="shared" si="35"/>
        <v>127.40821917808219</v>
      </c>
      <c r="J25" s="205"/>
      <c r="K25" s="205"/>
      <c r="L25" s="205"/>
      <c r="M25" s="194"/>
      <c r="N25" s="121">
        <f t="shared" si="4"/>
        <v>0</v>
      </c>
      <c r="O25" s="122">
        <f t="shared" si="5"/>
        <v>0</v>
      </c>
      <c r="P25" s="122">
        <f t="shared" si="6"/>
        <v>0</v>
      </c>
      <c r="Q25" s="122">
        <f t="shared" si="7"/>
        <v>0</v>
      </c>
      <c r="R25" s="122">
        <f t="shared" si="8"/>
        <v>0</v>
      </c>
      <c r="S25" s="42">
        <f t="shared" si="39"/>
        <v>0</v>
      </c>
      <c r="T25" s="42" t="b">
        <f>IF(E25=1,S25*$DQ$3,IF(E25=2,S25*$DQ$4,IF(E25=3,S25*$DQ$5,IF(E25=4,S25*$DQ$6,IF(E25=5,S25*$DQ$7,IF(E25=6,S25*#REF!,IF(E25=7,S25*$DQ$9,IF(E25=8,S25*$DQ$10,IF(E25=9,S25*$DQ$11,IF(E25=10,S25*$DQ$12,IF(E25=11,S25*$DQ$13)))))))))))</f>
        <v>0</v>
      </c>
      <c r="U25" s="42">
        <f t="shared" si="40"/>
        <v>0</v>
      </c>
      <c r="V25" s="42">
        <f t="shared" si="24"/>
        <v>0</v>
      </c>
      <c r="W25" s="210">
        <f t="shared" si="23"/>
        <v>0</v>
      </c>
      <c r="X25" s="43" t="b">
        <f t="shared" si="36"/>
        <v>0</v>
      </c>
      <c r="Y25" s="44" t="str">
        <f t="shared" si="37"/>
        <v>N/A</v>
      </c>
      <c r="Z25" s="170" t="e">
        <f t="shared" si="10"/>
        <v>#DIV/0!</v>
      </c>
      <c r="AA25" s="45" t="e">
        <f t="shared" si="11"/>
        <v>#DIV/0!</v>
      </c>
      <c r="AB25" s="45" t="e">
        <f t="shared" si="25"/>
        <v>#DIV/0!</v>
      </c>
      <c r="AC25" s="45">
        <f t="shared" si="30"/>
        <v>0</v>
      </c>
      <c r="AD25" s="45">
        <f t="shared" si="41"/>
        <v>0</v>
      </c>
      <c r="AE25" s="45">
        <f t="shared" si="42"/>
        <v>0</v>
      </c>
      <c r="AF25" s="45">
        <f t="shared" si="38"/>
        <v>0</v>
      </c>
      <c r="AG25" s="128">
        <f t="shared" si="12"/>
        <v>10</v>
      </c>
      <c r="AH25" s="49">
        <f t="shared" si="13"/>
        <v>10</v>
      </c>
      <c r="AI25" s="49">
        <f t="shared" si="21"/>
        <v>0</v>
      </c>
      <c r="AJ25" s="49" t="e">
        <f t="shared" si="14"/>
        <v>#DIV/0!</v>
      </c>
      <c r="AK25" s="49" t="e">
        <f t="shared" si="15"/>
        <v>#DIV/0!</v>
      </c>
      <c r="AL25" s="49">
        <f t="shared" si="16"/>
        <v>0</v>
      </c>
      <c r="AM25" s="49">
        <f t="shared" si="17"/>
        <v>0</v>
      </c>
      <c r="AN25" s="49">
        <f t="shared" si="18"/>
        <v>0</v>
      </c>
      <c r="AO25" s="49">
        <f t="shared" si="19"/>
        <v>0</v>
      </c>
      <c r="AP25" s="50">
        <v>0</v>
      </c>
      <c r="AQ25" s="188"/>
      <c r="AR25" s="189">
        <v>1</v>
      </c>
      <c r="AS25" s="189"/>
      <c r="AT25" s="189"/>
      <c r="AU25" s="189"/>
      <c r="AV25" s="189"/>
      <c r="AW25" s="189"/>
      <c r="AX25" s="189"/>
      <c r="AY25" s="189"/>
      <c r="AZ25" s="189"/>
      <c r="BA25" s="189"/>
      <c r="BB25" s="189">
        <v>1</v>
      </c>
      <c r="BC25" s="189"/>
      <c r="BD25" s="189"/>
      <c r="BE25" s="190"/>
      <c r="BF25" s="188"/>
      <c r="BG25" s="189">
        <v>1</v>
      </c>
      <c r="BH25" s="189"/>
      <c r="BI25" s="189"/>
      <c r="BJ25" s="189"/>
      <c r="BK25" s="189"/>
      <c r="BL25" s="189"/>
      <c r="BM25" s="189"/>
      <c r="BN25" s="189"/>
      <c r="BO25" s="189"/>
      <c r="BP25" s="189"/>
      <c r="BQ25" s="189">
        <v>1</v>
      </c>
      <c r="BR25" s="189"/>
      <c r="BS25" s="189"/>
      <c r="BT25" s="198"/>
      <c r="BU25" s="188"/>
      <c r="BV25" s="189">
        <v>1</v>
      </c>
      <c r="BW25" s="189"/>
      <c r="BX25" s="189"/>
      <c r="BY25" s="189"/>
      <c r="BZ25" s="189"/>
      <c r="CA25" s="53"/>
      <c r="CB25" s="189"/>
      <c r="CC25" s="191"/>
      <c r="CD25" s="189"/>
      <c r="CE25" s="189"/>
      <c r="CF25" s="189">
        <v>1</v>
      </c>
      <c r="CG25" s="189"/>
      <c r="CH25" s="189"/>
      <c r="CI25" s="190"/>
      <c r="CJ25" s="188"/>
      <c r="CK25" s="189">
        <v>1</v>
      </c>
      <c r="CL25" s="189"/>
      <c r="CM25" s="189"/>
      <c r="CN25" s="189"/>
      <c r="CO25" s="189"/>
      <c r="CP25" s="191"/>
      <c r="CQ25" s="189"/>
      <c r="CR25" s="191"/>
      <c r="CS25" s="191"/>
      <c r="CT25" s="189"/>
      <c r="CU25" s="189">
        <v>1</v>
      </c>
      <c r="CV25" s="189"/>
      <c r="CW25" s="189"/>
      <c r="CX25" s="190"/>
      <c r="CY25" s="188"/>
      <c r="CZ25" s="189">
        <v>1</v>
      </c>
      <c r="DA25" s="189"/>
      <c r="DB25" s="189"/>
      <c r="DC25" s="189"/>
      <c r="DD25" s="189"/>
      <c r="DE25" s="191"/>
      <c r="DF25" s="189"/>
      <c r="DG25" s="191"/>
      <c r="DH25" s="191"/>
      <c r="DI25" s="189"/>
      <c r="DJ25" s="189">
        <v>1</v>
      </c>
      <c r="DK25" s="189"/>
      <c r="DL25" s="189"/>
      <c r="DM25" s="190"/>
      <c r="DO25" s="5"/>
      <c r="DP25" s="42"/>
      <c r="DQ25" s="7"/>
    </row>
    <row r="26" spans="1:121" x14ac:dyDescent="0.2">
      <c r="A26" s="33" t="e">
        <f t="shared" si="34"/>
        <v>#DIV/0!</v>
      </c>
      <c r="B26" s="34"/>
      <c r="C26" s="116" t="e">
        <f t="shared" si="1"/>
        <v>#DIV/0!</v>
      </c>
      <c r="D26" s="117"/>
      <c r="E26" s="37"/>
      <c r="F26" s="118"/>
      <c r="G26" s="119">
        <f t="shared" ca="1" si="2"/>
        <v>125.85205479452055</v>
      </c>
      <c r="H26" s="39"/>
      <c r="I26" s="39">
        <f t="shared" si="35"/>
        <v>127.40821917808219</v>
      </c>
      <c r="J26" s="205"/>
      <c r="K26" s="205"/>
      <c r="L26" s="205"/>
      <c r="M26" s="194"/>
      <c r="N26" s="121">
        <f t="shared" si="4"/>
        <v>0</v>
      </c>
      <c r="O26" s="122">
        <f t="shared" si="5"/>
        <v>0</v>
      </c>
      <c r="P26" s="122">
        <f t="shared" si="6"/>
        <v>0</v>
      </c>
      <c r="Q26" s="122">
        <f t="shared" si="7"/>
        <v>0</v>
      </c>
      <c r="R26" s="122">
        <f t="shared" si="8"/>
        <v>0</v>
      </c>
      <c r="S26" s="42">
        <f t="shared" si="39"/>
        <v>0</v>
      </c>
      <c r="T26" s="42" t="b">
        <f>IF(E26=1,S26*$DQ$3,IF(E26=2,S26*$DQ$4,IF(E26=3,S26*$DQ$5,IF(E26=4,S26*$DQ$6,IF(E26=5,S26*$DQ$7,IF(E26=6,S26*#REF!,IF(E26=7,S26*$DQ$9,IF(E26=8,S26*$DQ$10,IF(E26=9,S26*$DQ$11,IF(E26=10,S26*$DQ$12,IF(E26=11,S26*$DQ$13)))))))))))</f>
        <v>0</v>
      </c>
      <c r="U26" s="42">
        <f t="shared" si="40"/>
        <v>0</v>
      </c>
      <c r="V26" s="42">
        <f t="shared" si="24"/>
        <v>0</v>
      </c>
      <c r="W26" s="210">
        <f t="shared" si="23"/>
        <v>0</v>
      </c>
      <c r="X26" s="43" t="b">
        <f t="shared" si="36"/>
        <v>0</v>
      </c>
      <c r="Y26" s="44" t="str">
        <f t="shared" si="37"/>
        <v>N/A</v>
      </c>
      <c r="Z26" s="170" t="e">
        <f t="shared" si="10"/>
        <v>#DIV/0!</v>
      </c>
      <c r="AA26" s="45" t="e">
        <f t="shared" si="11"/>
        <v>#DIV/0!</v>
      </c>
      <c r="AB26" s="45" t="e">
        <f t="shared" si="25"/>
        <v>#DIV/0!</v>
      </c>
      <c r="AC26" s="45">
        <f t="shared" si="30"/>
        <v>0</v>
      </c>
      <c r="AD26" s="45">
        <f t="shared" si="41"/>
        <v>0</v>
      </c>
      <c r="AE26" s="45">
        <f t="shared" si="42"/>
        <v>0</v>
      </c>
      <c r="AF26" s="45">
        <f t="shared" si="38"/>
        <v>0</v>
      </c>
      <c r="AG26" s="128">
        <f t="shared" si="12"/>
        <v>10</v>
      </c>
      <c r="AH26" s="49">
        <f t="shared" si="13"/>
        <v>10</v>
      </c>
      <c r="AI26" s="49">
        <f t="shared" si="21"/>
        <v>0</v>
      </c>
      <c r="AJ26" s="49" t="e">
        <f t="shared" si="14"/>
        <v>#DIV/0!</v>
      </c>
      <c r="AK26" s="49" t="e">
        <f t="shared" si="15"/>
        <v>#DIV/0!</v>
      </c>
      <c r="AL26" s="49">
        <f t="shared" si="16"/>
        <v>0</v>
      </c>
      <c r="AM26" s="49">
        <f t="shared" si="17"/>
        <v>0</v>
      </c>
      <c r="AN26" s="49">
        <f t="shared" si="18"/>
        <v>0</v>
      </c>
      <c r="AO26" s="49">
        <f t="shared" si="19"/>
        <v>0</v>
      </c>
      <c r="AP26" s="50">
        <v>0</v>
      </c>
      <c r="AQ26" s="188"/>
      <c r="AR26" s="189">
        <v>1</v>
      </c>
      <c r="AS26" s="189"/>
      <c r="AT26" s="189"/>
      <c r="AU26" s="189"/>
      <c r="AV26" s="189"/>
      <c r="AW26" s="189"/>
      <c r="AX26" s="189"/>
      <c r="AY26" s="189"/>
      <c r="AZ26" s="189"/>
      <c r="BA26" s="189"/>
      <c r="BB26" s="189">
        <v>1</v>
      </c>
      <c r="BC26" s="189"/>
      <c r="BD26" s="189"/>
      <c r="BE26" s="190"/>
      <c r="BF26" s="188"/>
      <c r="BG26" s="189">
        <v>1</v>
      </c>
      <c r="BH26" s="189"/>
      <c r="BI26" s="189"/>
      <c r="BJ26" s="189"/>
      <c r="BK26" s="189"/>
      <c r="BL26" s="189"/>
      <c r="BM26" s="189"/>
      <c r="BN26" s="189"/>
      <c r="BO26" s="189"/>
      <c r="BP26" s="189"/>
      <c r="BQ26" s="189">
        <v>1</v>
      </c>
      <c r="BR26" s="189"/>
      <c r="BS26" s="189"/>
      <c r="BT26" s="198"/>
      <c r="BU26" s="188"/>
      <c r="BV26" s="189">
        <v>1</v>
      </c>
      <c r="BW26" s="189"/>
      <c r="BX26" s="189"/>
      <c r="BY26" s="189"/>
      <c r="BZ26" s="189"/>
      <c r="CA26" s="53"/>
      <c r="CB26" s="189"/>
      <c r="CC26" s="191"/>
      <c r="CD26" s="189"/>
      <c r="CE26" s="189"/>
      <c r="CF26" s="189">
        <v>1</v>
      </c>
      <c r="CG26" s="189"/>
      <c r="CH26" s="189"/>
      <c r="CI26" s="190"/>
      <c r="CJ26" s="188"/>
      <c r="CK26" s="189">
        <v>1</v>
      </c>
      <c r="CL26" s="189"/>
      <c r="CM26" s="189"/>
      <c r="CN26" s="189"/>
      <c r="CO26" s="189"/>
      <c r="CP26" s="191"/>
      <c r="CQ26" s="189"/>
      <c r="CR26" s="191"/>
      <c r="CS26" s="189"/>
      <c r="CT26" s="189"/>
      <c r="CU26" s="189">
        <v>1</v>
      </c>
      <c r="CV26" s="189"/>
      <c r="CW26" s="189"/>
      <c r="CX26" s="190"/>
      <c r="CY26" s="188"/>
      <c r="CZ26" s="189">
        <v>1</v>
      </c>
      <c r="DA26" s="189"/>
      <c r="DB26" s="189"/>
      <c r="DC26" s="189"/>
      <c r="DD26" s="189"/>
      <c r="DE26" s="191"/>
      <c r="DF26" s="189"/>
      <c r="DG26" s="191"/>
      <c r="DH26" s="191"/>
      <c r="DI26" s="189"/>
      <c r="DJ26" s="189">
        <v>1</v>
      </c>
      <c r="DK26" s="189"/>
      <c r="DL26" s="189"/>
      <c r="DM26" s="190"/>
      <c r="DO26" s="5"/>
      <c r="DP26" s="42"/>
      <c r="DQ26" s="7"/>
    </row>
    <row r="27" spans="1:121" x14ac:dyDescent="0.2">
      <c r="A27" s="33" t="e">
        <f t="shared" si="34"/>
        <v>#DIV/0!</v>
      </c>
      <c r="B27" s="34"/>
      <c r="C27" s="116" t="e">
        <f t="shared" si="1"/>
        <v>#DIV/0!</v>
      </c>
      <c r="D27" s="117"/>
      <c r="E27" s="37"/>
      <c r="F27" s="118"/>
      <c r="G27" s="119">
        <f t="shared" ca="1" si="2"/>
        <v>125.85205479452055</v>
      </c>
      <c r="H27" s="39"/>
      <c r="I27" s="39">
        <f t="shared" si="35"/>
        <v>127.40821917808219</v>
      </c>
      <c r="J27" s="205"/>
      <c r="K27" s="205"/>
      <c r="L27" s="205"/>
      <c r="M27" s="194"/>
      <c r="N27" s="121">
        <f t="shared" si="4"/>
        <v>0</v>
      </c>
      <c r="O27" s="122">
        <f t="shared" si="5"/>
        <v>0</v>
      </c>
      <c r="P27" s="122">
        <f t="shared" si="6"/>
        <v>0</v>
      </c>
      <c r="Q27" s="122">
        <f t="shared" si="7"/>
        <v>0</v>
      </c>
      <c r="R27" s="122">
        <f t="shared" si="8"/>
        <v>0</v>
      </c>
      <c r="S27" s="42">
        <f t="shared" si="39"/>
        <v>0</v>
      </c>
      <c r="T27" s="42" t="b">
        <f>IF(E27=1,S27*$DQ$3,IF(E27=2,S27*$DQ$4,IF(E27=3,S27*$DQ$5,IF(E27=4,S27*$DQ$6,IF(E27=5,S27*$DQ$7,IF(E27=6,S27*#REF!,IF(E27=7,S27*$DQ$9,IF(E27=8,S27*$DQ$10,IF(E27=9,S27*$DQ$11,IF(E27=10,S27*$DQ$12,IF(E27=11,S27*$DQ$13)))))))))))</f>
        <v>0</v>
      </c>
      <c r="U27" s="42">
        <f t="shared" si="40"/>
        <v>0</v>
      </c>
      <c r="V27" s="42">
        <f t="shared" si="24"/>
        <v>0</v>
      </c>
      <c r="W27" s="210">
        <f t="shared" si="23"/>
        <v>0</v>
      </c>
      <c r="X27" s="43" t="b">
        <f t="shared" si="36"/>
        <v>0</v>
      </c>
      <c r="Y27" s="44" t="str">
        <f t="shared" si="37"/>
        <v>N/A</v>
      </c>
      <c r="Z27" s="170" t="e">
        <f t="shared" si="10"/>
        <v>#DIV/0!</v>
      </c>
      <c r="AA27" s="45" t="e">
        <f t="shared" si="11"/>
        <v>#DIV/0!</v>
      </c>
      <c r="AB27" s="45" t="e">
        <f>IF($P27&gt;=15%,MAX((BZ27/BY27),(CO27/CN27)),MAX((CO27/CN27)))</f>
        <v>#DIV/0!</v>
      </c>
      <c r="AC27" s="45">
        <f t="shared" si="30"/>
        <v>0</v>
      </c>
      <c r="AD27" s="45">
        <f t="shared" si="41"/>
        <v>0</v>
      </c>
      <c r="AE27" s="45">
        <f t="shared" si="42"/>
        <v>0</v>
      </c>
      <c r="AF27" s="45">
        <f t="shared" si="38"/>
        <v>0</v>
      </c>
      <c r="AG27" s="128">
        <f t="shared" si="12"/>
        <v>10</v>
      </c>
      <c r="AH27" s="49">
        <f t="shared" si="13"/>
        <v>10</v>
      </c>
      <c r="AI27" s="49">
        <f t="shared" si="21"/>
        <v>0</v>
      </c>
      <c r="AJ27" s="49" t="e">
        <f t="shared" si="14"/>
        <v>#DIV/0!</v>
      </c>
      <c r="AK27" s="49" t="e">
        <f t="shared" si="15"/>
        <v>#DIV/0!</v>
      </c>
      <c r="AL27" s="49">
        <f t="shared" si="16"/>
        <v>0</v>
      </c>
      <c r="AM27" s="49">
        <f t="shared" si="17"/>
        <v>0</v>
      </c>
      <c r="AN27" s="49">
        <f t="shared" si="18"/>
        <v>0</v>
      </c>
      <c r="AO27" s="49">
        <f t="shared" si="19"/>
        <v>0</v>
      </c>
      <c r="AP27" s="50">
        <v>0</v>
      </c>
      <c r="AQ27" s="56"/>
      <c r="AR27" s="57">
        <v>1</v>
      </c>
      <c r="AS27" s="57"/>
      <c r="AT27" s="57"/>
      <c r="AU27" s="57"/>
      <c r="AV27" s="57"/>
      <c r="AW27" s="57"/>
      <c r="AX27" s="57"/>
      <c r="AY27" s="57"/>
      <c r="AZ27" s="57"/>
      <c r="BA27" s="57"/>
      <c r="BB27" s="57">
        <v>1</v>
      </c>
      <c r="BC27" s="57"/>
      <c r="BD27" s="57"/>
      <c r="BE27" s="59"/>
      <c r="BF27" s="56"/>
      <c r="BG27" s="57">
        <v>1</v>
      </c>
      <c r="BH27" s="57"/>
      <c r="BI27" s="57"/>
      <c r="BJ27" s="57"/>
      <c r="BK27" s="57"/>
      <c r="BL27" s="57"/>
      <c r="BM27" s="57"/>
      <c r="BN27" s="57"/>
      <c r="BO27" s="57"/>
      <c r="BP27" s="57"/>
      <c r="BQ27" s="57">
        <v>1</v>
      </c>
      <c r="BR27" s="57"/>
      <c r="BS27" s="57"/>
      <c r="BT27" s="59"/>
      <c r="BU27" s="56"/>
      <c r="BV27" s="57">
        <v>1</v>
      </c>
      <c r="BW27" s="57"/>
      <c r="BX27" s="57"/>
      <c r="BY27" s="57"/>
      <c r="BZ27" s="57"/>
      <c r="CA27" s="53"/>
      <c r="CB27" s="57"/>
      <c r="CC27" s="58"/>
      <c r="CD27" s="57"/>
      <c r="CE27" s="57"/>
      <c r="CF27" s="57">
        <v>1</v>
      </c>
      <c r="CG27" s="57"/>
      <c r="CH27" s="57"/>
      <c r="CI27" s="59"/>
      <c r="CJ27" s="56"/>
      <c r="CK27" s="57">
        <v>1</v>
      </c>
      <c r="CL27" s="57"/>
      <c r="CM27" s="57"/>
      <c r="CN27" s="57"/>
      <c r="CO27" s="57"/>
      <c r="CP27" s="58"/>
      <c r="CQ27" s="57"/>
      <c r="CR27" s="58"/>
      <c r="CS27" s="57"/>
      <c r="CT27" s="57"/>
      <c r="CU27" s="57">
        <v>1</v>
      </c>
      <c r="CV27" s="57"/>
      <c r="CW27" s="57"/>
      <c r="CX27" s="59"/>
      <c r="CY27" s="56"/>
      <c r="CZ27" s="57">
        <v>1</v>
      </c>
      <c r="DA27" s="57"/>
      <c r="DB27" s="57"/>
      <c r="DC27" s="57"/>
      <c r="DD27" s="57"/>
      <c r="DE27" s="58"/>
      <c r="DF27" s="57"/>
      <c r="DG27" s="58"/>
      <c r="DH27" s="58"/>
      <c r="DI27" s="57"/>
      <c r="DJ27" s="57">
        <v>1</v>
      </c>
      <c r="DK27" s="57"/>
      <c r="DL27" s="57"/>
      <c r="DM27" s="59"/>
      <c r="DO27" s="5"/>
      <c r="DP27" s="42"/>
      <c r="DQ27" s="7"/>
    </row>
    <row r="28" spans="1:121" x14ac:dyDescent="0.2">
      <c r="A28" s="33" t="e">
        <f t="shared" si="34"/>
        <v>#DIV/0!</v>
      </c>
      <c r="B28" s="34"/>
      <c r="C28" s="116" t="e">
        <f t="shared" si="1"/>
        <v>#DIV/0!</v>
      </c>
      <c r="D28" s="117"/>
      <c r="E28" s="37"/>
      <c r="F28" s="197"/>
      <c r="G28" s="119">
        <f t="shared" ca="1" si="2"/>
        <v>125.85205479452055</v>
      </c>
      <c r="H28" s="39"/>
      <c r="I28" s="39">
        <f t="shared" si="35"/>
        <v>127.40821917808219</v>
      </c>
      <c r="J28" s="205"/>
      <c r="K28" s="205"/>
      <c r="L28" s="205"/>
      <c r="M28" s="194"/>
      <c r="N28" s="121">
        <f t="shared" si="4"/>
        <v>0</v>
      </c>
      <c r="O28" s="122">
        <f t="shared" si="5"/>
        <v>0</v>
      </c>
      <c r="P28" s="122">
        <f t="shared" si="6"/>
        <v>0</v>
      </c>
      <c r="Q28" s="122">
        <f t="shared" si="7"/>
        <v>0</v>
      </c>
      <c r="R28" s="122">
        <f t="shared" si="8"/>
        <v>0</v>
      </c>
      <c r="S28" s="42">
        <f t="shared" si="39"/>
        <v>0</v>
      </c>
      <c r="T28" s="42" t="b">
        <f>IF(E28=1,S28*$DQ$3,IF(E28=2,S28*$DQ$4,IF(E28=3,S28*$DQ$5,IF(E28=4,S28*$DQ$6,IF(E28=5,S28*$DQ$7,IF(E28=6,S28*#REF!,IF(E28=7,S28*$DQ$9,IF(E28=8,S28*$DQ$10,IF(E28=9,S28*$DQ$11,IF(E28=10,S28*$DQ$12,IF(E28=11,S28*$DQ$13)))))))))))</f>
        <v>0</v>
      </c>
      <c r="U28" s="42">
        <f t="shared" si="40"/>
        <v>0</v>
      </c>
      <c r="V28" s="42">
        <f t="shared" si="24"/>
        <v>0</v>
      </c>
      <c r="W28" s="210">
        <f t="shared" si="23"/>
        <v>0</v>
      </c>
      <c r="X28" s="43" t="b">
        <f t="shared" si="36"/>
        <v>0</v>
      </c>
      <c r="Y28" s="44" t="str">
        <f t="shared" si="37"/>
        <v>N/A</v>
      </c>
      <c r="Z28" s="170" t="e">
        <f t="shared" si="10"/>
        <v>#DIV/0!</v>
      </c>
      <c r="AA28" s="45" t="e">
        <f t="shared" si="11"/>
        <v>#DIV/0!</v>
      </c>
      <c r="AB28" s="45" t="e">
        <f>IF($P28&gt;=15%,MAX((BZ28/BY28),(CO28/CN28)),MAX((BZ28/BY28),(CO28/CN28)))</f>
        <v>#DIV/0!</v>
      </c>
      <c r="AC28" s="45">
        <f t="shared" si="30"/>
        <v>0</v>
      </c>
      <c r="AD28" s="45">
        <f t="shared" si="41"/>
        <v>0</v>
      </c>
      <c r="AE28" s="45">
        <f t="shared" si="42"/>
        <v>0</v>
      </c>
      <c r="AF28" s="45">
        <f t="shared" si="38"/>
        <v>0</v>
      </c>
      <c r="AG28" s="128">
        <f t="shared" si="12"/>
        <v>10</v>
      </c>
      <c r="AH28" s="49">
        <f t="shared" si="13"/>
        <v>10</v>
      </c>
      <c r="AI28" s="49">
        <f t="shared" si="21"/>
        <v>0</v>
      </c>
      <c r="AJ28" s="49" t="e">
        <f t="shared" si="14"/>
        <v>#DIV/0!</v>
      </c>
      <c r="AK28" s="49" t="e">
        <f t="shared" si="15"/>
        <v>#DIV/0!</v>
      </c>
      <c r="AL28" s="49">
        <f t="shared" si="16"/>
        <v>0</v>
      </c>
      <c r="AM28" s="49">
        <f t="shared" si="17"/>
        <v>0</v>
      </c>
      <c r="AN28" s="49">
        <f t="shared" si="18"/>
        <v>0</v>
      </c>
      <c r="AO28" s="49">
        <f t="shared" si="19"/>
        <v>0</v>
      </c>
      <c r="AP28" s="50">
        <v>0</v>
      </c>
      <c r="AQ28" s="188"/>
      <c r="AR28" s="189">
        <v>1</v>
      </c>
      <c r="AS28" s="189"/>
      <c r="AT28" s="189"/>
      <c r="AU28" s="189"/>
      <c r="AV28" s="189"/>
      <c r="AW28" s="189"/>
      <c r="AX28" s="189"/>
      <c r="AY28" s="189"/>
      <c r="AZ28" s="189"/>
      <c r="BA28" s="189"/>
      <c r="BB28" s="189">
        <v>1</v>
      </c>
      <c r="BC28" s="189"/>
      <c r="BD28" s="189"/>
      <c r="BE28" s="190"/>
      <c r="BF28" s="188"/>
      <c r="BG28" s="189">
        <v>1</v>
      </c>
      <c r="BH28" s="189"/>
      <c r="BI28" s="189"/>
      <c r="BJ28" s="189"/>
      <c r="BK28" s="189"/>
      <c r="BL28" s="189"/>
      <c r="BM28" s="189"/>
      <c r="BN28" s="189"/>
      <c r="BO28" s="189"/>
      <c r="BP28" s="189"/>
      <c r="BQ28" s="189">
        <v>1</v>
      </c>
      <c r="BR28" s="189"/>
      <c r="BS28" s="189"/>
      <c r="BT28" s="198"/>
      <c r="BU28" s="188"/>
      <c r="BV28" s="189">
        <v>1</v>
      </c>
      <c r="BW28" s="189"/>
      <c r="BX28" s="189"/>
      <c r="BY28" s="189"/>
      <c r="BZ28" s="189"/>
      <c r="CA28" s="53"/>
      <c r="CB28" s="189"/>
      <c r="CC28" s="191"/>
      <c r="CD28" s="189"/>
      <c r="CE28" s="189"/>
      <c r="CF28" s="189">
        <v>1</v>
      </c>
      <c r="CG28" s="189"/>
      <c r="CH28" s="189"/>
      <c r="CI28" s="190"/>
      <c r="CJ28" s="188"/>
      <c r="CK28" s="189">
        <v>1</v>
      </c>
      <c r="CL28" s="189"/>
      <c r="CM28" s="189"/>
      <c r="CN28" s="189"/>
      <c r="CO28" s="189"/>
      <c r="CP28" s="191"/>
      <c r="CQ28" s="189"/>
      <c r="CR28" s="191"/>
      <c r="CS28" s="191"/>
      <c r="CT28" s="189"/>
      <c r="CU28" s="189">
        <v>1</v>
      </c>
      <c r="CV28" s="189"/>
      <c r="CW28" s="189"/>
      <c r="CX28" s="190"/>
      <c r="CY28" s="188"/>
      <c r="CZ28" s="189">
        <v>1</v>
      </c>
      <c r="DA28" s="189"/>
      <c r="DB28" s="189"/>
      <c r="DC28" s="189"/>
      <c r="DD28" s="189"/>
      <c r="DE28" s="191"/>
      <c r="DF28" s="189"/>
      <c r="DG28" s="191"/>
      <c r="DH28" s="191"/>
      <c r="DI28" s="189"/>
      <c r="DJ28" s="189">
        <v>1</v>
      </c>
      <c r="DK28" s="189"/>
      <c r="DL28" s="189"/>
      <c r="DM28" s="190"/>
      <c r="DO28" s="5"/>
      <c r="DP28" s="42"/>
      <c r="DQ28" s="7"/>
    </row>
    <row r="29" spans="1:121" x14ac:dyDescent="0.2">
      <c r="A29" s="33" t="e">
        <f t="shared" si="34"/>
        <v>#DIV/0!</v>
      </c>
      <c r="B29" s="34"/>
      <c r="C29" s="116" t="e">
        <f t="shared" si="1"/>
        <v>#DIV/0!</v>
      </c>
      <c r="D29" s="117"/>
      <c r="E29" s="37"/>
      <c r="F29" s="118"/>
      <c r="G29" s="119">
        <f t="shared" ca="1" si="2"/>
        <v>125.85205479452055</v>
      </c>
      <c r="H29" s="39"/>
      <c r="I29" s="39">
        <f t="shared" si="35"/>
        <v>127.40821917808219</v>
      </c>
      <c r="J29" s="205"/>
      <c r="K29" s="205"/>
      <c r="L29" s="205"/>
      <c r="M29" s="194"/>
      <c r="N29" s="121">
        <f t="shared" si="4"/>
        <v>0</v>
      </c>
      <c r="O29" s="122">
        <f t="shared" si="5"/>
        <v>0</v>
      </c>
      <c r="P29" s="122">
        <f t="shared" si="6"/>
        <v>0</v>
      </c>
      <c r="Q29" s="122">
        <f t="shared" si="7"/>
        <v>0</v>
      </c>
      <c r="R29" s="122">
        <f t="shared" si="8"/>
        <v>0</v>
      </c>
      <c r="S29" s="42">
        <f t="shared" si="39"/>
        <v>0</v>
      </c>
      <c r="T29" s="42" t="b">
        <f>IF(E29=1,S29*$DQ$3,IF(E29=2,S29*$DQ$4,IF(E29=3,S29*$DQ$5,IF(E29=4,S29*$DQ$6,IF(E29=5,S29*$DQ$7,IF(E29=6,S29*#REF!,IF(E29=7,S29*$DQ$9,IF(E29=8,S29*$DQ$10,IF(E29=9,S29*$DQ$11,IF(E29=10,S29*$DQ$12,IF(E29=11,S29*$DQ$13)))))))))))</f>
        <v>0</v>
      </c>
      <c r="U29" s="42">
        <f t="shared" si="40"/>
        <v>0</v>
      </c>
      <c r="V29" s="42">
        <f t="shared" si="24"/>
        <v>0</v>
      </c>
      <c r="W29" s="210">
        <f t="shared" si="23"/>
        <v>0</v>
      </c>
      <c r="X29" s="43" t="b">
        <f t="shared" si="36"/>
        <v>0</v>
      </c>
      <c r="Y29" s="44" t="str">
        <f t="shared" si="37"/>
        <v>N/A</v>
      </c>
      <c r="Z29" s="170" t="e">
        <f t="shared" si="10"/>
        <v>#DIV/0!</v>
      </c>
      <c r="AA29" s="45" t="e">
        <f t="shared" si="11"/>
        <v>#DIV/0!</v>
      </c>
      <c r="AB29" s="45" t="e">
        <f>IF($P29&gt;=15%,MAX((BZ29/BY29),(CO29/CN29)),MAX((CO29/CN29)))</f>
        <v>#DIV/0!</v>
      </c>
      <c r="AC29" s="45">
        <f t="shared" si="30"/>
        <v>0</v>
      </c>
      <c r="AD29" s="45">
        <f t="shared" si="41"/>
        <v>0</v>
      </c>
      <c r="AE29" s="45">
        <f t="shared" si="42"/>
        <v>0</v>
      </c>
      <c r="AF29" s="45">
        <f t="shared" si="38"/>
        <v>0</v>
      </c>
      <c r="AG29" s="128">
        <f t="shared" si="12"/>
        <v>10</v>
      </c>
      <c r="AH29" s="49">
        <f t="shared" si="13"/>
        <v>10</v>
      </c>
      <c r="AI29" s="49">
        <f t="shared" si="21"/>
        <v>0</v>
      </c>
      <c r="AJ29" s="49" t="e">
        <f t="shared" si="14"/>
        <v>#DIV/0!</v>
      </c>
      <c r="AK29" s="49" t="e">
        <f t="shared" si="15"/>
        <v>#DIV/0!</v>
      </c>
      <c r="AL29" s="49">
        <f t="shared" si="16"/>
        <v>0</v>
      </c>
      <c r="AM29" s="49">
        <f t="shared" si="17"/>
        <v>0</v>
      </c>
      <c r="AN29" s="49">
        <f t="shared" si="18"/>
        <v>0</v>
      </c>
      <c r="AO29" s="49">
        <f t="shared" si="19"/>
        <v>0</v>
      </c>
      <c r="AP29" s="50">
        <v>0</v>
      </c>
      <c r="AQ29" s="188"/>
      <c r="AR29" s="189">
        <v>1</v>
      </c>
      <c r="AS29" s="189"/>
      <c r="AT29" s="189"/>
      <c r="AU29" s="189"/>
      <c r="AV29" s="189"/>
      <c r="AW29" s="189"/>
      <c r="AX29" s="189"/>
      <c r="AY29" s="189"/>
      <c r="AZ29" s="189"/>
      <c r="BA29" s="189"/>
      <c r="BB29" s="189">
        <v>1</v>
      </c>
      <c r="BC29" s="189"/>
      <c r="BD29" s="189"/>
      <c r="BE29" s="190"/>
      <c r="BF29" s="188"/>
      <c r="BG29" s="189">
        <v>1</v>
      </c>
      <c r="BH29" s="189"/>
      <c r="BI29" s="189"/>
      <c r="BJ29" s="189"/>
      <c r="BK29" s="189"/>
      <c r="BL29" s="189"/>
      <c r="BM29" s="189"/>
      <c r="BN29" s="189"/>
      <c r="BO29" s="189"/>
      <c r="BP29" s="189"/>
      <c r="BQ29" s="189">
        <v>1</v>
      </c>
      <c r="BR29" s="189"/>
      <c r="BS29" s="189"/>
      <c r="BT29" s="198"/>
      <c r="BU29" s="188"/>
      <c r="BV29" s="189">
        <v>1</v>
      </c>
      <c r="BW29" s="189"/>
      <c r="BX29" s="189"/>
      <c r="BY29" s="189"/>
      <c r="BZ29" s="189"/>
      <c r="CA29" s="53"/>
      <c r="CB29" s="189"/>
      <c r="CC29" s="191"/>
      <c r="CD29" s="189"/>
      <c r="CE29" s="189"/>
      <c r="CF29" s="189">
        <v>1</v>
      </c>
      <c r="CG29" s="189"/>
      <c r="CH29" s="189"/>
      <c r="CI29" s="190"/>
      <c r="CJ29" s="188"/>
      <c r="CK29" s="189">
        <v>1</v>
      </c>
      <c r="CL29" s="189"/>
      <c r="CM29" s="189"/>
      <c r="CN29" s="189"/>
      <c r="CO29" s="189"/>
      <c r="CP29" s="191"/>
      <c r="CQ29" s="189"/>
      <c r="CR29" s="191"/>
      <c r="CS29" s="191"/>
      <c r="CT29" s="189"/>
      <c r="CU29" s="189">
        <v>1</v>
      </c>
      <c r="CV29" s="189"/>
      <c r="CW29" s="189"/>
      <c r="CX29" s="190"/>
      <c r="CY29" s="188"/>
      <c r="CZ29" s="189">
        <v>1</v>
      </c>
      <c r="DA29" s="189"/>
      <c r="DB29" s="189"/>
      <c r="DC29" s="189"/>
      <c r="DD29" s="189"/>
      <c r="DE29" s="191"/>
      <c r="DF29" s="189"/>
      <c r="DG29" s="191"/>
      <c r="DH29" s="191"/>
      <c r="DI29" s="189"/>
      <c r="DJ29" s="189">
        <v>1</v>
      </c>
      <c r="DK29" s="189"/>
      <c r="DL29" s="189"/>
      <c r="DM29" s="190"/>
      <c r="DO29" s="5"/>
      <c r="DP29" s="42"/>
      <c r="DQ29" s="7"/>
    </row>
    <row r="30" spans="1:121" ht="16" thickBot="1" x14ac:dyDescent="0.25">
      <c r="A30" s="204" t="e">
        <f t="shared" si="34"/>
        <v>#DIV/0!</v>
      </c>
      <c r="B30" s="62"/>
      <c r="C30" s="134" t="e">
        <f t="shared" si="1"/>
        <v>#DIV/0!</v>
      </c>
      <c r="D30" s="135"/>
      <c r="E30" s="66"/>
      <c r="F30" s="186"/>
      <c r="G30" s="137">
        <f t="shared" ca="1" si="2"/>
        <v>125.85205479452055</v>
      </c>
      <c r="H30" s="68"/>
      <c r="I30" s="68">
        <f t="shared" si="35"/>
        <v>127.40821917808219</v>
      </c>
      <c r="J30" s="206"/>
      <c r="K30" s="206"/>
      <c r="L30" s="206"/>
      <c r="M30" s="199"/>
      <c r="N30" s="140">
        <f t="shared" si="4"/>
        <v>0</v>
      </c>
      <c r="O30" s="141">
        <f t="shared" si="5"/>
        <v>0</v>
      </c>
      <c r="P30" s="141">
        <f t="shared" si="6"/>
        <v>0</v>
      </c>
      <c r="Q30" s="141">
        <f t="shared" si="7"/>
        <v>0</v>
      </c>
      <c r="R30" s="141">
        <f t="shared" si="8"/>
        <v>0</v>
      </c>
      <c r="S30" s="71">
        <f t="shared" si="39"/>
        <v>0</v>
      </c>
      <c r="T30" s="71" t="b">
        <f>IF(E30=1,S30*$DQ$3,IF(E30=2,S30*$DQ$4,IF(E30=3,S30*$DQ$5,IF(E30=4,S30*$DQ$6,IF(E30=5,S30*$DQ$7,IF(E30=6,S30*#REF!,IF(E30=7,S30*$DQ$9,IF(E30=8,S30*$DQ$10,IF(E30=9,S30*$DQ$11,IF(E30=10,S30*$DQ$12,IF(E30=11,S30*$DQ$13)))))))))))</f>
        <v>0</v>
      </c>
      <c r="U30" s="71">
        <f t="shared" si="40"/>
        <v>0</v>
      </c>
      <c r="V30" s="71">
        <f t="shared" si="24"/>
        <v>0</v>
      </c>
      <c r="W30" s="211">
        <f t="shared" si="23"/>
        <v>0</v>
      </c>
      <c r="X30" s="72" t="b">
        <f t="shared" si="36"/>
        <v>0</v>
      </c>
      <c r="Y30" s="73" t="str">
        <f t="shared" si="37"/>
        <v>N/A</v>
      </c>
      <c r="Z30" s="172" t="e">
        <f t="shared" si="10"/>
        <v>#DIV/0!</v>
      </c>
      <c r="AA30" s="74" t="e">
        <f t="shared" si="11"/>
        <v>#DIV/0!</v>
      </c>
      <c r="AB30" s="74" t="e">
        <f>IF($P30&gt;=15%,MAX((BZ30/BY30),(CO30/CN30)),MAX((CO30/CN30)))</f>
        <v>#DIV/0!</v>
      </c>
      <c r="AC30" s="74">
        <f t="shared" si="30"/>
        <v>0</v>
      </c>
      <c r="AD30" s="74">
        <f t="shared" si="41"/>
        <v>0</v>
      </c>
      <c r="AE30" s="74">
        <f t="shared" si="42"/>
        <v>0</v>
      </c>
      <c r="AF30" s="75">
        <f t="shared" si="38"/>
        <v>0</v>
      </c>
      <c r="AG30" s="142">
        <f t="shared" si="12"/>
        <v>10</v>
      </c>
      <c r="AH30" s="78">
        <f t="shared" si="13"/>
        <v>10</v>
      </c>
      <c r="AI30" s="78">
        <f t="shared" si="21"/>
        <v>0</v>
      </c>
      <c r="AJ30" s="78" t="e">
        <f t="shared" si="14"/>
        <v>#DIV/0!</v>
      </c>
      <c r="AK30" s="78" t="e">
        <f t="shared" si="15"/>
        <v>#DIV/0!</v>
      </c>
      <c r="AL30" s="215">
        <f t="shared" si="16"/>
        <v>0</v>
      </c>
      <c r="AM30" s="78">
        <f t="shared" si="17"/>
        <v>0</v>
      </c>
      <c r="AN30" s="78">
        <f t="shared" si="18"/>
        <v>0</v>
      </c>
      <c r="AO30" s="78">
        <f t="shared" si="19"/>
        <v>0</v>
      </c>
      <c r="AP30" s="79">
        <v>0</v>
      </c>
      <c r="AQ30" s="80"/>
      <c r="AR30" s="81">
        <v>1</v>
      </c>
      <c r="AS30" s="81"/>
      <c r="AT30" s="81"/>
      <c r="AU30" s="81"/>
      <c r="AV30" s="81"/>
      <c r="AW30" s="81"/>
      <c r="AX30" s="81"/>
      <c r="AY30" s="81"/>
      <c r="AZ30" s="81"/>
      <c r="BA30" s="81"/>
      <c r="BB30" s="81">
        <v>1</v>
      </c>
      <c r="BC30" s="81"/>
      <c r="BD30" s="81"/>
      <c r="BE30" s="83"/>
      <c r="BF30" s="80"/>
      <c r="BG30" s="81">
        <v>1</v>
      </c>
      <c r="BH30" s="81"/>
      <c r="BI30" s="81"/>
      <c r="BJ30" s="81"/>
      <c r="BK30" s="81"/>
      <c r="BL30" s="81"/>
      <c r="BM30" s="81"/>
      <c r="BN30" s="81"/>
      <c r="BO30" s="81"/>
      <c r="BP30" s="81"/>
      <c r="BQ30" s="81">
        <v>1</v>
      </c>
      <c r="BR30" s="81"/>
      <c r="BS30" s="81"/>
      <c r="BT30" s="200"/>
      <c r="BU30" s="80"/>
      <c r="BV30" s="81">
        <v>1</v>
      </c>
      <c r="BW30" s="81"/>
      <c r="BX30" s="81"/>
      <c r="BY30" s="81"/>
      <c r="BZ30" s="81"/>
      <c r="CA30" s="227"/>
      <c r="CB30" s="81"/>
      <c r="CC30" s="82"/>
      <c r="CD30" s="81"/>
      <c r="CE30" s="81"/>
      <c r="CF30" s="81">
        <v>1</v>
      </c>
      <c r="CG30" s="81"/>
      <c r="CH30" s="81"/>
      <c r="CI30" s="83"/>
      <c r="CJ30" s="80"/>
      <c r="CK30" s="81">
        <v>1</v>
      </c>
      <c r="CL30" s="81"/>
      <c r="CM30" s="81"/>
      <c r="CN30" s="81"/>
      <c r="CO30" s="81"/>
      <c r="CP30" s="82"/>
      <c r="CQ30" s="81"/>
      <c r="CR30" s="82"/>
      <c r="CS30" s="82"/>
      <c r="CT30" s="81"/>
      <c r="CU30" s="81">
        <v>1</v>
      </c>
      <c r="CV30" s="81"/>
      <c r="CW30" s="81"/>
      <c r="CX30" s="83"/>
      <c r="CY30" s="80"/>
      <c r="CZ30" s="81">
        <v>1</v>
      </c>
      <c r="DA30" s="81"/>
      <c r="DB30" s="81"/>
      <c r="DC30" s="81"/>
      <c r="DD30" s="81"/>
      <c r="DE30" s="82"/>
      <c r="DF30" s="81"/>
      <c r="DG30" s="82"/>
      <c r="DH30" s="82"/>
      <c r="DI30" s="81"/>
      <c r="DJ30" s="81">
        <v>1</v>
      </c>
      <c r="DK30" s="81"/>
      <c r="DL30" s="81"/>
      <c r="DM30" s="83"/>
      <c r="DO30" s="5"/>
      <c r="DP30" s="42"/>
      <c r="DQ30" s="7"/>
    </row>
    <row r="31" spans="1:121" x14ac:dyDescent="0.2">
      <c r="A31" s="11"/>
      <c r="E31" s="11"/>
      <c r="H31" s="11"/>
      <c r="M31" s="201"/>
      <c r="DO31" s="5"/>
      <c r="DP31" s="42"/>
      <c r="DQ31" s="7"/>
    </row>
    <row r="32" spans="1:121" x14ac:dyDescent="0.2">
      <c r="A32" s="11"/>
      <c r="E32" s="11"/>
      <c r="H32" s="11"/>
      <c r="M32" s="201"/>
      <c r="DO32" s="5"/>
      <c r="DP32" s="42"/>
      <c r="DQ32" s="7"/>
    </row>
    <row r="33" spans="1:122" x14ac:dyDescent="0.2">
      <c r="A33" s="11"/>
      <c r="E33" s="11"/>
      <c r="H33" s="11"/>
      <c r="M33" s="201"/>
    </row>
    <row r="34" spans="1:122" x14ac:dyDescent="0.2">
      <c r="A34" s="11"/>
      <c r="E34" s="11"/>
      <c r="H34" s="11"/>
      <c r="M34" s="201"/>
    </row>
    <row r="35" spans="1:122" x14ac:dyDescent="0.2">
      <c r="A35" s="11"/>
      <c r="E35" s="11"/>
      <c r="H35" s="11"/>
    </row>
    <row r="36" spans="1:122" x14ac:dyDescent="0.2">
      <c r="A36" s="11"/>
      <c r="E36" s="11"/>
      <c r="H36" s="11"/>
    </row>
    <row r="37" spans="1:122" x14ac:dyDescent="0.2">
      <c r="A37" s="11"/>
      <c r="E37" s="11"/>
      <c r="H37" s="11"/>
    </row>
    <row r="38" spans="1:122" x14ac:dyDescent="0.2"/>
    <row r="39" spans="1:122" x14ac:dyDescent="0.2"/>
    <row r="40" spans="1:122" x14ac:dyDescent="0.2"/>
    <row r="41" spans="1:122" x14ac:dyDescent="0.2">
      <c r="DN41" s="171"/>
    </row>
    <row r="42" spans="1:122" x14ac:dyDescent="0.2">
      <c r="DN42" s="171"/>
      <c r="DR42" s="131"/>
    </row>
    <row r="43" spans="1:122" x14ac:dyDescent="0.2">
      <c r="DR43" s="131"/>
    </row>
    <row r="44" spans="1:122" x14ac:dyDescent="0.2"/>
    <row r="45" spans="1:122" x14ac:dyDescent="0.2"/>
    <row r="46" spans="1:122" ht="15.75" customHeight="1" x14ac:dyDescent="0.2"/>
    <row r="47" spans="1:122" ht="15.75" customHeight="1" x14ac:dyDescent="0.2"/>
    <row r="48" spans="1:122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  <row r="1002" ht="15.75" customHeight="1" x14ac:dyDescent="0.2"/>
    <row r="1003" ht="15.75" customHeight="1" x14ac:dyDescent="0.2"/>
    <row r="1004" ht="15.75" customHeight="1" x14ac:dyDescent="0.2"/>
    <row r="1005" ht="15.75" customHeight="1" x14ac:dyDescent="0.2"/>
    <row r="1006" ht="15.75" customHeight="1" x14ac:dyDescent="0.2"/>
    <row r="1007" ht="15.75" customHeight="1" x14ac:dyDescent="0.2"/>
    <row r="1008" ht="15.75" customHeight="1" x14ac:dyDescent="0.2"/>
    <row r="1009" ht="15.75" customHeight="1" x14ac:dyDescent="0.2"/>
    <row r="1010" ht="15.75" customHeight="1" x14ac:dyDescent="0.2"/>
    <row r="1011" ht="15.75" customHeight="1" x14ac:dyDescent="0.2"/>
    <row r="1012" ht="15.75" customHeight="1" x14ac:dyDescent="0.2"/>
    <row r="1013" ht="15.75" customHeight="1" x14ac:dyDescent="0.2"/>
    <row r="1014" ht="15.75" customHeight="1" x14ac:dyDescent="0.2"/>
    <row r="1015" ht="15.75" customHeight="1" x14ac:dyDescent="0.2"/>
    <row r="1016" ht="15.75" customHeight="1" x14ac:dyDescent="0.2"/>
    <row r="1017" ht="15.75" customHeight="1" x14ac:dyDescent="0.2"/>
    <row r="1018" ht="15.75" customHeight="1" x14ac:dyDescent="0.2"/>
    <row r="1019" ht="15.75" customHeight="1" x14ac:dyDescent="0.2"/>
    <row r="1020" ht="15.75" customHeight="1" x14ac:dyDescent="0.2"/>
    <row r="1021" ht="15.75" customHeight="1" x14ac:dyDescent="0.2"/>
    <row r="1022" ht="15.75" customHeight="1" x14ac:dyDescent="0.2"/>
    <row r="1023" ht="15.75" customHeight="1" x14ac:dyDescent="0.2"/>
    <row r="1024" ht="15.75" customHeight="1" x14ac:dyDescent="0.2"/>
    <row r="1025" ht="15.75" customHeight="1" x14ac:dyDescent="0.2"/>
  </sheetData>
  <autoFilter ref="A2:DM2" xr:uid="{00000000-0009-0000-0000-000011000000}">
    <sortState xmlns:xlrd2="http://schemas.microsoft.com/office/spreadsheetml/2017/richdata2" ref="A3:DM30">
      <sortCondition ref="A2"/>
    </sortState>
  </autoFilter>
  <mergeCells count="10">
    <mergeCell ref="BF1:BT1"/>
    <mergeCell ref="BU1:CI1"/>
    <mergeCell ref="CJ1:CX1"/>
    <mergeCell ref="CY1:DM1"/>
    <mergeCell ref="A1:C1"/>
    <mergeCell ref="D1:M1"/>
    <mergeCell ref="N1:X1"/>
    <mergeCell ref="Y1:AF1"/>
    <mergeCell ref="AG1:AP1"/>
    <mergeCell ref="AQ1:BE1"/>
  </mergeCells>
  <conditionalFormatting sqref="B3:B30">
    <cfRule type="expression" dxfId="10" priority="5" stopIfTrue="1">
      <formula>C3&gt;=13</formula>
    </cfRule>
    <cfRule type="expression" dxfId="9" priority="6">
      <formula>AND(C3&gt;=12,C3&lt;13)</formula>
    </cfRule>
    <cfRule type="expression" dxfId="8" priority="7" stopIfTrue="1">
      <formula>AND(C3&gt;=11,C3&lt;12)</formula>
    </cfRule>
    <cfRule type="expression" dxfId="7" priority="8">
      <formula>AND(C3&gt;=9,C3&lt;11)</formula>
    </cfRule>
    <cfRule type="expression" dxfId="6" priority="9">
      <formula>AND(C3&gt;=7,C3&lt;9)</formula>
    </cfRule>
    <cfRule type="expression" dxfId="5" priority="10" stopIfTrue="1">
      <formula>AND(C3&gt;=6,C3&lt;7)</formula>
    </cfRule>
    <cfRule type="expression" dxfId="4" priority="11" stopIfTrue="1">
      <formula>AND(C3&gt;=5,C3&lt;6)</formula>
    </cfRule>
    <cfRule type="expression" dxfId="3" priority="12">
      <formula>C3&lt;5</formula>
    </cfRule>
  </conditionalFormatting>
  <conditionalFormatting sqref="C3:C30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H30">
    <cfRule type="containsText" dxfId="2" priority="4" operator="containsText" text="SR">
      <formula>NOT(ISERROR(SEARCH(("SR"),(H3))))</formula>
    </cfRule>
  </conditionalFormatting>
  <conditionalFormatting sqref="N3:R9 N11:R30">
    <cfRule type="colorScale" priority="37">
      <colorScale>
        <cfvo type="formula" val="0.1499"/>
        <cfvo type="formula" val="0.15"/>
        <cfvo type="formula" val="0.4"/>
        <color rgb="FFFACACA"/>
        <color rgb="FFC0E399"/>
        <color rgb="FF63BE7B"/>
      </colorScale>
    </cfRule>
  </conditionalFormatting>
  <conditionalFormatting sqref="N3:R30">
    <cfRule type="cellIs" dxfId="1" priority="1" stopIfTrue="1" operator="between">
      <formula>0.15</formula>
      <formula>0.199</formula>
    </cfRule>
    <cfRule type="cellIs" dxfId="0" priority="2" operator="equal">
      <formula>0</formula>
    </cfRule>
  </conditionalFormatting>
  <conditionalFormatting sqref="N10:R10">
    <cfRule type="colorScale" priority="3">
      <colorScale>
        <cfvo type="formula" val="0.1499"/>
        <cfvo type="formula" val="0.15"/>
        <cfvo type="formula" val="0.4"/>
        <color rgb="FFFACACA"/>
        <color rgb="FFC0E399"/>
        <color rgb="FF63BE7B"/>
      </colorScale>
    </cfRule>
  </conditionalFormatting>
  <conditionalFormatting sqref="S3:T9 S11:T30">
    <cfRule type="colorScale" priority="47">
      <colorScale>
        <cfvo type="formula" val="0.1499"/>
        <cfvo type="formula" val="0.15"/>
        <cfvo type="formula" val="0.4"/>
        <color rgb="FFFACACA"/>
        <color rgb="FFCEF9B9"/>
        <color rgb="FF00B050"/>
      </colorScale>
    </cfRule>
  </conditionalFormatting>
  <conditionalFormatting sqref="S10:T10">
    <cfRule type="colorScale" priority="13">
      <colorScale>
        <cfvo type="formula" val="0.1499"/>
        <cfvo type="formula" val="0.15"/>
        <cfvo type="formula" val="0.4"/>
        <color rgb="FFFACACA"/>
        <color rgb="FFCEF9B9"/>
        <color rgb="FF00B050"/>
      </colorScale>
    </cfRule>
  </conditionalFormatting>
  <conditionalFormatting sqref="U3:V9 U11:V30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0:V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:W9 W11:W30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:X9 X11:X30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Legend</vt:lpstr>
      <vt:lpstr>Correlation</vt:lpstr>
      <vt:lpstr>Overall</vt:lpstr>
      <vt:lpstr>Report Card</vt:lpstr>
      <vt:lpstr>Tiers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Metric Grades</vt:lpstr>
      <vt:lpstr>2024</vt:lpstr>
      <vt:lpstr>2025</vt:lpstr>
      <vt:lpstr>2026 - WIP</vt:lpstr>
      <vt:lpstr>2027 - WIP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DeVoe</dc:creator>
  <cp:lastModifiedBy>Chase Siegel</cp:lastModifiedBy>
  <dcterms:created xsi:type="dcterms:W3CDTF">2022-02-21T16:12:47Z</dcterms:created>
  <dcterms:modified xsi:type="dcterms:W3CDTF">2025-10-06T20:20:29Z</dcterms:modified>
</cp:coreProperties>
</file>