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工作文件\EPS模型\eps链接github\eps-yunnan-smart-trans\InputData\bldgs\FoBObE\"/>
    </mc:Choice>
  </mc:AlternateContent>
  <xr:revisionPtr revIDLastSave="0" documentId="13_ncr:1_{5981E32F-A8E9-42D5-A99C-24EAE488078B}" xr6:coauthVersionLast="47" xr6:coauthVersionMax="47" xr10:uidLastSave="{00000000-0000-0000-0000-000000000000}"/>
  <bookViews>
    <workbookView xWindow="43080" yWindow="-120" windowWidth="38640" windowHeight="21120" activeTab="3" xr2:uid="{00000000-000D-0000-FFFF-FFFF00000000}"/>
  </bookViews>
  <sheets>
    <sheet name="About" sheetId="1" r:id="rId1"/>
    <sheet name="Residential Building" sheetId="2" r:id="rId2"/>
    <sheet name="Commercial Building" sheetId="5" r:id="rId3"/>
    <sheet name="FoBObE" sheetId="9" r:id="rId4"/>
  </sheets>
  <definedNames>
    <definedName name="outputfrac_bio">#REF!</definedName>
    <definedName name="outputfrac_coal">#REF!</definedName>
    <definedName name="outputfrac_elec">#REF!</definedName>
    <definedName name="outputfrac_ngps">#REF!</definedName>
    <definedName name="outputfrac_nonenergy">#REF!</definedName>
    <definedName name="outputfrac_oth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2" i="9"/>
  <c r="C4" i="9"/>
  <c r="C3" i="9"/>
  <c r="C2" i="9"/>
  <c r="B4" i="9"/>
  <c r="B3" i="9"/>
  <c r="B2" i="9"/>
  <c r="C5" i="9"/>
  <c r="K32" i="2"/>
  <c r="K33" i="2"/>
  <c r="F28" i="2"/>
  <c r="K28" i="2" s="1"/>
  <c r="F29" i="2"/>
  <c r="K29" i="2" s="1"/>
  <c r="F30" i="2"/>
  <c r="F32" i="2"/>
  <c r="F33" i="2"/>
  <c r="F34" i="2"/>
  <c r="D28" i="2"/>
  <c r="D29" i="2"/>
  <c r="D30" i="2"/>
  <c r="D32" i="2"/>
  <c r="D33" i="2"/>
  <c r="D34" i="2"/>
  <c r="D27" i="2"/>
  <c r="C28" i="2"/>
  <c r="C29" i="2"/>
  <c r="C30" i="2"/>
  <c r="E30" i="2" s="1"/>
  <c r="C32" i="2"/>
  <c r="C33" i="2"/>
  <c r="E33" i="2" s="1"/>
  <c r="J33" i="2" s="1"/>
  <c r="C34" i="2"/>
  <c r="E34" i="2" s="1"/>
  <c r="F35" i="2"/>
  <c r="F27" i="2" s="1"/>
  <c r="K27" i="2" s="1"/>
  <c r="F39" i="2"/>
  <c r="F31" i="2" s="1"/>
  <c r="K31" i="2" s="1"/>
  <c r="E36" i="2"/>
  <c r="E37" i="2"/>
  <c r="E38" i="2"/>
  <c r="E40" i="2"/>
  <c r="E41" i="2"/>
  <c r="E42" i="2"/>
  <c r="E35" i="2"/>
  <c r="D39" i="2"/>
  <c r="D31" i="2" s="1"/>
  <c r="D35" i="2"/>
  <c r="C39" i="2"/>
  <c r="C31" i="2" s="1"/>
  <c r="E31" i="2" s="1"/>
  <c r="J31" i="2" s="1"/>
  <c r="C35" i="2"/>
  <c r="C27" i="2" s="1"/>
  <c r="E27" i="2" s="1"/>
  <c r="I34" i="5"/>
  <c r="I35" i="5"/>
  <c r="H34" i="5"/>
  <c r="H35" i="5"/>
  <c r="G22" i="5"/>
  <c r="F22" i="5" s="1"/>
  <c r="H22" i="5"/>
  <c r="I22" i="5"/>
  <c r="J22" i="5"/>
  <c r="K22" i="5"/>
  <c r="G23" i="5"/>
  <c r="F23" i="5" s="1"/>
  <c r="H23" i="5"/>
  <c r="I23" i="5"/>
  <c r="J23" i="5"/>
  <c r="K23" i="5"/>
  <c r="D5" i="2"/>
  <c r="D6" i="2"/>
  <c r="D4" i="2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G17" i="5"/>
  <c r="G18" i="5"/>
  <c r="G19" i="5"/>
  <c r="G20" i="5"/>
  <c r="G21" i="5"/>
  <c r="G16" i="5"/>
  <c r="E32" i="2" l="1"/>
  <c r="J32" i="2" s="1"/>
  <c r="E29" i="2"/>
  <c r="E28" i="2"/>
  <c r="J28" i="2"/>
  <c r="J27" i="2"/>
  <c r="J29" i="2"/>
  <c r="E39" i="2"/>
  <c r="D3" i="2"/>
  <c r="F16" i="5"/>
  <c r="H28" i="5" s="1"/>
  <c r="F20" i="5"/>
  <c r="I32" i="5" s="1"/>
  <c r="F19" i="5"/>
  <c r="I31" i="5" s="1"/>
  <c r="F21" i="5"/>
  <c r="I33" i="5" s="1"/>
  <c r="F18" i="5"/>
  <c r="H30" i="5" s="1"/>
  <c r="F17" i="5"/>
  <c r="I29" i="5" s="1"/>
  <c r="I28" i="5"/>
  <c r="F26" i="2"/>
  <c r="D26" i="2"/>
  <c r="C26" i="2"/>
  <c r="F25" i="2"/>
  <c r="D25" i="2"/>
  <c r="C25" i="2"/>
  <c r="F24" i="2"/>
  <c r="D24" i="2"/>
  <c r="C24" i="2"/>
  <c r="F22" i="2"/>
  <c r="D22" i="2"/>
  <c r="C22" i="2"/>
  <c r="F21" i="2"/>
  <c r="D21" i="2"/>
  <c r="C21" i="2"/>
  <c r="F20" i="2"/>
  <c r="D20" i="2"/>
  <c r="C20" i="2"/>
  <c r="F18" i="2"/>
  <c r="D18" i="2"/>
  <c r="C18" i="2"/>
  <c r="F17" i="2"/>
  <c r="K17" i="2" s="1"/>
  <c r="D17" i="2"/>
  <c r="C17" i="2"/>
  <c r="F16" i="2"/>
  <c r="D16" i="2"/>
  <c r="C16" i="2"/>
  <c r="F14" i="2"/>
  <c r="D14" i="2"/>
  <c r="C14" i="2"/>
  <c r="E14" i="2" s="1"/>
  <c r="F13" i="2"/>
  <c r="K13" i="2" s="1"/>
  <c r="D13" i="2"/>
  <c r="C13" i="2"/>
  <c r="F12" i="2"/>
  <c r="D12" i="2"/>
  <c r="C12" i="2"/>
  <c r="F10" i="2"/>
  <c r="D10" i="2"/>
  <c r="C10" i="2"/>
  <c r="F9" i="2"/>
  <c r="D9" i="2"/>
  <c r="C9" i="2"/>
  <c r="F8" i="2"/>
  <c r="D8" i="2"/>
  <c r="C8" i="2"/>
  <c r="F6" i="2"/>
  <c r="C6" i="2"/>
  <c r="E6" i="2" s="1"/>
  <c r="F5" i="2"/>
  <c r="C5" i="2"/>
  <c r="E5" i="2" s="1"/>
  <c r="F4" i="2"/>
  <c r="C4" i="2"/>
  <c r="E4" i="2" s="1"/>
  <c r="E25" i="2" l="1"/>
  <c r="K21" i="2"/>
  <c r="K5" i="2"/>
  <c r="K9" i="2"/>
  <c r="E17" i="2"/>
  <c r="K20" i="2"/>
  <c r="E26" i="2"/>
  <c r="E8" i="2"/>
  <c r="E18" i="2"/>
  <c r="J5" i="2"/>
  <c r="E13" i="2"/>
  <c r="J13" i="2" s="1"/>
  <c r="K16" i="2"/>
  <c r="E24" i="2"/>
  <c r="E10" i="2"/>
  <c r="E12" i="2"/>
  <c r="J12" i="2" s="1"/>
  <c r="E22" i="2"/>
  <c r="E21" i="2"/>
  <c r="K24" i="2"/>
  <c r="J4" i="2"/>
  <c r="K8" i="2"/>
  <c r="E16" i="2"/>
  <c r="K25" i="2"/>
  <c r="K4" i="2"/>
  <c r="E9" i="2"/>
  <c r="K12" i="2"/>
  <c r="E20" i="2"/>
  <c r="H32" i="5"/>
  <c r="F19" i="2"/>
  <c r="K19" i="2" s="1"/>
  <c r="F3" i="2"/>
  <c r="K3" i="2" s="1"/>
  <c r="D19" i="2"/>
  <c r="C11" i="2"/>
  <c r="C15" i="2"/>
  <c r="C7" i="2"/>
  <c r="D15" i="2"/>
  <c r="F15" i="2"/>
  <c r="K15" i="2" s="1"/>
  <c r="C3" i="2"/>
  <c r="E3" i="2" s="1"/>
  <c r="J3" i="2" s="1"/>
  <c r="C23" i="2"/>
  <c r="D11" i="2"/>
  <c r="F11" i="2"/>
  <c r="K11" i="2" s="1"/>
  <c r="F23" i="2"/>
  <c r="K23" i="2" s="1"/>
  <c r="D23" i="2"/>
  <c r="F7" i="2"/>
  <c r="K7" i="2" s="1"/>
  <c r="C19" i="2"/>
  <c r="D7" i="2"/>
  <c r="H33" i="5"/>
  <c r="H29" i="5"/>
  <c r="I30" i="5"/>
  <c r="H31" i="5"/>
  <c r="J25" i="2" l="1"/>
  <c r="J21" i="2"/>
  <c r="J17" i="2"/>
  <c r="J16" i="2"/>
  <c r="J24" i="2"/>
  <c r="J20" i="2"/>
  <c r="J8" i="2"/>
  <c r="J9" i="2"/>
  <c r="E23" i="2"/>
  <c r="J23" i="2" s="1"/>
  <c r="E19" i="2"/>
  <c r="J19" i="2" s="1"/>
  <c r="E15" i="2"/>
  <c r="J15" i="2" s="1"/>
  <c r="E7" i="2"/>
  <c r="J7" i="2" s="1"/>
  <c r="E11" i="2"/>
  <c r="J11" i="2" s="1"/>
  <c r="F9" i="5" l="1"/>
  <c r="F7" i="5"/>
  <c r="F5" i="5"/>
  <c r="F6" i="5"/>
  <c r="F4" i="5"/>
  <c r="F8" i="5"/>
</calcChain>
</file>

<file path=xl/sharedStrings.xml><?xml version="1.0" encoding="utf-8"?>
<sst xmlns="http://schemas.openxmlformats.org/spreadsheetml/2006/main" count="191" uniqueCount="87">
  <si>
    <t>FoBObE Fraction of Buildings Owned by Entity</t>
  </si>
  <si>
    <t>Sources:</t>
  </si>
  <si>
    <t>Residential</t>
  </si>
  <si>
    <t>U.S. Department of Energy</t>
  </si>
  <si>
    <t>Buildings Energy Data Book (2011 edition)</t>
  </si>
  <si>
    <t>http://buildingsdatabook.eren.doe.gov/TableView.aspx?table=2.1.14</t>
  </si>
  <si>
    <t>Table 2.1.14</t>
  </si>
  <si>
    <t>Commercial</t>
  </si>
  <si>
    <t>http://buildingsdatabook.eren.doe.gov/TableView.aspx?table=3.2.3</t>
  </si>
  <si>
    <t>Table 3.2.3, Column 2 (ownership)</t>
  </si>
  <si>
    <t>Notes</t>
  </si>
  <si>
    <t>In the output tab, we show more decimal places than the source data</t>
  </si>
  <si>
    <t>provide in order to avoid rounding error in Vensim (each column must</t>
  </si>
  <si>
    <t>add to 1).</t>
  </si>
  <si>
    <t>全国</t>
  </si>
  <si>
    <t>城市</t>
  </si>
  <si>
    <t>镇</t>
  </si>
  <si>
    <t>乡村</t>
  </si>
  <si>
    <t>个人</t>
  </si>
  <si>
    <t>城市人均面积</t>
  </si>
  <si>
    <t>国家</t>
  </si>
  <si>
    <t>镇人均面积</t>
  </si>
  <si>
    <t>企业</t>
  </si>
  <si>
    <t>农村人均面积</t>
  </si>
  <si>
    <t>总面积</t>
  </si>
  <si>
    <t>户均人口</t>
  </si>
  <si>
    <t>山东</t>
  </si>
  <si>
    <t>广东</t>
  </si>
  <si>
    <t>广西</t>
  </si>
  <si>
    <t>government</t>
  </si>
  <si>
    <t>海南</t>
  </si>
  <si>
    <t>云南</t>
  </si>
  <si>
    <t>Ownership by Cash Flow Entity (dimensionless)</t>
  </si>
  <si>
    <t>Urban Residential</t>
  </si>
  <si>
    <t>Rural Residential</t>
  </si>
  <si>
    <t>domestic industries</t>
  </si>
  <si>
    <t>labor and consumers</t>
  </si>
  <si>
    <t>foreign entities</t>
  </si>
  <si>
    <t>云南</t>
    <phoneticPr fontId="8" type="noConversion"/>
  </si>
  <si>
    <t>海南</t>
    <phoneticPr fontId="8" type="noConversion"/>
  </si>
  <si>
    <t>广西</t>
    <phoneticPr fontId="8" type="noConversion"/>
  </si>
  <si>
    <t>广东</t>
    <phoneticPr fontId="8" type="noConversion"/>
  </si>
  <si>
    <t>山东</t>
    <phoneticPr fontId="8" type="noConversion"/>
  </si>
  <si>
    <t>全国</t>
    <phoneticPr fontId="8" type="noConversion"/>
  </si>
  <si>
    <t>私有占比</t>
    <phoneticPr fontId="8" type="noConversion"/>
  </si>
  <si>
    <t>公有占比</t>
    <phoneticPr fontId="8" type="noConversion"/>
  </si>
  <si>
    <t>云南（加容积率）</t>
    <phoneticPr fontId="8" type="noConversion"/>
  </si>
  <si>
    <t>海南（加容积率）</t>
    <phoneticPr fontId="8" type="noConversion"/>
  </si>
  <si>
    <t>广西（加容积率）</t>
    <phoneticPr fontId="8" type="noConversion"/>
  </si>
  <si>
    <t>广东（加容积率）</t>
    <phoneticPr fontId="8" type="noConversion"/>
  </si>
  <si>
    <t>山东（加容积率）</t>
    <phoneticPr fontId="8" type="noConversion"/>
  </si>
  <si>
    <t>全国（加容积率）</t>
    <phoneticPr fontId="8" type="noConversion"/>
  </si>
  <si>
    <t>容积率</t>
    <phoneticPr fontId="8" type="noConversion"/>
  </si>
  <si>
    <t>商业建筑</t>
    <phoneticPr fontId="8" type="noConversion"/>
  </si>
  <si>
    <t>城市建设用地面积 （Urban Population and Construction Land 2021)</t>
    <phoneticPr fontId="8" type="noConversion"/>
  </si>
  <si>
    <t>居住用地</t>
    <phoneticPr fontId="8" type="noConversion"/>
  </si>
  <si>
    <t>公共管理与公共服务用地</t>
    <phoneticPr fontId="8" type="noConversion"/>
  </si>
  <si>
    <t>商业服务业设施用地</t>
    <phoneticPr fontId="8" type="noConversion"/>
  </si>
  <si>
    <t>工业用地</t>
    <phoneticPr fontId="8" type="noConversion"/>
  </si>
  <si>
    <t>物流仓储用地</t>
    <phoneticPr fontId="8" type="noConversion"/>
  </si>
  <si>
    <t>道路交通设施用地</t>
    <phoneticPr fontId="8" type="noConversion"/>
  </si>
  <si>
    <t>公共设施用地</t>
    <phoneticPr fontId="8" type="noConversion"/>
  </si>
  <si>
    <t>绿地与广场用地</t>
    <phoneticPr fontId="8" type="noConversion"/>
  </si>
  <si>
    <t>总面积</t>
    <phoneticPr fontId="8" type="noConversion"/>
  </si>
  <si>
    <t>Subtotal</t>
    <phoneticPr fontId="8" type="noConversion"/>
  </si>
  <si>
    <t>Commercial Building</t>
    <phoneticPr fontId="8" type="noConversion"/>
  </si>
  <si>
    <t>Residential</t>
    <phoneticPr fontId="8" type="noConversion"/>
  </si>
  <si>
    <t>Administration and Public Services</t>
    <phoneticPr fontId="8" type="noConversion"/>
  </si>
  <si>
    <t>Commercial and Business Facilities</t>
    <phoneticPr fontId="8" type="noConversion"/>
  </si>
  <si>
    <t>Industrial Manufacturing</t>
    <phoneticPr fontId="8" type="noConversion"/>
  </si>
  <si>
    <t>Logistics and Warehouse</t>
    <phoneticPr fontId="8" type="noConversion"/>
  </si>
  <si>
    <t>Road, Street and Transpoirtation</t>
    <phoneticPr fontId="8" type="noConversion"/>
  </si>
  <si>
    <t>Municipal Utilities</t>
    <phoneticPr fontId="8" type="noConversion"/>
  </si>
  <si>
    <t>Green Space and Square</t>
    <phoneticPr fontId="8" type="noConversion"/>
  </si>
  <si>
    <t>Floor Area</t>
    <phoneticPr fontId="8" type="noConversion"/>
  </si>
  <si>
    <t>Onwership Division</t>
    <phoneticPr fontId="8" type="noConversion"/>
  </si>
  <si>
    <t>Urban Residential</t>
    <phoneticPr fontId="8" type="noConversion"/>
  </si>
  <si>
    <t>Rural Residential</t>
    <phoneticPr fontId="8" type="noConversion"/>
  </si>
  <si>
    <t>城镇</t>
    <phoneticPr fontId="8" type="noConversion"/>
  </si>
  <si>
    <t>内蒙古</t>
    <phoneticPr fontId="8" type="noConversion"/>
  </si>
  <si>
    <t>河南</t>
    <phoneticPr fontId="8" type="noConversion"/>
  </si>
  <si>
    <t>内蒙古（加容积率）</t>
    <phoneticPr fontId="8" type="noConversion"/>
  </si>
  <si>
    <t>河南（加容积率）</t>
    <phoneticPr fontId="8" type="noConversion"/>
  </si>
  <si>
    <t>面积=户数*户均人口*人均面积</t>
    <phoneticPr fontId="8" type="noConversion"/>
  </si>
  <si>
    <t>内蒙古户数</t>
    <phoneticPr fontId="8" type="noConversion"/>
  </si>
  <si>
    <t>河南户数</t>
    <phoneticPr fontId="8" type="noConversion"/>
  </si>
  <si>
    <t>总户数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</si>
</sst>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#,##0_ "/>
    <numFmt numFmtId="179" formatCode="0.000_);[Red]\(0.000\)"/>
  </numFmts>
  <fonts count="16">
    <font>
      <sz val="11"/>
      <color theme="1"/>
      <name val="宋体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color rgb="FF000000"/>
      <name val="汉仪报宋简"/>
      <charset val="134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4"/>
      <charset val="134"/>
      <scheme val="minor"/>
    </font>
    <font>
      <b/>
      <sz val="11"/>
      <color theme="1"/>
      <name val="宋体"/>
      <family val="4"/>
      <charset val="134"/>
      <scheme val="minor"/>
    </font>
    <font>
      <sz val="11"/>
      <color theme="1"/>
      <name val="宋体"/>
      <family val="4"/>
      <charset val="134"/>
      <scheme val="major"/>
    </font>
    <font>
      <sz val="11"/>
      <color rgb="FF000000"/>
      <name val="宋体"/>
      <family val="4"/>
      <charset val="134"/>
      <scheme val="major"/>
    </font>
    <font>
      <sz val="9"/>
      <color rgb="FF000000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9" fillId="0" borderId="0">
      <alignment vertical="center"/>
    </xf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>
      <alignment vertical="center"/>
    </xf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6" fillId="0" borderId="0" xfId="1" applyFont="1"/>
    <xf numFmtId="0" fontId="7" fillId="0" borderId="0" xfId="1"/>
    <xf numFmtId="0" fontId="9" fillId="0" borderId="0" xfId="2">
      <alignment vertical="center"/>
    </xf>
    <xf numFmtId="0" fontId="3" fillId="0" borderId="0" xfId="2" applyFont="1" applyAlignment="1"/>
    <xf numFmtId="0" fontId="10" fillId="0" borderId="0" xfId="2" applyFont="1">
      <alignment vertical="center"/>
    </xf>
    <xf numFmtId="0" fontId="11" fillId="0" borderId="0" xfId="2" applyFont="1" applyAlignment="1"/>
    <xf numFmtId="10" fontId="10" fillId="0" borderId="0" xfId="2" applyNumberFormat="1" applyFont="1" applyAlignment="1"/>
    <xf numFmtId="0" fontId="9" fillId="0" borderId="1" xfId="2" applyBorder="1">
      <alignment vertical="center"/>
    </xf>
    <xf numFmtId="0" fontId="9" fillId="0" borderId="1" xfId="2" applyBorder="1" applyAlignment="1"/>
    <xf numFmtId="0" fontId="5" fillId="0" borderId="1" xfId="2" applyFont="1" applyBorder="1" applyAlignment="1">
      <alignment horizontal="left" vertical="top" wrapText="1"/>
    </xf>
    <xf numFmtId="0" fontId="14" fillId="0" borderId="1" xfId="2" applyFont="1" applyBorder="1" applyAlignment="1">
      <alignment horizontal="left" vertical="top" wrapText="1"/>
    </xf>
    <xf numFmtId="0" fontId="3" fillId="0" borderId="1" xfId="2" applyFont="1" applyBorder="1" applyAlignment="1"/>
    <xf numFmtId="176" fontId="13" fillId="0" borderId="1" xfId="2" applyNumberFormat="1" applyFont="1" applyBorder="1" applyAlignment="1">
      <alignment horizontal="right" vertical="center"/>
    </xf>
    <xf numFmtId="176" fontId="13" fillId="0" borderId="0" xfId="2" applyNumberFormat="1" applyFont="1" applyAlignment="1">
      <alignment horizontal="right" vertical="center"/>
    </xf>
    <xf numFmtId="176" fontId="12" fillId="0" borderId="0" xfId="2" applyNumberFormat="1" applyFont="1" applyAlignment="1"/>
    <xf numFmtId="176" fontId="9" fillId="0" borderId="0" xfId="2" applyNumberFormat="1">
      <alignment vertical="center"/>
    </xf>
    <xf numFmtId="177" fontId="0" fillId="0" borderId="0" xfId="0" applyNumberFormat="1"/>
    <xf numFmtId="177" fontId="4" fillId="0" borderId="0" xfId="0" applyNumberFormat="1" applyFont="1"/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 wrapText="1"/>
    </xf>
    <xf numFmtId="179" fontId="0" fillId="0" borderId="0" xfId="0" applyNumberFormat="1"/>
  </cellXfs>
  <cellStyles count="7">
    <cellStyle name="百分比 2" xfId="4" xr:uid="{8480BB20-8E93-4C3D-B8BD-B328D68AF85B}"/>
    <cellStyle name="常规" xfId="0" builtinId="0"/>
    <cellStyle name="常规 2" xfId="2" xr:uid="{1317B4F3-C830-4A9A-9226-13EBBA84BF71}"/>
    <cellStyle name="常规 2 2" xfId="6" xr:uid="{DBC8C8F7-530B-4002-9D88-926E8DF99EF2}"/>
    <cellStyle name="常规 3" xfId="3" xr:uid="{62A82D39-B1FE-4D24-AA65-2B9DE33A0E25}"/>
    <cellStyle name="常规 80" xfId="5" xr:uid="{20D83D2C-95A0-4948-AC72-1453CF296F99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26957</xdr:colOff>
      <xdr:row>1</xdr:row>
      <xdr:rowOff>116816</xdr:rowOff>
    </xdr:from>
    <xdr:to>
      <xdr:col>22</xdr:col>
      <xdr:colOff>268138</xdr:colOff>
      <xdr:row>17</xdr:row>
      <xdr:rowOff>55928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5B0BB5C-5368-14E7-6BF6-F54DB9E10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4315" y="287547"/>
          <a:ext cx="7753350" cy="268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uildingsdatabook.eren.doe.gov/TableView.aspx?table=2.1.14" TargetMode="External"/><Relationship Id="rId1" Type="http://schemas.openxmlformats.org/officeDocument/2006/relationships/hyperlink" Target="http://buildingsdatabook.eren.doe.gov/TableView.aspx?table=3.2.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7" sqref="B7"/>
    </sheetView>
  </sheetViews>
  <sheetFormatPr defaultColWidth="9" defaultRowHeight="13.5"/>
  <cols>
    <col min="1" max="1" width="11.59765625" customWidth="1"/>
    <col min="2" max="2" width="67.1328125" customWidth="1"/>
    <col min="3" max="3" width="68.46484375" customWidth="1"/>
  </cols>
  <sheetData>
    <row r="1" spans="1:2">
      <c r="A1" s="2" t="s">
        <v>0</v>
      </c>
    </row>
    <row r="3" spans="1:2">
      <c r="A3" s="2" t="s">
        <v>1</v>
      </c>
      <c r="B3" s="5" t="s">
        <v>2</v>
      </c>
    </row>
    <row r="4" spans="1:2">
      <c r="B4" t="s">
        <v>3</v>
      </c>
    </row>
    <row r="5" spans="1:2">
      <c r="B5" s="6">
        <v>2012</v>
      </c>
    </row>
    <row r="6" spans="1:2">
      <c r="B6" t="s">
        <v>4</v>
      </c>
    </row>
    <row r="7" spans="1:2">
      <c r="B7" s="7" t="s">
        <v>5</v>
      </c>
    </row>
    <row r="8" spans="1:2">
      <c r="B8" t="s">
        <v>6</v>
      </c>
    </row>
    <row r="10" spans="1:2">
      <c r="B10" s="5" t="s">
        <v>7</v>
      </c>
    </row>
    <row r="11" spans="1:2">
      <c r="B11" t="s">
        <v>3</v>
      </c>
    </row>
    <row r="12" spans="1:2">
      <c r="B12" s="6">
        <v>2012</v>
      </c>
    </row>
    <row r="13" spans="1:2">
      <c r="B13" t="s">
        <v>4</v>
      </c>
    </row>
    <row r="14" spans="1:2">
      <c r="B14" s="8" t="s">
        <v>8</v>
      </c>
    </row>
    <row r="15" spans="1:2">
      <c r="B15" t="s">
        <v>9</v>
      </c>
    </row>
    <row r="17" spans="1:1">
      <c r="A17" s="2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</sheetData>
  <phoneticPr fontId="8" type="noConversion"/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zoomScale="106" zoomScaleNormal="106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12" sqref="J12"/>
    </sheetView>
  </sheetViews>
  <sheetFormatPr defaultColWidth="9" defaultRowHeight="13.5"/>
  <cols>
    <col min="3" max="3" width="15.73046875" customWidth="1"/>
    <col min="4" max="5" width="15.265625" customWidth="1"/>
    <col min="6" max="6" width="15.86328125" customWidth="1"/>
    <col min="10" max="11" width="19.3984375" style="27" bestFit="1" customWidth="1"/>
  </cols>
  <sheetData>
    <row r="1" spans="1:11">
      <c r="A1" s="3" t="s">
        <v>83</v>
      </c>
    </row>
    <row r="2" spans="1:11">
      <c r="B2" s="3" t="s">
        <v>14</v>
      </c>
      <c r="C2" t="s">
        <v>15</v>
      </c>
      <c r="D2" t="s">
        <v>16</v>
      </c>
      <c r="E2" s="3" t="s">
        <v>78</v>
      </c>
      <c r="F2" s="3" t="s">
        <v>17</v>
      </c>
      <c r="I2" s="3" t="s">
        <v>14</v>
      </c>
      <c r="J2" s="25" t="s">
        <v>76</v>
      </c>
      <c r="K2" s="25" t="s">
        <v>77</v>
      </c>
    </row>
    <row r="3" spans="1:11">
      <c r="A3" s="3" t="s">
        <v>14</v>
      </c>
      <c r="B3" t="s">
        <v>18</v>
      </c>
      <c r="C3" s="23">
        <f>C6-C4-C5</f>
        <v>1263632199.0248003</v>
      </c>
      <c r="D3" s="23">
        <f>D6-D5-D4</f>
        <v>937311020.13119996</v>
      </c>
      <c r="E3" s="23">
        <f>C3+D3</f>
        <v>2200943219.1560001</v>
      </c>
      <c r="F3" s="23">
        <f>F6-F5-F4</f>
        <v>1962880272.2319996</v>
      </c>
      <c r="I3" t="s">
        <v>18</v>
      </c>
      <c r="J3" s="26">
        <f>E3/E6</f>
        <v>0.78318388910663861</v>
      </c>
      <c r="K3" s="26">
        <f>F3/F6</f>
        <v>0.96586115692359775</v>
      </c>
    </row>
    <row r="4" spans="1:11">
      <c r="A4" s="3" t="s">
        <v>14</v>
      </c>
      <c r="B4" t="s">
        <v>20</v>
      </c>
      <c r="C4" s="23">
        <f>712666*D48*D45</f>
        <v>68189593.278400019</v>
      </c>
      <c r="D4" s="23">
        <f>283294*D46*D48</f>
        <v>32494841.658400003</v>
      </c>
      <c r="E4" s="23">
        <f t="shared" ref="E4:E26" si="0">C4+D4</f>
        <v>100684434.93680002</v>
      </c>
      <c r="F4" s="23">
        <f>79547*D47*D48</f>
        <v>9857941.5219999999</v>
      </c>
      <c r="I4" t="s">
        <v>20</v>
      </c>
      <c r="J4" s="26">
        <f>E4/E6</f>
        <v>3.5827560947504049E-2</v>
      </c>
      <c r="K4" s="26">
        <f>F4/F6</f>
        <v>4.8507302956880115E-3</v>
      </c>
    </row>
    <row r="5" spans="1:11">
      <c r="A5" s="3" t="s">
        <v>14</v>
      </c>
      <c r="B5" t="s">
        <v>22</v>
      </c>
      <c r="C5" s="23">
        <f>4164265*D45*D48</f>
        <v>398446869.43600005</v>
      </c>
      <c r="D5" s="23">
        <f>960531*D46*D48</f>
        <v>110176363.6116</v>
      </c>
      <c r="E5" s="23">
        <f t="shared" si="0"/>
        <v>508623233.04760003</v>
      </c>
      <c r="F5" s="23">
        <f>480295*D47*D48</f>
        <v>59521038.170000002</v>
      </c>
      <c r="I5" t="s">
        <v>22</v>
      </c>
      <c r="J5" s="26">
        <f>E5/E6</f>
        <v>0.18098854994585725</v>
      </c>
      <c r="K5" s="26">
        <f>F5/F6</f>
        <v>2.9288112780714214E-2</v>
      </c>
    </row>
    <row r="6" spans="1:11">
      <c r="A6" s="3" t="s">
        <v>14</v>
      </c>
      <c r="B6" t="s">
        <v>24</v>
      </c>
      <c r="C6" s="23">
        <f>18083458*D45*D48</f>
        <v>1730268661.7392004</v>
      </c>
      <c r="D6" s="23">
        <f>9415417*D46*D48</f>
        <v>1079982225.4012001</v>
      </c>
      <c r="E6" s="23">
        <f t="shared" si="0"/>
        <v>2810250887.1404004</v>
      </c>
      <c r="F6" s="23">
        <f>16398974*D47*D48</f>
        <v>2032259251.9239998</v>
      </c>
    </row>
    <row r="7" spans="1:11">
      <c r="A7" s="3" t="s">
        <v>26</v>
      </c>
      <c r="B7" t="s">
        <v>18</v>
      </c>
      <c r="C7" s="23">
        <f>C10-C9-C8</f>
        <v>99666232.406399995</v>
      </c>
      <c r="D7" s="23">
        <f>D10-D9-D8</f>
        <v>77464273.334800005</v>
      </c>
      <c r="E7" s="23">
        <f t="shared" si="0"/>
        <v>177130505.7412</v>
      </c>
      <c r="F7" s="23">
        <f>F10-F9-F8</f>
        <v>167150769.16999999</v>
      </c>
      <c r="I7" s="4" t="s">
        <v>18</v>
      </c>
      <c r="J7" s="26">
        <f>E7/E10</f>
        <v>0.89488565544675347</v>
      </c>
      <c r="K7" s="26">
        <f>F7/F10</f>
        <v>0.9920287312826328</v>
      </c>
    </row>
    <row r="8" spans="1:11">
      <c r="A8" s="3" t="s">
        <v>26</v>
      </c>
      <c r="B8" t="s">
        <v>20</v>
      </c>
      <c r="C8" s="23">
        <f>21564*D45*D48</f>
        <v>2063295.2736000002</v>
      </c>
      <c r="D8" s="23">
        <f>7713*D46*D48</f>
        <v>884708.86680000008</v>
      </c>
      <c r="E8" s="23">
        <f t="shared" si="0"/>
        <v>2948004.1404000004</v>
      </c>
      <c r="F8" s="23">
        <f>1400*D47*D48</f>
        <v>173496.4</v>
      </c>
      <c r="I8" s="4" t="s">
        <v>20</v>
      </c>
      <c r="J8" s="26">
        <f>E8/E10</f>
        <v>1.4893688731945947E-2</v>
      </c>
      <c r="K8" s="26">
        <f>F8/F10</f>
        <v>1.0296896294808967E-3</v>
      </c>
    </row>
    <row r="9" spans="1:11">
      <c r="A9" s="3" t="s">
        <v>26</v>
      </c>
      <c r="B9" t="s">
        <v>22</v>
      </c>
      <c r="C9" s="23">
        <f>140923*D45*D48</f>
        <v>13483850.855200002</v>
      </c>
      <c r="D9" s="23">
        <f>38134*D46*D48</f>
        <v>4374107.0824000007</v>
      </c>
      <c r="E9" s="23">
        <f t="shared" si="0"/>
        <v>17857957.937600002</v>
      </c>
      <c r="F9" s="23">
        <f>9438*D47*D48</f>
        <v>1169613.588</v>
      </c>
      <c r="I9" s="4" t="s">
        <v>22</v>
      </c>
      <c r="J9" s="26">
        <f>E9/E10</f>
        <v>9.0220655821300691E-2</v>
      </c>
      <c r="K9" s="26">
        <f>F9/F10</f>
        <v>6.9415790878862163E-3</v>
      </c>
    </row>
    <row r="10" spans="1:11">
      <c r="A10" s="3" t="s">
        <v>26</v>
      </c>
      <c r="B10" t="s">
        <v>24</v>
      </c>
      <c r="C10" s="23">
        <f>1204123*D45*D48</f>
        <v>115213378.5352</v>
      </c>
      <c r="D10" s="23">
        <f>721190*D46*D48</f>
        <v>82723089.283999994</v>
      </c>
      <c r="E10" s="23">
        <f t="shared" si="0"/>
        <v>197936467.81919998</v>
      </c>
      <c r="F10" s="23">
        <f>1359633*D47*D48</f>
        <v>168493879.15799999</v>
      </c>
    </row>
    <row r="11" spans="1:11">
      <c r="A11" s="3" t="s">
        <v>27</v>
      </c>
      <c r="B11" t="s">
        <v>18</v>
      </c>
      <c r="C11" s="23">
        <f>C14-C12-C13</f>
        <v>100450253.99200001</v>
      </c>
      <c r="D11" s="23">
        <f>D14-D12-D13</f>
        <v>37465980.978799999</v>
      </c>
      <c r="E11" s="23">
        <f t="shared" si="0"/>
        <v>137916234.97080001</v>
      </c>
      <c r="F11" s="23">
        <f>F14-F12-F13</f>
        <v>89593169.181999996</v>
      </c>
      <c r="I11" s="4" t="s">
        <v>18</v>
      </c>
      <c r="J11" s="26">
        <f>E11/E14</f>
        <v>0.49066902570512932</v>
      </c>
      <c r="K11" s="26">
        <f>F11/F14</f>
        <v>0.90332475769339859</v>
      </c>
    </row>
    <row r="12" spans="1:11">
      <c r="A12" s="3" t="s">
        <v>27</v>
      </c>
      <c r="B12" t="s">
        <v>20</v>
      </c>
      <c r="C12" s="23">
        <f>162444*36.52*2.62</f>
        <v>15543031.785600003</v>
      </c>
      <c r="D12" s="24">
        <f>16930*D46*D48</f>
        <v>1941931.9480000001</v>
      </c>
      <c r="E12" s="23">
        <f t="shared" si="0"/>
        <v>17484963.733600002</v>
      </c>
      <c r="F12" s="23">
        <f>11622*D47*D48</f>
        <v>1440267.9720000001</v>
      </c>
      <c r="I12" s="4" t="s">
        <v>20</v>
      </c>
      <c r="J12" s="26">
        <f>E12/E14</f>
        <v>6.2206817938957451E-2</v>
      </c>
      <c r="K12" s="26">
        <f>F12/F14</f>
        <v>1.4521528021601117E-2</v>
      </c>
    </row>
    <row r="13" spans="1:11">
      <c r="A13" s="3" t="s">
        <v>27</v>
      </c>
      <c r="B13" t="s">
        <v>22</v>
      </c>
      <c r="C13" s="23">
        <f>1224585*D45*D48</f>
        <v>117171231.80400002</v>
      </c>
      <c r="D13" s="24">
        <f>74152*D46*D48</f>
        <v>8505501.3472000007</v>
      </c>
      <c r="E13" s="23">
        <f t="shared" si="0"/>
        <v>125676733.15120003</v>
      </c>
      <c r="F13" s="23">
        <f>65750*D47*D48</f>
        <v>8148134.5</v>
      </c>
      <c r="I13" s="4" t="s">
        <v>22</v>
      </c>
      <c r="J13" s="26">
        <f>E13/E14</f>
        <v>0.44712415635591318</v>
      </c>
      <c r="K13" s="26">
        <f>F13/F14</f>
        <v>8.215371428500029E-2</v>
      </c>
    </row>
    <row r="14" spans="1:11">
      <c r="A14" s="3" t="s">
        <v>27</v>
      </c>
      <c r="B14" t="s">
        <v>24</v>
      </c>
      <c r="C14" s="23">
        <f>2436859*D45*D48</f>
        <v>233164517.58160004</v>
      </c>
      <c r="D14" s="24">
        <f>417715*D46*D48</f>
        <v>47913414.273999996</v>
      </c>
      <c r="E14" s="23">
        <f t="shared" si="0"/>
        <v>281077931.85560006</v>
      </c>
      <c r="F14" s="23">
        <f>800329*D47*D48</f>
        <v>99181571.653999999</v>
      </c>
    </row>
    <row r="15" spans="1:11">
      <c r="A15" s="3" t="s">
        <v>28</v>
      </c>
      <c r="B15" t="s">
        <v>18</v>
      </c>
      <c r="C15" s="23">
        <f>C18-C17-C16</f>
        <v>28553063.396000005</v>
      </c>
      <c r="D15" s="23">
        <f t="shared" ref="D15:F15" si="1">D18-D17-D16</f>
        <v>11280754.949199999</v>
      </c>
      <c r="E15" s="23">
        <f t="shared" si="0"/>
        <v>39833818.345200002</v>
      </c>
      <c r="F15" s="23">
        <f t="shared" si="1"/>
        <v>83624025.539999992</v>
      </c>
      <c r="I15" s="4" t="s">
        <v>18</v>
      </c>
      <c r="J15" s="26">
        <f>E15/E18</f>
        <v>0.72543501678595956</v>
      </c>
      <c r="K15" s="26">
        <f>F15/F18</f>
        <v>0.99417892833938126</v>
      </c>
    </row>
    <row r="16" spans="1:11">
      <c r="A16" s="3" t="s">
        <v>28</v>
      </c>
      <c r="B16" t="s">
        <v>20</v>
      </c>
      <c r="C16" s="23">
        <f>19098*D45*D48</f>
        <v>1827342.4752000002</v>
      </c>
      <c r="D16" s="23">
        <f>9026*D46*D48</f>
        <v>1035314.6936000001</v>
      </c>
      <c r="E16" s="23">
        <f t="shared" si="0"/>
        <v>2862657.1688000001</v>
      </c>
      <c r="F16" s="23">
        <f>1161*D47*D48</f>
        <v>143878.08599999998</v>
      </c>
      <c r="I16" s="4" t="s">
        <v>20</v>
      </c>
      <c r="J16" s="26">
        <f>E16/E18</f>
        <v>5.2133384083454692E-2</v>
      </c>
      <c r="K16" s="26">
        <f>F16/F18</f>
        <v>1.7105199184961567E-3</v>
      </c>
    </row>
    <row r="17" spans="1:11">
      <c r="A17" s="3" t="s">
        <v>28</v>
      </c>
      <c r="B17" t="s">
        <v>22</v>
      </c>
      <c r="C17" s="23">
        <f>99716*D45*D48</f>
        <v>9541066.198400002</v>
      </c>
      <c r="D17" s="23">
        <f>23301*D46*D48</f>
        <v>2672708.5836</v>
      </c>
      <c r="E17" s="23">
        <f t="shared" si="0"/>
        <v>12213774.782000002</v>
      </c>
      <c r="F17" s="23">
        <f>2790*D47*D48</f>
        <v>345753.54000000004</v>
      </c>
      <c r="I17" s="4" t="s">
        <v>22</v>
      </c>
      <c r="J17" s="26">
        <f>E17/E18</f>
        <v>0.22243159913058577</v>
      </c>
      <c r="K17" s="26">
        <f>F17/F18</f>
        <v>4.1105517421225479E-3</v>
      </c>
    </row>
    <row r="18" spans="1:11">
      <c r="A18" s="3" t="s">
        <v>28</v>
      </c>
      <c r="B18" t="s">
        <v>24</v>
      </c>
      <c r="C18" s="23">
        <f>417229*D45*D48</f>
        <v>39921472.069600008</v>
      </c>
      <c r="D18" s="23">
        <f>130674*D46*D48</f>
        <v>14988778.226399999</v>
      </c>
      <c r="E18" s="23">
        <f t="shared" si="0"/>
        <v>54910250.296000004</v>
      </c>
      <c r="F18" s="23">
        <f>678741*D47*D48</f>
        <v>84113657.165999994</v>
      </c>
    </row>
    <row r="19" spans="1:11">
      <c r="A19" s="3" t="s">
        <v>30</v>
      </c>
      <c r="B19" t="s">
        <v>18</v>
      </c>
      <c r="C19" s="23">
        <f>C22-C20-C21</f>
        <v>5455523.4007999999</v>
      </c>
      <c r="D19" s="23">
        <f t="shared" ref="D19:F19" si="2">D22-D20-D21</f>
        <v>6096555.7091999995</v>
      </c>
      <c r="E19" s="23">
        <f t="shared" si="0"/>
        <v>11552079.109999999</v>
      </c>
      <c r="F19" s="23">
        <f t="shared" si="2"/>
        <v>12259875.254000001</v>
      </c>
      <c r="I19" s="4" t="s">
        <v>18</v>
      </c>
      <c r="J19" s="26">
        <f>E19/E22</f>
        <v>0.71950029601368592</v>
      </c>
      <c r="K19" s="26">
        <f>F19/F22</f>
        <v>0.97683534929646998</v>
      </c>
    </row>
    <row r="20" spans="1:11">
      <c r="A20" s="3" t="s">
        <v>30</v>
      </c>
      <c r="B20" t="s">
        <v>20</v>
      </c>
      <c r="C20" s="23">
        <f>3580*D45*D48</f>
        <v>342542.99200000003</v>
      </c>
      <c r="D20" s="23">
        <f>2327*D46*D48</f>
        <v>266915.27720000001</v>
      </c>
      <c r="E20" s="23">
        <f t="shared" si="0"/>
        <v>609458.26919999998</v>
      </c>
      <c r="F20" s="23">
        <f>495*D47*D48</f>
        <v>61343.37</v>
      </c>
      <c r="I20" s="4" t="s">
        <v>20</v>
      </c>
      <c r="J20" s="26">
        <f>E20/E22</f>
        <v>3.7959002957121256E-2</v>
      </c>
      <c r="K20" s="26">
        <f>F20/F22</f>
        <v>4.8876820538138735E-3</v>
      </c>
    </row>
    <row r="21" spans="1:11">
      <c r="A21" s="3" t="s">
        <v>30</v>
      </c>
      <c r="B21" t="s">
        <v>22</v>
      </c>
      <c r="C21" s="23">
        <f>36334*D45*D48</f>
        <v>3476524.3216000004</v>
      </c>
      <c r="D21" s="23">
        <f>3641*D46*D48</f>
        <v>417635.80760000006</v>
      </c>
      <c r="E21" s="23">
        <f t="shared" si="0"/>
        <v>3894160.1292000003</v>
      </c>
      <c r="F21" s="23">
        <f>1851*D47*D48</f>
        <v>229387.02599999998</v>
      </c>
      <c r="I21" s="4" t="s">
        <v>22</v>
      </c>
      <c r="J21" s="26">
        <f>E21/E22</f>
        <v>0.24254070102919281</v>
      </c>
      <c r="K21" s="26">
        <f>F21/F22</f>
        <v>1.8276968649716119E-2</v>
      </c>
    </row>
    <row r="22" spans="1:11">
      <c r="A22" s="3" t="s">
        <v>30</v>
      </c>
      <c r="B22" t="s">
        <v>24</v>
      </c>
      <c r="C22" s="23">
        <f>96931*D45*D48</f>
        <v>9274590.7144000009</v>
      </c>
      <c r="D22" s="23">
        <f>54719*D47*D48</f>
        <v>6781106.7939999998</v>
      </c>
      <c r="E22" s="23">
        <f t="shared" si="0"/>
        <v>16055697.508400001</v>
      </c>
      <c r="F22" s="23">
        <f>101275*D47*D48</f>
        <v>12550605.65</v>
      </c>
    </row>
    <row r="23" spans="1:11">
      <c r="A23" s="3" t="s">
        <v>31</v>
      </c>
      <c r="B23" t="s">
        <v>18</v>
      </c>
      <c r="C23" s="23">
        <f>C26-C24-C25</f>
        <v>24417670.068</v>
      </c>
      <c r="D23" s="23">
        <f t="shared" ref="D23:F23" si="3">D26-D24-D25</f>
        <v>21163523.748399999</v>
      </c>
      <c r="E23" s="23">
        <f t="shared" si="0"/>
        <v>45581193.816399999</v>
      </c>
      <c r="F23" s="23">
        <f t="shared" si="3"/>
        <v>82423802.229999989</v>
      </c>
      <c r="I23" s="4" t="s">
        <v>18</v>
      </c>
      <c r="J23" s="26">
        <f>E23/E26</f>
        <v>0.70647816123692686</v>
      </c>
      <c r="K23" s="26">
        <f>F23/F26</f>
        <v>0.9861091754463478</v>
      </c>
    </row>
    <row r="24" spans="1:11">
      <c r="A24" s="3" t="s">
        <v>31</v>
      </c>
      <c r="B24" t="s">
        <v>20</v>
      </c>
      <c r="C24" s="24">
        <f>27951*D45*D48</f>
        <v>2674418.7624000004</v>
      </c>
      <c r="D24" s="23">
        <f>21533*D46*D48</f>
        <v>2469912.6188000003</v>
      </c>
      <c r="E24" s="23">
        <f t="shared" si="0"/>
        <v>5144331.3812000006</v>
      </c>
      <c r="F24" s="23">
        <f>3339*D47*D48</f>
        <v>413788.91399999999</v>
      </c>
      <c r="I24" s="4" t="s">
        <v>20</v>
      </c>
      <c r="J24" s="26">
        <f>E24/E26</f>
        <v>7.9733711881762176E-2</v>
      </c>
      <c r="K24" s="26">
        <f>F24/F26</f>
        <v>4.9505244086502963E-3</v>
      </c>
    </row>
    <row r="25" spans="1:11">
      <c r="A25" s="3" t="s">
        <v>31</v>
      </c>
      <c r="B25" t="s">
        <v>22</v>
      </c>
      <c r="C25" s="24">
        <f>106656*D45*D48</f>
        <v>10205102.054400001</v>
      </c>
      <c r="D25" s="23">
        <f>31283*D46*D48</f>
        <v>3588272.7187999999</v>
      </c>
      <c r="E25" s="23">
        <f t="shared" si="0"/>
        <v>13793374.773200002</v>
      </c>
      <c r="F25" s="23">
        <f>6030*D47*D48</f>
        <v>747273.78</v>
      </c>
      <c r="I25" s="4" t="s">
        <v>22</v>
      </c>
      <c r="J25" s="26">
        <f>E25/E26</f>
        <v>0.21378812688131099</v>
      </c>
      <c r="K25" s="26">
        <f>F25/F26</f>
        <v>8.9403001450018837E-3</v>
      </c>
    </row>
    <row r="26" spans="1:11">
      <c r="A26" s="3" t="s">
        <v>31</v>
      </c>
      <c r="B26" s="3" t="s">
        <v>24</v>
      </c>
      <c r="C26" s="24">
        <f>389802*D45*D48</f>
        <v>37297190.884800002</v>
      </c>
      <c r="D26" s="23">
        <f>219661*D47*D48</f>
        <v>27221709.085999999</v>
      </c>
      <c r="E26" s="23">
        <f t="shared" si="0"/>
        <v>64518899.970799997</v>
      </c>
      <c r="F26" s="23">
        <f>674474*D47*D48</f>
        <v>83584864.923999995</v>
      </c>
    </row>
    <row r="27" spans="1:11">
      <c r="A27" s="3" t="s">
        <v>79</v>
      </c>
      <c r="B27" t="s">
        <v>18</v>
      </c>
      <c r="C27" s="24">
        <f>C35*$D$45*$D$48</f>
        <v>26634152.864000004</v>
      </c>
      <c r="D27" s="23">
        <f>D35*$D$46*$D$48</f>
        <v>23196164.917200003</v>
      </c>
      <c r="E27" s="23">
        <f>C27+D27</f>
        <v>49830317.781200007</v>
      </c>
      <c r="F27" s="23">
        <f>F35*$D$47*$D$48</f>
        <v>34878105.217999995</v>
      </c>
      <c r="I27" s="4" t="s">
        <v>18</v>
      </c>
      <c r="J27" s="27">
        <f>E27/E30</f>
        <v>0.83688202979368542</v>
      </c>
      <c r="K27" s="27">
        <f>F27/F30</f>
        <v>0.95815928070730905</v>
      </c>
    </row>
    <row r="28" spans="1:11">
      <c r="A28" s="3" t="s">
        <v>79</v>
      </c>
      <c r="B28" t="s">
        <v>20</v>
      </c>
      <c r="C28" s="24">
        <f t="shared" ref="C28:C34" si="4">C36*$D$45*$D$48</f>
        <v>768138.30720000004</v>
      </c>
      <c r="D28" s="23">
        <f t="shared" ref="D28:D34" si="5">D36*$D$46*$D$48</f>
        <v>760484.86800000013</v>
      </c>
      <c r="E28" s="23">
        <f t="shared" ref="E28:E34" si="6">C28+D28</f>
        <v>1528623.1752000002</v>
      </c>
      <c r="F28" s="23">
        <f t="shared" ref="F28:F34" si="7">F36*$D$47*$D$48</f>
        <v>179568.774</v>
      </c>
      <c r="I28" s="4" t="s">
        <v>20</v>
      </c>
      <c r="J28" s="27">
        <f>E28/E30</f>
        <v>2.5672669222544887E-2</v>
      </c>
      <c r="K28" s="27">
        <f>F28/F30</f>
        <v>4.9330514446793523E-3</v>
      </c>
    </row>
    <row r="29" spans="1:11">
      <c r="A29" s="3" t="s">
        <v>79</v>
      </c>
      <c r="B29" t="s">
        <v>22</v>
      </c>
      <c r="C29" s="24">
        <f t="shared" si="4"/>
        <v>4749770.0184000004</v>
      </c>
      <c r="D29" s="23">
        <f t="shared" si="5"/>
        <v>3434111.0803999999</v>
      </c>
      <c r="E29" s="23">
        <f t="shared" si="6"/>
        <v>8183881.0987999998</v>
      </c>
      <c r="F29" s="23">
        <f t="shared" si="7"/>
        <v>1343481.7660000001</v>
      </c>
      <c r="I29" s="4" t="s">
        <v>22</v>
      </c>
      <c r="J29" s="27">
        <f>E29/E30</f>
        <v>0.13744530098376959</v>
      </c>
      <c r="K29" s="27">
        <f>F29/F30</f>
        <v>3.6907667848011638E-2</v>
      </c>
    </row>
    <row r="30" spans="1:11">
      <c r="A30" s="3" t="s">
        <v>79</v>
      </c>
      <c r="B30" s="3" t="s">
        <v>24</v>
      </c>
      <c r="C30" s="24">
        <f t="shared" si="4"/>
        <v>32152061.189600006</v>
      </c>
      <c r="D30" s="23">
        <f t="shared" si="5"/>
        <v>27390760.865600005</v>
      </c>
      <c r="E30" s="23">
        <f t="shared" si="6"/>
        <v>59542822.055200011</v>
      </c>
      <c r="F30" s="23">
        <f t="shared" si="7"/>
        <v>36401155.757999994</v>
      </c>
    </row>
    <row r="31" spans="1:11">
      <c r="A31" s="3" t="s">
        <v>80</v>
      </c>
      <c r="B31" t="s">
        <v>18</v>
      </c>
      <c r="C31" s="24">
        <f t="shared" si="4"/>
        <v>64935339.172000006</v>
      </c>
      <c r="D31" s="23">
        <f t="shared" si="5"/>
        <v>83736839.700800002</v>
      </c>
      <c r="E31" s="23">
        <f t="shared" si="6"/>
        <v>148672178.87279999</v>
      </c>
      <c r="F31" s="23">
        <f t="shared" si="7"/>
        <v>174309478.486</v>
      </c>
      <c r="I31" s="4" t="s">
        <v>18</v>
      </c>
      <c r="J31" s="27">
        <f>E31/E34</f>
        <v>0.90496602983339669</v>
      </c>
      <c r="K31" s="27">
        <f>F31/F34</f>
        <v>0.99344910003700992</v>
      </c>
    </row>
    <row r="32" spans="1:11">
      <c r="A32" s="3" t="s">
        <v>80</v>
      </c>
      <c r="B32" t="s">
        <v>20</v>
      </c>
      <c r="C32" s="24">
        <f t="shared" si="4"/>
        <v>1759216.6064000004</v>
      </c>
      <c r="D32" s="23">
        <f t="shared" si="5"/>
        <v>2088523.1488000001</v>
      </c>
      <c r="E32" s="23">
        <f t="shared" si="6"/>
        <v>3847739.7552000005</v>
      </c>
      <c r="F32" s="23">
        <f t="shared" si="7"/>
        <v>207328.198</v>
      </c>
      <c r="I32" s="4" t="s">
        <v>20</v>
      </c>
      <c r="J32" s="27">
        <f>E32/E34</f>
        <v>2.342115247449653E-2</v>
      </c>
      <c r="K32" s="27">
        <f>F32/F34</f>
        <v>1.1816340310600946E-3</v>
      </c>
    </row>
    <row r="33" spans="1:11">
      <c r="A33" s="3" t="s">
        <v>80</v>
      </c>
      <c r="B33" t="s">
        <v>22</v>
      </c>
      <c r="C33" s="24">
        <f t="shared" si="4"/>
        <v>7082124.2008000007</v>
      </c>
      <c r="D33" s="23">
        <f t="shared" si="5"/>
        <v>4682774.47</v>
      </c>
      <c r="E33" s="23">
        <f t="shared" si="6"/>
        <v>11764898.6708</v>
      </c>
      <c r="F33" s="23">
        <f t="shared" si="7"/>
        <v>942085.45199999993</v>
      </c>
      <c r="I33" s="4" t="s">
        <v>22</v>
      </c>
      <c r="J33" s="27">
        <f>E33/E34</f>
        <v>7.1612817692106562E-2</v>
      </c>
      <c r="K33" s="27">
        <f>F33/F34</f>
        <v>5.3692659319299688E-3</v>
      </c>
    </row>
    <row r="34" spans="1:11">
      <c r="A34" s="3" t="s">
        <v>80</v>
      </c>
      <c r="B34" s="3" t="s">
        <v>24</v>
      </c>
      <c r="C34" s="24">
        <f t="shared" si="4"/>
        <v>73776679.97920002</v>
      </c>
      <c r="D34" s="23">
        <f t="shared" si="5"/>
        <v>90508137.319600001</v>
      </c>
      <c r="E34" s="23">
        <f t="shared" si="6"/>
        <v>164284817.29880002</v>
      </c>
      <c r="F34" s="23">
        <f t="shared" si="7"/>
        <v>175458892.13600001</v>
      </c>
    </row>
    <row r="35" spans="1:11">
      <c r="A35" s="3" t="s">
        <v>84</v>
      </c>
      <c r="B35" t="s">
        <v>18</v>
      </c>
      <c r="C35" s="24">
        <f>C38-C37-C36</f>
        <v>278360</v>
      </c>
      <c r="D35" s="24">
        <f>D38-D37-D36</f>
        <v>202227</v>
      </c>
      <c r="E35" s="23">
        <f>C35+D35</f>
        <v>480587</v>
      </c>
      <c r="F35" s="23">
        <f>F38-F37-F36</f>
        <v>281443</v>
      </c>
    </row>
    <row r="36" spans="1:11">
      <c r="A36" s="3" t="s">
        <v>84</v>
      </c>
      <c r="B36" t="s">
        <v>20</v>
      </c>
      <c r="C36" s="24">
        <v>8028</v>
      </c>
      <c r="D36" s="23">
        <v>6630</v>
      </c>
      <c r="E36" s="23">
        <f t="shared" ref="E36:E42" si="8">C36+D36</f>
        <v>14658</v>
      </c>
      <c r="F36" s="23">
        <v>1449</v>
      </c>
    </row>
    <row r="37" spans="1:11">
      <c r="A37" s="3" t="s">
        <v>84</v>
      </c>
      <c r="B37" t="s">
        <v>22</v>
      </c>
      <c r="C37" s="24">
        <v>49641</v>
      </c>
      <c r="D37" s="23">
        <v>29939</v>
      </c>
      <c r="E37" s="23">
        <f t="shared" si="8"/>
        <v>79580</v>
      </c>
      <c r="F37" s="23">
        <v>10841</v>
      </c>
    </row>
    <row r="38" spans="1:11">
      <c r="A38" s="3" t="s">
        <v>84</v>
      </c>
      <c r="B38" s="3" t="s">
        <v>86</v>
      </c>
      <c r="C38" s="24">
        <v>336029</v>
      </c>
      <c r="D38" s="23">
        <v>238796</v>
      </c>
      <c r="E38" s="23">
        <f t="shared" si="8"/>
        <v>574825</v>
      </c>
      <c r="F38" s="23">
        <v>293733</v>
      </c>
    </row>
    <row r="39" spans="1:11">
      <c r="A39" s="3" t="s">
        <v>85</v>
      </c>
      <c r="B39" t="s">
        <v>18</v>
      </c>
      <c r="C39" s="24">
        <f>C42-C41-C40</f>
        <v>678655</v>
      </c>
      <c r="D39" s="24">
        <f>D42-D41-D40</f>
        <v>730028</v>
      </c>
      <c r="E39" s="23">
        <f t="shared" si="8"/>
        <v>1408683</v>
      </c>
      <c r="F39" s="23">
        <f>F42-F41-F40</f>
        <v>1406561</v>
      </c>
    </row>
    <row r="40" spans="1:11">
      <c r="A40" s="3" t="s">
        <v>85</v>
      </c>
      <c r="B40" t="s">
        <v>20</v>
      </c>
      <c r="C40" s="24">
        <v>18386</v>
      </c>
      <c r="D40" s="23">
        <v>18208</v>
      </c>
      <c r="E40" s="23">
        <f t="shared" si="8"/>
        <v>36594</v>
      </c>
      <c r="F40" s="23">
        <v>1673</v>
      </c>
    </row>
    <row r="41" spans="1:11">
      <c r="A41" s="3" t="s">
        <v>85</v>
      </c>
      <c r="B41" t="s">
        <v>22</v>
      </c>
      <c r="C41" s="24">
        <v>74017</v>
      </c>
      <c r="D41" s="23">
        <v>40825</v>
      </c>
      <c r="E41" s="23">
        <f t="shared" si="8"/>
        <v>114842</v>
      </c>
      <c r="F41" s="23">
        <v>7602</v>
      </c>
    </row>
    <row r="42" spans="1:11">
      <c r="A42" s="3" t="s">
        <v>85</v>
      </c>
      <c r="B42" s="3" t="s">
        <v>86</v>
      </c>
      <c r="C42" s="24">
        <v>771058</v>
      </c>
      <c r="D42" s="23">
        <v>789061</v>
      </c>
      <c r="E42" s="23">
        <f t="shared" si="8"/>
        <v>1560119</v>
      </c>
      <c r="F42" s="23">
        <v>1415836</v>
      </c>
    </row>
    <row r="43" spans="1:11">
      <c r="A43" s="3"/>
      <c r="B43" s="3"/>
      <c r="C43" s="24"/>
      <c r="D43" s="23"/>
      <c r="E43" s="23"/>
      <c r="F43" s="23"/>
    </row>
    <row r="45" spans="1:11">
      <c r="C45" t="s">
        <v>19</v>
      </c>
      <c r="D45">
        <v>36.520000000000003</v>
      </c>
    </row>
    <row r="46" spans="1:11">
      <c r="C46" t="s">
        <v>21</v>
      </c>
      <c r="D46">
        <v>43.78</v>
      </c>
    </row>
    <row r="47" spans="1:11">
      <c r="C47" t="s">
        <v>23</v>
      </c>
      <c r="D47">
        <v>47.3</v>
      </c>
    </row>
    <row r="48" spans="1:11">
      <c r="C48" t="s">
        <v>25</v>
      </c>
      <c r="D48">
        <v>2.62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2E18-A1C6-453C-AF24-A072BE286CA6}">
  <dimension ref="A1:K35"/>
  <sheetViews>
    <sheetView workbookViewId="0">
      <selection activeCell="H33" sqref="H33"/>
    </sheetView>
  </sheetViews>
  <sheetFormatPr defaultColWidth="11" defaultRowHeight="15.75"/>
  <cols>
    <col min="1" max="1" width="20.86328125" style="9" customWidth="1"/>
    <col min="2" max="11" width="14" style="9" customWidth="1"/>
    <col min="12" max="16384" width="11" style="9"/>
  </cols>
  <sheetData>
    <row r="1" spans="1:11">
      <c r="A1" s="14"/>
      <c r="B1" s="14" t="s">
        <v>54</v>
      </c>
      <c r="C1" s="14"/>
      <c r="D1" s="14"/>
      <c r="E1" s="14"/>
      <c r="F1" s="14"/>
      <c r="G1" s="14"/>
      <c r="H1" s="14"/>
      <c r="I1" s="14"/>
      <c r="J1" s="14"/>
      <c r="K1" s="14"/>
    </row>
    <row r="2" spans="1:11" ht="26.25" customHeight="1">
      <c r="A2" s="15"/>
      <c r="B2" s="16" t="s">
        <v>63</v>
      </c>
      <c r="C2" s="16" t="s">
        <v>60</v>
      </c>
      <c r="D2" s="16" t="s">
        <v>62</v>
      </c>
      <c r="E2" s="16" t="s">
        <v>55</v>
      </c>
      <c r="F2" s="16" t="s">
        <v>53</v>
      </c>
      <c r="G2" s="16" t="s">
        <v>61</v>
      </c>
      <c r="H2" s="16" t="s">
        <v>56</v>
      </c>
      <c r="I2" s="16" t="s">
        <v>57</v>
      </c>
      <c r="J2" s="16" t="s">
        <v>58</v>
      </c>
      <c r="K2" s="16" t="s">
        <v>59</v>
      </c>
    </row>
    <row r="3" spans="1:11" ht="33.75">
      <c r="A3" s="15"/>
      <c r="B3" s="17" t="s">
        <v>64</v>
      </c>
      <c r="C3" s="17" t="s">
        <v>71</v>
      </c>
      <c r="D3" s="17" t="s">
        <v>73</v>
      </c>
      <c r="E3" s="17" t="s">
        <v>66</v>
      </c>
      <c r="F3" s="17" t="s">
        <v>65</v>
      </c>
      <c r="G3" s="17" t="s">
        <v>72</v>
      </c>
      <c r="H3" s="17" t="s">
        <v>67</v>
      </c>
      <c r="I3" s="17" t="s">
        <v>68</v>
      </c>
      <c r="J3" s="17" t="s">
        <v>69</v>
      </c>
      <c r="K3" s="17" t="s">
        <v>70</v>
      </c>
    </row>
    <row r="4" spans="1:11">
      <c r="A4" s="18" t="s">
        <v>43</v>
      </c>
      <c r="B4" s="19">
        <v>59424.59</v>
      </c>
      <c r="C4" s="19">
        <v>10060.61</v>
      </c>
      <c r="D4" s="19">
        <v>6769.45</v>
      </c>
      <c r="E4" s="19">
        <v>18617.91</v>
      </c>
      <c r="F4" s="19">
        <f t="shared" ref="F4:F9" ca="1" si="0">B4-SUM(C4:G4)</f>
        <v>22425.599999999999</v>
      </c>
      <c r="G4" s="19">
        <v>1551.02</v>
      </c>
      <c r="H4" s="19">
        <v>5248.92</v>
      </c>
      <c r="I4" s="19">
        <v>4264.0600000000004</v>
      </c>
      <c r="J4" s="19">
        <v>11336.75</v>
      </c>
      <c r="K4" s="19">
        <v>1575.87</v>
      </c>
    </row>
    <row r="5" spans="1:11">
      <c r="A5" s="18" t="s">
        <v>42</v>
      </c>
      <c r="B5" s="19">
        <v>5271.73</v>
      </c>
      <c r="C5" s="19">
        <v>757.98</v>
      </c>
      <c r="D5" s="19">
        <v>526.87</v>
      </c>
      <c r="E5" s="19">
        <v>1708.96</v>
      </c>
      <c r="F5" s="19">
        <f t="shared" ca="1" si="0"/>
        <v>2160.4499999999998</v>
      </c>
      <c r="G5" s="19">
        <v>117.47</v>
      </c>
      <c r="H5" s="19">
        <v>454.96</v>
      </c>
      <c r="I5" s="19">
        <v>418.8</v>
      </c>
      <c r="J5" s="19">
        <v>1137.45</v>
      </c>
      <c r="K5" s="19">
        <v>149.24</v>
      </c>
    </row>
    <row r="6" spans="1:11">
      <c r="A6" s="18" t="s">
        <v>41</v>
      </c>
      <c r="B6" s="19">
        <v>6036.31</v>
      </c>
      <c r="C6" s="19">
        <v>1171.73</v>
      </c>
      <c r="D6" s="19">
        <v>349.3</v>
      </c>
      <c r="E6" s="19">
        <v>1874.67</v>
      </c>
      <c r="F6" s="19">
        <f t="shared" ca="1" si="0"/>
        <v>2545.1000000000004</v>
      </c>
      <c r="G6" s="19">
        <v>95.51</v>
      </c>
      <c r="H6" s="19">
        <v>455.01</v>
      </c>
      <c r="I6" s="19">
        <v>402.28</v>
      </c>
      <c r="J6" s="19">
        <v>1590.32</v>
      </c>
      <c r="K6" s="19">
        <v>97.49</v>
      </c>
    </row>
    <row r="7" spans="1:11">
      <c r="A7" s="18" t="s">
        <v>40</v>
      </c>
      <c r="B7" s="19">
        <v>1633.46</v>
      </c>
      <c r="C7" s="19">
        <v>303.87</v>
      </c>
      <c r="D7" s="19">
        <v>285.74</v>
      </c>
      <c r="E7" s="19">
        <v>464.8</v>
      </c>
      <c r="F7" s="19">
        <f t="shared" ca="1" si="0"/>
        <v>522.29999999999995</v>
      </c>
      <c r="G7" s="19">
        <v>56.75</v>
      </c>
      <c r="H7" s="19">
        <v>142.31</v>
      </c>
      <c r="I7" s="19">
        <v>96.78</v>
      </c>
      <c r="J7" s="19">
        <v>231.42</v>
      </c>
      <c r="K7" s="19">
        <v>51.79</v>
      </c>
    </row>
    <row r="8" spans="1:11">
      <c r="A8" s="18" t="s">
        <v>39</v>
      </c>
      <c r="B8" s="19">
        <v>408.28</v>
      </c>
      <c r="C8" s="19">
        <v>73.34</v>
      </c>
      <c r="D8" s="19">
        <v>36.26</v>
      </c>
      <c r="E8" s="19">
        <v>152.09</v>
      </c>
      <c r="F8" s="19">
        <f t="shared" ca="1" si="0"/>
        <v>139.21999999999997</v>
      </c>
      <c r="G8" s="19">
        <v>7.37</v>
      </c>
      <c r="H8" s="19">
        <v>55.8</v>
      </c>
      <c r="I8" s="19">
        <v>55.32</v>
      </c>
      <c r="J8" s="19">
        <v>20.91</v>
      </c>
      <c r="K8" s="19">
        <v>7.19</v>
      </c>
    </row>
    <row r="9" spans="1:11">
      <c r="A9" s="18" t="s">
        <v>38</v>
      </c>
      <c r="B9" s="19">
        <v>1283.5999999999999</v>
      </c>
      <c r="C9" s="19">
        <v>209.44</v>
      </c>
      <c r="D9" s="19">
        <v>153.43</v>
      </c>
      <c r="E9" s="19">
        <v>415.55</v>
      </c>
      <c r="F9" s="19">
        <f t="shared" ca="1" si="0"/>
        <v>476.10999999999979</v>
      </c>
      <c r="G9" s="19">
        <v>29.07</v>
      </c>
      <c r="H9" s="19">
        <v>162.16</v>
      </c>
      <c r="I9" s="19">
        <v>143.63</v>
      </c>
      <c r="J9" s="19">
        <v>128.88</v>
      </c>
      <c r="K9" s="19">
        <v>41.44</v>
      </c>
    </row>
    <row r="10" spans="1:11">
      <c r="A10" s="18" t="s">
        <v>79</v>
      </c>
      <c r="B10" s="19">
        <v>1158.97</v>
      </c>
      <c r="C10" s="19">
        <v>221.57</v>
      </c>
      <c r="D10" s="19">
        <v>177.88</v>
      </c>
      <c r="E10" s="19">
        <v>365.59</v>
      </c>
      <c r="F10" s="19">
        <v>97.26</v>
      </c>
      <c r="G10" s="19">
        <v>34.159999999999997</v>
      </c>
      <c r="H10" s="19">
        <v>104.27</v>
      </c>
      <c r="I10" s="19">
        <v>97.26</v>
      </c>
      <c r="J10" s="19">
        <v>123.66</v>
      </c>
      <c r="K10" s="19">
        <v>34.58</v>
      </c>
    </row>
    <row r="11" spans="1:11">
      <c r="A11" s="18" t="s">
        <v>80</v>
      </c>
      <c r="B11" s="19">
        <v>3077.66</v>
      </c>
      <c r="C11" s="19">
        <v>510.64</v>
      </c>
      <c r="D11" s="19">
        <v>572.4</v>
      </c>
      <c r="E11" s="19">
        <v>947.78</v>
      </c>
      <c r="F11" s="19">
        <v>162.78</v>
      </c>
      <c r="G11" s="19">
        <v>102.53</v>
      </c>
      <c r="H11" s="19">
        <v>316.77999999999997</v>
      </c>
      <c r="I11" s="19">
        <v>162.78</v>
      </c>
      <c r="J11" s="19">
        <v>380.56</v>
      </c>
      <c r="K11" s="19">
        <v>84.19</v>
      </c>
    </row>
    <row r="12" spans="1:11">
      <c r="A12" s="1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>
      <c r="A13" s="1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>
      <c r="A14" s="10" t="s">
        <v>52</v>
      </c>
      <c r="B14" s="21"/>
      <c r="C14" s="21"/>
      <c r="D14" s="21"/>
      <c r="E14" s="21"/>
      <c r="F14" s="21"/>
      <c r="G14" s="20">
        <v>0.5</v>
      </c>
      <c r="H14" s="20">
        <v>1</v>
      </c>
      <c r="I14" s="20">
        <v>1.1200000000000001</v>
      </c>
      <c r="J14" s="20">
        <v>1</v>
      </c>
      <c r="K14" s="20">
        <v>0.75</v>
      </c>
    </row>
    <row r="15" spans="1:11">
      <c r="A15" s="10" t="s">
        <v>74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>
      <c r="A16" s="10" t="s">
        <v>51</v>
      </c>
      <c r="B16" s="22"/>
      <c r="C16" s="21"/>
      <c r="D16" s="21"/>
      <c r="E16" s="21"/>
      <c r="F16" s="21">
        <f>SUM(G16:K16)</f>
        <v>23318.829700000002</v>
      </c>
      <c r="G16" s="21">
        <f t="shared" ref="G16:G23" si="1">G4*G$14</f>
        <v>775.51</v>
      </c>
      <c r="H16" s="21">
        <f t="shared" ref="H16:K16" si="2">H4*H$14</f>
        <v>5248.92</v>
      </c>
      <c r="I16" s="21">
        <f t="shared" si="2"/>
        <v>4775.7472000000007</v>
      </c>
      <c r="J16" s="21">
        <f t="shared" si="2"/>
        <v>11336.75</v>
      </c>
      <c r="K16" s="21">
        <f t="shared" si="2"/>
        <v>1181.9024999999999</v>
      </c>
    </row>
    <row r="17" spans="1:11">
      <c r="A17" s="10" t="s">
        <v>50</v>
      </c>
      <c r="B17" s="22"/>
      <c r="C17" s="21"/>
      <c r="D17" s="21"/>
      <c r="E17" s="21"/>
      <c r="F17" s="21">
        <f t="shared" ref="F17:F21" si="3">SUM(G17:K17)</f>
        <v>2232.1309999999999</v>
      </c>
      <c r="G17" s="21">
        <f t="shared" si="1"/>
        <v>58.734999999999999</v>
      </c>
      <c r="H17" s="21">
        <f t="shared" ref="H17:K17" si="4">H5*H$14</f>
        <v>454.96</v>
      </c>
      <c r="I17" s="21">
        <f t="shared" si="4"/>
        <v>469.05600000000004</v>
      </c>
      <c r="J17" s="21">
        <f t="shared" si="4"/>
        <v>1137.45</v>
      </c>
      <c r="K17" s="21">
        <f t="shared" si="4"/>
        <v>111.93</v>
      </c>
    </row>
    <row r="18" spans="1:11">
      <c r="A18" s="10" t="s">
        <v>49</v>
      </c>
      <c r="B18" s="22"/>
      <c r="C18" s="21"/>
      <c r="D18" s="21"/>
      <c r="E18" s="21"/>
      <c r="F18" s="21">
        <f t="shared" si="3"/>
        <v>2616.7561000000001</v>
      </c>
      <c r="G18" s="21">
        <f t="shared" si="1"/>
        <v>47.755000000000003</v>
      </c>
      <c r="H18" s="21">
        <f t="shared" ref="H18:K18" si="5">H6*H$14</f>
        <v>455.01</v>
      </c>
      <c r="I18" s="21">
        <f t="shared" si="5"/>
        <v>450.55360000000002</v>
      </c>
      <c r="J18" s="21">
        <f t="shared" si="5"/>
        <v>1590.32</v>
      </c>
      <c r="K18" s="21">
        <f t="shared" si="5"/>
        <v>73.117499999999993</v>
      </c>
    </row>
    <row r="19" spans="1:11">
      <c r="A19" s="10" t="s">
        <v>48</v>
      </c>
      <c r="B19" s="22"/>
      <c r="C19" s="21"/>
      <c r="D19" s="21"/>
      <c r="E19" s="21"/>
      <c r="F19" s="21">
        <f t="shared" si="3"/>
        <v>549.34109999999998</v>
      </c>
      <c r="G19" s="21">
        <f t="shared" si="1"/>
        <v>28.375</v>
      </c>
      <c r="H19" s="21">
        <f t="shared" ref="H19:K19" si="6">H7*H$14</f>
        <v>142.31</v>
      </c>
      <c r="I19" s="21">
        <f t="shared" si="6"/>
        <v>108.39360000000001</v>
      </c>
      <c r="J19" s="21">
        <f t="shared" si="6"/>
        <v>231.42</v>
      </c>
      <c r="K19" s="21">
        <f t="shared" si="6"/>
        <v>38.842500000000001</v>
      </c>
    </row>
    <row r="20" spans="1:11">
      <c r="A20" s="10" t="s">
        <v>47</v>
      </c>
      <c r="B20" s="22"/>
      <c r="C20" s="21"/>
      <c r="D20" s="21"/>
      <c r="E20" s="21"/>
      <c r="F20" s="21">
        <f t="shared" si="3"/>
        <v>147.74590000000001</v>
      </c>
      <c r="G20" s="21">
        <f t="shared" si="1"/>
        <v>3.6850000000000001</v>
      </c>
      <c r="H20" s="21">
        <f t="shared" ref="H20:K20" si="7">H8*H$14</f>
        <v>55.8</v>
      </c>
      <c r="I20" s="21">
        <f t="shared" si="7"/>
        <v>61.958400000000005</v>
      </c>
      <c r="J20" s="21">
        <f t="shared" si="7"/>
        <v>20.91</v>
      </c>
      <c r="K20" s="21">
        <f t="shared" si="7"/>
        <v>5.3925000000000001</v>
      </c>
    </row>
    <row r="21" spans="1:11">
      <c r="A21" s="10" t="s">
        <v>46</v>
      </c>
      <c r="B21" s="22"/>
      <c r="C21" s="21"/>
      <c r="D21" s="21"/>
      <c r="E21" s="21"/>
      <c r="F21" s="21">
        <f t="shared" si="3"/>
        <v>497.5206</v>
      </c>
      <c r="G21" s="21">
        <f t="shared" si="1"/>
        <v>14.535</v>
      </c>
      <c r="H21" s="21">
        <f t="shared" ref="H21:K21" si="8">H9*H$14</f>
        <v>162.16</v>
      </c>
      <c r="I21" s="21">
        <f t="shared" si="8"/>
        <v>160.8656</v>
      </c>
      <c r="J21" s="21">
        <f t="shared" si="8"/>
        <v>128.88</v>
      </c>
      <c r="K21" s="21">
        <f t="shared" si="8"/>
        <v>31.08</v>
      </c>
    </row>
    <row r="22" spans="1:11">
      <c r="A22" s="10" t="s">
        <v>81</v>
      </c>
      <c r="B22" s="22"/>
      <c r="C22" s="21"/>
      <c r="D22" s="21"/>
      <c r="E22" s="21"/>
      <c r="F22" s="21">
        <f>SUM(G22:K22)</f>
        <v>379.87619999999998</v>
      </c>
      <c r="G22" s="21">
        <f t="shared" si="1"/>
        <v>17.079999999999998</v>
      </c>
      <c r="H22" s="21">
        <f t="shared" ref="H22:K22" si="9">H10*H$14</f>
        <v>104.27</v>
      </c>
      <c r="I22" s="21">
        <f t="shared" si="9"/>
        <v>108.93120000000002</v>
      </c>
      <c r="J22" s="21">
        <f t="shared" si="9"/>
        <v>123.66</v>
      </c>
      <c r="K22" s="21">
        <f t="shared" si="9"/>
        <v>25.934999999999999</v>
      </c>
    </row>
    <row r="23" spans="1:11">
      <c r="A23" s="10" t="s">
        <v>82</v>
      </c>
      <c r="B23" s="22"/>
      <c r="C23" s="21"/>
      <c r="D23" s="21"/>
      <c r="E23" s="21"/>
      <c r="F23" s="21">
        <f t="shared" ref="F23" si="10">SUM(G23:K23)</f>
        <v>994.06110000000001</v>
      </c>
      <c r="G23" s="21">
        <f t="shared" si="1"/>
        <v>51.265000000000001</v>
      </c>
      <c r="H23" s="21">
        <f t="shared" ref="H23:K23" si="11">H11*H$14</f>
        <v>316.77999999999997</v>
      </c>
      <c r="I23" s="21">
        <f t="shared" si="11"/>
        <v>182.31360000000001</v>
      </c>
      <c r="J23" s="21">
        <f t="shared" si="11"/>
        <v>380.56</v>
      </c>
      <c r="K23" s="21">
        <f t="shared" si="11"/>
        <v>63.142499999999998</v>
      </c>
    </row>
    <row r="24" spans="1:11">
      <c r="A24" s="10"/>
      <c r="B24" s="22"/>
      <c r="C24" s="21"/>
      <c r="D24" s="21"/>
      <c r="E24" s="21"/>
      <c r="F24" s="21"/>
      <c r="G24" s="21"/>
      <c r="H24" s="21"/>
      <c r="I24" s="21"/>
      <c r="J24" s="21"/>
      <c r="K24" s="21"/>
    </row>
    <row r="25" spans="1:11">
      <c r="A25" s="10"/>
      <c r="B25" s="22"/>
      <c r="C25" s="21"/>
      <c r="D25" s="21"/>
      <c r="E25" s="21"/>
      <c r="F25" s="21"/>
      <c r="G25" s="21"/>
      <c r="H25" s="21"/>
      <c r="I25" s="21"/>
      <c r="J25" s="21"/>
      <c r="K25" s="21"/>
    </row>
    <row r="26" spans="1:11">
      <c r="A26" s="9" t="s">
        <v>75</v>
      </c>
    </row>
    <row r="27" spans="1:11">
      <c r="G27" s="11"/>
      <c r="H27" s="12" t="s">
        <v>45</v>
      </c>
      <c r="I27" s="12" t="s">
        <v>44</v>
      </c>
    </row>
    <row r="28" spans="1:11">
      <c r="A28" s="12" t="s">
        <v>43</v>
      </c>
      <c r="H28" s="13">
        <f>(H16+G16)/F16</f>
        <v>0.25835044371888011</v>
      </c>
      <c r="I28" s="13">
        <f>(I16+J16+K16)/F16</f>
        <v>0.74164955628111995</v>
      </c>
    </row>
    <row r="29" spans="1:11">
      <c r="A29" s="12" t="s">
        <v>42</v>
      </c>
      <c r="H29" s="13">
        <f t="shared" ref="H29:H35" si="12">(H17+G17)/F17</f>
        <v>0.23013658248552615</v>
      </c>
      <c r="I29" s="13">
        <f t="shared" ref="I29:I35" si="13">(I17+J17+K17)/F17</f>
        <v>0.76986341751447396</v>
      </c>
    </row>
    <row r="30" spans="1:11">
      <c r="A30" s="12" t="s">
        <v>41</v>
      </c>
      <c r="H30" s="13">
        <f t="shared" si="12"/>
        <v>0.19213292366071105</v>
      </c>
      <c r="I30" s="13">
        <f t="shared" si="13"/>
        <v>0.80786707633928878</v>
      </c>
    </row>
    <row r="31" spans="1:11">
      <c r="A31" s="12" t="s">
        <v>40</v>
      </c>
      <c r="H31" s="13">
        <f t="shared" si="12"/>
        <v>0.31070859253021482</v>
      </c>
      <c r="I31" s="13">
        <f t="shared" si="13"/>
        <v>0.68929140746978523</v>
      </c>
    </row>
    <row r="32" spans="1:11">
      <c r="A32" s="12" t="s">
        <v>39</v>
      </c>
      <c r="H32" s="13">
        <f t="shared" si="12"/>
        <v>0.4026169254104513</v>
      </c>
      <c r="I32" s="13">
        <f t="shared" si="13"/>
        <v>0.59738307458954865</v>
      </c>
    </row>
    <row r="33" spans="1:9">
      <c r="A33" s="12" t="s">
        <v>38</v>
      </c>
      <c r="H33" s="13">
        <f t="shared" si="12"/>
        <v>0.35515112339066962</v>
      </c>
      <c r="I33" s="13">
        <f t="shared" si="13"/>
        <v>0.64484887660933021</v>
      </c>
    </row>
    <row r="34" spans="1:9">
      <c r="A34" s="12" t="s">
        <v>79</v>
      </c>
      <c r="H34" s="13">
        <f>(H22+G22)/F22</f>
        <v>0.31944617746518472</v>
      </c>
      <c r="I34" s="13">
        <f>(I22+J22+K22)/F22</f>
        <v>0.68055382253481533</v>
      </c>
    </row>
    <row r="35" spans="1:9">
      <c r="A35" s="12" t="s">
        <v>80</v>
      </c>
      <c r="H35" s="13">
        <f t="shared" si="12"/>
        <v>0.37024384114819497</v>
      </c>
      <c r="I35" s="13">
        <f t="shared" si="13"/>
        <v>0.62975615885180503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0005-D743-455B-970C-1AFA5F3FC273}">
  <sheetPr>
    <tabColor theme="3" tint="0.39997558519241921"/>
  </sheetPr>
  <dimension ref="A1:D5"/>
  <sheetViews>
    <sheetView tabSelected="1" workbookViewId="0">
      <selection activeCell="C31" sqref="C31"/>
    </sheetView>
  </sheetViews>
  <sheetFormatPr defaultRowHeight="13.5"/>
  <cols>
    <col min="1" max="1" width="20.3984375" customWidth="1"/>
    <col min="2" max="2" width="20.46484375" customWidth="1"/>
    <col min="3" max="3" width="14.73046875" customWidth="1"/>
    <col min="4" max="4" width="16.1328125" customWidth="1"/>
  </cols>
  <sheetData>
    <row r="1" spans="1:4" ht="40.5">
      <c r="A1" s="1" t="s">
        <v>32</v>
      </c>
      <c r="B1" s="28" t="s">
        <v>33</v>
      </c>
      <c r="C1" s="28" t="s">
        <v>34</v>
      </c>
      <c r="D1" s="28" t="s">
        <v>7</v>
      </c>
    </row>
    <row r="2" spans="1:4">
      <c r="A2" t="s">
        <v>29</v>
      </c>
      <c r="B2" s="29">
        <f>'Residential Building'!J24</f>
        <v>7.9733711881762176E-2</v>
      </c>
      <c r="C2" s="29">
        <f>'Residential Building'!K24</f>
        <v>4.9505244086502963E-3</v>
      </c>
      <c r="D2" s="29">
        <f>'Commercial Building'!H33</f>
        <v>0.35515112339066962</v>
      </c>
    </row>
    <row r="3" spans="1:4">
      <c r="A3" t="s">
        <v>35</v>
      </c>
      <c r="B3" s="29">
        <f>'Residential Building'!J25</f>
        <v>0.21378812688131099</v>
      </c>
      <c r="C3" s="29">
        <f>'Residential Building'!K25</f>
        <v>8.9403001450018837E-3</v>
      </c>
      <c r="D3" s="29">
        <f>'Commercial Building'!I33</f>
        <v>0.64484887660933021</v>
      </c>
    </row>
    <row r="4" spans="1:4">
      <c r="A4" t="s">
        <v>36</v>
      </c>
      <c r="B4" s="29">
        <f>'Residential Building'!J23</f>
        <v>0.70647816123692686</v>
      </c>
      <c r="C4" s="29">
        <f>'Residential Building'!K23</f>
        <v>0.9861091754463478</v>
      </c>
      <c r="D4" s="29">
        <v>0</v>
      </c>
    </row>
    <row r="5" spans="1:4">
      <c r="A5" t="s">
        <v>37</v>
      </c>
      <c r="B5" s="29">
        <v>0</v>
      </c>
      <c r="C5" s="29">
        <f t="shared" ref="C5" si="0">B5</f>
        <v>0</v>
      </c>
      <c r="D5" s="29">
        <v>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Residential Building</vt:lpstr>
      <vt:lpstr>Commercial Building</vt:lpstr>
      <vt:lpstr>FoBObE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畅 刘</cp:lastModifiedBy>
  <dcterms:created xsi:type="dcterms:W3CDTF">2014-04-18T21:40:00Z</dcterms:created>
  <dcterms:modified xsi:type="dcterms:W3CDTF">2024-04-02T07:16:37Z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DCD124167B14B9DD894A7463C74B8973</vt:lpwstr>
  </property>
</Properties>
</file>