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Programming\EPS\Github Push\EPS Shandong\EPS_Shandong_EI-Fork\InputData\elec\BCpUC\"/>
    </mc:Choice>
  </mc:AlternateContent>
  <xr:revisionPtr revIDLastSave="0" documentId="13_ncr:1_{EF30002B-572A-4D40-8A26-18DCB71E59F7}" xr6:coauthVersionLast="47" xr6:coauthVersionMax="47" xr10:uidLastSave="{00000000-0000-0000-0000-000000000000}"/>
  <bookViews>
    <workbookView xWindow="-120" yWindow="-120" windowWidth="29040" windowHeight="15840" tabRatio="787" firstSheet="4" activeTab="10" xr2:uid="{00000000-000D-0000-FFFF-FFFF00000000}"/>
  </bookViews>
  <sheets>
    <sheet name="About" sheetId="2" r:id="rId1"/>
    <sheet name="Exchange Rate" sheetId="8" r:id="rId2"/>
    <sheet name="NREL ATB" sheetId="6" r:id="rId3"/>
    <sheet name="China Historical Battery Cost" sheetId="9" r:id="rId4"/>
    <sheet name="MIT Cost Projection" sheetId="12" r:id="rId5"/>
    <sheet name="China Battery Cost Breakdown" sheetId="10" r:id="rId6"/>
    <sheet name="BNEF Outlook" sheetId="11" r:id="rId7"/>
    <sheet name="Balance of System Calculations" sheetId="5" r:id="rId8"/>
    <sheet name="Cost per Unit Capacity Calc" sheetId="14" r:id="rId9"/>
    <sheet name="BCpUC" sheetId="3" r:id="rId10"/>
    <sheet name="BBoSCpUC" sheetId="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4" l="1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C2" i="4"/>
  <c r="R2" i="9"/>
  <c r="R4" i="9" s="1"/>
  <c r="R5" i="9" s="1"/>
  <c r="D35" i="5" s="1"/>
  <c r="P4" i="9"/>
  <c r="O4" i="9"/>
  <c r="AG4" i="14"/>
  <c r="C6" i="14"/>
  <c r="D6" i="14"/>
  <c r="E6" i="14"/>
  <c r="F6" i="14"/>
  <c r="G6" i="14"/>
  <c r="H6" i="14"/>
  <c r="I5" i="14"/>
  <c r="I6" i="14" s="1"/>
  <c r="D5" i="14"/>
  <c r="E5" i="14"/>
  <c r="F5" i="14"/>
  <c r="G5" i="14"/>
  <c r="H5" i="14"/>
  <c r="C5" i="14"/>
  <c r="F18" i="12"/>
  <c r="F19" i="12"/>
  <c r="F20" i="12"/>
  <c r="F17" i="12"/>
  <c r="E17" i="12"/>
  <c r="E18" i="12"/>
  <c r="E19" i="12"/>
  <c r="E20" i="12"/>
  <c r="D18" i="12"/>
  <c r="D19" i="12"/>
  <c r="D20" i="12"/>
  <c r="D17" i="12"/>
  <c r="C3" i="14" a="1"/>
  <c r="C3" i="14" s="1"/>
  <c r="E6" i="11"/>
  <c r="E7" i="11"/>
  <c r="E8" i="11"/>
  <c r="E9" i="11"/>
  <c r="E10" i="11"/>
  <c r="E11" i="11"/>
  <c r="F11" i="11" s="1"/>
  <c r="F7" i="11"/>
  <c r="F10" i="11"/>
  <c r="F8" i="11"/>
  <c r="F9" i="11"/>
  <c r="F6" i="11"/>
  <c r="T10" i="9"/>
  <c r="S10" i="9"/>
  <c r="R10" i="9"/>
  <c r="T9" i="9"/>
  <c r="S9" i="9"/>
  <c r="R9" i="9"/>
  <c r="E3" i="10"/>
  <c r="E4" i="10"/>
  <c r="E5" i="10"/>
  <c r="E6" i="10"/>
  <c r="E7" i="10"/>
  <c r="E8" i="10"/>
  <c r="E2" i="10"/>
  <c r="H3" i="11"/>
  <c r="H4" i="11"/>
  <c r="G5" i="11"/>
  <c r="H5" i="11"/>
  <c r="G6" i="11"/>
  <c r="H6" i="11"/>
  <c r="G7" i="11"/>
  <c r="H7" i="11"/>
  <c r="G8" i="11"/>
  <c r="H8" i="11"/>
  <c r="G9" i="11"/>
  <c r="G10" i="11"/>
  <c r="G11" i="11"/>
  <c r="G12" i="11"/>
  <c r="G13" i="11"/>
  <c r="G14" i="11"/>
  <c r="G15" i="11"/>
  <c r="G16" i="11"/>
  <c r="O5" i="9"/>
  <c r="P5" i="9"/>
  <c r="O6" i="9"/>
  <c r="P6" i="9"/>
  <c r="C9" i="9"/>
  <c r="B9" i="9" s="1"/>
  <c r="D9" i="9"/>
  <c r="E9" i="9"/>
  <c r="F9" i="9"/>
  <c r="G9" i="9"/>
  <c r="H9" i="9"/>
  <c r="J9" i="9"/>
  <c r="M9" i="9"/>
  <c r="C10" i="9"/>
  <c r="D10" i="9"/>
  <c r="E10" i="9"/>
  <c r="B10" i="9" s="1"/>
  <c r="F10" i="9"/>
  <c r="G10" i="9"/>
  <c r="H10" i="9"/>
  <c r="J10" i="9"/>
  <c r="M10" i="9"/>
  <c r="C11" i="9"/>
  <c r="D11" i="9"/>
  <c r="B11" i="9" s="1"/>
  <c r="E11" i="9"/>
  <c r="F11" i="9"/>
  <c r="G11" i="9"/>
  <c r="H11" i="9"/>
  <c r="J11" i="9"/>
  <c r="M11" i="9"/>
  <c r="D24" i="8"/>
  <c r="M30" i="5"/>
  <c r="J30" i="5"/>
  <c r="G30" i="5"/>
  <c r="D30" i="5"/>
  <c r="M26" i="5"/>
  <c r="J26" i="5"/>
  <c r="G26" i="5"/>
  <c r="D26" i="5"/>
  <c r="M23" i="5"/>
  <c r="M22" i="5"/>
  <c r="M24" i="5" s="1"/>
  <c r="M25" i="5" s="1"/>
  <c r="J23" i="5"/>
  <c r="J22" i="5"/>
  <c r="J24" i="5" s="1"/>
  <c r="J25" i="5" s="1"/>
  <c r="G23" i="5"/>
  <c r="G22" i="5"/>
  <c r="G24" i="5" s="1"/>
  <c r="G25" i="5" s="1"/>
  <c r="D23" i="5"/>
  <c r="D22" i="5"/>
  <c r="M31" i="5"/>
  <c r="J31" i="5"/>
  <c r="G31" i="5"/>
  <c r="D31" i="5"/>
  <c r="O31" i="5" s="1"/>
  <c r="O30" i="5"/>
  <c r="D36" i="5" l="1"/>
  <c r="B2" i="4" s="1"/>
  <c r="J5" i="14"/>
  <c r="D24" i="5"/>
  <c r="D25" i="5" s="1"/>
  <c r="K5" i="14" l="1"/>
  <c r="J6" i="14"/>
  <c r="L5" i="14" l="1"/>
  <c r="K6" i="14"/>
  <c r="M5" i="14" l="1"/>
  <c r="L6" i="14"/>
  <c r="N5" i="14" l="1"/>
  <c r="M6" i="14"/>
  <c r="O5" i="14" l="1"/>
  <c r="N6" i="14"/>
  <c r="P5" i="14" l="1"/>
  <c r="O6" i="14"/>
  <c r="Q5" i="14" l="1"/>
  <c r="P6" i="14"/>
  <c r="R5" i="14" l="1"/>
  <c r="Q6" i="14"/>
  <c r="S5" i="14" l="1"/>
  <c r="R6" i="14"/>
  <c r="T5" i="14" l="1"/>
  <c r="S6" i="14"/>
  <c r="U5" i="14" l="1"/>
  <c r="T6" i="14"/>
  <c r="V5" i="14" l="1"/>
  <c r="U6" i="14"/>
  <c r="W5" i="14" l="1"/>
  <c r="V6" i="14"/>
  <c r="X5" i="14" l="1"/>
  <c r="W6" i="14"/>
  <c r="Y5" i="14" l="1"/>
  <c r="X6" i="14"/>
  <c r="Z5" i="14" l="1"/>
  <c r="Y6" i="14"/>
  <c r="AA5" i="14" l="1"/>
  <c r="Z6" i="14"/>
  <c r="AA6" i="14" l="1"/>
  <c r="AB5" i="14"/>
  <c r="AB6" i="14" l="1"/>
  <c r="AC5" i="14"/>
  <c r="AD5" i="14" l="1"/>
  <c r="AC6" i="14"/>
  <c r="AE5" i="14" l="1"/>
  <c r="AD6" i="14"/>
  <c r="AF5" i="14" l="1"/>
  <c r="AE6" i="14"/>
  <c r="AG5" i="14" l="1"/>
  <c r="AF6" i="14"/>
  <c r="AH5" i="14" l="1"/>
  <c r="AG6" i="14"/>
  <c r="AI5" i="14" l="1"/>
  <c r="AH6" i="14"/>
  <c r="AJ5" i="14" l="1"/>
  <c r="AI6" i="14"/>
  <c r="AK5" i="14" l="1"/>
  <c r="AJ6" i="14"/>
  <c r="AL5" i="14" l="1"/>
  <c r="AK6" i="14"/>
  <c r="AM5" i="14" l="1"/>
  <c r="AL6" i="14"/>
  <c r="AN5" i="14" l="1"/>
  <c r="AM6" i="14"/>
  <c r="AO5" i="14" l="1"/>
  <c r="AN6" i="14"/>
  <c r="AP5" i="14" l="1"/>
  <c r="AO6" i="14"/>
  <c r="AQ5" i="14" l="1"/>
  <c r="AQ6" i="14" s="1"/>
  <c r="B2" i="3" s="1" a="1"/>
  <c r="B2" i="3" s="1"/>
  <c r="AP6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<sst xmlns="http://schemas.openxmlformats.org/spreadsheetml/2006/main" count="264" uniqueCount="195">
  <si>
    <t>Year</t>
  </si>
  <si>
    <t>$/kWh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</si>
  <si>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</si>
  <si>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</si>
  <si>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</si>
  <si>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</si>
  <si>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</si>
  <si>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</si>
  <si>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</si>
  <si>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</si>
  <si>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</si>
  <si>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</si>
  <si>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</si>
  <si>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Battery Cost ($/MW)</t>
  </si>
  <si>
    <t>Note:</t>
  </si>
  <si>
    <t>See "cpi.xlsx" in the InputData folder for source information.</t>
  </si>
  <si>
    <t>BCpUC Battery Cost per Unit Capacity</t>
  </si>
  <si>
    <t>Used to calculate battery storage deployment. Only the first year of this time series</t>
  </si>
  <si>
    <t xml:space="preserve">input variable is used, and the remaining years are handled via endogenous </t>
  </si>
  <si>
    <t>learning.</t>
  </si>
  <si>
    <t>BCpUC Battery Balance of System Cost per Unit Capacity</t>
  </si>
  <si>
    <t>Unit: $/MW</t>
  </si>
  <si>
    <t>Balance of System</t>
  </si>
  <si>
    <t>Table 3. Detailed Cost Breakdown for a 60-MW U.S. Li-ion Standalone Storage System with Durations of 0.5–4 Hours</t>
  </si>
  <si>
    <t>60-MW, 4-hour Duration, 240-MWh</t>
  </si>
  <si>
    <t>60-MW, 2-hour Duration, 120-MWh</t>
  </si>
  <si>
    <t>60-MW, 1-hour Duration, 60-MWh</t>
  </si>
  <si>
    <t>60-MW, 0.5-hour Duration, 30-MWh</t>
  </si>
  <si>
    <t>Li-ion battery</t>
  </si>
  <si>
    <t>Battery central inverter</t>
  </si>
  <si>
    <t>Structural BOS</t>
  </si>
  <si>
    <t>Electrical BOS</t>
  </si>
  <si>
    <t>EPC overhead</t>
  </si>
  <si>
    <t>Sales tax</t>
  </si>
  <si>
    <t>∑ EPC cost</t>
  </si>
  <si>
    <t>Land acquisition</t>
  </si>
  <si>
    <t>Permitting fee</t>
  </si>
  <si>
    <t>Interconnection fee</t>
  </si>
  <si>
    <t>Contingency</t>
  </si>
  <si>
    <t>Developer overhead</t>
  </si>
  <si>
    <t>EPC/developer net profit</t>
  </si>
  <si>
    <t>∑ Developer cost</t>
  </si>
  <si>
    <t>Total Cost ($)</t>
  </si>
  <si>
    <t>$/W</t>
  </si>
  <si>
    <t>Total Cost</t>
  </si>
  <si>
    <t>Model Component</t>
  </si>
  <si>
    <t>Installation labor &amp; equipment</t>
  </si>
  <si>
    <t>Balance of System Costs</t>
  </si>
  <si>
    <t>https://www.nrel.gov/docs/fy19osti/71714.pdf</t>
  </si>
  <si>
    <t>Page 12, Table 3</t>
  </si>
  <si>
    <t>National Renewable Energy Laboratory</t>
  </si>
  <si>
    <t>2018 U.S. Utility-Scale Photovoltaics Plus-Energy Storage System Costs Benchmark</t>
  </si>
  <si>
    <t>Only the battery cost is affected by endogenous learning.  The "Balance of System"</t>
  </si>
  <si>
    <t>costs are read directly from this variable and are not modified via endogenous learning</t>
  </si>
  <si>
    <t>inside the simulator.</t>
  </si>
  <si>
    <t>We use the largest (4-hour duration) for our estimate.</t>
  </si>
  <si>
    <t>Balance of System (excl. sales tax)</t>
  </si>
  <si>
    <t>Sales tax on balance of system elements</t>
  </si>
  <si>
    <t>The "balance of system" should include all costs the utility must pay to purchase and</t>
  </si>
  <si>
    <t>install the battery system, apart from the batteries themselves (and apart from sales</t>
  </si>
  <si>
    <t>tax on the batteries).  This includes the inverter, labor, etc.</t>
  </si>
  <si>
    <t>Currency Adjustment</t>
  </si>
  <si>
    <t>2010 to 2012 USD</t>
  </si>
  <si>
    <t>We adjust currency using the following conversion factors:</t>
  </si>
  <si>
    <t>2018 $/W</t>
  </si>
  <si>
    <t>2018 $/MW</t>
  </si>
  <si>
    <t>2018 to 2012 USD</t>
  </si>
  <si>
    <t>2012 $/MW</t>
  </si>
  <si>
    <t>For the U.S. model, we assume the balance of system costs remain constant throughout the model run.</t>
  </si>
  <si>
    <t>For  15-year life (values in 2019$):</t>
  </si>
  <si>
    <t>Techno-Economic Cost and Performance Parameters</t>
  </si>
  <si>
    <t>CAPEX ($/kW)</t>
  </si>
  <si>
    <t>2Hr Battery Storage - Advanced</t>
  </si>
  <si>
    <t>2Hr Battery Storage - Moderate</t>
  </si>
  <si>
    <t>2Hr Battery Storage - Conservative</t>
  </si>
  <si>
    <t>4Hr Battery Storage - Advanced</t>
  </si>
  <si>
    <t>4Hr Battery Storage - Moderate</t>
  </si>
  <si>
    <t>4Hr Battery Storage - Conservative</t>
  </si>
  <si>
    <t>6Hr Battery Storage - Advanced</t>
  </si>
  <si>
    <t>6Hr Battery Storage - Moderate</t>
  </si>
  <si>
    <t>6Hr Battery Storage - Conservative</t>
  </si>
  <si>
    <t>8Hr Battery Storage - Advanced</t>
  </si>
  <si>
    <t>8Hr Battery Storage - Moderate</t>
  </si>
  <si>
    <t>8Hr Battery Storage - Conservative</t>
  </si>
  <si>
    <t>10Hr Battery Storage - Advanced</t>
  </si>
  <si>
    <t>10Hr Battery Storage - Moderate</t>
  </si>
  <si>
    <t>10Hr Battery Storage - Conservative</t>
  </si>
  <si>
    <t>Capital Costs</t>
  </si>
  <si>
    <t>Annual Technology Baseline</t>
  </si>
  <si>
    <t>https://atb.nrel.gov/</t>
  </si>
  <si>
    <t>Utility-Scale Battery Storage tab, CAPEX, Moderate scenario</t>
  </si>
  <si>
    <t>China Historical Battery Cost</t>
    <phoneticPr fontId="10" type="noConversion"/>
  </si>
  <si>
    <t>2021 Data</t>
    <phoneticPr fontId="11" type="noConversion"/>
  </si>
  <si>
    <t>北极星储能网</t>
    <phoneticPr fontId="11" type="noConversion"/>
  </si>
  <si>
    <t>2022 Data</t>
    <phoneticPr fontId="11" type="noConversion"/>
  </si>
  <si>
    <t>储能与电力市场</t>
    <phoneticPr fontId="11" type="noConversion"/>
  </si>
  <si>
    <t>https://mp.weixin.qq.com/s/2dLCmA_6qSvE5v-GP6WXLg</t>
  </si>
  <si>
    <t>2023H1 Data</t>
    <phoneticPr fontId="11" type="noConversion"/>
  </si>
  <si>
    <t>2023上半年储能盘点：储能系统和EPC价格全景分析</t>
    <phoneticPr fontId="11" type="noConversion"/>
  </si>
  <si>
    <t>China Battery Cost Breakdown</t>
    <phoneticPr fontId="10" type="noConversion"/>
  </si>
  <si>
    <t>ESCN 2022</t>
    <phoneticPr fontId="11" type="noConversion"/>
  </si>
  <si>
    <t>BNEF 2020</t>
    <phoneticPr fontId="11" type="noConversion"/>
  </si>
  <si>
    <t>Wind &amp; Weibo 2022</t>
  </si>
  <si>
    <t>大储 ~ P2：成本测算</t>
    <phoneticPr fontId="11" type="noConversion"/>
  </si>
  <si>
    <t>新型储能系统成本分析</t>
    <phoneticPr fontId="11" type="noConversion"/>
  </si>
  <si>
    <t>韦伯咨询：2023年中国储能行业专题调研与深度分析报告</t>
    <phoneticPr fontId="11" type="noConversion"/>
  </si>
  <si>
    <t>BNEF 2022</t>
    <phoneticPr fontId="11" type="noConversion"/>
  </si>
  <si>
    <t>2022年储能系统成本调查_电力网 (chinapower.com.cn)</t>
    <phoneticPr fontId="11" type="noConversion"/>
  </si>
  <si>
    <t>2021储能中标均价1.476元/Wh</t>
    <phoneticPr fontId="11" type="noConversion"/>
  </si>
  <si>
    <t>Non EPC Cost</t>
    <phoneticPr fontId="10" type="noConversion"/>
  </si>
  <si>
    <t>EPC Cost (exclude Battery)</t>
    <phoneticPr fontId="10" type="noConversion"/>
  </si>
  <si>
    <t>China EPC Cost (exclude Battery)</t>
    <phoneticPr fontId="10" type="noConversion"/>
  </si>
  <si>
    <t>Current USD / 2012 USD</t>
    <phoneticPr fontId="11" type="noConversion"/>
  </si>
  <si>
    <t>2012 USD / Current RMB</t>
    <phoneticPr fontId="11" type="noConversion"/>
  </si>
  <si>
    <t>Current RMB / 2012 USD</t>
    <phoneticPr fontId="11" type="noConversion"/>
  </si>
  <si>
    <t>Year</t>
    <phoneticPr fontId="11" type="noConversion"/>
  </si>
  <si>
    <t>Difference from 2hr system</t>
    <phoneticPr fontId="11" type="noConversion"/>
  </si>
  <si>
    <t>average</t>
    <phoneticPr fontId="11" type="noConversion"/>
  </si>
  <si>
    <t>4hr system</t>
    <phoneticPr fontId="11" type="noConversion"/>
  </si>
  <si>
    <t>2hr system</t>
    <phoneticPr fontId="11" type="noConversion"/>
  </si>
  <si>
    <t>1hr system</t>
    <phoneticPr fontId="11" type="noConversion"/>
  </si>
  <si>
    <t>2012USD/MW</t>
    <phoneticPr fontId="11" type="noConversion"/>
  </si>
  <si>
    <t>2022RMB/Wh</t>
    <phoneticPr fontId="11" type="noConversion"/>
  </si>
  <si>
    <t>EPC price</t>
    <phoneticPr fontId="11" type="noConversion"/>
  </si>
  <si>
    <t>system cost (rmb/Wh)</t>
    <phoneticPr fontId="11" type="noConversion"/>
  </si>
  <si>
    <t>EPC Price</t>
    <phoneticPr fontId="11" type="noConversion"/>
  </si>
  <si>
    <t>system vs EPC price differnce</t>
    <phoneticPr fontId="11" type="noConversion"/>
  </si>
  <si>
    <t>LiFePO4 Battery System (2023H1)</t>
    <phoneticPr fontId="11" type="noConversion"/>
  </si>
  <si>
    <t>LiFePO4 Battery System (2022)</t>
    <phoneticPr fontId="11" type="noConversion"/>
  </si>
  <si>
    <t>Installation</t>
    <phoneticPr fontId="11" type="noConversion"/>
  </si>
  <si>
    <t>安装等</t>
    <phoneticPr fontId="11" type="noConversion"/>
  </si>
  <si>
    <t>Transfomer</t>
    <phoneticPr fontId="11" type="noConversion"/>
  </si>
  <si>
    <t>变压器</t>
    <phoneticPr fontId="11" type="noConversion"/>
  </si>
  <si>
    <t>Financing Cost</t>
    <phoneticPr fontId="11" type="noConversion"/>
  </si>
  <si>
    <t>Container</t>
    <phoneticPr fontId="11" type="noConversion"/>
  </si>
  <si>
    <t>集装箱</t>
    <phoneticPr fontId="11" type="noConversion"/>
  </si>
  <si>
    <t>OM Cost</t>
    <phoneticPr fontId="11" type="noConversion"/>
  </si>
  <si>
    <t>Energy Management System (EMS)</t>
    <phoneticPr fontId="11" type="noConversion"/>
  </si>
  <si>
    <t>能量管理系统</t>
    <phoneticPr fontId="11" type="noConversion"/>
  </si>
  <si>
    <t>Power Conversion System (PCS)</t>
    <phoneticPr fontId="11" type="noConversion"/>
  </si>
  <si>
    <t>储能逆变器</t>
    <phoneticPr fontId="11" type="noConversion"/>
  </si>
  <si>
    <t>Battery System</t>
    <phoneticPr fontId="11" type="noConversion"/>
  </si>
  <si>
    <t>Battery Management System (BMS)</t>
    <phoneticPr fontId="11" type="noConversion"/>
  </si>
  <si>
    <t>电池管理系统</t>
    <phoneticPr fontId="11" type="noConversion"/>
  </si>
  <si>
    <t>Battety</t>
    <phoneticPr fontId="11" type="noConversion"/>
  </si>
  <si>
    <t>CAPEX</t>
    <phoneticPr fontId="11" type="noConversion"/>
  </si>
  <si>
    <t>Battery</t>
    <phoneticPr fontId="11" type="noConversion"/>
  </si>
  <si>
    <t>电池模组</t>
    <phoneticPr fontId="11" type="noConversion"/>
  </si>
  <si>
    <t>Wind &amp; Weibo 2022</t>
    <phoneticPr fontId="11" type="noConversion"/>
  </si>
  <si>
    <t>2012USD/KWh</t>
    <phoneticPr fontId="11" type="noConversion"/>
  </si>
  <si>
    <t>2022USD/KWh</t>
    <phoneticPr fontId="11" type="noConversion"/>
  </si>
  <si>
    <t>2020USD/KWh</t>
    <phoneticPr fontId="11" type="noConversion"/>
  </si>
  <si>
    <t>2020RMB/Wh</t>
    <phoneticPr fontId="11" type="noConversion"/>
  </si>
  <si>
    <t>Global 4hr storage system</t>
    <phoneticPr fontId="11" type="noConversion"/>
  </si>
  <si>
    <t>Global 4hr storage systen</t>
    <phoneticPr fontId="11" type="noConversion"/>
  </si>
  <si>
    <t>China 4hr storage system inferred</t>
    <phoneticPr fontId="11" type="noConversion"/>
  </si>
  <si>
    <t>China 2hr storage system</t>
    <phoneticPr fontId="11" type="noConversion"/>
  </si>
  <si>
    <t>2012 $/MW</t>
    <phoneticPr fontId="10" type="noConversion"/>
  </si>
  <si>
    <t>China Balance of System Cost</t>
    <phoneticPr fontId="10" type="noConversion"/>
  </si>
  <si>
    <t>Average EPC Price excluding Battery System</t>
    <phoneticPr fontId="11" type="noConversion"/>
  </si>
  <si>
    <t>Average EPC Price excluding Battery Only</t>
    <phoneticPr fontId="10" type="noConversion"/>
  </si>
  <si>
    <t>Average Battery System Cost</t>
    <phoneticPr fontId="10" type="noConversion"/>
  </si>
  <si>
    <r>
      <rPr>
        <b/>
        <sz val="8"/>
        <color rgb="FF231F20"/>
        <rFont val="Arial"/>
        <family val="2"/>
      </rPr>
      <t>Tech</t>
    </r>
  </si>
  <si>
    <r>
      <rPr>
        <b/>
        <sz val="8"/>
        <color rgb="FF231F20"/>
        <rFont val="Arial"/>
        <family val="2"/>
      </rPr>
      <t>Discharging capital cost ($/kW)</t>
    </r>
  </si>
  <si>
    <r>
      <rPr>
        <b/>
        <sz val="8"/>
        <color rgb="FF231F20"/>
        <rFont val="Arial"/>
        <family val="2"/>
      </rPr>
      <t>Storage capital cost ($/kWh)</t>
    </r>
  </si>
  <si>
    <r>
      <rPr>
        <b/>
        <sz val="8"/>
        <color rgb="FF231F20"/>
        <rFont val="Arial"/>
        <family val="2"/>
      </rPr>
      <t xml:space="preserve">FOM
</t>
    </r>
    <r>
      <rPr>
        <b/>
        <sz val="8"/>
        <color rgb="FF231F20"/>
        <rFont val="Arial"/>
        <family val="2"/>
      </rPr>
      <t>($/kW-year)</t>
    </r>
  </si>
  <si>
    <r>
      <rPr>
        <b/>
        <sz val="8"/>
        <color rgb="FF231F20"/>
        <rFont val="Arial"/>
        <family val="2"/>
      </rPr>
      <t xml:space="preserve">FOM
</t>
    </r>
    <r>
      <rPr>
        <b/>
        <sz val="8"/>
        <color rgb="FF231F20"/>
        <rFont val="Arial"/>
        <family val="2"/>
      </rPr>
      <t>($/kWh-year)</t>
    </r>
  </si>
  <si>
    <r>
      <rPr>
        <b/>
        <sz val="8"/>
        <color rgb="FF231F20"/>
        <rFont val="Arial"/>
        <family val="2"/>
      </rPr>
      <t>Efficiency- charge (%)</t>
    </r>
  </si>
  <si>
    <r>
      <rPr>
        <b/>
        <sz val="8"/>
        <color rgb="FF231F20"/>
        <rFont val="Arial"/>
        <family val="2"/>
      </rPr>
      <t>Efficiency- discharge (%)</t>
    </r>
  </si>
  <si>
    <r>
      <rPr>
        <b/>
        <sz val="8"/>
        <color rgb="FF231F20"/>
        <rFont val="Arial"/>
        <family val="2"/>
      </rPr>
      <t>Self- discharge rate (%/month)</t>
    </r>
  </si>
  <si>
    <r>
      <rPr>
        <b/>
        <sz val="9"/>
        <color rgb="FF231F20"/>
        <rFont val="Arial"/>
        <family val="2"/>
      </rPr>
      <t>Li-ion</t>
    </r>
  </si>
  <si>
    <r>
      <rPr>
        <sz val="9"/>
        <color rgb="FF231F20"/>
        <rFont val="Calibri"/>
        <family val="2"/>
      </rPr>
      <t>Li-ion</t>
    </r>
  </si>
  <si>
    <r>
      <rPr>
        <sz val="9"/>
        <color rgb="FF231F20"/>
        <rFont val="Calibri"/>
        <family val="2"/>
      </rPr>
      <t>2050 Low</t>
    </r>
  </si>
  <si>
    <r>
      <rPr>
        <sz val="9"/>
        <color rgb="FF231F20"/>
        <rFont val="Calibri"/>
        <family val="2"/>
      </rPr>
      <t>2050 Mid</t>
    </r>
  </si>
  <si>
    <r>
      <rPr>
        <sz val="9"/>
        <color rgb="FF231F20"/>
        <rFont val="Calibri"/>
        <family val="2"/>
      </rPr>
      <t>2050 High</t>
    </r>
  </si>
  <si>
    <r>
      <rPr>
        <b/>
        <sz val="9"/>
        <color rgb="FF231F20"/>
        <rFont val="Arial"/>
        <family val="2"/>
      </rPr>
      <t>RFB</t>
    </r>
  </si>
  <si>
    <r>
      <rPr>
        <b/>
        <sz val="9"/>
        <color rgb="FF231F20"/>
        <rFont val="Arial"/>
        <family val="2"/>
      </rPr>
      <t>583–650</t>
    </r>
  </si>
  <si>
    <r>
      <rPr>
        <sz val="9"/>
        <color rgb="FF231F20"/>
        <rFont val="Calibri"/>
        <family val="2"/>
      </rPr>
      <t>RFB</t>
    </r>
  </si>
  <si>
    <r>
      <rPr>
        <b/>
        <sz val="9"/>
        <color rgb="FF231F20"/>
        <rFont val="Arial"/>
        <family val="2"/>
      </rPr>
      <t>Metal-air</t>
    </r>
  </si>
  <si>
    <r>
      <rPr>
        <b/>
        <sz val="9"/>
        <color rgb="FF231F20"/>
        <rFont val="Arial"/>
        <family val="2"/>
      </rPr>
      <t>1,068–1,135</t>
    </r>
  </si>
  <si>
    <r>
      <rPr>
        <b/>
        <sz val="9"/>
        <color rgb="FF231F20"/>
        <rFont val="Arial"/>
        <family val="2"/>
      </rPr>
      <t>26.7–28.4</t>
    </r>
  </si>
  <si>
    <r>
      <rPr>
        <sz val="9"/>
        <color rgb="FF231F20"/>
        <rFont val="Calibri"/>
        <family val="2"/>
      </rPr>
      <t>Metal-air</t>
    </r>
  </si>
  <si>
    <t>The-Future-of-Energy-Storage.pdf (mit.edu)</t>
  </si>
  <si>
    <t>Chapoter 2, Page 19 (44), Table 2.1</t>
    <phoneticPr fontId="10" type="noConversion"/>
  </si>
  <si>
    <t>Capital Cost Price Projections</t>
    <phoneticPr fontId="10" type="noConversion"/>
  </si>
  <si>
    <t>MIT Energy Storage for the Future</t>
    <phoneticPr fontId="10" type="noConversion"/>
  </si>
  <si>
    <t>BNEF China</t>
    <phoneticPr fontId="10" type="noConversion"/>
  </si>
  <si>
    <t>MIT Li-Low</t>
    <phoneticPr fontId="10" type="noConversion"/>
  </si>
  <si>
    <t>all costs are in 2021 USD, when converted to 2012 USD</t>
    <phoneticPr fontId="10" type="noConversion"/>
  </si>
  <si>
    <t>China Capital Cost (2012USD/KWH)</t>
    <phoneticPr fontId="10" type="noConversion"/>
  </si>
  <si>
    <t>China Capital Cost （2012USD/MW)</t>
    <phoneticPr fontId="10" type="noConversion"/>
  </si>
  <si>
    <t>Note on China:</t>
    <phoneticPr fontId="10" type="noConversion"/>
  </si>
  <si>
    <t>The capital cost of Battery is projected from the BNEF in the near term for China,</t>
    <phoneticPr fontId="10" type="noConversion"/>
  </si>
  <si>
    <t xml:space="preserve">and the low li-ion battery cost scenario of MIT's energy storage for the future is </t>
    <phoneticPr fontId="10" type="noConversion"/>
  </si>
  <si>
    <t>used to estimate the cost of battery in 2050; the annualized rate of change is then used to calculate the annual cost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</si>
</sst>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,##0;#,##0"/>
    <numFmt numFmtId="177" formatCode="###0;###0"/>
    <numFmt numFmtId="178" formatCode="###0.00;###0.00"/>
    <numFmt numFmtId="179" formatCode="0.000"/>
    <numFmt numFmtId="180" formatCode="0.00_);[Red]\(0.00\)"/>
    <numFmt numFmtId="181" formatCode="0.00_ "/>
    <numFmt numFmtId="182" formatCode="0_ "/>
    <numFmt numFmtId="183" formatCode="0.0"/>
    <numFmt numFmtId="184" formatCode="0_);[Red]\(0\)"/>
  </numFmts>
  <fonts count="1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12"/>
      <color theme="4"/>
      <name val="宋体"/>
      <family val="2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b/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8"/>
      <name val="Arial"/>
      <family val="2"/>
    </font>
    <font>
      <b/>
      <sz val="8"/>
      <color rgb="FF231F20"/>
      <name val="Arial"/>
      <family val="2"/>
    </font>
    <font>
      <b/>
      <sz val="9"/>
      <name val="Arial"/>
      <family val="2"/>
    </font>
    <font>
      <b/>
      <sz val="9"/>
      <color rgb="FF231F20"/>
      <name val="Arial"/>
      <family val="2"/>
    </font>
    <font>
      <sz val="9"/>
      <name val="Calibri"/>
      <family val="2"/>
    </font>
    <font>
      <sz val="9"/>
      <color rgb="FF231F2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DD2E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  <xf numFmtId="0" fontId="9" fillId="0" borderId="0">
      <alignment vertical="center"/>
    </xf>
    <xf numFmtId="0" fontId="8" fillId="0" borderId="0"/>
    <xf numFmtId="0" fontId="12" fillId="0" borderId="0" applyNumberFormat="0" applyFill="0" applyBorder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76" fontId="7" fillId="0" borderId="6" xfId="0" applyNumberFormat="1" applyFont="1" applyBorder="1" applyAlignment="1">
      <alignment horizontal="left" vertical="center" wrapText="1"/>
    </xf>
    <xf numFmtId="177" fontId="7" fillId="0" borderId="6" xfId="0" applyNumberFormat="1" applyFont="1" applyBorder="1" applyAlignment="1">
      <alignment horizontal="left" vertical="center" wrapText="1"/>
    </xf>
    <xf numFmtId="176" fontId="7" fillId="0" borderId="0" xfId="0" applyNumberFormat="1" applyFont="1" applyAlignment="1">
      <alignment horizontal="left" vertical="top" wrapText="1"/>
    </xf>
    <xf numFmtId="178" fontId="7" fillId="0" borderId="7" xfId="0" applyNumberFormat="1" applyFont="1" applyBorder="1" applyAlignment="1">
      <alignment horizontal="left" vertical="top" wrapText="1"/>
    </xf>
    <xf numFmtId="178" fontId="7" fillId="0" borderId="9" xfId="0" applyNumberFormat="1" applyFont="1" applyBorder="1" applyAlignment="1">
      <alignment horizontal="left" vertical="center" wrapText="1"/>
    </xf>
    <xf numFmtId="177" fontId="7" fillId="0" borderId="0" xfId="0" applyNumberFormat="1" applyFont="1" applyAlignment="1">
      <alignment horizontal="left" vertical="top" wrapText="1"/>
    </xf>
    <xf numFmtId="176" fontId="7" fillId="0" borderId="10" xfId="0" applyNumberFormat="1" applyFont="1" applyBorder="1" applyAlignment="1">
      <alignment horizontal="left" vertical="top" wrapText="1"/>
    </xf>
    <xf numFmtId="176" fontId="7" fillId="0" borderId="12" xfId="0" applyNumberFormat="1" applyFont="1" applyBorder="1" applyAlignment="1">
      <alignment horizontal="left" vertical="center" wrapText="1"/>
    </xf>
    <xf numFmtId="0" fontId="0" fillId="0" borderId="7" xfId="0" applyBorder="1"/>
    <xf numFmtId="0" fontId="7" fillId="0" borderId="7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1" fillId="0" borderId="13" xfId="0" applyFont="1" applyBorder="1"/>
    <xf numFmtId="0" fontId="6" fillId="0" borderId="14" xfId="0" applyFont="1" applyBorder="1" applyAlignment="1">
      <alignment horizontal="left" vertical="top"/>
    </xf>
    <xf numFmtId="0" fontId="1" fillId="0" borderId="14" xfId="0" applyFont="1" applyBorder="1"/>
    <xf numFmtId="0" fontId="1" fillId="0" borderId="15" xfId="0" applyFont="1" applyBorder="1"/>
    <xf numFmtId="0" fontId="6" fillId="3" borderId="8" xfId="0" applyFont="1" applyFill="1" applyBorder="1" applyAlignment="1">
      <alignment horizontal="left" vertical="top" wrapText="1"/>
    </xf>
    <xf numFmtId="176" fontId="6" fillId="3" borderId="5" xfId="0" applyNumberFormat="1" applyFont="1" applyFill="1" applyBorder="1" applyAlignment="1">
      <alignment horizontal="left" vertical="top" wrapText="1"/>
    </xf>
    <xf numFmtId="177" fontId="6" fillId="3" borderId="5" xfId="0" applyNumberFormat="1" applyFont="1" applyFill="1" applyBorder="1" applyAlignment="1">
      <alignment horizontal="left" vertical="top" wrapText="1"/>
    </xf>
    <xf numFmtId="178" fontId="6" fillId="3" borderId="8" xfId="0" applyNumberFormat="1" applyFont="1" applyFill="1" applyBorder="1" applyAlignment="1">
      <alignment horizontal="left" vertical="top" wrapText="1"/>
    </xf>
    <xf numFmtId="176" fontId="6" fillId="3" borderId="11" xfId="0" applyNumberFormat="1" applyFont="1" applyFill="1" applyBorder="1" applyAlignment="1">
      <alignment horizontal="left" vertical="top" wrapText="1"/>
    </xf>
    <xf numFmtId="0" fontId="7" fillId="3" borderId="13" xfId="0" applyFont="1" applyFill="1" applyBorder="1" applyAlignment="1">
      <alignment horizontal="left" vertical="top" wrapText="1"/>
    </xf>
    <xf numFmtId="176" fontId="7" fillId="3" borderId="14" xfId="0" applyNumberFormat="1" applyFont="1" applyFill="1" applyBorder="1" applyAlignment="1">
      <alignment horizontal="left" vertical="top" wrapText="1"/>
    </xf>
    <xf numFmtId="177" fontId="7" fillId="3" borderId="14" xfId="0" applyNumberFormat="1" applyFont="1" applyFill="1" applyBorder="1" applyAlignment="1">
      <alignment horizontal="left" vertical="top" wrapText="1"/>
    </xf>
    <xf numFmtId="178" fontId="7" fillId="3" borderId="13" xfId="0" applyNumberFormat="1" applyFont="1" applyFill="1" applyBorder="1" applyAlignment="1">
      <alignment horizontal="left" vertical="top" wrapText="1"/>
    </xf>
    <xf numFmtId="176" fontId="7" fillId="3" borderId="15" xfId="0" applyNumberFormat="1" applyFont="1" applyFill="1" applyBorder="1" applyAlignment="1">
      <alignment horizontal="left" vertical="top" wrapText="1"/>
    </xf>
    <xf numFmtId="0" fontId="1" fillId="4" borderId="0" xfId="0" applyFont="1" applyFill="1"/>
    <xf numFmtId="0" fontId="0" fillId="4" borderId="0" xfId="0" applyFill="1"/>
    <xf numFmtId="0" fontId="7" fillId="0" borderId="0" xfId="0" applyFont="1" applyAlignment="1">
      <alignment horizontal="left" vertical="top"/>
    </xf>
    <xf numFmtId="178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79" fontId="0" fillId="0" borderId="0" xfId="0" applyNumberFormat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180" fontId="0" fillId="0" borderId="0" xfId="0" applyNumberFormat="1" applyAlignment="1">
      <alignment vertical="center"/>
    </xf>
    <xf numFmtId="180" fontId="2" fillId="0" borderId="0" xfId="1" applyNumberFormat="1" applyAlignment="1">
      <alignment vertical="center"/>
    </xf>
    <xf numFmtId="181" fontId="0" fillId="0" borderId="0" xfId="0" applyNumberFormat="1"/>
    <xf numFmtId="0" fontId="9" fillId="0" borderId="0" xfId="8">
      <alignment vertical="center"/>
    </xf>
    <xf numFmtId="180" fontId="9" fillId="0" borderId="0" xfId="8" applyNumberFormat="1">
      <alignment vertical="center"/>
    </xf>
    <xf numFmtId="180" fontId="8" fillId="0" borderId="0" xfId="9" applyNumberFormat="1"/>
    <xf numFmtId="0" fontId="9" fillId="0" borderId="0" xfId="8" applyAlignment="1">
      <alignment vertical="center" wrapText="1"/>
    </xf>
    <xf numFmtId="10" fontId="9" fillId="0" borderId="0" xfId="8" applyNumberFormat="1">
      <alignment vertical="center"/>
    </xf>
    <xf numFmtId="10" fontId="9" fillId="5" borderId="0" xfId="8" applyNumberFormat="1" applyFill="1">
      <alignment vertical="center"/>
    </xf>
    <xf numFmtId="181" fontId="9" fillId="0" borderId="0" xfId="8" applyNumberFormat="1">
      <alignment vertical="center"/>
    </xf>
    <xf numFmtId="182" fontId="9" fillId="0" borderId="0" xfId="8" applyNumberFormat="1">
      <alignment vertical="center"/>
    </xf>
    <xf numFmtId="181" fontId="9" fillId="5" borderId="0" xfId="8" applyNumberFormat="1" applyFill="1">
      <alignment vertical="center"/>
    </xf>
    <xf numFmtId="0" fontId="12" fillId="0" borderId="0" xfId="10">
      <alignment vertical="center"/>
    </xf>
    <xf numFmtId="9" fontId="9" fillId="0" borderId="0" xfId="8" applyNumberFormat="1">
      <alignment vertical="center"/>
    </xf>
    <xf numFmtId="180" fontId="12" fillId="0" borderId="0" xfId="10" applyNumberFormat="1">
      <alignment vertical="center"/>
    </xf>
    <xf numFmtId="180" fontId="9" fillId="6" borderId="0" xfId="8" applyNumberFormat="1" applyFill="1">
      <alignment vertical="center"/>
    </xf>
    <xf numFmtId="180" fontId="9" fillId="7" borderId="0" xfId="8" applyNumberFormat="1" applyFill="1">
      <alignment vertical="center"/>
    </xf>
    <xf numFmtId="180" fontId="9" fillId="8" borderId="0" xfId="8" applyNumberFormat="1" applyFill="1">
      <alignment vertical="center"/>
    </xf>
    <xf numFmtId="182" fontId="0" fillId="0" borderId="0" xfId="0" applyNumberFormat="1"/>
    <xf numFmtId="0" fontId="13" fillId="9" borderId="19" xfId="0" applyFont="1" applyFill="1" applyBorder="1" applyAlignment="1">
      <alignment horizontal="left" vertical="top" wrapText="1"/>
    </xf>
    <xf numFmtId="0" fontId="0" fillId="9" borderId="19" xfId="0" applyFill="1" applyBorder="1" applyAlignment="1">
      <alignment horizontal="left" vertical="top" wrapText="1"/>
    </xf>
    <xf numFmtId="0" fontId="13" fillId="9" borderId="19" xfId="0" applyFont="1" applyFill="1" applyBorder="1" applyAlignment="1">
      <alignment horizontal="center" vertical="top" wrapText="1"/>
    </xf>
    <xf numFmtId="0" fontId="0" fillId="9" borderId="19" xfId="0" applyFill="1" applyBorder="1" applyAlignment="1">
      <alignment horizontal="center" vertical="center" wrapText="1"/>
    </xf>
    <xf numFmtId="0" fontId="15" fillId="0" borderId="19" xfId="0" applyFont="1" applyBorder="1" applyAlignment="1">
      <alignment horizontal="left" vertical="top" wrapText="1"/>
    </xf>
    <xf numFmtId="1" fontId="16" fillId="0" borderId="19" xfId="0" applyNumberFormat="1" applyFont="1" applyBorder="1" applyAlignment="1">
      <alignment horizontal="left" vertical="top" shrinkToFit="1"/>
    </xf>
    <xf numFmtId="1" fontId="16" fillId="0" borderId="19" xfId="0" applyNumberFormat="1" applyFont="1" applyBorder="1" applyAlignment="1">
      <alignment horizontal="center" vertical="top" shrinkToFit="1"/>
    </xf>
    <xf numFmtId="1" fontId="16" fillId="0" borderId="19" xfId="0" applyNumberFormat="1" applyFont="1" applyBorder="1" applyAlignment="1">
      <alignment horizontal="right" vertical="top" indent="1" shrinkToFit="1"/>
    </xf>
    <xf numFmtId="183" fontId="16" fillId="0" borderId="19" xfId="0" applyNumberFormat="1" applyFont="1" applyBorder="1" applyAlignment="1">
      <alignment horizontal="left" vertical="top" indent="3" shrinkToFit="1"/>
    </xf>
    <xf numFmtId="9" fontId="16" fillId="0" borderId="19" xfId="0" applyNumberFormat="1" applyFont="1" applyBorder="1" applyAlignment="1">
      <alignment horizontal="center" vertical="top" shrinkToFit="1"/>
    </xf>
    <xf numFmtId="9" fontId="16" fillId="0" borderId="19" xfId="0" applyNumberFormat="1" applyFont="1" applyBorder="1" applyAlignment="1">
      <alignment horizontal="right" vertical="top" indent="1" shrinkToFit="1"/>
    </xf>
    <xf numFmtId="183" fontId="16" fillId="0" borderId="19" xfId="0" applyNumberFormat="1" applyFont="1" applyBorder="1" applyAlignment="1">
      <alignment horizontal="right" vertical="top" indent="2" shrinkToFit="1"/>
    </xf>
    <xf numFmtId="0" fontId="17" fillId="0" borderId="19" xfId="0" applyFont="1" applyBorder="1" applyAlignment="1">
      <alignment horizontal="left" vertical="top" wrapText="1"/>
    </xf>
    <xf numFmtId="1" fontId="18" fillId="0" borderId="19" xfId="0" applyNumberFormat="1" applyFont="1" applyBorder="1" applyAlignment="1">
      <alignment horizontal="center" vertical="top" shrinkToFit="1"/>
    </xf>
    <xf numFmtId="183" fontId="18" fillId="0" borderId="19" xfId="0" applyNumberFormat="1" applyFont="1" applyBorder="1" applyAlignment="1">
      <alignment horizontal="right" vertical="top" indent="1" shrinkToFit="1"/>
    </xf>
    <xf numFmtId="183" fontId="18" fillId="0" borderId="19" xfId="0" applyNumberFormat="1" applyFont="1" applyBorder="1" applyAlignment="1">
      <alignment horizontal="left" vertical="top" indent="3" shrinkToFit="1"/>
    </xf>
    <xf numFmtId="9" fontId="18" fillId="0" borderId="19" xfId="0" applyNumberFormat="1" applyFont="1" applyBorder="1" applyAlignment="1">
      <alignment horizontal="center" vertical="top" shrinkToFit="1"/>
    </xf>
    <xf numFmtId="9" fontId="18" fillId="0" borderId="19" xfId="0" applyNumberFormat="1" applyFont="1" applyBorder="1" applyAlignment="1">
      <alignment horizontal="right" vertical="top" indent="2" shrinkToFit="1"/>
    </xf>
    <xf numFmtId="183" fontId="18" fillId="0" borderId="19" xfId="0" applyNumberFormat="1" applyFont="1" applyBorder="1" applyAlignment="1">
      <alignment horizontal="right" vertical="top" indent="2" shrinkToFit="1"/>
    </xf>
    <xf numFmtId="0" fontId="15" fillId="0" borderId="19" xfId="0" applyFont="1" applyBorder="1" applyAlignment="1">
      <alignment horizontal="center" vertical="top" wrapText="1"/>
    </xf>
    <xf numFmtId="0" fontId="0" fillId="9" borderId="20" xfId="0" applyFill="1" applyBorder="1" applyAlignment="1">
      <alignment horizontal="center" vertical="center" wrapText="1"/>
    </xf>
    <xf numFmtId="183" fontId="16" fillId="0" borderId="20" xfId="0" applyNumberFormat="1" applyFont="1" applyBorder="1" applyAlignment="1">
      <alignment horizontal="center" vertical="top" shrinkToFit="1"/>
    </xf>
    <xf numFmtId="183" fontId="18" fillId="0" borderId="20" xfId="0" applyNumberFormat="1" applyFont="1" applyBorder="1" applyAlignment="1">
      <alignment horizontal="center" vertical="top" shrinkToFit="1"/>
    </xf>
    <xf numFmtId="0" fontId="15" fillId="0" borderId="20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184" fontId="0" fillId="0" borderId="0" xfId="0" applyNumberFormat="1"/>
    <xf numFmtId="184" fontId="0" fillId="0" borderId="0" xfId="0" applyNumberFormat="1" applyAlignment="1">
      <alignment horizontal="right"/>
    </xf>
    <xf numFmtId="180" fontId="16" fillId="0" borderId="19" xfId="0" applyNumberFormat="1" applyFont="1" applyBorder="1" applyAlignment="1">
      <alignment horizontal="center" vertical="top" shrinkToFit="1"/>
    </xf>
    <xf numFmtId="180" fontId="16" fillId="0" borderId="20" xfId="0" applyNumberFormat="1" applyFont="1" applyBorder="1" applyAlignment="1">
      <alignment horizontal="center" vertical="top" shrinkToFit="1"/>
    </xf>
    <xf numFmtId="180" fontId="17" fillId="0" borderId="19" xfId="0" applyNumberFormat="1" applyFont="1" applyBorder="1" applyAlignment="1">
      <alignment horizontal="center" vertical="top" wrapText="1"/>
    </xf>
    <xf numFmtId="0" fontId="9" fillId="0" borderId="0" xfId="8" applyAlignment="1">
      <alignment horizontal="center" vertical="center"/>
    </xf>
    <xf numFmtId="0" fontId="9" fillId="0" borderId="0" xfId="8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1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Parent row" xfId="6" xr:uid="{00000000-0005-0000-0000-000006000000}"/>
    <cellStyle name="Table title" xfId="2" xr:uid="{00000000-0005-0000-0000-000007000000}"/>
    <cellStyle name="常规" xfId="0" builtinId="0"/>
    <cellStyle name="常规 2" xfId="8" xr:uid="{0F80C55C-2C15-46A0-8170-4BFA1D68DB54}"/>
    <cellStyle name="常规 2 2" xfId="9" xr:uid="{A0230DCE-DDF5-45A8-B143-AB3FBAF05820}"/>
    <cellStyle name="超链接" xfId="1" builtinId="8"/>
    <cellStyle name="超链接 2" xfId="10" xr:uid="{4EBD75D1-004A-4EEB-873D-91BBCF33F686}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'BNEF Outlook'!$E$1</c:f>
              <c:strCache>
                <c:ptCount val="1"/>
                <c:pt idx="0">
                  <c:v>China 2hr storage system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'BNEF Outlook'!$A$3:$A$16</c:f>
              <c:numCache>
                <c:formatCode>General</c:formatCode>
                <c:ptCount val="1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</c:numCache>
            </c:numRef>
          </c:xVal>
          <c:yVal>
            <c:numRef>
              <c:f>'BNEF Outlook'!$E$3:$E$16</c:f>
              <c:numCache>
                <c:formatCode>0.00_);[Red]\(0.00\)</c:formatCode>
                <c:ptCount val="14"/>
                <c:pt idx="3">
                  <c:v>206.47601698235135</c:v>
                </c:pt>
                <c:pt idx="4">
                  <c:v>178.94588138470451</c:v>
                </c:pt>
                <c:pt idx="5">
                  <c:v>165.18081358588108</c:v>
                </c:pt>
                <c:pt idx="6">
                  <c:v>151.41574578705766</c:v>
                </c:pt>
                <c:pt idx="7">
                  <c:v>137.65067798823424</c:v>
                </c:pt>
                <c:pt idx="8">
                  <c:v>123.88561018941081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AE-486A-A278-89804FEE360C}"/>
            </c:ext>
          </c:extLst>
        </c:ser>
        <c:ser>
          <c:idx val="1"/>
          <c:order val="1"/>
          <c:tx>
            <c:strRef>
              <c:f>'BNEF Outlook'!$G$1</c:f>
              <c:strCache>
                <c:ptCount val="1"/>
                <c:pt idx="0">
                  <c:v>Global 4hr storage systen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'BNEF Outlook'!$A$3:$A$16</c:f>
              <c:numCache>
                <c:formatCode>General</c:formatCode>
                <c:ptCount val="1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</c:numCache>
            </c:numRef>
          </c:xVal>
          <c:yVal>
            <c:numRef>
              <c:f>'BNEF Outlook'!$G$3:$G$16</c:f>
              <c:numCache>
                <c:formatCode>0.00_);[Red]\(0.00\)</c:formatCode>
                <c:ptCount val="14"/>
                <c:pt idx="2">
                  <c:v>296.03655666593426</c:v>
                </c:pt>
                <c:pt idx="3">
                  <c:v>265.45812064095611</c:v>
                </c:pt>
                <c:pt idx="4">
                  <c:v>247.42468401084068</c:v>
                </c:pt>
                <c:pt idx="5">
                  <c:v>230.17530984290471</c:v>
                </c:pt>
                <c:pt idx="6">
                  <c:v>212.14187321278928</c:v>
                </c:pt>
                <c:pt idx="7">
                  <c:v>196.4606239692105</c:v>
                </c:pt>
                <c:pt idx="8">
                  <c:v>185.48374949870586</c:v>
                </c:pt>
                <c:pt idx="9">
                  <c:v>176.85906241473785</c:v>
                </c:pt>
                <c:pt idx="10">
                  <c:v>167.4503128685904</c:v>
                </c:pt>
                <c:pt idx="11">
                  <c:v>160.39375070898049</c:v>
                </c:pt>
                <c:pt idx="12">
                  <c:v>154.90531347372772</c:v>
                </c:pt>
                <c:pt idx="13">
                  <c:v>148.63281377629639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AE-486A-A278-89804FEE360C}"/>
            </c:ext>
          </c:extLst>
        </c:ser>
        <c:ser>
          <c:idx val="2"/>
          <c:order val="2"/>
          <c:tx>
            <c:strRef>
              <c:f>'BNEF Outlook'!$H$1</c:f>
              <c:strCache>
                <c:ptCount val="1"/>
                <c:pt idx="0">
                  <c:v>Global 4hr storage system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'BNEF Outlook'!$A$3:$A$16</c:f>
              <c:numCache>
                <c:formatCode>General</c:formatCode>
                <c:ptCount val="1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</c:numCache>
            </c:numRef>
          </c:xVal>
          <c:yVal>
            <c:numRef>
              <c:f>'BNEF Outlook'!$H$3:$H$16</c:f>
              <c:numCache>
                <c:formatCode>0.00_);[Red]\(0.00\)</c:formatCode>
                <c:ptCount val="14"/>
                <c:pt idx="0">
                  <c:v>439.70000501900574</c:v>
                </c:pt>
                <c:pt idx="1">
                  <c:v>304.95322928737494</c:v>
                </c:pt>
                <c:pt idx="2">
                  <c:v>268.70555862272573</c:v>
                </c:pt>
                <c:pt idx="3">
                  <c:v>210.39408842307265</c:v>
                </c:pt>
                <c:pt idx="4">
                  <c:v>201.72616717717827</c:v>
                </c:pt>
                <c:pt idx="5">
                  <c:v>255.30968033361626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AE-486A-A278-89804FEE360C}"/>
            </c:ext>
          </c:extLst>
        </c:ser>
        <c:ser>
          <c:idx val="3"/>
          <c:order val="3"/>
          <c:tx>
            <c:strRef>
              <c:f>'BNEF Outlook'!$F$1</c:f>
              <c:strCache>
                <c:ptCount val="1"/>
                <c:pt idx="0">
                  <c:v>China 4hr storage system inferred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'BNEF Outlook'!$A$3:$A$16</c:f>
              <c:numCache>
                <c:formatCode>General</c:formatCode>
                <c:ptCount val="1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</c:numCache>
            </c:numRef>
          </c:xVal>
          <c:yVal>
            <c:numRef>
              <c:f>'BNEF Outlook'!$F$3:$F$16</c:f>
              <c:numCache>
                <c:formatCode>0.00_);[Red]\(0.00\)</c:formatCode>
                <c:ptCount val="14"/>
                <c:pt idx="3">
                  <c:v>188.63031142402329</c:v>
                </c:pt>
                <c:pt idx="4">
                  <c:v>163.4796032341535</c:v>
                </c:pt>
                <c:pt idx="5">
                  <c:v>150.90424913921862</c:v>
                </c:pt>
                <c:pt idx="6">
                  <c:v>138.32889504428374</c:v>
                </c:pt>
                <c:pt idx="7">
                  <c:v>125.75354094934886</c:v>
                </c:pt>
                <c:pt idx="8">
                  <c:v>113.17818685441397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3AE-486A-A278-89804FEE3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811152"/>
        <c:axId val="353627168"/>
      </c:scatterChart>
      <c:valAx>
        <c:axId val="111281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3627168"/>
        <c:crosses val="autoZero"/>
        <c:crossBetween val="midCat"/>
      </c:valAx>
      <c:valAx>
        <c:axId val="35362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2811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6.jpe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11</xdr:row>
      <xdr:rowOff>180974</xdr:rowOff>
    </xdr:from>
    <xdr:ext cx="4115820" cy="3114675"/>
    <xdr:pic>
      <xdr:nvPicPr>
        <xdr:cNvPr id="2" name="图片 1" descr="图片">
          <a:extLst>
            <a:ext uri="{FF2B5EF4-FFF2-40B4-BE49-F238E27FC236}">
              <a16:creationId xmlns:a16="http://schemas.microsoft.com/office/drawing/2014/main" id="{DC122F49-64F8-4A73-97F4-8977BE0C3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71699"/>
          <a:ext cx="4115820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4111826" cy="2838450"/>
    <xdr:pic>
      <xdr:nvPicPr>
        <xdr:cNvPr id="3" name="图片 2" descr="图片">
          <a:extLst>
            <a:ext uri="{FF2B5EF4-FFF2-40B4-BE49-F238E27FC236}">
              <a16:creationId xmlns:a16="http://schemas.microsoft.com/office/drawing/2014/main" id="{9C1FE97E-CA44-401C-A9FF-D27A1B91A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10225"/>
          <a:ext cx="4111826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12</xdr:row>
      <xdr:rowOff>0</xdr:rowOff>
    </xdr:from>
    <xdr:ext cx="4667250" cy="2814559"/>
    <xdr:pic>
      <xdr:nvPicPr>
        <xdr:cNvPr id="4" name="图片 3" descr="图片">
          <a:extLst>
            <a:ext uri="{FF2B5EF4-FFF2-40B4-BE49-F238E27FC236}">
              <a16:creationId xmlns:a16="http://schemas.microsoft.com/office/drawing/2014/main" id="{E03052EC-BDDB-454F-8914-9546173AD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171700"/>
          <a:ext cx="4667250" cy="2814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30</xdr:row>
      <xdr:rowOff>0</xdr:rowOff>
    </xdr:from>
    <xdr:ext cx="4789262" cy="2257425"/>
    <xdr:pic>
      <xdr:nvPicPr>
        <xdr:cNvPr id="5" name="图片 4" descr="图片">
          <a:extLst>
            <a:ext uri="{FF2B5EF4-FFF2-40B4-BE49-F238E27FC236}">
              <a16:creationId xmlns:a16="http://schemas.microsoft.com/office/drawing/2014/main" id="{9806A059-6414-4AC6-AEA2-182B9F0F9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429250"/>
          <a:ext cx="4789262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3460296" cy="2156792"/>
    <xdr:pic>
      <xdr:nvPicPr>
        <xdr:cNvPr id="2" name="图片 1">
          <a:extLst>
            <a:ext uri="{FF2B5EF4-FFF2-40B4-BE49-F238E27FC236}">
              <a16:creationId xmlns:a16="http://schemas.microsoft.com/office/drawing/2014/main" id="{048A0807-0CAC-480E-9460-463A712F0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180975"/>
          <a:ext cx="3460296" cy="2156792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13</xdr:row>
      <xdr:rowOff>0</xdr:rowOff>
    </xdr:from>
    <xdr:ext cx="3453016" cy="2733260"/>
    <xdr:pic>
      <xdr:nvPicPr>
        <xdr:cNvPr id="3" name="图片 2">
          <a:extLst>
            <a:ext uri="{FF2B5EF4-FFF2-40B4-BE49-F238E27FC236}">
              <a16:creationId xmlns:a16="http://schemas.microsoft.com/office/drawing/2014/main" id="{303DF4A4-EDF2-4BA3-82DE-D9CD462B5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352675"/>
          <a:ext cx="3453016" cy="2733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45553</xdr:colOff>
      <xdr:row>17</xdr:row>
      <xdr:rowOff>7453</xdr:rowOff>
    </xdr:from>
    <xdr:to>
      <xdr:col>8</xdr:col>
      <xdr:colOff>41413</xdr:colOff>
      <xdr:row>32</xdr:row>
      <xdr:rowOff>17392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DEECB2D-CBD3-4ECA-A7C1-F1EDBE4B2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uanlan.zhihu.com/p/649406345" TargetMode="External"/><Relationship Id="rId3" Type="http://schemas.openxmlformats.org/officeDocument/2006/relationships/hyperlink" Target="https://www.nrel.gov/docs/fy19osti/71714.pdf" TargetMode="External"/><Relationship Id="rId7" Type="http://schemas.openxmlformats.org/officeDocument/2006/relationships/hyperlink" Target="https://zhuanlan.zhihu.com/p/461381539" TargetMode="External"/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Relationship Id="rId6" Type="http://schemas.openxmlformats.org/officeDocument/2006/relationships/hyperlink" Target="https://zhuanlan.zhihu.com/p/601092720" TargetMode="External"/><Relationship Id="rId11" Type="http://schemas.openxmlformats.org/officeDocument/2006/relationships/hyperlink" Target="https://energy.mit.edu/wp-content/uploads/2022/05/The-Future-of-Energy-Storage.pdf" TargetMode="External"/><Relationship Id="rId5" Type="http://schemas.openxmlformats.org/officeDocument/2006/relationships/hyperlink" Target="https://mp.weixin.qq.com/s/R99_EAVshBIcldYMXXvxHA" TargetMode="External"/><Relationship Id="rId10" Type="http://schemas.openxmlformats.org/officeDocument/2006/relationships/hyperlink" Target="http://www.chinapower.com.cn/chuneng/dongtai1/20230129/185118.html" TargetMode="External"/><Relationship Id="rId4" Type="http://schemas.openxmlformats.org/officeDocument/2006/relationships/hyperlink" Target="https://news.bjx.com.cn/html/20220114/1199377.shtml" TargetMode="External"/><Relationship Id="rId9" Type="http://schemas.openxmlformats.org/officeDocument/2006/relationships/hyperlink" Target="https://zhuanlan.zhihu.com/p/649406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/649406345" TargetMode="External"/><Relationship Id="rId2" Type="http://schemas.openxmlformats.org/officeDocument/2006/relationships/hyperlink" Target="https://zhuanlan.zhihu.com/p/461381539" TargetMode="External"/><Relationship Id="rId1" Type="http://schemas.openxmlformats.org/officeDocument/2006/relationships/hyperlink" Target="https://zhuanlan.zhihu.com/p/60109272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ww.chinapower.com.cn/chuneng/dongtai1/20230129/185118.html" TargetMode="External"/><Relationship Id="rId1" Type="http://schemas.openxmlformats.org/officeDocument/2006/relationships/hyperlink" Target="https://zhuanlan.zhihu.com/p/64940634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opLeftCell="A25" workbookViewId="0">
      <selection activeCell="A55" sqref="A55"/>
    </sheetView>
  </sheetViews>
  <sheetFormatPr defaultRowHeight="13.5" x14ac:dyDescent="0.15"/>
  <cols>
    <col min="2" max="2" width="67.125" customWidth="1"/>
    <col min="5" max="5" width="47.25" customWidth="1"/>
  </cols>
  <sheetData>
    <row r="1" spans="1:5" x14ac:dyDescent="0.15">
      <c r="A1" s="1" t="s">
        <v>16</v>
      </c>
    </row>
    <row r="2" spans="1:5" x14ac:dyDescent="0.15">
      <c r="A2" s="1" t="s">
        <v>20</v>
      </c>
    </row>
    <row r="4" spans="1:5" x14ac:dyDescent="0.15">
      <c r="A4" s="1" t="s">
        <v>2</v>
      </c>
      <c r="B4" s="2" t="s">
        <v>3</v>
      </c>
      <c r="E4" s="2" t="s">
        <v>91</v>
      </c>
    </row>
    <row r="5" spans="1:5" x14ac:dyDescent="0.15">
      <c r="B5" t="s">
        <v>4</v>
      </c>
      <c r="E5" s="39" t="s">
        <v>92</v>
      </c>
    </row>
    <row r="6" spans="1:5" x14ac:dyDescent="0.15">
      <c r="B6" s="4">
        <v>2014</v>
      </c>
      <c r="E6" s="39" t="s">
        <v>93</v>
      </c>
    </row>
    <row r="7" spans="1:5" x14ac:dyDescent="0.15">
      <c r="B7" t="s">
        <v>5</v>
      </c>
      <c r="E7" s="40" t="s">
        <v>108</v>
      </c>
    </row>
    <row r="8" spans="1:5" x14ac:dyDescent="0.15">
      <c r="B8" s="3" t="s">
        <v>7</v>
      </c>
      <c r="E8" s="39"/>
    </row>
    <row r="9" spans="1:5" x14ac:dyDescent="0.15">
      <c r="B9" t="s">
        <v>6</v>
      </c>
      <c r="E9" s="39" t="s">
        <v>94</v>
      </c>
    </row>
    <row r="10" spans="1:5" x14ac:dyDescent="0.15">
      <c r="E10" s="39" t="s">
        <v>95</v>
      </c>
    </row>
    <row r="11" spans="1:5" x14ac:dyDescent="0.15">
      <c r="B11" s="2" t="s">
        <v>8</v>
      </c>
      <c r="E11" s="39" t="s">
        <v>96</v>
      </c>
    </row>
    <row r="12" spans="1:5" x14ac:dyDescent="0.15">
      <c r="B12" t="s">
        <v>9</v>
      </c>
      <c r="E12" s="39"/>
    </row>
    <row r="13" spans="1:5" x14ac:dyDescent="0.15">
      <c r="B13" s="4">
        <v>2013</v>
      </c>
      <c r="E13" s="39" t="s">
        <v>97</v>
      </c>
    </row>
    <row r="14" spans="1:5" x14ac:dyDescent="0.15">
      <c r="B14" t="s">
        <v>10</v>
      </c>
      <c r="E14" s="39" t="s">
        <v>95</v>
      </c>
    </row>
    <row r="15" spans="1:5" x14ac:dyDescent="0.15">
      <c r="B15" s="3" t="s">
        <v>11</v>
      </c>
      <c r="E15" s="40" t="s">
        <v>98</v>
      </c>
    </row>
    <row r="16" spans="1:5" x14ac:dyDescent="0.15">
      <c r="B16" t="s">
        <v>12</v>
      </c>
    </row>
    <row r="18" spans="1:5" x14ac:dyDescent="0.15">
      <c r="B18" s="2" t="s">
        <v>87</v>
      </c>
      <c r="E18" s="2" t="s">
        <v>99</v>
      </c>
    </row>
    <row r="19" spans="1:5" x14ac:dyDescent="0.15">
      <c r="B19" t="s">
        <v>50</v>
      </c>
      <c r="E19" s="39" t="s">
        <v>100</v>
      </c>
    </row>
    <row r="20" spans="1:5" x14ac:dyDescent="0.15">
      <c r="B20" s="4">
        <v>2021</v>
      </c>
      <c r="E20" s="40" t="s">
        <v>103</v>
      </c>
    </row>
    <row r="21" spans="1:5" x14ac:dyDescent="0.15">
      <c r="B21" t="s">
        <v>88</v>
      </c>
    </row>
    <row r="22" spans="1:5" x14ac:dyDescent="0.15">
      <c r="B22" s="3" t="s">
        <v>89</v>
      </c>
      <c r="E22" s="39" t="s">
        <v>101</v>
      </c>
    </row>
    <row r="23" spans="1:5" x14ac:dyDescent="0.15">
      <c r="B23" t="s">
        <v>90</v>
      </c>
      <c r="E23" s="40" t="s">
        <v>104</v>
      </c>
    </row>
    <row r="25" spans="1:5" x14ac:dyDescent="0.15">
      <c r="B25" s="2" t="s">
        <v>47</v>
      </c>
      <c r="E25" s="39" t="s">
        <v>102</v>
      </c>
    </row>
    <row r="26" spans="1:5" x14ac:dyDescent="0.15">
      <c r="B26" t="s">
        <v>50</v>
      </c>
      <c r="E26" s="40" t="s">
        <v>105</v>
      </c>
    </row>
    <row r="27" spans="1:5" x14ac:dyDescent="0.15">
      <c r="B27" s="4">
        <v>2018</v>
      </c>
    </row>
    <row r="28" spans="1:5" x14ac:dyDescent="0.15">
      <c r="B28" t="s">
        <v>51</v>
      </c>
    </row>
    <row r="29" spans="1:5" x14ac:dyDescent="0.15">
      <c r="B29" s="3" t="s">
        <v>48</v>
      </c>
      <c r="E29" s="2" t="s">
        <v>184</v>
      </c>
    </row>
    <row r="30" spans="1:5" x14ac:dyDescent="0.15">
      <c r="B30" t="s">
        <v>49</v>
      </c>
      <c r="E30" s="41" t="s">
        <v>101</v>
      </c>
    </row>
    <row r="31" spans="1:5" x14ac:dyDescent="0.15">
      <c r="E31" s="42" t="s">
        <v>105</v>
      </c>
    </row>
    <row r="32" spans="1:5" x14ac:dyDescent="0.15">
      <c r="A32" s="1" t="s">
        <v>14</v>
      </c>
    </row>
    <row r="33" spans="1:5" x14ac:dyDescent="0.15">
      <c r="A33" t="s">
        <v>17</v>
      </c>
      <c r="E33" s="41" t="s">
        <v>106</v>
      </c>
    </row>
    <row r="34" spans="1:5" x14ac:dyDescent="0.15">
      <c r="A34" t="s">
        <v>18</v>
      </c>
      <c r="E34" s="42" t="s">
        <v>107</v>
      </c>
    </row>
    <row r="35" spans="1:5" x14ac:dyDescent="0.15">
      <c r="A35" t="s">
        <v>19</v>
      </c>
    </row>
    <row r="36" spans="1:5" x14ac:dyDescent="0.15">
      <c r="E36" t="s">
        <v>185</v>
      </c>
    </row>
    <row r="37" spans="1:5" x14ac:dyDescent="0.15">
      <c r="A37" s="1" t="s">
        <v>22</v>
      </c>
      <c r="E37" s="4">
        <v>2022</v>
      </c>
    </row>
    <row r="38" spans="1:5" x14ac:dyDescent="0.15">
      <c r="A38" t="s">
        <v>58</v>
      </c>
      <c r="E38" t="s">
        <v>183</v>
      </c>
    </row>
    <row r="39" spans="1:5" x14ac:dyDescent="0.15">
      <c r="A39" t="s">
        <v>59</v>
      </c>
      <c r="E39" s="3" t="s">
        <v>182</v>
      </c>
    </row>
    <row r="40" spans="1:5" x14ac:dyDescent="0.15">
      <c r="A40" t="s">
        <v>60</v>
      </c>
    </row>
    <row r="42" spans="1:5" x14ac:dyDescent="0.15">
      <c r="A42" t="s">
        <v>52</v>
      </c>
    </row>
    <row r="43" spans="1:5" x14ac:dyDescent="0.15">
      <c r="A43" t="s">
        <v>53</v>
      </c>
    </row>
    <row r="44" spans="1:5" x14ac:dyDescent="0.15">
      <c r="A44" t="s">
        <v>54</v>
      </c>
    </row>
    <row r="46" spans="1:5" x14ac:dyDescent="0.15">
      <c r="A46" s="1" t="s">
        <v>61</v>
      </c>
    </row>
    <row r="47" spans="1:5" x14ac:dyDescent="0.15">
      <c r="A47" t="s">
        <v>63</v>
      </c>
    </row>
    <row r="48" spans="1:5" x14ac:dyDescent="0.15">
      <c r="A48">
        <v>1.0549999999999999</v>
      </c>
      <c r="B48" t="s">
        <v>62</v>
      </c>
    </row>
    <row r="49" spans="1:2" x14ac:dyDescent="0.15">
      <c r="A49" s="38">
        <v>0.9143273584567535</v>
      </c>
      <c r="B49" t="s">
        <v>66</v>
      </c>
    </row>
    <row r="50" spans="1:2" x14ac:dyDescent="0.15">
      <c r="A50" t="s">
        <v>15</v>
      </c>
    </row>
    <row r="52" spans="1:2" x14ac:dyDescent="0.15">
      <c r="A52" s="1" t="s">
        <v>191</v>
      </c>
    </row>
    <row r="53" spans="1:2" x14ac:dyDescent="0.15">
      <c r="A53" t="s">
        <v>192</v>
      </c>
    </row>
    <row r="54" spans="1:2" x14ac:dyDescent="0.15">
      <c r="A54" t="s">
        <v>193</v>
      </c>
    </row>
    <row r="55" spans="1:2" x14ac:dyDescent="0.15">
      <c r="A55" t="s">
        <v>194</v>
      </c>
    </row>
  </sheetData>
  <phoneticPr fontId="10" type="noConversion"/>
  <hyperlinks>
    <hyperlink ref="B8" r:id="rId1" xr:uid="{00000000-0004-0000-0000-000000000000}"/>
    <hyperlink ref="B15" r:id="rId2" xr:uid="{00000000-0004-0000-0000-000001000000}"/>
    <hyperlink ref="B29" r:id="rId3" xr:uid="{CA93FE29-A0A0-406A-B94C-DC5006AB819F}"/>
    <hyperlink ref="E7" r:id="rId4" display="https://news.bjx.com.cn/html/20220114/1199377.shtml" xr:uid="{18835FD5-A0B1-4E29-AC41-85571EEFF1FA}"/>
    <hyperlink ref="E15" r:id="rId5" display="https://mp.weixin.qq.com/s/R99_EAVshBIcldYMXXvxHA" xr:uid="{CBF2E9E2-EA07-4C13-BD10-7D80112B54A3}"/>
    <hyperlink ref="E20" r:id="rId6" location=":~:text=%E6%88%90%E6%9C%AC%E6%9E%84%E6%88%90%20%E9%94%82%E7%94%B5%E5%82%A8%E8%83%BD%E7%B3%BB%E7%BB%9F%E5%B7%A5%E7%A8%8B%E5%BB%BA%E8%AE%BE%E6%88%90%E6%9C%AC%E5%A4%A7%E8%87%B4%E4%B8%BA%E7%BA%A6%201.5-2%20%E5%85%83%2FWh%EF%BC%8C%E5%85%B6%E4%B8%AD%E5%82%A8%E8%83%BD%E7%B3%BB%E7%BB%9F%E5%8D%A0,90%25%E4%BB%A5%E4%B8%8A%E3%80%82%20%E5%82%A8%E8%83%BD%E7%B3%BB%E7%BB%9F%E4%B8%AD%E5%8F%88%E4%BB%A5%E7%94%B5%E6%B1%A0%E5%8D%A0%E6%AF%94%E6%9C%80%E9%AB%98%EF%BC%8C%E5%A4%A7%E8%87%B4%E4%B8%BA%2050%25-70%25%EF%BC%88%E8%80%83%E8%99%91%E7%94%B5%E8%8A%AF%E6%B6%A8%E4%BB%B7%E5%90%8E%EF%BC%8C%E5%8D%A0%E6%AF%94%E6%8F%90%E5%8D%87%EF%BC%89%EF%BC%8C%E5%85%B6%E4%BB%96%E7%B3%BB%E7%BB%9F%E7%BB%84%E4%BB%B6%E3%80%81%E7%AE%A1%E7%90%86%E7%B3%BB%E7%BB%9F%E5%88%86%E5%88%AB%E5%8D%A0%2020%25%E3%80%8115%25%E3%80%82" display="https://zhuanlan.zhihu.com/p/601092720 - :~:text=%E6%88%90%E6%9C%AC%E6%9E%84%E6%88%90%20%E9%94%82%E7%94%B5%E5%82%A8%E8%83%BD%E7%B3%BB%E7%BB%9F%E5%B7%A5%E7%A8%8B%E5%BB%BA%E8%AE%BE%E6%88%90%E6%9C%AC%E5%A4%A7%E8%87%B4%E4%B8%BA%E7%BA%A6%201.5-2%20%E5%85%83%2FWh%EF%BC%8C%E5%85%B6%E4%B8%AD%E5%82%A8%E8%83%BD%E7%B3%BB%E7%BB%9F%E5%8D%A0,90%25%E4%BB%A5%E4%B8%8A%E3%80%82%20%E5%82%A8%E8%83%BD%E7%B3%BB%E7%BB%9F%E4%B8%AD%E5%8F%88%E4%BB%A5%E7%94%B5%E6%B1%A0%E5%8D%A0%E6%AF%94%E6%9C%80%E9%AB%98%EF%BC%8C%E5%A4%A7%E8%87%B4%E4%B8%BA%2050%25-70%25%EF%BC%88%E8%80%83%E8%99%91%E7%94%B5%E8%8A%AF%E6%B6%A8%E4%BB%B7%E5%90%8E%EF%BC%8C%E5%8D%A0%E6%AF%94%E6%8F%90%E5%8D%87%EF%BC%89%EF%BC%8C%E5%85%B6%E4%BB%96%E7%B3%BB%E7%BB%9F%E7%BB%84%E4%BB%B6%E3%80%81%E7%AE%A1%E7%90%86%E7%B3%BB%E7%BB%9F%E5%88%86%E5%88%AB%E5%8D%A0%2020%25%E3%80%8115%25%E3%80%82" xr:uid="{80C13574-F7CB-47AF-8489-F21E7878D5B3}"/>
    <hyperlink ref="E23" r:id="rId7" display="https://zhuanlan.zhihu.com/p/461381539" xr:uid="{52387E3E-E861-44EE-98B9-65326128911F}"/>
    <hyperlink ref="E26" r:id="rId8" display="https://zhuanlan.zhihu.com/p/649406345" xr:uid="{3979C971-895B-4EB0-A3A7-64DF0B086058}"/>
    <hyperlink ref="E31" r:id="rId9" display="https://zhuanlan.zhihu.com/p/649406345" xr:uid="{6EB547FF-325F-48F0-B0C2-539AE291721F}"/>
    <hyperlink ref="E34" r:id="rId10" display="http://www.chinapower.com.cn/chuneng/dongtai1/20230129/185118.html" xr:uid="{BD4776A8-7F1C-4915-AF2F-34A9C016D702}"/>
    <hyperlink ref="E39" r:id="rId11" display="https://energy.mit.edu/wp-content/uploads/2022/05/The-Future-of-Energy-Storage.pdf" xr:uid="{07AC6A68-9466-4807-9E1A-0A2B628203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4348-9389-4B49-B394-B372507A101D}">
  <dimension ref="A1:D24"/>
  <sheetViews>
    <sheetView workbookViewId="0">
      <selection activeCell="B25" sqref="B25"/>
    </sheetView>
  </sheetViews>
  <sheetFormatPr defaultRowHeight="13.5" x14ac:dyDescent="0.15"/>
  <cols>
    <col min="1" max="1" width="10.125" style="44" customWidth="1"/>
    <col min="2" max="3" width="15.625" style="44" customWidth="1"/>
    <col min="4" max="16384" width="9" style="44"/>
  </cols>
  <sheetData>
    <row r="1" spans="1:4" s="47" customFormat="1" ht="40.5" x14ac:dyDescent="0.15">
      <c r="A1" s="47" t="s">
        <v>115</v>
      </c>
      <c r="B1" s="47" t="s">
        <v>114</v>
      </c>
      <c r="C1" s="47" t="s">
        <v>113</v>
      </c>
      <c r="D1" s="47" t="s">
        <v>112</v>
      </c>
    </row>
    <row r="2" spans="1:4" x14ac:dyDescent="0.15">
      <c r="A2" s="44">
        <v>2000</v>
      </c>
      <c r="B2" s="45">
        <v>0.26402731839314614</v>
      </c>
      <c r="C2" s="45">
        <v>3.7874868634273828</v>
      </c>
      <c r="D2" s="46">
        <v>1.3332984901277585</v>
      </c>
    </row>
    <row r="3" spans="1:4" x14ac:dyDescent="0.15">
      <c r="A3" s="44">
        <v>2001</v>
      </c>
      <c r="B3" s="45">
        <v>0.25873096752649349</v>
      </c>
      <c r="C3" s="45">
        <v>3.865018592710987</v>
      </c>
      <c r="D3" s="46">
        <v>1.2964088085827217</v>
      </c>
    </row>
    <row r="4" spans="1:4" x14ac:dyDescent="0.15">
      <c r="A4" s="44">
        <v>2002</v>
      </c>
      <c r="B4" s="45">
        <v>0.25718247422042451</v>
      </c>
      <c r="C4" s="45">
        <v>3.8882898340223822</v>
      </c>
      <c r="D4" s="46">
        <v>1.276231239577543</v>
      </c>
    </row>
    <row r="5" spans="1:4" x14ac:dyDescent="0.15">
      <c r="A5" s="44">
        <v>2003</v>
      </c>
      <c r="B5" s="45">
        <v>0.25065741621071408</v>
      </c>
      <c r="C5" s="45">
        <v>3.9895089286301202</v>
      </c>
      <c r="D5" s="46">
        <v>1.2477934782608695</v>
      </c>
    </row>
    <row r="6" spans="1:4" x14ac:dyDescent="0.15">
      <c r="A6" s="44">
        <v>2004</v>
      </c>
      <c r="B6" s="45">
        <v>0.23436441895908319</v>
      </c>
      <c r="C6" s="45">
        <v>4.266859297334662</v>
      </c>
      <c r="D6" s="46">
        <v>1.2154261514028586</v>
      </c>
    </row>
    <row r="7" spans="1:4" x14ac:dyDescent="0.15">
      <c r="A7" s="44">
        <v>2005</v>
      </c>
      <c r="B7" s="45">
        <v>0.22555916594478426</v>
      </c>
      <c r="C7" s="45">
        <v>4.4334265726305926</v>
      </c>
      <c r="D7" s="46">
        <v>1.1755965181771633</v>
      </c>
    </row>
    <row r="8" spans="1:4" x14ac:dyDescent="0.15">
      <c r="A8" s="44">
        <v>2006</v>
      </c>
      <c r="B8" s="45">
        <v>0.21703709711742236</v>
      </c>
      <c r="C8" s="45">
        <v>4.6075072569689581</v>
      </c>
      <c r="D8" s="46">
        <v>1.1388591269841271</v>
      </c>
    </row>
    <row r="9" spans="1:4" x14ac:dyDescent="0.15">
      <c r="A9" s="44">
        <v>2007</v>
      </c>
      <c r="B9" s="45">
        <v>0.20142712631579188</v>
      </c>
      <c r="C9" s="45">
        <v>4.9645746245330811</v>
      </c>
      <c r="D9" s="46">
        <v>1.107320272786025</v>
      </c>
    </row>
    <row r="10" spans="1:4" x14ac:dyDescent="0.15">
      <c r="A10" s="44">
        <v>2008</v>
      </c>
      <c r="B10" s="45">
        <v>0.18686068900134839</v>
      </c>
      <c r="C10" s="45">
        <v>5.3515803957716539</v>
      </c>
      <c r="D10" s="46">
        <v>1.0663762232760343</v>
      </c>
    </row>
    <row r="11" spans="1:4" x14ac:dyDescent="0.15">
      <c r="A11" s="44">
        <v>2009</v>
      </c>
      <c r="B11" s="45">
        <v>0.18725304660343919</v>
      </c>
      <c r="C11" s="45">
        <v>5.3403670495026994</v>
      </c>
      <c r="D11" s="46">
        <v>1.0701836979169095</v>
      </c>
    </row>
    <row r="12" spans="1:4" x14ac:dyDescent="0.15">
      <c r="A12" s="44">
        <v>2010</v>
      </c>
      <c r="B12" s="45">
        <v>0.17519707002278173</v>
      </c>
      <c r="C12" s="45">
        <v>5.7078580130932846</v>
      </c>
      <c r="D12" s="46">
        <v>1.0529130131709286</v>
      </c>
    </row>
    <row r="13" spans="1:4" x14ac:dyDescent="0.15">
      <c r="A13" s="44">
        <v>2011</v>
      </c>
      <c r="B13" s="45">
        <v>0.16210590836123626</v>
      </c>
      <c r="C13" s="45">
        <v>6.1688066160525343</v>
      </c>
      <c r="D13" s="46">
        <v>1.0206944993976144</v>
      </c>
    </row>
    <row r="14" spans="1:4" x14ac:dyDescent="0.15">
      <c r="A14" s="44">
        <v>2012</v>
      </c>
      <c r="B14" s="45">
        <v>0.15841295765019273</v>
      </c>
      <c r="C14" s="45">
        <v>6.3126149201014137</v>
      </c>
      <c r="D14" s="46">
        <v>1</v>
      </c>
    </row>
    <row r="15" spans="1:4" x14ac:dyDescent="0.15">
      <c r="A15" s="44">
        <v>2013</v>
      </c>
      <c r="B15" s="45">
        <v>0.15505846920337668</v>
      </c>
      <c r="C15" s="45">
        <v>6.4491801391924435</v>
      </c>
      <c r="D15" s="46">
        <v>0.98556385942470071</v>
      </c>
    </row>
    <row r="16" spans="1:4" x14ac:dyDescent="0.15">
      <c r="A16" s="44">
        <v>2014</v>
      </c>
      <c r="B16" s="45">
        <v>0.15347603355213138</v>
      </c>
      <c r="C16" s="45">
        <v>6.5156752937606308</v>
      </c>
      <c r="D16" s="46">
        <v>0.96983137334414704</v>
      </c>
    </row>
    <row r="17" spans="1:4" x14ac:dyDescent="0.15">
      <c r="A17" s="44">
        <v>2015</v>
      </c>
      <c r="B17" s="45">
        <v>0.15348055216320364</v>
      </c>
      <c r="C17" s="45">
        <v>6.5154834661830598</v>
      </c>
      <c r="D17" s="46">
        <v>0.9686815713640794</v>
      </c>
    </row>
    <row r="18" spans="1:4" x14ac:dyDescent="0.15">
      <c r="A18" s="44">
        <v>2016</v>
      </c>
      <c r="B18" s="45">
        <v>0.15135052654071177</v>
      </c>
      <c r="C18" s="45">
        <v>6.6071788639004838</v>
      </c>
      <c r="D18" s="46">
        <v>0.95661376543184151</v>
      </c>
    </row>
    <row r="19" spans="1:4" x14ac:dyDescent="0.15">
      <c r="A19" s="44">
        <v>2017</v>
      </c>
      <c r="B19" s="45">
        <v>0.14520448257929888</v>
      </c>
      <c r="C19" s="45">
        <v>6.8868397327464139</v>
      </c>
      <c r="D19" s="46">
        <v>0.93665959530026111</v>
      </c>
    </row>
    <row r="20" spans="1:4" x14ac:dyDescent="0.15">
      <c r="A20" s="44">
        <v>2018</v>
      </c>
      <c r="B20" s="45">
        <v>0.14029452814745572</v>
      </c>
      <c r="C20" s="45">
        <v>7.1278617434669727</v>
      </c>
      <c r="D20" s="46">
        <v>0.9143273584567535</v>
      </c>
    </row>
    <row r="21" spans="1:4" x14ac:dyDescent="0.15">
      <c r="A21" s="44">
        <v>2019</v>
      </c>
      <c r="B21" s="45">
        <v>0.13851126202725372</v>
      </c>
      <c r="C21" s="45">
        <v>7.2196295475471031</v>
      </c>
      <c r="D21" s="46">
        <v>0.89805481563188172</v>
      </c>
    </row>
    <row r="22" spans="1:4" x14ac:dyDescent="0.15">
      <c r="A22" s="44">
        <v>2020</v>
      </c>
      <c r="B22" s="45">
        <v>0.13765067798823424</v>
      </c>
      <c r="C22" s="45">
        <v>7.2647662518994309</v>
      </c>
      <c r="D22" s="46">
        <v>0.88711067149387013</v>
      </c>
    </row>
    <row r="23" spans="1:4" x14ac:dyDescent="0.15">
      <c r="A23" s="44">
        <v>2021</v>
      </c>
      <c r="B23" s="45">
        <v>0.13187296833890647</v>
      </c>
      <c r="C23" s="45">
        <v>7.5830552128776958</v>
      </c>
      <c r="D23" s="46">
        <v>0.84730412960844359</v>
      </c>
    </row>
    <row r="24" spans="1:4" x14ac:dyDescent="0.15">
      <c r="A24" s="44">
        <v>2022</v>
      </c>
      <c r="B24" s="45">
        <v>0.12836129061487983</v>
      </c>
      <c r="C24" s="45">
        <v>7.7905106376678841</v>
      </c>
      <c r="D24" s="45">
        <f>D23*0.93</f>
        <v>0.78799284053585261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4CC9-9418-4067-8396-FD097AFB0A9F}">
  <dimension ref="B1:AK17"/>
  <sheetViews>
    <sheetView workbookViewId="0">
      <selection activeCell="AK34" sqref="F19:AK34"/>
    </sheetView>
  </sheetViews>
  <sheetFormatPr defaultRowHeight="13.5" x14ac:dyDescent="0.15"/>
  <cols>
    <col min="5" max="5" width="33.375" customWidth="1"/>
  </cols>
  <sheetData>
    <row r="1" spans="2:37" x14ac:dyDescent="0.15">
      <c r="D1" t="s">
        <v>69</v>
      </c>
    </row>
    <row r="2" spans="2:37" x14ac:dyDescent="0.15">
      <c r="F2">
        <v>2019</v>
      </c>
      <c r="G2">
        <v>2020</v>
      </c>
      <c r="H2">
        <v>2021</v>
      </c>
      <c r="I2">
        <v>2022</v>
      </c>
      <c r="J2">
        <v>2023</v>
      </c>
      <c r="K2">
        <v>2024</v>
      </c>
      <c r="L2">
        <v>2025</v>
      </c>
      <c r="M2">
        <v>2026</v>
      </c>
      <c r="N2">
        <v>2027</v>
      </c>
      <c r="O2">
        <v>2028</v>
      </c>
      <c r="P2">
        <v>2029</v>
      </c>
      <c r="Q2">
        <v>2030</v>
      </c>
      <c r="R2">
        <v>2031</v>
      </c>
      <c r="S2">
        <v>2032</v>
      </c>
      <c r="T2">
        <v>2033</v>
      </c>
      <c r="U2">
        <v>2034</v>
      </c>
      <c r="V2">
        <v>2035</v>
      </c>
      <c r="W2">
        <v>2036</v>
      </c>
      <c r="X2">
        <v>2037</v>
      </c>
      <c r="Y2">
        <v>2038</v>
      </c>
      <c r="Z2">
        <v>2039</v>
      </c>
      <c r="AA2">
        <v>2040</v>
      </c>
      <c r="AB2">
        <v>2041</v>
      </c>
      <c r="AC2">
        <v>2042</v>
      </c>
      <c r="AD2">
        <v>2043</v>
      </c>
      <c r="AE2">
        <v>2044</v>
      </c>
      <c r="AF2">
        <v>2045</v>
      </c>
      <c r="AG2">
        <v>2046</v>
      </c>
      <c r="AH2">
        <v>2047</v>
      </c>
      <c r="AI2">
        <v>2048</v>
      </c>
      <c r="AJ2">
        <v>2049</v>
      </c>
      <c r="AK2">
        <v>2050</v>
      </c>
    </row>
    <row r="3" spans="2:37" ht="15" customHeight="1" x14ac:dyDescent="0.15">
      <c r="B3" t="s">
        <v>70</v>
      </c>
      <c r="D3" t="s">
        <v>71</v>
      </c>
      <c r="E3" t="s">
        <v>72</v>
      </c>
      <c r="F3">
        <v>853.45920000000001</v>
      </c>
      <c r="G3">
        <v>810.03484410554597</v>
      </c>
      <c r="H3">
        <v>743.8134</v>
      </c>
      <c r="I3">
        <v>682.56979999999999</v>
      </c>
      <c r="J3">
        <v>621.32619999999997</v>
      </c>
      <c r="K3">
        <v>560.08259999999996</v>
      </c>
      <c r="L3">
        <v>498.839</v>
      </c>
      <c r="M3">
        <v>467.2294</v>
      </c>
      <c r="N3">
        <v>432.65639999999996</v>
      </c>
      <c r="O3">
        <v>401.04679999999996</v>
      </c>
      <c r="P3">
        <v>369.43720000000002</v>
      </c>
      <c r="Q3">
        <v>336.83979999999997</v>
      </c>
      <c r="R3">
        <v>330.91300000000001</v>
      </c>
      <c r="S3">
        <v>324.9862</v>
      </c>
      <c r="T3">
        <v>317.0838</v>
      </c>
      <c r="U3">
        <v>311.15700000000004</v>
      </c>
      <c r="V3">
        <v>304.24239999999998</v>
      </c>
      <c r="W3">
        <v>296.34000000000003</v>
      </c>
      <c r="X3">
        <v>290.41320000000002</v>
      </c>
      <c r="Y3">
        <v>284.4864</v>
      </c>
      <c r="Z3">
        <v>278.55959999999999</v>
      </c>
      <c r="AA3">
        <v>270.65719999999999</v>
      </c>
      <c r="AB3">
        <v>264.73040000000003</v>
      </c>
      <c r="AC3">
        <v>257.81579999999997</v>
      </c>
      <c r="AD3">
        <v>251.88900000000001</v>
      </c>
      <c r="AE3">
        <v>243.98660000000001</v>
      </c>
      <c r="AF3">
        <v>238.0598</v>
      </c>
      <c r="AG3">
        <v>232.13300000000001</v>
      </c>
      <c r="AH3">
        <v>226.2062</v>
      </c>
      <c r="AI3">
        <v>218.30380000000002</v>
      </c>
      <c r="AJ3">
        <v>212.37699999999998</v>
      </c>
      <c r="AK3">
        <v>205.4624</v>
      </c>
    </row>
    <row r="4" spans="2:37" x14ac:dyDescent="0.15">
      <c r="E4" t="s">
        <v>73</v>
      </c>
      <c r="F4">
        <v>853.45920000000001</v>
      </c>
      <c r="G4">
        <v>810.03484410554597</v>
      </c>
      <c r="H4">
        <v>763.3963659907713</v>
      </c>
      <c r="I4">
        <v>716.75788787599708</v>
      </c>
      <c r="J4">
        <v>670.11940976122241</v>
      </c>
      <c r="K4">
        <v>623.48093164644786</v>
      </c>
      <c r="L4">
        <v>576.84245353167319</v>
      </c>
      <c r="M4">
        <v>559.57645200874674</v>
      </c>
      <c r="N4">
        <v>542.31045048582052</v>
      </c>
      <c r="O4">
        <v>525.04444896289397</v>
      </c>
      <c r="P4">
        <v>507.77844743996769</v>
      </c>
      <c r="Q4">
        <v>490.51244591704176</v>
      </c>
      <c r="R4">
        <v>485.22556219218745</v>
      </c>
      <c r="S4">
        <v>479.93867846733315</v>
      </c>
      <c r="T4">
        <v>474.65179474247918</v>
      </c>
      <c r="U4">
        <v>469.36491101762482</v>
      </c>
      <c r="V4">
        <v>464.07802729277068</v>
      </c>
      <c r="W4">
        <v>458.79114356791655</v>
      </c>
      <c r="X4">
        <v>453.50425984306219</v>
      </c>
      <c r="Y4">
        <v>448.21737611820811</v>
      </c>
      <c r="Z4">
        <v>442.9304923933538</v>
      </c>
      <c r="AA4">
        <v>437.64360866849972</v>
      </c>
      <c r="AB4">
        <v>432.35672494364553</v>
      </c>
      <c r="AC4">
        <v>427.06984121879145</v>
      </c>
      <c r="AD4">
        <v>421.78295749393726</v>
      </c>
      <c r="AE4">
        <v>416.49607376908301</v>
      </c>
      <c r="AF4">
        <v>411.20919004422905</v>
      </c>
      <c r="AG4">
        <v>405.92230631937485</v>
      </c>
      <c r="AH4">
        <v>400.63542259452083</v>
      </c>
      <c r="AI4">
        <v>395.34853886966664</v>
      </c>
      <c r="AJ4">
        <v>390.06165514481239</v>
      </c>
      <c r="AK4">
        <v>384.774771419959</v>
      </c>
    </row>
    <row r="5" spans="2:37" x14ac:dyDescent="0.15">
      <c r="E5" t="s">
        <v>74</v>
      </c>
      <c r="F5">
        <v>853.45920000000001</v>
      </c>
      <c r="G5">
        <v>810.03484410554597</v>
      </c>
      <c r="H5">
        <v>784.31320000000005</v>
      </c>
      <c r="I5">
        <v>760.60599999999999</v>
      </c>
      <c r="J5">
        <v>739.86220000000003</v>
      </c>
      <c r="K5">
        <v>717.14280000000008</v>
      </c>
      <c r="L5">
        <v>694.4233999999999</v>
      </c>
      <c r="M5">
        <v>674.37105999999994</v>
      </c>
      <c r="N5">
        <v>654.31871999999998</v>
      </c>
      <c r="O5">
        <v>634.26638000000003</v>
      </c>
      <c r="P5">
        <v>614.21403999999995</v>
      </c>
      <c r="Q5">
        <v>594.1617</v>
      </c>
      <c r="R5">
        <v>594.1617</v>
      </c>
      <c r="S5">
        <v>594.1617</v>
      </c>
      <c r="T5">
        <v>594.1617</v>
      </c>
      <c r="U5">
        <v>594.1617</v>
      </c>
      <c r="V5">
        <v>594.1617</v>
      </c>
      <c r="W5">
        <v>594.1617</v>
      </c>
      <c r="X5">
        <v>594.1617</v>
      </c>
      <c r="Y5">
        <v>594.1617</v>
      </c>
      <c r="Z5">
        <v>594.1617</v>
      </c>
      <c r="AA5">
        <v>594.1617</v>
      </c>
      <c r="AB5">
        <v>594.1617</v>
      </c>
      <c r="AC5">
        <v>594.1617</v>
      </c>
      <c r="AD5">
        <v>594.1617</v>
      </c>
      <c r="AE5">
        <v>594.1617</v>
      </c>
      <c r="AF5">
        <v>594.1617</v>
      </c>
      <c r="AG5">
        <v>594.1617</v>
      </c>
      <c r="AH5">
        <v>594.1617</v>
      </c>
      <c r="AI5">
        <v>594.1617</v>
      </c>
      <c r="AJ5">
        <v>594.1617</v>
      </c>
      <c r="AK5">
        <v>594.1617</v>
      </c>
    </row>
    <row r="6" spans="2:37" x14ac:dyDescent="0.15">
      <c r="E6" t="s">
        <v>75</v>
      </c>
      <c r="F6">
        <v>1434.2856000000002</v>
      </c>
      <c r="G6">
        <v>1363.2842342153651</v>
      </c>
      <c r="H6">
        <v>1249.567</v>
      </c>
      <c r="I6">
        <v>1146.8358000000001</v>
      </c>
      <c r="J6">
        <v>1044.1046000000001</v>
      </c>
      <c r="K6">
        <v>941.37339999999995</v>
      </c>
      <c r="L6">
        <v>838.6422</v>
      </c>
      <c r="M6">
        <v>785.30099999999993</v>
      </c>
      <c r="N6">
        <v>727.02080000000001</v>
      </c>
      <c r="O6">
        <v>673.67959999999994</v>
      </c>
      <c r="P6">
        <v>620.33840000000009</v>
      </c>
      <c r="Q6">
        <v>566.00940000000003</v>
      </c>
      <c r="R6">
        <v>556.13139999999999</v>
      </c>
      <c r="S6">
        <v>546.25340000000006</v>
      </c>
      <c r="T6">
        <v>532.42419999999993</v>
      </c>
      <c r="U6">
        <v>522.5462</v>
      </c>
      <c r="V6">
        <v>511.68039999999996</v>
      </c>
      <c r="W6">
        <v>497.85120000000001</v>
      </c>
      <c r="X6">
        <v>487.97320000000002</v>
      </c>
      <c r="Y6">
        <v>478.09519999999998</v>
      </c>
      <c r="Z6">
        <v>468.21719999999999</v>
      </c>
      <c r="AA6">
        <v>454.38799999999998</v>
      </c>
      <c r="AB6">
        <v>444.51000000000005</v>
      </c>
      <c r="AC6">
        <v>433.64419999999996</v>
      </c>
      <c r="AD6">
        <v>423.76620000000003</v>
      </c>
      <c r="AE6">
        <v>409.93700000000001</v>
      </c>
      <c r="AF6">
        <v>400.05899999999997</v>
      </c>
      <c r="AG6">
        <v>390.18100000000004</v>
      </c>
      <c r="AH6">
        <v>380.303</v>
      </c>
      <c r="AI6">
        <v>366.47380000000004</v>
      </c>
      <c r="AJ6">
        <v>356.59579999999994</v>
      </c>
      <c r="AK6">
        <v>345.73</v>
      </c>
    </row>
    <row r="7" spans="2:37" x14ac:dyDescent="0.15">
      <c r="E7" t="s">
        <v>76</v>
      </c>
      <c r="F7">
        <v>1434.2856000000002</v>
      </c>
      <c r="G7">
        <v>1363.2842342153651</v>
      </c>
      <c r="H7">
        <v>1281.8130648399449</v>
      </c>
      <c r="I7">
        <v>1200.3418954645249</v>
      </c>
      <c r="J7">
        <v>1118.8707260891047</v>
      </c>
      <c r="K7">
        <v>1037.3995567136847</v>
      </c>
      <c r="L7">
        <v>955.92838733826409</v>
      </c>
      <c r="M7">
        <v>921.56147421096955</v>
      </c>
      <c r="N7">
        <v>887.19456108367513</v>
      </c>
      <c r="O7">
        <v>852.82764795638059</v>
      </c>
      <c r="P7">
        <v>818.46073482908605</v>
      </c>
      <c r="Q7">
        <v>784.09382170179197</v>
      </c>
      <c r="R7">
        <v>774.29264893051936</v>
      </c>
      <c r="S7">
        <v>764.49147615924687</v>
      </c>
      <c r="T7">
        <v>754.69030338797461</v>
      </c>
      <c r="U7">
        <v>744.889130616702</v>
      </c>
      <c r="V7">
        <v>735.08795784542951</v>
      </c>
      <c r="W7">
        <v>725.28678507415714</v>
      </c>
      <c r="X7">
        <v>715.48561230288453</v>
      </c>
      <c r="Y7">
        <v>705.68443953161216</v>
      </c>
      <c r="Z7">
        <v>695.88326676033967</v>
      </c>
      <c r="AA7">
        <v>686.08209398906718</v>
      </c>
      <c r="AB7">
        <v>676.28092121779491</v>
      </c>
      <c r="AC7">
        <v>666.47974844652254</v>
      </c>
      <c r="AD7">
        <v>656.67857567524993</v>
      </c>
      <c r="AE7">
        <v>646.87740290397755</v>
      </c>
      <c r="AF7">
        <v>637.07623013270529</v>
      </c>
      <c r="AG7">
        <v>627.2750573614328</v>
      </c>
      <c r="AH7">
        <v>617.47388459016042</v>
      </c>
      <c r="AI7">
        <v>607.67271181888805</v>
      </c>
      <c r="AJ7">
        <v>597.87153904761556</v>
      </c>
      <c r="AK7">
        <v>588.07036627634386</v>
      </c>
    </row>
    <row r="8" spans="2:37" x14ac:dyDescent="0.15">
      <c r="E8" t="s">
        <v>77</v>
      </c>
      <c r="F8">
        <v>1434.2856000000002</v>
      </c>
      <c r="G8">
        <v>1363.2842342153651</v>
      </c>
      <c r="H8">
        <v>1317.7252000000001</v>
      </c>
      <c r="I8">
        <v>1278.2132000000001</v>
      </c>
      <c r="J8">
        <v>1243.6402</v>
      </c>
      <c r="K8">
        <v>1205.116</v>
      </c>
      <c r="L8">
        <v>1166.5917999999999</v>
      </c>
      <c r="M8">
        <v>1129.4505199999999</v>
      </c>
      <c r="N8">
        <v>1092.30924</v>
      </c>
      <c r="O8">
        <v>1055.16796</v>
      </c>
      <c r="P8">
        <v>1018.0266799999999</v>
      </c>
      <c r="Q8">
        <v>980.8854</v>
      </c>
      <c r="R8">
        <v>980.8854</v>
      </c>
      <c r="S8">
        <v>980.8854</v>
      </c>
      <c r="T8">
        <v>980.8854</v>
      </c>
      <c r="U8">
        <v>980.8854</v>
      </c>
      <c r="V8">
        <v>980.8854</v>
      </c>
      <c r="W8">
        <v>980.8854</v>
      </c>
      <c r="X8">
        <v>980.8854</v>
      </c>
      <c r="Y8">
        <v>980.8854</v>
      </c>
      <c r="Z8">
        <v>980.8854</v>
      </c>
      <c r="AA8">
        <v>980.8854</v>
      </c>
      <c r="AB8">
        <v>980.8854</v>
      </c>
      <c r="AC8">
        <v>980.8854</v>
      </c>
      <c r="AD8">
        <v>980.8854</v>
      </c>
      <c r="AE8">
        <v>980.8854</v>
      </c>
      <c r="AF8">
        <v>980.8854</v>
      </c>
      <c r="AG8">
        <v>980.8854</v>
      </c>
      <c r="AH8">
        <v>980.8854</v>
      </c>
      <c r="AI8">
        <v>980.8854</v>
      </c>
      <c r="AJ8">
        <v>980.8854</v>
      </c>
      <c r="AK8">
        <v>980.8854</v>
      </c>
    </row>
    <row r="9" spans="2:37" x14ac:dyDescent="0.15">
      <c r="E9" t="s">
        <v>78</v>
      </c>
      <c r="F9">
        <v>2015.1120000000001</v>
      </c>
      <c r="G9">
        <v>1916.5336243251845</v>
      </c>
      <c r="H9">
        <v>1755.3206</v>
      </c>
      <c r="I9">
        <v>1611.1017999999999</v>
      </c>
      <c r="J9">
        <v>1466.883</v>
      </c>
      <c r="K9">
        <v>1322.6641999999999</v>
      </c>
      <c r="L9">
        <v>1178.4454000000001</v>
      </c>
      <c r="M9">
        <v>1103.3725999999999</v>
      </c>
      <c r="N9">
        <v>1021.3852000000001</v>
      </c>
      <c r="O9">
        <v>946.31239999999991</v>
      </c>
      <c r="P9">
        <v>871.23960000000011</v>
      </c>
      <c r="Q9">
        <v>795.17900000000009</v>
      </c>
      <c r="R9">
        <v>781.34980000000007</v>
      </c>
      <c r="S9">
        <v>767.52060000000006</v>
      </c>
      <c r="T9">
        <v>747.76459999999997</v>
      </c>
      <c r="U9">
        <v>733.93539999999996</v>
      </c>
      <c r="V9">
        <v>719.11839999999995</v>
      </c>
      <c r="W9">
        <v>699.36239999999998</v>
      </c>
      <c r="X9">
        <v>685.53320000000008</v>
      </c>
      <c r="Y9">
        <v>671.70400000000006</v>
      </c>
      <c r="Z9">
        <v>657.87480000000005</v>
      </c>
      <c r="AA9">
        <v>638.11879999999996</v>
      </c>
      <c r="AB9">
        <v>624.28959999999995</v>
      </c>
      <c r="AC9">
        <v>609.47259999999994</v>
      </c>
      <c r="AD9">
        <v>595.64340000000004</v>
      </c>
      <c r="AE9">
        <v>575.88740000000007</v>
      </c>
      <c r="AF9">
        <v>562.05820000000006</v>
      </c>
      <c r="AG9">
        <v>548.22900000000004</v>
      </c>
      <c r="AH9">
        <v>534.39979999999991</v>
      </c>
      <c r="AI9">
        <v>514.64380000000006</v>
      </c>
      <c r="AJ9">
        <v>500.81459999999993</v>
      </c>
      <c r="AK9">
        <v>485.99760000000003</v>
      </c>
    </row>
    <row r="10" spans="2:37" x14ac:dyDescent="0.15">
      <c r="E10" t="s">
        <v>79</v>
      </c>
      <c r="F10">
        <v>2015.1120000000001</v>
      </c>
      <c r="G10">
        <v>1916.5336243251845</v>
      </c>
      <c r="H10">
        <v>1800.2297636891185</v>
      </c>
      <c r="I10">
        <v>1683.9259030530529</v>
      </c>
      <c r="J10">
        <v>1567.6220424169869</v>
      </c>
      <c r="K10">
        <v>1451.3181817809213</v>
      </c>
      <c r="L10">
        <v>1335.0143211448551</v>
      </c>
      <c r="M10">
        <v>1283.5464964131925</v>
      </c>
      <c r="N10">
        <v>1232.0786716815298</v>
      </c>
      <c r="O10">
        <v>1180.610846949867</v>
      </c>
      <c r="P10">
        <v>1129.1430222182044</v>
      </c>
      <c r="Q10">
        <v>1077.6751974865422</v>
      </c>
      <c r="R10">
        <v>1063.3597356688515</v>
      </c>
      <c r="S10">
        <v>1049.0442738511606</v>
      </c>
      <c r="T10">
        <v>1034.7288120334699</v>
      </c>
      <c r="U10">
        <v>1020.413350215779</v>
      </c>
      <c r="V10">
        <v>1006.0978883980883</v>
      </c>
      <c r="W10">
        <v>991.78242658039767</v>
      </c>
      <c r="X10">
        <v>977.46696476270688</v>
      </c>
      <c r="Y10">
        <v>963.15150294501632</v>
      </c>
      <c r="Z10">
        <v>948.83604112732553</v>
      </c>
      <c r="AA10">
        <v>934.52057930963474</v>
      </c>
      <c r="AB10">
        <v>920.20511749194418</v>
      </c>
      <c r="AC10">
        <v>905.8896556742535</v>
      </c>
      <c r="AD10">
        <v>891.57419385656272</v>
      </c>
      <c r="AE10">
        <v>877.25873203887204</v>
      </c>
      <c r="AF10">
        <v>862.94327022118148</v>
      </c>
      <c r="AG10">
        <v>848.62780840349069</v>
      </c>
      <c r="AH10">
        <v>834.31234658580001</v>
      </c>
      <c r="AI10">
        <v>819.99688476810945</v>
      </c>
      <c r="AJ10">
        <v>805.68142295041866</v>
      </c>
      <c r="AK10">
        <v>791.36596113272867</v>
      </c>
    </row>
    <row r="11" spans="2:37" x14ac:dyDescent="0.15">
      <c r="E11" t="s">
        <v>80</v>
      </c>
      <c r="F11">
        <v>2015.1120000000001</v>
      </c>
      <c r="G11">
        <v>1916.5336243251845</v>
      </c>
      <c r="H11">
        <v>1851.1372000000001</v>
      </c>
      <c r="I11">
        <v>1795.8204000000003</v>
      </c>
      <c r="J11">
        <v>1747.4182000000001</v>
      </c>
      <c r="K11">
        <v>1693.0892000000001</v>
      </c>
      <c r="L11">
        <v>1638.7601999999997</v>
      </c>
      <c r="M11">
        <v>1584.52998</v>
      </c>
      <c r="N11">
        <v>1530.2997599999999</v>
      </c>
      <c r="O11">
        <v>1476.0695400000002</v>
      </c>
      <c r="P11">
        <v>1421.8393199999998</v>
      </c>
      <c r="Q11">
        <v>1367.6091000000001</v>
      </c>
      <c r="R11">
        <v>1367.6091000000001</v>
      </c>
      <c r="S11">
        <v>1367.6091000000001</v>
      </c>
      <c r="T11">
        <v>1367.6091000000001</v>
      </c>
      <c r="U11">
        <v>1367.6091000000001</v>
      </c>
      <c r="V11">
        <v>1367.6091000000001</v>
      </c>
      <c r="W11">
        <v>1367.6091000000001</v>
      </c>
      <c r="X11">
        <v>1367.6091000000001</v>
      </c>
      <c r="Y11">
        <v>1367.6091000000001</v>
      </c>
      <c r="Z11">
        <v>1367.6091000000001</v>
      </c>
      <c r="AA11">
        <v>1367.6091000000001</v>
      </c>
      <c r="AB11">
        <v>1367.6091000000001</v>
      </c>
      <c r="AC11">
        <v>1367.6091000000001</v>
      </c>
      <c r="AD11">
        <v>1367.6091000000001</v>
      </c>
      <c r="AE11">
        <v>1367.6091000000001</v>
      </c>
      <c r="AF11">
        <v>1367.6091000000001</v>
      </c>
      <c r="AG11">
        <v>1367.6091000000001</v>
      </c>
      <c r="AH11">
        <v>1367.6091000000001</v>
      </c>
      <c r="AI11">
        <v>1367.6091000000001</v>
      </c>
      <c r="AJ11">
        <v>1367.6091000000001</v>
      </c>
      <c r="AK11">
        <v>1367.6091000000001</v>
      </c>
    </row>
    <row r="12" spans="2:37" x14ac:dyDescent="0.15">
      <c r="E12" t="s">
        <v>81</v>
      </c>
      <c r="F12">
        <v>2595.9384</v>
      </c>
      <c r="G12">
        <v>2469.7830144350037</v>
      </c>
      <c r="H12">
        <v>2261.0742</v>
      </c>
      <c r="I12">
        <v>2075.3678</v>
      </c>
      <c r="J12">
        <v>1889.6614000000002</v>
      </c>
      <c r="K12">
        <v>1703.9549999999999</v>
      </c>
      <c r="L12">
        <v>1518.2485999999999</v>
      </c>
      <c r="M12">
        <v>1421.4441999999999</v>
      </c>
      <c r="N12">
        <v>1315.7495999999999</v>
      </c>
      <c r="O12">
        <v>1218.9451999999999</v>
      </c>
      <c r="P12">
        <v>1122.1408000000001</v>
      </c>
      <c r="Q12">
        <v>1024.3486</v>
      </c>
      <c r="R12">
        <v>1006.5682</v>
      </c>
      <c r="S12">
        <v>988.78780000000006</v>
      </c>
      <c r="T12">
        <v>963.10500000000002</v>
      </c>
      <c r="U12">
        <v>945.32460000000003</v>
      </c>
      <c r="V12">
        <v>926.55639999999994</v>
      </c>
      <c r="W12">
        <v>900.87360000000001</v>
      </c>
      <c r="X12">
        <v>883.09320000000002</v>
      </c>
      <c r="Y12">
        <v>865.31280000000004</v>
      </c>
      <c r="Z12">
        <v>847.53240000000005</v>
      </c>
      <c r="AA12">
        <v>821.84960000000001</v>
      </c>
      <c r="AB12">
        <v>804.06920000000002</v>
      </c>
      <c r="AC12">
        <v>785.30099999999993</v>
      </c>
      <c r="AD12">
        <v>767.52060000000006</v>
      </c>
      <c r="AE12">
        <v>741.83780000000002</v>
      </c>
      <c r="AF12">
        <v>724.05740000000003</v>
      </c>
      <c r="AG12">
        <v>706.27700000000004</v>
      </c>
      <c r="AH12">
        <v>688.49659999999994</v>
      </c>
      <c r="AI12">
        <v>662.81380000000013</v>
      </c>
      <c r="AJ12">
        <v>645.03339999999992</v>
      </c>
      <c r="AK12">
        <v>626.26520000000005</v>
      </c>
    </row>
    <row r="13" spans="2:37" x14ac:dyDescent="0.15">
      <c r="E13" t="s">
        <v>82</v>
      </c>
      <c r="F13">
        <v>2595.9384</v>
      </c>
      <c r="G13">
        <v>2469.7830144350037</v>
      </c>
      <c r="H13">
        <v>2318.6464625382919</v>
      </c>
      <c r="I13">
        <v>2167.5099106415805</v>
      </c>
      <c r="J13">
        <v>2016.3733587448692</v>
      </c>
      <c r="K13">
        <v>1865.236806848158</v>
      </c>
      <c r="L13">
        <v>1714.100254951446</v>
      </c>
      <c r="M13">
        <v>1645.5315186154153</v>
      </c>
      <c r="N13">
        <v>1576.9627822793843</v>
      </c>
      <c r="O13">
        <v>1508.3940459433536</v>
      </c>
      <c r="P13">
        <v>1439.8253096073227</v>
      </c>
      <c r="Q13">
        <v>1371.2565732712924</v>
      </c>
      <c r="R13">
        <v>1352.4268224071834</v>
      </c>
      <c r="S13">
        <v>1333.5970715430744</v>
      </c>
      <c r="T13">
        <v>1314.7673206789655</v>
      </c>
      <c r="U13">
        <v>1295.9375698148563</v>
      </c>
      <c r="V13">
        <v>1277.1078189507473</v>
      </c>
      <c r="W13">
        <v>1258.2780680866383</v>
      </c>
      <c r="X13">
        <v>1239.4483172225291</v>
      </c>
      <c r="Y13">
        <v>1220.6185663584204</v>
      </c>
      <c r="Z13">
        <v>1201.7888154943114</v>
      </c>
      <c r="AA13">
        <v>1182.9590646302022</v>
      </c>
      <c r="AB13">
        <v>1164.1293137660934</v>
      </c>
      <c r="AC13">
        <v>1145.2995629019845</v>
      </c>
      <c r="AD13">
        <v>1126.4698120378753</v>
      </c>
      <c r="AE13">
        <v>1107.6400611737665</v>
      </c>
      <c r="AF13">
        <v>1088.8103103096578</v>
      </c>
      <c r="AG13">
        <v>1069.9805594455486</v>
      </c>
      <c r="AH13">
        <v>1051.1508085814396</v>
      </c>
      <c r="AI13">
        <v>1032.3210577173311</v>
      </c>
      <c r="AJ13">
        <v>1013.4913068532219</v>
      </c>
      <c r="AK13">
        <v>994.66155598911359</v>
      </c>
    </row>
    <row r="14" spans="2:37" x14ac:dyDescent="0.15">
      <c r="E14" t="s">
        <v>83</v>
      </c>
      <c r="F14">
        <v>2595.9384</v>
      </c>
      <c r="G14">
        <v>2469.7830144350037</v>
      </c>
      <c r="H14">
        <v>2384.5492000000004</v>
      </c>
      <c r="I14">
        <v>2313.4276</v>
      </c>
      <c r="J14">
        <v>2251.1962000000003</v>
      </c>
      <c r="K14">
        <v>2181.0624000000003</v>
      </c>
      <c r="L14">
        <v>2110.9285999999997</v>
      </c>
      <c r="M14">
        <v>2039.6094399999999</v>
      </c>
      <c r="N14">
        <v>1968.2902799999999</v>
      </c>
      <c r="O14">
        <v>1896.9711200000002</v>
      </c>
      <c r="P14">
        <v>1825.6519599999999</v>
      </c>
      <c r="Q14">
        <v>1754.3328000000001</v>
      </c>
      <c r="R14">
        <v>1754.3328000000001</v>
      </c>
      <c r="S14">
        <v>1754.3328000000001</v>
      </c>
      <c r="T14">
        <v>1754.3328000000001</v>
      </c>
      <c r="U14">
        <v>1754.3328000000001</v>
      </c>
      <c r="V14">
        <v>1754.3328000000001</v>
      </c>
      <c r="W14">
        <v>1754.3328000000001</v>
      </c>
      <c r="X14">
        <v>1754.3328000000001</v>
      </c>
      <c r="Y14">
        <v>1754.3328000000001</v>
      </c>
      <c r="Z14">
        <v>1754.3328000000001</v>
      </c>
      <c r="AA14">
        <v>1754.3328000000001</v>
      </c>
      <c r="AB14">
        <v>1754.3328000000001</v>
      </c>
      <c r="AC14">
        <v>1754.3328000000001</v>
      </c>
      <c r="AD14">
        <v>1754.3328000000001</v>
      </c>
      <c r="AE14">
        <v>1754.3328000000001</v>
      </c>
      <c r="AF14">
        <v>1754.3328000000001</v>
      </c>
      <c r="AG14">
        <v>1754.3328000000001</v>
      </c>
      <c r="AH14">
        <v>1754.3328000000001</v>
      </c>
      <c r="AI14">
        <v>1754.3328000000001</v>
      </c>
      <c r="AJ14">
        <v>1754.3328000000001</v>
      </c>
      <c r="AK14">
        <v>1754.3328000000001</v>
      </c>
    </row>
    <row r="15" spans="2:37" x14ac:dyDescent="0.15">
      <c r="E15" t="s">
        <v>84</v>
      </c>
      <c r="F15">
        <v>3176.7647999999999</v>
      </c>
      <c r="G15">
        <v>3023.0324045448228</v>
      </c>
      <c r="H15">
        <v>2766.8278</v>
      </c>
      <c r="I15">
        <v>2539.6338000000001</v>
      </c>
      <c r="J15">
        <v>2312.4398000000001</v>
      </c>
      <c r="K15">
        <v>2085.2458000000001</v>
      </c>
      <c r="L15">
        <v>1858.0518000000002</v>
      </c>
      <c r="M15">
        <v>1739.5157999999999</v>
      </c>
      <c r="N15">
        <v>1610.1139999999998</v>
      </c>
      <c r="O15">
        <v>1491.5779999999997</v>
      </c>
      <c r="P15">
        <v>1373.0420000000001</v>
      </c>
      <c r="Q15">
        <v>1253.5182</v>
      </c>
      <c r="R15">
        <v>1231.7866000000001</v>
      </c>
      <c r="S15">
        <v>1210.0550000000001</v>
      </c>
      <c r="T15">
        <v>1178.4454000000001</v>
      </c>
      <c r="U15">
        <v>1156.7138000000002</v>
      </c>
      <c r="V15">
        <v>1133.9944</v>
      </c>
      <c r="W15">
        <v>1102.3848</v>
      </c>
      <c r="X15">
        <v>1080.6532</v>
      </c>
      <c r="Y15">
        <v>1058.9215999999999</v>
      </c>
      <c r="Z15">
        <v>1037.19</v>
      </c>
      <c r="AA15">
        <v>1005.5804000000001</v>
      </c>
      <c r="AB15">
        <v>983.8488000000001</v>
      </c>
      <c r="AC15">
        <v>961.12939999999992</v>
      </c>
      <c r="AD15">
        <v>939.39780000000007</v>
      </c>
      <c r="AE15">
        <v>907.78819999999996</v>
      </c>
      <c r="AF15">
        <v>886.0566</v>
      </c>
      <c r="AG15">
        <v>864.32500000000005</v>
      </c>
      <c r="AH15">
        <v>842.59339999999997</v>
      </c>
      <c r="AI15">
        <v>810.9838000000002</v>
      </c>
      <c r="AJ15">
        <v>789.2521999999999</v>
      </c>
      <c r="AK15">
        <v>766.53280000000007</v>
      </c>
    </row>
    <row r="16" spans="2:37" x14ac:dyDescent="0.15">
      <c r="E16" t="s">
        <v>85</v>
      </c>
      <c r="F16">
        <v>3176.7647999999999</v>
      </c>
      <c r="G16">
        <v>3023.0324045448228</v>
      </c>
      <c r="H16">
        <v>2837.0631613874652</v>
      </c>
      <c r="I16">
        <v>2651.0939182301086</v>
      </c>
      <c r="J16">
        <v>2465.1246750727514</v>
      </c>
      <c r="K16">
        <v>2279.1554319153943</v>
      </c>
      <c r="L16">
        <v>2093.1861887580371</v>
      </c>
      <c r="M16">
        <v>2007.5165408176381</v>
      </c>
      <c r="N16">
        <v>1921.8468928772388</v>
      </c>
      <c r="O16">
        <v>1836.1772449368402</v>
      </c>
      <c r="P16">
        <v>1750.507596996441</v>
      </c>
      <c r="Q16">
        <v>1664.8379490560426</v>
      </c>
      <c r="R16">
        <v>1641.4939091455153</v>
      </c>
      <c r="S16">
        <v>1618.1498692349883</v>
      </c>
      <c r="T16">
        <v>1594.8058293244608</v>
      </c>
      <c r="U16">
        <v>1571.4617894139335</v>
      </c>
      <c r="V16">
        <v>1548.1177495034062</v>
      </c>
      <c r="W16">
        <v>1524.773709592879</v>
      </c>
      <c r="X16">
        <v>1501.4296696823515</v>
      </c>
      <c r="Y16">
        <v>1478.0856297718244</v>
      </c>
      <c r="Z16">
        <v>1454.7415898612974</v>
      </c>
      <c r="AA16">
        <v>1431.3975499507696</v>
      </c>
      <c r="AB16">
        <v>1408.0535100402426</v>
      </c>
      <c r="AC16">
        <v>1384.7094701297156</v>
      </c>
      <c r="AD16">
        <v>1361.3654302191881</v>
      </c>
      <c r="AE16">
        <v>1338.021390308661</v>
      </c>
      <c r="AF16">
        <v>1314.677350398134</v>
      </c>
      <c r="AG16">
        <v>1291.3333104876067</v>
      </c>
      <c r="AH16">
        <v>1267.9892705770794</v>
      </c>
      <c r="AI16">
        <v>1244.6452306665526</v>
      </c>
      <c r="AJ16">
        <v>1221.3011907560251</v>
      </c>
      <c r="AK16">
        <v>1197.9571508454985</v>
      </c>
    </row>
    <row r="17" spans="5:37" x14ac:dyDescent="0.15">
      <c r="E17" t="s">
        <v>86</v>
      </c>
      <c r="F17">
        <v>3176.7647999999999</v>
      </c>
      <c r="G17">
        <v>3023.0324045448228</v>
      </c>
      <c r="H17">
        <v>2917.9612000000006</v>
      </c>
      <c r="I17">
        <v>2831.0347999999999</v>
      </c>
      <c r="J17">
        <v>2754.9742000000006</v>
      </c>
      <c r="K17">
        <v>2669.0356000000002</v>
      </c>
      <c r="L17">
        <v>2583.0969999999998</v>
      </c>
      <c r="M17">
        <v>2494.6889000000001</v>
      </c>
      <c r="N17">
        <v>2406.2808</v>
      </c>
      <c r="O17">
        <v>2317.8726999999999</v>
      </c>
      <c r="P17">
        <v>2229.4646000000002</v>
      </c>
      <c r="Q17">
        <v>2141.0565000000001</v>
      </c>
      <c r="R17">
        <v>2141.0565000000001</v>
      </c>
      <c r="S17">
        <v>2141.0565000000001</v>
      </c>
      <c r="T17">
        <v>2141.0565000000001</v>
      </c>
      <c r="U17">
        <v>2141.0565000000001</v>
      </c>
      <c r="V17">
        <v>2141.0565000000001</v>
      </c>
      <c r="W17">
        <v>2141.0565000000001</v>
      </c>
      <c r="X17">
        <v>2141.0565000000001</v>
      </c>
      <c r="Y17">
        <v>2141.0565000000001</v>
      </c>
      <c r="Z17">
        <v>2141.0565000000001</v>
      </c>
      <c r="AA17">
        <v>2141.0565000000001</v>
      </c>
      <c r="AB17">
        <v>2141.0565000000001</v>
      </c>
      <c r="AC17">
        <v>2141.0565000000001</v>
      </c>
      <c r="AD17">
        <v>2141.0565000000001</v>
      </c>
      <c r="AE17">
        <v>2141.0565000000001</v>
      </c>
      <c r="AF17">
        <v>2141.0565000000001</v>
      </c>
      <c r="AG17">
        <v>2141.0565000000001</v>
      </c>
      <c r="AH17">
        <v>2141.0565000000001</v>
      </c>
      <c r="AI17">
        <v>2141.0565000000001</v>
      </c>
      <c r="AJ17">
        <v>2141.0565000000001</v>
      </c>
      <c r="AK17">
        <v>2141.0565000000001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B297-5DF1-4F8F-B2B7-80A431EC2241}">
  <dimension ref="A1:T11"/>
  <sheetViews>
    <sheetView workbookViewId="0">
      <selection activeCell="O8" sqref="O8"/>
    </sheetView>
  </sheetViews>
  <sheetFormatPr defaultRowHeight="13.5" x14ac:dyDescent="0.15"/>
  <cols>
    <col min="1" max="16" width="9" style="44"/>
    <col min="17" max="17" width="11.625" style="44" bestFit="1" customWidth="1"/>
    <col min="18" max="16384" width="9" style="44"/>
  </cols>
  <sheetData>
    <row r="1" spans="1:20" x14ac:dyDescent="0.15">
      <c r="B1" s="44">
        <v>2021</v>
      </c>
      <c r="C1" s="90" t="s">
        <v>128</v>
      </c>
      <c r="D1" s="90"/>
      <c r="E1" s="90"/>
      <c r="F1" s="90"/>
      <c r="G1" s="90"/>
      <c r="H1" s="90"/>
      <c r="I1" s="90" t="s">
        <v>127</v>
      </c>
      <c r="J1" s="90"/>
      <c r="K1" s="90"/>
      <c r="L1" s="90"/>
      <c r="M1" s="90"/>
      <c r="N1" s="90"/>
      <c r="O1" s="44" t="s">
        <v>126</v>
      </c>
      <c r="R1" s="44" t="s">
        <v>159</v>
      </c>
    </row>
    <row r="2" spans="1:20" ht="15.75" customHeight="1" x14ac:dyDescent="0.15">
      <c r="B2" s="44" t="s">
        <v>125</v>
      </c>
      <c r="D2" s="44" t="s">
        <v>124</v>
      </c>
      <c r="G2" s="44" t="s">
        <v>123</v>
      </c>
      <c r="J2" s="44" t="s">
        <v>124</v>
      </c>
      <c r="M2" s="44" t="s">
        <v>123</v>
      </c>
      <c r="R2" s="52">
        <f>AVERAGE(P4:P6)</f>
        <v>0.3033333333333334</v>
      </c>
      <c r="S2" s="44" t="s">
        <v>122</v>
      </c>
    </row>
    <row r="3" spans="1:20" x14ac:dyDescent="0.15">
      <c r="R3" s="44" t="s">
        <v>160</v>
      </c>
    </row>
    <row r="4" spans="1:20" x14ac:dyDescent="0.15">
      <c r="A4" s="44" t="s">
        <v>120</v>
      </c>
      <c r="C4" s="44">
        <v>1.38</v>
      </c>
      <c r="D4" s="44">
        <v>1.82</v>
      </c>
      <c r="E4" s="44">
        <v>2.11</v>
      </c>
      <c r="F4" s="44">
        <v>1.71</v>
      </c>
      <c r="G4" s="44">
        <v>2.65</v>
      </c>
      <c r="H4" s="44">
        <v>3.47</v>
      </c>
      <c r="J4" s="44">
        <v>1.54</v>
      </c>
      <c r="M4" s="44">
        <v>1.92</v>
      </c>
      <c r="O4" s="50">
        <f>G4-D4</f>
        <v>0.82999999999999985</v>
      </c>
      <c r="P4" s="50">
        <f>M4-J4</f>
        <v>0.37999999999999989</v>
      </c>
      <c r="R4" s="50">
        <f>R2/SUM('China Battery Cost Breakdown'!E6:E8)*SUM('China Battery Cost Breakdown'!E4:E8)</f>
        <v>0.53925925925925933</v>
      </c>
      <c r="S4" s="44" t="s">
        <v>122</v>
      </c>
    </row>
    <row r="5" spans="1:20" x14ac:dyDescent="0.15">
      <c r="A5" s="44" t="s">
        <v>119</v>
      </c>
      <c r="C5" s="44">
        <v>1.3</v>
      </c>
      <c r="D5" s="44">
        <v>1.57</v>
      </c>
      <c r="E5" s="44">
        <v>2.2599999999999998</v>
      </c>
      <c r="F5" s="44">
        <v>1.47</v>
      </c>
      <c r="G5" s="44">
        <v>1.81</v>
      </c>
      <c r="H5" s="44">
        <v>2.59</v>
      </c>
      <c r="J5" s="44">
        <v>1.24</v>
      </c>
      <c r="M5" s="44">
        <v>1.61</v>
      </c>
      <c r="O5" s="50">
        <f>G5-D5</f>
        <v>0.24</v>
      </c>
      <c r="P5" s="50">
        <f>M5-J5</f>
        <v>0.37000000000000011</v>
      </c>
      <c r="R5" s="51">
        <f>R4*2*10^6*'Exchange Rate'!B24</f>
        <v>138440.02898908523</v>
      </c>
      <c r="S5" s="44" t="s">
        <v>121</v>
      </c>
    </row>
    <row r="6" spans="1:20" x14ac:dyDescent="0.15">
      <c r="A6" s="44" t="s">
        <v>118</v>
      </c>
      <c r="C6" s="44">
        <v>1.32</v>
      </c>
      <c r="D6" s="44">
        <v>1.48</v>
      </c>
      <c r="E6" s="44">
        <v>1.85</v>
      </c>
      <c r="F6" s="44">
        <v>1.39</v>
      </c>
      <c r="G6" s="44">
        <v>1.69</v>
      </c>
      <c r="H6" s="44">
        <v>2.25</v>
      </c>
      <c r="J6" s="44">
        <v>1.18</v>
      </c>
      <c r="M6" s="44">
        <v>1.34</v>
      </c>
      <c r="O6" s="50">
        <f>G6-D6</f>
        <v>0.20999999999999996</v>
      </c>
      <c r="P6" s="50">
        <f>M6-J6</f>
        <v>0.16000000000000014</v>
      </c>
    </row>
    <row r="7" spans="1:20" x14ac:dyDescent="0.15">
      <c r="A7" s="44" t="s">
        <v>117</v>
      </c>
      <c r="B7" s="44">
        <v>1.4750000000000001</v>
      </c>
      <c r="P7" s="50"/>
      <c r="R7" s="44" t="s">
        <v>161</v>
      </c>
    </row>
    <row r="8" spans="1:20" x14ac:dyDescent="0.15">
      <c r="R8" s="44">
        <v>2021</v>
      </c>
      <c r="S8" s="44">
        <v>2022</v>
      </c>
      <c r="T8" s="44">
        <v>2023</v>
      </c>
    </row>
    <row r="9" spans="1:20" x14ac:dyDescent="0.15">
      <c r="A9" s="91" t="s">
        <v>116</v>
      </c>
      <c r="B9" s="48">
        <f>AVERAGE(C9:M9)</f>
        <v>1.1945008200393856</v>
      </c>
      <c r="C9" s="48">
        <f t="shared" ref="C9:H9" si="0">C4/C5</f>
        <v>1.0615384615384613</v>
      </c>
      <c r="D9" s="48">
        <f t="shared" si="0"/>
        <v>1.1592356687898089</v>
      </c>
      <c r="E9" s="48">
        <f t="shared" si="0"/>
        <v>0.9336283185840708</v>
      </c>
      <c r="F9" s="48">
        <f t="shared" si="0"/>
        <v>1.1632653061224489</v>
      </c>
      <c r="G9" s="48">
        <f t="shared" si="0"/>
        <v>1.4640883977900552</v>
      </c>
      <c r="H9" s="48">
        <f t="shared" si="0"/>
        <v>1.33976833976834</v>
      </c>
      <c r="I9" s="48"/>
      <c r="J9" s="48">
        <f>J4/J5</f>
        <v>1.2419354838709677</v>
      </c>
      <c r="K9" s="48"/>
      <c r="L9" s="48"/>
      <c r="M9" s="48">
        <f>M4/M5</f>
        <v>1.1925465838509315</v>
      </c>
      <c r="Q9" s="44" t="s">
        <v>122</v>
      </c>
      <c r="R9" s="44">
        <f>B7</f>
        <v>1.4750000000000001</v>
      </c>
      <c r="S9" s="44">
        <f>D5</f>
        <v>1.57</v>
      </c>
      <c r="T9" s="44">
        <f>J5</f>
        <v>1.24</v>
      </c>
    </row>
    <row r="10" spans="1:20" x14ac:dyDescent="0.15">
      <c r="A10" s="91"/>
      <c r="B10" s="48">
        <f>AVERAGE(C10:M10)</f>
        <v>1</v>
      </c>
      <c r="C10" s="48">
        <f>1</f>
        <v>1</v>
      </c>
      <c r="D10" s="48">
        <f>1</f>
        <v>1</v>
      </c>
      <c r="E10" s="48">
        <f>1</f>
        <v>1</v>
      </c>
      <c r="F10" s="48">
        <f>1</f>
        <v>1</v>
      </c>
      <c r="G10" s="48">
        <f>1</f>
        <v>1</v>
      </c>
      <c r="H10" s="48">
        <f>1</f>
        <v>1</v>
      </c>
      <c r="I10" s="48"/>
      <c r="J10" s="48">
        <f>1</f>
        <v>1</v>
      </c>
      <c r="K10" s="48"/>
      <c r="L10" s="48"/>
      <c r="M10" s="48">
        <f>1</f>
        <v>1</v>
      </c>
      <c r="Q10" s="44" t="s">
        <v>121</v>
      </c>
      <c r="R10" s="51">
        <f>R9*2*10^6*'Exchange Rate'!$B$23</f>
        <v>389025.25659977406</v>
      </c>
      <c r="S10" s="51">
        <f>S9*2*10^6*'Exchange Rate'!$B$24</f>
        <v>403054.45253072266</v>
      </c>
      <c r="T10" s="51">
        <f>T9*2*10^6*'Exchange Rate'!$B$24*0.978</f>
        <v>311332.60870895413</v>
      </c>
    </row>
    <row r="11" spans="1:20" x14ac:dyDescent="0.15">
      <c r="A11" s="91"/>
      <c r="B11" s="49">
        <f>AVERAGE(C11:M11)</f>
        <v>0.91357008034568277</v>
      </c>
      <c r="C11" s="48">
        <f t="shared" ref="C11:H11" si="1">C6/C5</f>
        <v>1.0153846153846153</v>
      </c>
      <c r="D11" s="48">
        <f t="shared" si="1"/>
        <v>0.94267515923566869</v>
      </c>
      <c r="E11" s="48">
        <f t="shared" si="1"/>
        <v>0.81858407079646034</v>
      </c>
      <c r="F11" s="48">
        <f t="shared" si="1"/>
        <v>0.94557823129251695</v>
      </c>
      <c r="G11" s="48">
        <f t="shared" si="1"/>
        <v>0.93370165745856348</v>
      </c>
      <c r="H11" s="48">
        <f t="shared" si="1"/>
        <v>0.86872586872586877</v>
      </c>
      <c r="I11" s="48"/>
      <c r="J11" s="48">
        <f>J6/J5</f>
        <v>0.95161290322580638</v>
      </c>
      <c r="K11" s="48"/>
      <c r="L11" s="48"/>
      <c r="M11" s="48">
        <f>M6/M5</f>
        <v>0.83229813664596275</v>
      </c>
    </row>
  </sheetData>
  <mergeCells count="3">
    <mergeCell ref="C1:H1"/>
    <mergeCell ref="I1:N1"/>
    <mergeCell ref="A9:A11"/>
  </mergeCells>
  <phoneticPr fontId="10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76F5-3896-4BBA-9012-DB8B1EE24967}">
  <dimension ref="B1:J20"/>
  <sheetViews>
    <sheetView workbookViewId="0">
      <selection activeCell="J30" sqref="J30"/>
    </sheetView>
  </sheetViews>
  <sheetFormatPr defaultRowHeight="13.5" x14ac:dyDescent="0.15"/>
  <sheetData>
    <row r="1" spans="2:10" ht="45" x14ac:dyDescent="0.15">
      <c r="B1" s="60" t="s">
        <v>162</v>
      </c>
      <c r="C1" s="61"/>
      <c r="D1" s="62" t="s">
        <v>163</v>
      </c>
      <c r="E1" s="62" t="s">
        <v>164</v>
      </c>
      <c r="F1" s="80" t="s">
        <v>165</v>
      </c>
      <c r="G1" s="63" t="s">
        <v>166</v>
      </c>
      <c r="H1" s="62" t="s">
        <v>167</v>
      </c>
      <c r="I1" s="62" t="s">
        <v>168</v>
      </c>
      <c r="J1" s="62" t="s">
        <v>169</v>
      </c>
    </row>
    <row r="2" spans="2:10" x14ac:dyDescent="0.15">
      <c r="B2" s="64" t="s">
        <v>170</v>
      </c>
      <c r="C2" s="65">
        <v>2020</v>
      </c>
      <c r="D2" s="66">
        <v>257</v>
      </c>
      <c r="E2" s="67">
        <v>277</v>
      </c>
      <c r="F2" s="81">
        <v>1.4</v>
      </c>
      <c r="G2" s="68">
        <v>6.8</v>
      </c>
      <c r="H2" s="69">
        <v>0.92</v>
      </c>
      <c r="I2" s="70">
        <v>0.92</v>
      </c>
      <c r="J2" s="71">
        <v>1.5</v>
      </c>
    </row>
    <row r="3" spans="2:10" x14ac:dyDescent="0.15">
      <c r="B3" s="72" t="s">
        <v>171</v>
      </c>
      <c r="C3" s="72" t="s">
        <v>172</v>
      </c>
      <c r="D3" s="73">
        <v>32</v>
      </c>
      <c r="E3" s="74">
        <v>70.900000000000006</v>
      </c>
      <c r="F3" s="82">
        <v>0.3</v>
      </c>
      <c r="G3" s="75">
        <v>1.4</v>
      </c>
      <c r="H3" s="76">
        <v>0.92</v>
      </c>
      <c r="I3" s="77">
        <v>0.92</v>
      </c>
      <c r="J3" s="78">
        <v>1.5</v>
      </c>
    </row>
    <row r="4" spans="2:10" x14ac:dyDescent="0.15">
      <c r="B4" s="72" t="s">
        <v>171</v>
      </c>
      <c r="C4" s="72" t="s">
        <v>173</v>
      </c>
      <c r="D4" s="73">
        <v>110</v>
      </c>
      <c r="E4" s="74">
        <v>125.8</v>
      </c>
      <c r="F4" s="82">
        <v>0.8</v>
      </c>
      <c r="G4" s="75">
        <v>2.2000000000000002</v>
      </c>
      <c r="H4" s="76">
        <v>0.92</v>
      </c>
      <c r="I4" s="77">
        <v>0.92</v>
      </c>
      <c r="J4" s="78">
        <v>1.5</v>
      </c>
    </row>
    <row r="5" spans="2:10" x14ac:dyDescent="0.15">
      <c r="B5" s="72" t="s">
        <v>171</v>
      </c>
      <c r="C5" s="72" t="s">
        <v>174</v>
      </c>
      <c r="D5" s="73">
        <v>154</v>
      </c>
      <c r="E5" s="74">
        <v>177</v>
      </c>
      <c r="F5" s="82">
        <v>1.4</v>
      </c>
      <c r="G5" s="75">
        <v>3.2</v>
      </c>
      <c r="H5" s="76">
        <v>0.92</v>
      </c>
      <c r="I5" s="77">
        <v>0.92</v>
      </c>
      <c r="J5" s="78">
        <v>1.5</v>
      </c>
    </row>
    <row r="6" spans="2:10" x14ac:dyDescent="0.15">
      <c r="B6" s="64" t="s">
        <v>175</v>
      </c>
      <c r="C6" s="65">
        <v>2020</v>
      </c>
      <c r="D6" s="79" t="s">
        <v>176</v>
      </c>
      <c r="E6" s="67">
        <v>171</v>
      </c>
      <c r="F6" s="81">
        <v>4.0999999999999996</v>
      </c>
      <c r="G6" s="68">
        <v>0</v>
      </c>
      <c r="H6" s="69">
        <v>0.92</v>
      </c>
      <c r="I6" s="70">
        <v>0.88</v>
      </c>
      <c r="J6" s="71">
        <v>0</v>
      </c>
    </row>
    <row r="7" spans="2:10" x14ac:dyDescent="0.15">
      <c r="B7" s="72" t="s">
        <v>177</v>
      </c>
      <c r="C7" s="72" t="s">
        <v>172</v>
      </c>
      <c r="D7" s="73">
        <v>297</v>
      </c>
      <c r="E7" s="74">
        <v>15.5</v>
      </c>
      <c r="F7" s="82">
        <v>4.0999999999999996</v>
      </c>
      <c r="G7" s="75">
        <v>0</v>
      </c>
      <c r="H7" s="76">
        <v>0.92</v>
      </c>
      <c r="I7" s="77">
        <v>0.88</v>
      </c>
      <c r="J7" s="78">
        <v>0</v>
      </c>
    </row>
    <row r="8" spans="2:10" x14ac:dyDescent="0.15">
      <c r="B8" s="72" t="s">
        <v>177</v>
      </c>
      <c r="C8" s="72" t="s">
        <v>173</v>
      </c>
      <c r="D8" s="73">
        <v>396</v>
      </c>
      <c r="E8" s="74">
        <v>48</v>
      </c>
      <c r="F8" s="82">
        <v>4.0999999999999996</v>
      </c>
      <c r="G8" s="75">
        <v>0</v>
      </c>
      <c r="H8" s="76">
        <v>0.92</v>
      </c>
      <c r="I8" s="77">
        <v>0.88</v>
      </c>
      <c r="J8" s="78">
        <v>0</v>
      </c>
    </row>
    <row r="9" spans="2:10" x14ac:dyDescent="0.15">
      <c r="B9" s="72" t="s">
        <v>177</v>
      </c>
      <c r="C9" s="72" t="s">
        <v>174</v>
      </c>
      <c r="D9" s="73">
        <v>530</v>
      </c>
      <c r="E9" s="74">
        <v>102.2</v>
      </c>
      <c r="F9" s="82">
        <v>4.0999999999999996</v>
      </c>
      <c r="G9" s="75">
        <v>0</v>
      </c>
      <c r="H9" s="76">
        <v>0.92</v>
      </c>
      <c r="I9" s="77">
        <v>0.88</v>
      </c>
      <c r="J9" s="78">
        <v>0</v>
      </c>
    </row>
    <row r="10" spans="2:10" ht="24" x14ac:dyDescent="0.15">
      <c r="B10" s="64" t="s">
        <v>178</v>
      </c>
      <c r="C10" s="65">
        <v>2020</v>
      </c>
      <c r="D10" s="79" t="s">
        <v>179</v>
      </c>
      <c r="E10" s="71">
        <v>3.7</v>
      </c>
      <c r="F10" s="83" t="s">
        <v>180</v>
      </c>
      <c r="G10" s="68">
        <v>0.1</v>
      </c>
      <c r="H10" s="69">
        <v>0.72</v>
      </c>
      <c r="I10" s="70">
        <v>0.6</v>
      </c>
      <c r="J10" s="71">
        <v>7.3</v>
      </c>
    </row>
    <row r="11" spans="2:10" x14ac:dyDescent="0.15">
      <c r="B11" s="72" t="s">
        <v>181</v>
      </c>
      <c r="C11" s="72" t="s">
        <v>172</v>
      </c>
      <c r="D11" s="73">
        <v>595</v>
      </c>
      <c r="E11" s="78">
        <v>0.1</v>
      </c>
      <c r="F11" s="82">
        <v>14.9</v>
      </c>
      <c r="G11" s="75">
        <v>0</v>
      </c>
      <c r="H11" s="76">
        <v>0.7</v>
      </c>
      <c r="I11" s="77">
        <v>0.59</v>
      </c>
      <c r="J11" s="78">
        <v>1.5</v>
      </c>
    </row>
    <row r="12" spans="2:10" x14ac:dyDescent="0.15">
      <c r="B12" s="72" t="s">
        <v>181</v>
      </c>
      <c r="C12" s="72" t="s">
        <v>173</v>
      </c>
      <c r="D12" s="73">
        <v>643</v>
      </c>
      <c r="E12" s="78">
        <v>2.4</v>
      </c>
      <c r="F12" s="82">
        <v>16.100000000000001</v>
      </c>
      <c r="G12" s="75">
        <v>0.1</v>
      </c>
      <c r="H12" s="76">
        <v>0.73</v>
      </c>
      <c r="I12" s="77">
        <v>0.63</v>
      </c>
      <c r="J12" s="78">
        <v>1.5</v>
      </c>
    </row>
    <row r="13" spans="2:10" x14ac:dyDescent="0.15">
      <c r="B13" s="72" t="s">
        <v>181</v>
      </c>
      <c r="C13" s="72" t="s">
        <v>174</v>
      </c>
      <c r="D13" s="73">
        <v>950</v>
      </c>
      <c r="E13" s="78">
        <v>3.6</v>
      </c>
      <c r="F13" s="82">
        <v>23.7</v>
      </c>
      <c r="G13" s="75">
        <v>0.1</v>
      </c>
      <c r="H13" s="76">
        <v>0.72</v>
      </c>
      <c r="I13" s="77">
        <v>0.6</v>
      </c>
      <c r="J13" s="78">
        <v>1.5</v>
      </c>
    </row>
    <row r="15" spans="2:10" x14ac:dyDescent="0.15">
      <c r="B15" s="84" t="s">
        <v>188</v>
      </c>
    </row>
    <row r="16" spans="2:10" ht="33.75" x14ac:dyDescent="0.15">
      <c r="B16" s="60" t="s">
        <v>162</v>
      </c>
      <c r="C16" s="61"/>
      <c r="D16" s="62" t="s">
        <v>163</v>
      </c>
      <c r="E16" s="62" t="s">
        <v>164</v>
      </c>
      <c r="F16" s="80" t="s">
        <v>165</v>
      </c>
    </row>
    <row r="17" spans="2:6" x14ac:dyDescent="0.15">
      <c r="B17" s="64" t="s">
        <v>170</v>
      </c>
      <c r="C17" s="65">
        <v>2020</v>
      </c>
      <c r="D17" s="87">
        <f>D2*'Exchange Rate'!$D$23</f>
        <v>217.75716130936999</v>
      </c>
      <c r="E17" s="87">
        <f>E2*'Exchange Rate'!$D$23</f>
        <v>234.70324390153888</v>
      </c>
      <c r="F17" s="88">
        <f>F2*'Exchange Rate'!$D$23</f>
        <v>1.1862257814518209</v>
      </c>
    </row>
    <row r="18" spans="2:6" x14ac:dyDescent="0.15">
      <c r="B18" s="72" t="s">
        <v>171</v>
      </c>
      <c r="C18" s="72" t="s">
        <v>172</v>
      </c>
      <c r="D18" s="89">
        <f>D3*'Exchange Rate'!$D$23</f>
        <v>27.113732147470195</v>
      </c>
      <c r="E18" s="89">
        <f>E3*'Exchange Rate'!$D$23</f>
        <v>60.073862789238653</v>
      </c>
      <c r="F18" s="89">
        <f>F3*'Exchange Rate'!$D$23</f>
        <v>0.25419123888253309</v>
      </c>
    </row>
    <row r="19" spans="2:6" x14ac:dyDescent="0.15">
      <c r="B19" s="72" t="s">
        <v>171</v>
      </c>
      <c r="C19" s="72" t="s">
        <v>173</v>
      </c>
      <c r="D19" s="89">
        <f>D4*'Exchange Rate'!$D$23</f>
        <v>93.203454256928794</v>
      </c>
      <c r="E19" s="89">
        <f>E4*'Exchange Rate'!$D$23</f>
        <v>106.5908595047422</v>
      </c>
      <c r="F19" s="89">
        <f>F4*'Exchange Rate'!$D$23</f>
        <v>0.67784330368675494</v>
      </c>
    </row>
    <row r="20" spans="2:6" x14ac:dyDescent="0.15">
      <c r="B20" s="72" t="s">
        <v>171</v>
      </c>
      <c r="C20" s="72" t="s">
        <v>174</v>
      </c>
      <c r="D20" s="89">
        <f>D5*'Exchange Rate'!$D$23</f>
        <v>130.48483595970032</v>
      </c>
      <c r="E20" s="89">
        <f>E5*'Exchange Rate'!$D$23</f>
        <v>149.97283094069451</v>
      </c>
      <c r="F20" s="89">
        <f>F5*'Exchange Rate'!$D$23</f>
        <v>1.1862257814518209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E9EB-B01C-410A-AAB8-30BBAF76CC87}">
  <dimension ref="A1:H13"/>
  <sheetViews>
    <sheetView workbookViewId="0">
      <selection activeCell="E12" sqref="E12"/>
    </sheetView>
  </sheetViews>
  <sheetFormatPr defaultRowHeight="13.5" x14ac:dyDescent="0.15"/>
  <cols>
    <col min="1" max="1" width="13" style="44" bestFit="1" customWidth="1"/>
    <col min="2" max="2" width="32.5" style="44" bestFit="1" customWidth="1"/>
    <col min="3" max="3" width="10.5" style="44" bestFit="1" customWidth="1"/>
    <col min="4" max="6" width="9" style="44"/>
    <col min="7" max="7" width="14" style="44" bestFit="1" customWidth="1"/>
    <col min="8" max="16384" width="9" style="44"/>
  </cols>
  <sheetData>
    <row r="1" spans="1:8" x14ac:dyDescent="0.15">
      <c r="C1" s="44" t="s">
        <v>100</v>
      </c>
      <c r="D1" s="44" t="s">
        <v>148</v>
      </c>
      <c r="H1" s="44" t="s">
        <v>101</v>
      </c>
    </row>
    <row r="2" spans="1:8" x14ac:dyDescent="0.15">
      <c r="A2" s="44" t="s">
        <v>147</v>
      </c>
      <c r="B2" s="44" t="s">
        <v>146</v>
      </c>
      <c r="C2" s="54">
        <v>0.7</v>
      </c>
      <c r="D2" s="54">
        <v>0.67</v>
      </c>
      <c r="E2" s="54">
        <f>AVERAGE(C2:D2)</f>
        <v>0.68500000000000005</v>
      </c>
      <c r="F2" s="90" t="s">
        <v>145</v>
      </c>
      <c r="G2" s="44" t="s">
        <v>144</v>
      </c>
      <c r="H2" s="54">
        <v>0.5</v>
      </c>
    </row>
    <row r="3" spans="1:8" x14ac:dyDescent="0.15">
      <c r="A3" s="44" t="s">
        <v>143</v>
      </c>
      <c r="B3" s="44" t="s">
        <v>142</v>
      </c>
      <c r="C3" s="54">
        <v>0.06</v>
      </c>
      <c r="D3" s="54">
        <v>0.09</v>
      </c>
      <c r="E3" s="54">
        <f t="shared" ref="E3:E8" si="0">AVERAGE(C3:D3)</f>
        <v>7.4999999999999997E-2</v>
      </c>
      <c r="F3" s="90"/>
      <c r="G3" s="44" t="s">
        <v>141</v>
      </c>
      <c r="H3" s="54">
        <v>0.16</v>
      </c>
    </row>
    <row r="4" spans="1:8" x14ac:dyDescent="0.15">
      <c r="A4" s="44" t="s">
        <v>140</v>
      </c>
      <c r="B4" s="44" t="s">
        <v>139</v>
      </c>
      <c r="C4" s="54">
        <v>0.06</v>
      </c>
      <c r="D4" s="54">
        <v>0.1</v>
      </c>
      <c r="E4" s="54">
        <f t="shared" si="0"/>
        <v>0.08</v>
      </c>
      <c r="F4" s="90"/>
      <c r="G4" s="44" t="s">
        <v>129</v>
      </c>
      <c r="H4" s="54">
        <v>0.17</v>
      </c>
    </row>
    <row r="5" spans="1:8" x14ac:dyDescent="0.15">
      <c r="A5" s="44" t="s">
        <v>138</v>
      </c>
      <c r="B5" s="44" t="s">
        <v>137</v>
      </c>
      <c r="C5" s="54">
        <v>0.03</v>
      </c>
      <c r="D5" s="54">
        <v>0.02</v>
      </c>
      <c r="E5" s="54">
        <f t="shared" si="0"/>
        <v>2.5000000000000001E-2</v>
      </c>
      <c r="G5" s="44" t="s">
        <v>136</v>
      </c>
      <c r="H5" s="54">
        <v>0.05</v>
      </c>
    </row>
    <row r="6" spans="1:8" x14ac:dyDescent="0.15">
      <c r="A6" s="44" t="s">
        <v>135</v>
      </c>
      <c r="B6" s="44" t="s">
        <v>134</v>
      </c>
      <c r="C6" s="54">
        <v>0.08</v>
      </c>
      <c r="D6" s="54">
        <v>0.03</v>
      </c>
      <c r="E6" s="54">
        <f t="shared" si="0"/>
        <v>5.5E-2</v>
      </c>
      <c r="G6" s="44" t="s">
        <v>133</v>
      </c>
      <c r="H6" s="54">
        <v>0.12</v>
      </c>
    </row>
    <row r="7" spans="1:8" x14ac:dyDescent="0.15">
      <c r="A7" s="44" t="s">
        <v>132</v>
      </c>
      <c r="B7" s="44" t="s">
        <v>131</v>
      </c>
      <c r="C7" s="54">
        <v>0.03</v>
      </c>
      <c r="D7" s="54">
        <v>0.06</v>
      </c>
      <c r="E7" s="54">
        <f t="shared" si="0"/>
        <v>4.4999999999999998E-2</v>
      </c>
    </row>
    <row r="8" spans="1:8" x14ac:dyDescent="0.15">
      <c r="A8" s="44" t="s">
        <v>130</v>
      </c>
      <c r="B8" s="44" t="s">
        <v>129</v>
      </c>
      <c r="C8" s="54">
        <v>0.04</v>
      </c>
      <c r="D8" s="54">
        <v>0.03</v>
      </c>
      <c r="E8" s="54">
        <f t="shared" si="0"/>
        <v>3.5000000000000003E-2</v>
      </c>
    </row>
    <row r="11" spans="1:8" x14ac:dyDescent="0.15">
      <c r="A11" s="44" t="s">
        <v>100</v>
      </c>
      <c r="B11" s="53" t="s">
        <v>103</v>
      </c>
    </row>
    <row r="12" spans="1:8" x14ac:dyDescent="0.15">
      <c r="A12" s="44" t="s">
        <v>101</v>
      </c>
      <c r="B12" s="53" t="s">
        <v>104</v>
      </c>
    </row>
    <row r="13" spans="1:8" x14ac:dyDescent="0.15">
      <c r="A13" s="44" t="s">
        <v>102</v>
      </c>
      <c r="B13" s="53" t="s">
        <v>105</v>
      </c>
    </row>
  </sheetData>
  <mergeCells count="1">
    <mergeCell ref="F2:F4"/>
  </mergeCells>
  <phoneticPr fontId="10" type="noConversion"/>
  <hyperlinks>
    <hyperlink ref="B11" r:id="rId1" location=":~:text=%E6%88%90%E6%9C%AC%E6%9E%84%E6%88%90%20%E9%94%82%E7%94%B5%E5%82%A8%E8%83%BD%E7%B3%BB%E7%BB%9F%E5%B7%A5%E7%A8%8B%E5%BB%BA%E8%AE%BE%E6%88%90%E6%9C%AC%E5%A4%A7%E8%87%B4%E4%B8%BA%E7%BA%A6%201.5-2%20%E5%85%83%2FWh%EF%BC%8C%E5%85%B6%E4%B8%AD%E5%82%A8%E8%83%BD%E7%B3%BB%E7%BB%9F%E5%8D%A0,90%25%E4%BB%A5%E4%B8%8A%E3%80%82%20%E5%82%A8%E8%83%BD%E7%B3%BB%E7%BB%9F%E4%B8%AD%E5%8F%88%E4%BB%A5%E7%94%B5%E6%B1%A0%E5%8D%A0%E6%AF%94%E6%9C%80%E9%AB%98%EF%BC%8C%E5%A4%A7%E8%87%B4%E4%B8%BA%2050%25-70%25%EF%BC%88%E8%80%83%E8%99%91%E7%94%B5%E8%8A%AF%E6%B6%A8%E4%BB%B7%E5%90%8E%EF%BC%8C%E5%8D%A0%E6%AF%94%E6%8F%90%E5%8D%87%EF%BC%89%EF%BC%8C%E5%85%B6%E4%BB%96%E7%B3%BB%E7%BB%9F%E7%BB%84%E4%BB%B6%E3%80%81%E7%AE%A1%E7%90%86%E7%B3%BB%E7%BB%9F%E5%88%86%E5%88%AB%E5%8D%A0%2020%25%E3%80%8115%25%E3%80%82" display="https://zhuanlan.zhihu.com/p/601092720 - :~:text=%E6%88%90%E6%9C%AC%E6%9E%84%E6%88%90%20%E9%94%82%E7%94%B5%E5%82%A8%E8%83%BD%E7%B3%BB%E7%BB%9F%E5%B7%A5%E7%A8%8B%E5%BB%BA%E8%AE%BE%E6%88%90%E6%9C%AC%E5%A4%A7%E8%87%B4%E4%B8%BA%E7%BA%A6%201.5-2%20%E5%85%83%2FWh%EF%BC%8C%E5%85%B6%E4%B8%AD%E5%82%A8%E8%83%BD%E7%B3%BB%E7%BB%9F%E5%8D%A0,90%25%E4%BB%A5%E4%B8%8A%E3%80%82%20%E5%82%A8%E8%83%BD%E7%B3%BB%E7%BB%9F%E4%B8%AD%E5%8F%88%E4%BB%A5%E7%94%B5%E6%B1%A0%E5%8D%A0%E6%AF%94%E6%9C%80%E9%AB%98%EF%BC%8C%E5%A4%A7%E8%87%B4%E4%B8%BA%2050%25-70%25%EF%BC%88%E8%80%83%E8%99%91%E7%94%B5%E8%8A%AF%E6%B6%A8%E4%BB%B7%E5%90%8E%EF%BC%8C%E5%8D%A0%E6%AF%94%E6%8F%90%E5%8D%87%EF%BC%89%EF%BC%8C%E5%85%B6%E4%BB%96%E7%B3%BB%E7%BB%9F%E7%BB%84%E4%BB%B6%E3%80%81%E7%AE%A1%E7%90%86%E7%B3%BB%E7%BB%9F%E5%88%86%E5%88%AB%E5%8D%A0%2020%25%E3%80%8115%25%E3%80%82" xr:uid="{7B11A203-9231-472C-A7FD-EEE6BFA94052}"/>
    <hyperlink ref="B12" r:id="rId2" display="https://zhuanlan.zhihu.com/p/461381539" xr:uid="{80DB1BE9-7925-43C0-A828-8595482124BF}"/>
    <hyperlink ref="B13" r:id="rId3" display="https://zhuanlan.zhihu.com/p/649406345" xr:uid="{A5CEB073-BFA7-451D-96D1-6AECDBBCDE2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1AC5-7006-4327-8C53-2395323FD338}">
  <dimension ref="A1:H19"/>
  <sheetViews>
    <sheetView zoomScale="115" zoomScaleNormal="115" workbookViewId="0">
      <selection activeCell="E6" sqref="E6:E11"/>
    </sheetView>
  </sheetViews>
  <sheetFormatPr defaultRowHeight="13.5" x14ac:dyDescent="0.15"/>
  <cols>
    <col min="1" max="1" width="10.25" style="44" bestFit="1" customWidth="1"/>
    <col min="2" max="8" width="19.5" style="45" customWidth="1"/>
    <col min="9" max="9" width="19.5" style="44" customWidth="1"/>
    <col min="10" max="16384" width="9" style="44"/>
  </cols>
  <sheetData>
    <row r="1" spans="1:8" x14ac:dyDescent="0.15">
      <c r="B1" s="45" t="s">
        <v>156</v>
      </c>
      <c r="C1" s="45" t="s">
        <v>154</v>
      </c>
      <c r="D1" s="45" t="s">
        <v>153</v>
      </c>
      <c r="E1" s="45" t="s">
        <v>156</v>
      </c>
      <c r="F1" s="45" t="s">
        <v>155</v>
      </c>
      <c r="G1" s="45" t="s">
        <v>154</v>
      </c>
      <c r="H1" s="45" t="s">
        <v>153</v>
      </c>
    </row>
    <row r="2" spans="1:8" x14ac:dyDescent="0.15">
      <c r="A2" s="44" t="s">
        <v>115</v>
      </c>
      <c r="B2" s="45" t="s">
        <v>152</v>
      </c>
      <c r="C2" s="45" t="s">
        <v>151</v>
      </c>
      <c r="D2" s="45" t="s">
        <v>150</v>
      </c>
      <c r="E2" s="45" t="s">
        <v>149</v>
      </c>
      <c r="F2" s="45" t="s">
        <v>149</v>
      </c>
      <c r="G2" s="45" t="s">
        <v>149</v>
      </c>
      <c r="H2" s="45" t="s">
        <v>149</v>
      </c>
    </row>
    <row r="3" spans="1:8" x14ac:dyDescent="0.15">
      <c r="A3" s="44">
        <v>2017</v>
      </c>
      <c r="D3" s="45">
        <v>558</v>
      </c>
      <c r="H3" s="45">
        <f>D3*'Exchange Rate'!D$24</f>
        <v>439.70000501900574</v>
      </c>
    </row>
    <row r="4" spans="1:8" x14ac:dyDescent="0.15">
      <c r="A4" s="44">
        <v>2018</v>
      </c>
      <c r="D4" s="45">
        <v>387</v>
      </c>
      <c r="H4" s="45">
        <f>D4*'Exchange Rate'!D$24</f>
        <v>304.95322928737494</v>
      </c>
    </row>
    <row r="5" spans="1:8" x14ac:dyDescent="0.15">
      <c r="A5" s="44">
        <v>2019</v>
      </c>
      <c r="C5" s="45">
        <v>333.708708708708</v>
      </c>
      <c r="D5" s="45">
        <v>341</v>
      </c>
      <c r="G5" s="45">
        <f>C5*'Exchange Rate'!D$22</f>
        <v>296.03655666593426</v>
      </c>
      <c r="H5" s="45">
        <f>D5*'Exchange Rate'!D$24</f>
        <v>268.70555862272573</v>
      </c>
    </row>
    <row r="6" spans="1:8" x14ac:dyDescent="0.15">
      <c r="A6" s="44">
        <v>2020</v>
      </c>
      <c r="B6" s="45">
        <v>1.5</v>
      </c>
      <c r="C6" s="45">
        <v>299.239011739011</v>
      </c>
      <c r="D6" s="45">
        <v>267</v>
      </c>
      <c r="E6" s="45">
        <f>'BNEF Outlook'!B6*1000*'Exchange Rate'!B$22</f>
        <v>206.47601698235135</v>
      </c>
      <c r="F6" s="58">
        <f>E6*'China Historical Battery Cost'!$B$11</f>
        <v>188.63031142402329</v>
      </c>
      <c r="G6" s="45">
        <f>C6*'Exchange Rate'!D$22</f>
        <v>265.45812064095611</v>
      </c>
      <c r="H6" s="45">
        <f>D6*'Exchange Rate'!D$24</f>
        <v>210.39408842307265</v>
      </c>
    </row>
    <row r="7" spans="1:8" x14ac:dyDescent="0.15">
      <c r="A7" s="44">
        <v>2021</v>
      </c>
      <c r="B7" s="45">
        <v>1.3</v>
      </c>
      <c r="C7" s="45">
        <v>278.91072891072798</v>
      </c>
      <c r="D7" s="45">
        <v>256</v>
      </c>
      <c r="E7" s="45">
        <f>'BNEF Outlook'!B7*1000*'Exchange Rate'!B$22</f>
        <v>178.94588138470451</v>
      </c>
      <c r="F7" s="57">
        <f>E7*'China Historical Battery Cost'!$B$11</f>
        <v>163.4796032341535</v>
      </c>
      <c r="G7" s="45">
        <f>C7*'Exchange Rate'!D$22</f>
        <v>247.42468401084068</v>
      </c>
      <c r="H7" s="45">
        <f>D7*'Exchange Rate'!D$24</f>
        <v>201.72616717717827</v>
      </c>
    </row>
    <row r="8" spans="1:8" x14ac:dyDescent="0.15">
      <c r="A8" s="44">
        <v>2022</v>
      </c>
      <c r="B8" s="45">
        <v>1.2</v>
      </c>
      <c r="C8" s="45">
        <v>259.46628446628398</v>
      </c>
      <c r="D8" s="45">
        <v>324</v>
      </c>
      <c r="E8" s="45">
        <f>'BNEF Outlook'!B8*1000*'Exchange Rate'!B$22</f>
        <v>165.18081358588108</v>
      </c>
      <c r="F8" s="56">
        <f>E8*'China Historical Battery Cost'!$B$11</f>
        <v>150.90424913921862</v>
      </c>
      <c r="G8" s="45">
        <f>C8*'Exchange Rate'!D$22</f>
        <v>230.17530984290471</v>
      </c>
      <c r="H8" s="45">
        <f>D8*'Exchange Rate'!D$24</f>
        <v>255.30968033361626</v>
      </c>
    </row>
    <row r="9" spans="1:8" x14ac:dyDescent="0.15">
      <c r="A9" s="44">
        <v>2023</v>
      </c>
      <c r="B9" s="45">
        <v>1.1000000000000001</v>
      </c>
      <c r="C9" s="45">
        <v>239.13800163800099</v>
      </c>
      <c r="E9" s="45">
        <f>'BNEF Outlook'!B9*1000*'Exchange Rate'!B$22</f>
        <v>151.41574578705766</v>
      </c>
      <c r="F9" s="45">
        <f>E9*'China Historical Battery Cost'!$B$11</f>
        <v>138.32889504428374</v>
      </c>
      <c r="G9" s="45">
        <f>C9*'Exchange Rate'!D$22</f>
        <v>212.14187321278928</v>
      </c>
    </row>
    <row r="10" spans="1:8" x14ac:dyDescent="0.15">
      <c r="A10" s="44">
        <v>2024</v>
      </c>
      <c r="B10" s="45">
        <v>1</v>
      </c>
      <c r="C10" s="45">
        <v>221.46123396123301</v>
      </c>
      <c r="E10" s="45">
        <f>'BNEF Outlook'!B10*1000*'Exchange Rate'!B$22</f>
        <v>137.65067798823424</v>
      </c>
      <c r="F10" s="45">
        <f>E10*'China Historical Battery Cost'!$B$11</f>
        <v>125.75354094934886</v>
      </c>
      <c r="G10" s="45">
        <f>C10*'Exchange Rate'!D$22</f>
        <v>196.4606239692105</v>
      </c>
    </row>
    <row r="11" spans="1:8" x14ac:dyDescent="0.15">
      <c r="A11" s="44">
        <v>2025</v>
      </c>
      <c r="B11" s="45">
        <v>0.9</v>
      </c>
      <c r="C11" s="45">
        <v>209.08749658749599</v>
      </c>
      <c r="E11" s="45">
        <f>'BNEF Outlook'!B11*1000*'Exchange Rate'!B$22</f>
        <v>123.88561018941081</v>
      </c>
      <c r="F11" s="45">
        <f>E11*'China Historical Battery Cost'!$B$11</f>
        <v>113.17818685441397</v>
      </c>
      <c r="G11" s="58">
        <f>C11*'Exchange Rate'!D$22</f>
        <v>185.48374949870586</v>
      </c>
    </row>
    <row r="12" spans="1:8" x14ac:dyDescent="0.15">
      <c r="A12" s="44">
        <v>2026</v>
      </c>
      <c r="C12" s="45">
        <v>199.36527436527399</v>
      </c>
      <c r="G12" s="45">
        <f>C12*'Exchange Rate'!D$22</f>
        <v>176.85906241473785</v>
      </c>
    </row>
    <row r="13" spans="1:8" x14ac:dyDescent="0.15">
      <c r="A13" s="44">
        <v>2027</v>
      </c>
      <c r="C13" s="45">
        <v>188.759213759213</v>
      </c>
      <c r="G13" s="57">
        <f>C13*'Exchange Rate'!D$22</f>
        <v>167.4503128685904</v>
      </c>
    </row>
    <row r="14" spans="1:8" x14ac:dyDescent="0.15">
      <c r="A14" s="44">
        <v>2028</v>
      </c>
      <c r="C14" s="45">
        <v>180.80466830466801</v>
      </c>
      <c r="G14" s="45">
        <f>C14*'Exchange Rate'!D$22</f>
        <v>160.39375070898049</v>
      </c>
    </row>
    <row r="15" spans="1:8" x14ac:dyDescent="0.15">
      <c r="A15" s="44">
        <v>2029</v>
      </c>
      <c r="C15" s="45">
        <v>174.61779961779899</v>
      </c>
      <c r="G15" s="45">
        <f>C15*'Exchange Rate'!D$22</f>
        <v>154.90531347372772</v>
      </c>
    </row>
    <row r="16" spans="1:8" x14ac:dyDescent="0.15">
      <c r="A16" s="44">
        <v>2030</v>
      </c>
      <c r="C16" s="45">
        <v>167.54709254709201</v>
      </c>
      <c r="G16" s="56">
        <f>C16*'Exchange Rate'!D$22</f>
        <v>148.63281377629639</v>
      </c>
    </row>
    <row r="18" spans="2:3" x14ac:dyDescent="0.15">
      <c r="B18" s="45" t="s">
        <v>101</v>
      </c>
      <c r="C18" s="55" t="s">
        <v>105</v>
      </c>
    </row>
    <row r="19" spans="2:3" x14ac:dyDescent="0.15">
      <c r="B19" s="45" t="s">
        <v>106</v>
      </c>
      <c r="C19" s="55" t="s">
        <v>107</v>
      </c>
    </row>
  </sheetData>
  <phoneticPr fontId="10" type="noConversion"/>
  <hyperlinks>
    <hyperlink ref="C18" r:id="rId1" display="https://zhuanlan.zhihu.com/p/649406345" xr:uid="{6F73D8AC-80D1-4C35-86B5-5F6A2FEE6DC9}"/>
    <hyperlink ref="C19" r:id="rId2" display="http://www.chinapower.com.cn/chuneng/dongtai1/20230129/185118.html" xr:uid="{F12602FF-474B-4027-A5F7-44B4F689D87B}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B27C-0BFA-4D35-874E-EA84BA74EBE0}">
  <dimension ref="A1:O36"/>
  <sheetViews>
    <sheetView workbookViewId="0">
      <selection activeCell="D35" sqref="D35"/>
    </sheetView>
  </sheetViews>
  <sheetFormatPr defaultColWidth="9.125" defaultRowHeight="13.5" x14ac:dyDescent="0.15"/>
  <cols>
    <col min="1" max="1" width="32.5" customWidth="1"/>
    <col min="2" max="13" width="11.25" customWidth="1"/>
  </cols>
  <sheetData>
    <row r="1" spans="1:13" x14ac:dyDescent="0.15">
      <c r="A1" s="32" t="s">
        <v>23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x14ac:dyDescent="0.15">
      <c r="A2" s="15"/>
      <c r="B2" s="92" t="s">
        <v>24</v>
      </c>
      <c r="C2" s="93"/>
      <c r="D2" s="94"/>
      <c r="E2" s="92" t="s">
        <v>25</v>
      </c>
      <c r="F2" s="93"/>
      <c r="G2" s="94"/>
      <c r="H2" s="92" t="s">
        <v>26</v>
      </c>
      <c r="I2" s="93"/>
      <c r="J2" s="94"/>
      <c r="K2" s="92" t="s">
        <v>27</v>
      </c>
      <c r="L2" s="93"/>
      <c r="M2" s="94"/>
    </row>
    <row r="3" spans="1:13" x14ac:dyDescent="0.15">
      <c r="A3" s="18" t="s">
        <v>45</v>
      </c>
      <c r="B3" s="19" t="s">
        <v>42</v>
      </c>
      <c r="C3" s="20" t="s">
        <v>1</v>
      </c>
      <c r="D3" s="18" t="s">
        <v>43</v>
      </c>
      <c r="E3" s="21" t="s">
        <v>44</v>
      </c>
      <c r="F3" s="20" t="s">
        <v>1</v>
      </c>
      <c r="G3" s="18" t="s">
        <v>43</v>
      </c>
      <c r="H3" s="21" t="s">
        <v>44</v>
      </c>
      <c r="I3" s="20" t="s">
        <v>1</v>
      </c>
      <c r="J3" s="18" t="s">
        <v>43</v>
      </c>
      <c r="K3" s="21" t="s">
        <v>44</v>
      </c>
      <c r="L3" s="20" t="s">
        <v>1</v>
      </c>
      <c r="M3" s="18" t="s">
        <v>43</v>
      </c>
    </row>
    <row r="4" spans="1:13" x14ac:dyDescent="0.15">
      <c r="A4" s="16" t="s">
        <v>28</v>
      </c>
      <c r="B4" s="9">
        <v>50160000</v>
      </c>
      <c r="C4" s="12">
        <v>209</v>
      </c>
      <c r="D4" s="10">
        <v>0.84</v>
      </c>
      <c r="E4" s="13">
        <v>25080000</v>
      </c>
      <c r="F4" s="12">
        <v>209</v>
      </c>
      <c r="G4" s="10">
        <v>0.42</v>
      </c>
      <c r="H4" s="13">
        <v>12540000</v>
      </c>
      <c r="I4" s="12">
        <v>209</v>
      </c>
      <c r="J4" s="10">
        <v>0.21</v>
      </c>
      <c r="K4" s="13">
        <v>6270000</v>
      </c>
      <c r="L4" s="12">
        <v>209</v>
      </c>
      <c r="M4" s="10">
        <v>0.1</v>
      </c>
    </row>
    <row r="5" spans="1:13" x14ac:dyDescent="0.15">
      <c r="A5" s="16" t="s">
        <v>29</v>
      </c>
      <c r="B5" s="9">
        <v>4200000</v>
      </c>
      <c r="C5" s="12">
        <v>18</v>
      </c>
      <c r="D5" s="10">
        <v>7.0000000000000007E-2</v>
      </c>
      <c r="E5" s="13">
        <v>4200000</v>
      </c>
      <c r="F5" s="12">
        <v>35</v>
      </c>
      <c r="G5" s="10">
        <v>7.0000000000000007E-2</v>
      </c>
      <c r="H5" s="13">
        <v>4200000</v>
      </c>
      <c r="I5" s="12">
        <v>70</v>
      </c>
      <c r="J5" s="10">
        <v>7.0000000000000007E-2</v>
      </c>
      <c r="K5" s="13">
        <v>4200000</v>
      </c>
      <c r="L5" s="12">
        <v>140</v>
      </c>
      <c r="M5" s="10">
        <v>7.0000000000000007E-2</v>
      </c>
    </row>
    <row r="6" spans="1:13" x14ac:dyDescent="0.15">
      <c r="A6" s="16" t="s">
        <v>30</v>
      </c>
      <c r="B6" s="9">
        <v>3121131</v>
      </c>
      <c r="C6" s="12">
        <v>13</v>
      </c>
      <c r="D6" s="10">
        <v>0.05</v>
      </c>
      <c r="E6" s="13">
        <v>1813452</v>
      </c>
      <c r="F6" s="12">
        <v>15</v>
      </c>
      <c r="G6" s="10">
        <v>0.03</v>
      </c>
      <c r="H6" s="13">
        <v>1159612</v>
      </c>
      <c r="I6" s="12">
        <v>19</v>
      </c>
      <c r="J6" s="10">
        <v>0.02</v>
      </c>
      <c r="K6" s="13">
        <v>832692</v>
      </c>
      <c r="L6" s="12">
        <v>28</v>
      </c>
      <c r="M6" s="10">
        <v>0.01</v>
      </c>
    </row>
    <row r="7" spans="1:13" x14ac:dyDescent="0.15">
      <c r="A7" s="16" t="s">
        <v>31</v>
      </c>
      <c r="B7" s="9">
        <v>8602825</v>
      </c>
      <c r="C7" s="12">
        <v>36</v>
      </c>
      <c r="D7" s="10">
        <v>0.14000000000000001</v>
      </c>
      <c r="E7" s="13">
        <v>6119167</v>
      </c>
      <c r="F7" s="12">
        <v>51</v>
      </c>
      <c r="G7" s="10">
        <v>0.1</v>
      </c>
      <c r="H7" s="13">
        <v>4877337</v>
      </c>
      <c r="I7" s="12">
        <v>81</v>
      </c>
      <c r="J7" s="10">
        <v>0.08</v>
      </c>
      <c r="K7" s="13">
        <v>4256423</v>
      </c>
      <c r="L7" s="12">
        <v>142</v>
      </c>
      <c r="M7" s="10">
        <v>7.0000000000000007E-2</v>
      </c>
    </row>
    <row r="8" spans="1:13" x14ac:dyDescent="0.15">
      <c r="A8" s="16" t="s">
        <v>46</v>
      </c>
      <c r="B8" s="9">
        <v>5479149</v>
      </c>
      <c r="C8" s="12">
        <v>23</v>
      </c>
      <c r="D8" s="10">
        <v>0.09</v>
      </c>
      <c r="E8" s="13">
        <v>4322275</v>
      </c>
      <c r="F8" s="12">
        <v>36</v>
      </c>
      <c r="G8" s="10">
        <v>7.0000000000000007E-2</v>
      </c>
      <c r="H8" s="13">
        <v>3743838</v>
      </c>
      <c r="I8" s="12">
        <v>62</v>
      </c>
      <c r="J8" s="10">
        <v>0.06</v>
      </c>
      <c r="K8" s="13">
        <v>3454619</v>
      </c>
      <c r="L8" s="12">
        <v>115</v>
      </c>
      <c r="M8" s="10">
        <v>0.06</v>
      </c>
    </row>
    <row r="9" spans="1:13" x14ac:dyDescent="0.15">
      <c r="A9" s="16" t="s">
        <v>32</v>
      </c>
      <c r="B9" s="9">
        <v>2775545</v>
      </c>
      <c r="C9" s="12">
        <v>12</v>
      </c>
      <c r="D9" s="10">
        <v>0.05</v>
      </c>
      <c r="E9" s="13">
        <v>1948565</v>
      </c>
      <c r="F9" s="12">
        <v>16</v>
      </c>
      <c r="G9" s="10">
        <v>0.03</v>
      </c>
      <c r="H9" s="13">
        <v>1535075</v>
      </c>
      <c r="I9" s="12">
        <v>26</v>
      </c>
      <c r="J9" s="10">
        <v>0.03</v>
      </c>
      <c r="K9" s="13">
        <v>1328330</v>
      </c>
      <c r="L9" s="12">
        <v>44</v>
      </c>
      <c r="M9" s="10">
        <v>0.02</v>
      </c>
    </row>
    <row r="10" spans="1:13" x14ac:dyDescent="0.15">
      <c r="A10" s="16" t="s">
        <v>33</v>
      </c>
      <c r="B10" s="9">
        <v>5293460</v>
      </c>
      <c r="C10" s="12">
        <v>22</v>
      </c>
      <c r="D10" s="10">
        <v>0.09</v>
      </c>
      <c r="E10" s="13">
        <v>3083292</v>
      </c>
      <c r="F10" s="12">
        <v>26</v>
      </c>
      <c r="G10" s="10">
        <v>0.05</v>
      </c>
      <c r="H10" s="13">
        <v>1978209</v>
      </c>
      <c r="I10" s="12">
        <v>33</v>
      </c>
      <c r="J10" s="10">
        <v>0.03</v>
      </c>
      <c r="K10" s="13">
        <v>1425667</v>
      </c>
      <c r="L10" s="12">
        <v>48</v>
      </c>
      <c r="M10" s="10">
        <v>0.02</v>
      </c>
    </row>
    <row r="11" spans="1:13" x14ac:dyDescent="0.15">
      <c r="A11" s="22" t="s">
        <v>34</v>
      </c>
      <c r="B11" s="23">
        <v>79632110</v>
      </c>
      <c r="C11" s="24">
        <v>332</v>
      </c>
      <c r="D11" s="25">
        <v>1.33</v>
      </c>
      <c r="E11" s="26">
        <v>46566751</v>
      </c>
      <c r="F11" s="24">
        <v>388</v>
      </c>
      <c r="G11" s="25">
        <v>0.78</v>
      </c>
      <c r="H11" s="26">
        <v>30034071</v>
      </c>
      <c r="I11" s="24">
        <v>501</v>
      </c>
      <c r="J11" s="25">
        <v>0.5</v>
      </c>
      <c r="K11" s="26">
        <v>21767732</v>
      </c>
      <c r="L11" s="24">
        <v>726</v>
      </c>
      <c r="M11" s="25">
        <v>0.36</v>
      </c>
    </row>
    <row r="12" spans="1:13" x14ac:dyDescent="0.15">
      <c r="A12" s="17" t="s">
        <v>35</v>
      </c>
      <c r="B12" s="7">
        <v>250000</v>
      </c>
      <c r="C12" s="8">
        <v>1</v>
      </c>
      <c r="D12" s="11">
        <v>0</v>
      </c>
      <c r="E12" s="14">
        <v>250000</v>
      </c>
      <c r="F12" s="8">
        <v>2</v>
      </c>
      <c r="G12" s="11">
        <v>0</v>
      </c>
      <c r="H12" s="14">
        <v>250000</v>
      </c>
      <c r="I12" s="8">
        <v>4</v>
      </c>
      <c r="J12" s="11">
        <v>0</v>
      </c>
      <c r="K12" s="14">
        <v>250000</v>
      </c>
      <c r="L12" s="8">
        <v>8</v>
      </c>
      <c r="M12" s="11">
        <v>0</v>
      </c>
    </row>
    <row r="13" spans="1:13" x14ac:dyDescent="0.15">
      <c r="A13" s="16" t="s">
        <v>36</v>
      </c>
      <c r="B13" s="9">
        <v>295289</v>
      </c>
      <c r="C13" s="12">
        <v>1</v>
      </c>
      <c r="D13" s="10">
        <v>0</v>
      </c>
      <c r="E13" s="13">
        <v>295289</v>
      </c>
      <c r="F13" s="12">
        <v>2</v>
      </c>
      <c r="G13" s="10">
        <v>0</v>
      </c>
      <c r="H13" s="13">
        <v>295289</v>
      </c>
      <c r="I13" s="12">
        <v>5</v>
      </c>
      <c r="J13" s="10">
        <v>0</v>
      </c>
      <c r="K13" s="13">
        <v>295289</v>
      </c>
      <c r="L13" s="12">
        <v>10</v>
      </c>
      <c r="M13" s="10">
        <v>0</v>
      </c>
    </row>
    <row r="14" spans="1:13" x14ac:dyDescent="0.15">
      <c r="A14" s="16" t="s">
        <v>37</v>
      </c>
      <c r="B14" s="9">
        <v>1802363</v>
      </c>
      <c r="C14" s="12">
        <v>8</v>
      </c>
      <c r="D14" s="10">
        <v>0.03</v>
      </c>
      <c r="E14" s="13">
        <v>1802363</v>
      </c>
      <c r="F14" s="12">
        <v>15</v>
      </c>
      <c r="G14" s="10">
        <v>0.03</v>
      </c>
      <c r="H14" s="13">
        <v>1802363</v>
      </c>
      <c r="I14" s="12">
        <v>30</v>
      </c>
      <c r="J14" s="10">
        <v>0.03</v>
      </c>
      <c r="K14" s="13">
        <v>1802363</v>
      </c>
      <c r="L14" s="12">
        <v>60</v>
      </c>
      <c r="M14" s="10">
        <v>0.03</v>
      </c>
    </row>
    <row r="15" spans="1:13" x14ac:dyDescent="0.15">
      <c r="A15" s="16" t="s">
        <v>38</v>
      </c>
      <c r="B15" s="9">
        <v>2477135</v>
      </c>
      <c r="C15" s="12">
        <v>10</v>
      </c>
      <c r="D15" s="10">
        <v>0.04</v>
      </c>
      <c r="E15" s="13">
        <v>1476303</v>
      </c>
      <c r="F15" s="12">
        <v>12</v>
      </c>
      <c r="G15" s="10">
        <v>0.02</v>
      </c>
      <c r="H15" s="13">
        <v>975887</v>
      </c>
      <c r="I15" s="12">
        <v>16</v>
      </c>
      <c r="J15" s="10">
        <v>0.02</v>
      </c>
      <c r="K15" s="13">
        <v>725679</v>
      </c>
      <c r="L15" s="12">
        <v>24</v>
      </c>
      <c r="M15" s="10">
        <v>0.01</v>
      </c>
    </row>
    <row r="16" spans="1:13" x14ac:dyDescent="0.15">
      <c r="A16" s="16" t="s">
        <v>39</v>
      </c>
      <c r="B16" s="9">
        <v>2477135</v>
      </c>
      <c r="C16" s="12">
        <v>10</v>
      </c>
      <c r="D16" s="10">
        <v>0.04</v>
      </c>
      <c r="E16" s="13">
        <v>1476303</v>
      </c>
      <c r="F16" s="12">
        <v>12</v>
      </c>
      <c r="G16" s="10">
        <v>0.02</v>
      </c>
      <c r="H16" s="13">
        <v>975887</v>
      </c>
      <c r="I16" s="12">
        <v>16</v>
      </c>
      <c r="J16" s="10">
        <v>0.02</v>
      </c>
      <c r="K16" s="13">
        <v>725679</v>
      </c>
      <c r="L16" s="12">
        <v>24</v>
      </c>
      <c r="M16" s="10">
        <v>0.01</v>
      </c>
    </row>
    <row r="17" spans="1:15" x14ac:dyDescent="0.15">
      <c r="A17" s="16" t="s">
        <v>40</v>
      </c>
      <c r="B17" s="9">
        <v>4346702</v>
      </c>
      <c r="C17" s="12">
        <v>18</v>
      </c>
      <c r="D17" s="10">
        <v>7.0000000000000007E-2</v>
      </c>
      <c r="E17" s="13">
        <v>2593350</v>
      </c>
      <c r="F17" s="12">
        <v>22</v>
      </c>
      <c r="G17" s="10">
        <v>0.04</v>
      </c>
      <c r="H17" s="13">
        <v>1716675</v>
      </c>
      <c r="I17" s="12">
        <v>29</v>
      </c>
      <c r="J17" s="10">
        <v>0.03</v>
      </c>
      <c r="K17" s="13">
        <v>1278337</v>
      </c>
      <c r="L17" s="12">
        <v>43</v>
      </c>
      <c r="M17" s="10">
        <v>0.02</v>
      </c>
    </row>
    <row r="18" spans="1:15" x14ac:dyDescent="0.15">
      <c r="A18" s="27" t="s">
        <v>41</v>
      </c>
      <c r="B18" s="28">
        <v>11648623</v>
      </c>
      <c r="C18" s="29">
        <v>49</v>
      </c>
      <c r="D18" s="30">
        <v>0.19</v>
      </c>
      <c r="E18" s="31">
        <v>7893608</v>
      </c>
      <c r="F18" s="29">
        <v>66</v>
      </c>
      <c r="G18" s="30">
        <v>0.13</v>
      </c>
      <c r="H18" s="31">
        <v>6016101</v>
      </c>
      <c r="I18" s="29">
        <v>100</v>
      </c>
      <c r="J18" s="30">
        <v>0.1</v>
      </c>
      <c r="K18" s="31">
        <v>5077347</v>
      </c>
      <c r="L18" s="29">
        <v>169</v>
      </c>
      <c r="M18" s="30">
        <v>0.08</v>
      </c>
    </row>
    <row r="20" spans="1:15" x14ac:dyDescent="0.15">
      <c r="A20" s="34" t="s">
        <v>55</v>
      </c>
    </row>
    <row r="22" spans="1:15" x14ac:dyDescent="0.15">
      <c r="A22" t="s">
        <v>56</v>
      </c>
      <c r="D22" s="35">
        <f>SUM(D5:D9,D12:D17)</f>
        <v>0.57999999999999985</v>
      </c>
      <c r="E22" s="37" t="s">
        <v>64</v>
      </c>
      <c r="G22" s="35">
        <f>SUM(G5:G9,G12:G17)</f>
        <v>0.41000000000000009</v>
      </c>
      <c r="J22" s="35">
        <f>SUM(J5:J9,J12:J17)</f>
        <v>0.3600000000000001</v>
      </c>
      <c r="M22" s="35">
        <f>SUM(M5:M9,M12:M17)</f>
        <v>0.30000000000000004</v>
      </c>
    </row>
    <row r="23" spans="1:15" x14ac:dyDescent="0.15">
      <c r="A23" t="s">
        <v>57</v>
      </c>
      <c r="D23" s="36">
        <f>D10*SUM(D5:D7)/SUM(D4:D7)</f>
        <v>2.1272727272727273E-2</v>
      </c>
      <c r="E23" s="37" t="s">
        <v>64</v>
      </c>
      <c r="G23" s="36">
        <f>G10*SUM(G5:G7)/SUM(G4:G7)</f>
        <v>1.6129032258064519E-2</v>
      </c>
      <c r="J23" s="36">
        <f>J10*SUM(J5:J7)/SUM(J4:J7)</f>
        <v>1.3421052631578946E-2</v>
      </c>
      <c r="M23" s="36">
        <f>M10*SUM(M5:M7)/SUM(M4:M7)</f>
        <v>1.2000000000000002E-2</v>
      </c>
    </row>
    <row r="24" spans="1:15" x14ac:dyDescent="0.15">
      <c r="A24" t="s">
        <v>22</v>
      </c>
      <c r="D24" s="35">
        <f>SUM(D22:D23)</f>
        <v>0.60127272727272707</v>
      </c>
      <c r="E24" s="37" t="s">
        <v>64</v>
      </c>
      <c r="G24" s="35">
        <f>SUM(G22:G23)</f>
        <v>0.42612903225806459</v>
      </c>
      <c r="J24" s="35">
        <f>SUM(J22:J23)</f>
        <v>0.37342105263157904</v>
      </c>
      <c r="M24" s="35">
        <f>SUM(M22:M23)</f>
        <v>0.31200000000000006</v>
      </c>
    </row>
    <row r="25" spans="1:15" x14ac:dyDescent="0.15">
      <c r="A25" t="s">
        <v>22</v>
      </c>
      <c r="D25" s="5">
        <f>D24*10^6</f>
        <v>601272.72727272706</v>
      </c>
      <c r="E25" s="37" t="s">
        <v>65</v>
      </c>
      <c r="G25" s="5">
        <f>G24*10^6</f>
        <v>426129.0322580646</v>
      </c>
      <c r="J25" s="5">
        <f>J24*10^6</f>
        <v>373421.05263157905</v>
      </c>
      <c r="M25" s="5">
        <f>M24*10^6</f>
        <v>312000.00000000006</v>
      </c>
    </row>
    <row r="26" spans="1:15" x14ac:dyDescent="0.15">
      <c r="A26" t="s">
        <v>22</v>
      </c>
      <c r="D26" s="5">
        <f>D25*About!$A$49</f>
        <v>549760.10443936056</v>
      </c>
      <c r="E26" s="37" t="s">
        <v>67</v>
      </c>
      <c r="G26" s="5">
        <f>G25*About!$A$49</f>
        <v>389621.43242624891</v>
      </c>
      <c r="J26" s="5">
        <f>J25*About!$A$49</f>
        <v>341429.084644772</v>
      </c>
      <c r="M26" s="5">
        <f>M25*About!$A$49</f>
        <v>285270.13583850715</v>
      </c>
    </row>
    <row r="28" spans="1:15" x14ac:dyDescent="0.15">
      <c r="A28" t="s">
        <v>68</v>
      </c>
    </row>
    <row r="30" spans="1:15" x14ac:dyDescent="0.15">
      <c r="A30" t="s">
        <v>110</v>
      </c>
      <c r="B30" s="37" t="s">
        <v>64</v>
      </c>
      <c r="D30" s="43">
        <f>D24-D31</f>
        <v>0.41127272727272707</v>
      </c>
      <c r="G30" s="43">
        <f>G24-G31</f>
        <v>0.29612903225806458</v>
      </c>
      <c r="J30" s="43">
        <f>J24-J31</f>
        <v>0.27342105263157901</v>
      </c>
      <c r="M30" s="43">
        <f>M24-M31</f>
        <v>0.23200000000000004</v>
      </c>
      <c r="O30" s="43">
        <f>AVERAGE(D30:M30)</f>
        <v>0.30320570304059269</v>
      </c>
    </row>
    <row r="31" spans="1:15" x14ac:dyDescent="0.15">
      <c r="A31" t="s">
        <v>109</v>
      </c>
      <c r="B31" s="37" t="s">
        <v>64</v>
      </c>
      <c r="D31" s="43">
        <f>D18</f>
        <v>0.19</v>
      </c>
      <c r="G31" s="43">
        <f>G18</f>
        <v>0.13</v>
      </c>
      <c r="J31" s="43">
        <f>J18</f>
        <v>0.1</v>
      </c>
      <c r="M31" s="43">
        <f>M18</f>
        <v>0.08</v>
      </c>
      <c r="O31" s="43">
        <f>AVERAGE(D31:M31)</f>
        <v>0.125</v>
      </c>
    </row>
    <row r="35" spans="1:4" x14ac:dyDescent="0.15">
      <c r="A35" t="s">
        <v>111</v>
      </c>
      <c r="B35" s="37" t="s">
        <v>157</v>
      </c>
      <c r="D35" s="59">
        <f>'China Historical Battery Cost'!R5</f>
        <v>138440.02898908523</v>
      </c>
    </row>
    <row r="36" spans="1:4" x14ac:dyDescent="0.15">
      <c r="A36" t="s">
        <v>158</v>
      </c>
      <c r="B36" s="37" t="s">
        <v>157</v>
      </c>
      <c r="D36" s="59">
        <f>D35/O30*(O30+O31)</f>
        <v>195513.50567536935</v>
      </c>
    </row>
  </sheetData>
  <mergeCells count="4">
    <mergeCell ref="B2:D2"/>
    <mergeCell ref="E2:G2"/>
    <mergeCell ref="H2:J2"/>
    <mergeCell ref="K2:M2"/>
  </mergeCells>
  <phoneticPr fontId="10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AC8E-A14E-46AC-951B-C55979966FAC}">
  <dimension ref="A1:AQ13"/>
  <sheetViews>
    <sheetView workbookViewId="0">
      <selection activeCell="AG5" sqref="AG5"/>
    </sheetView>
  </sheetViews>
  <sheetFormatPr defaultColWidth="9.125" defaultRowHeight="13.5" x14ac:dyDescent="0.15"/>
  <cols>
    <col min="1" max="1" width="36.125" bestFit="1" customWidth="1"/>
    <col min="2" max="2" width="5.25" customWidth="1"/>
    <col min="3" max="4" width="6.5" customWidth="1"/>
    <col min="5" max="43" width="5.25" customWidth="1"/>
  </cols>
  <sheetData>
    <row r="1" spans="1:43" x14ac:dyDescent="0.15">
      <c r="D1" s="35"/>
      <c r="E1" s="37"/>
      <c r="G1" s="35"/>
      <c r="J1" s="35"/>
      <c r="M1" s="35"/>
    </row>
    <row r="2" spans="1:43" x14ac:dyDescent="0.15">
      <c r="B2">
        <v>2019</v>
      </c>
      <c r="C2">
        <v>2020</v>
      </c>
      <c r="D2" s="5">
        <v>2021</v>
      </c>
      <c r="E2">
        <v>2022</v>
      </c>
      <c r="F2">
        <v>2023</v>
      </c>
      <c r="G2" s="5">
        <v>2024</v>
      </c>
      <c r="H2">
        <v>2025</v>
      </c>
      <c r="I2">
        <v>2026</v>
      </c>
      <c r="J2" s="5">
        <v>2027</v>
      </c>
      <c r="K2">
        <v>2028</v>
      </c>
      <c r="L2">
        <v>2029</v>
      </c>
      <c r="M2" s="5">
        <v>2030</v>
      </c>
      <c r="N2">
        <v>2031</v>
      </c>
      <c r="O2">
        <v>2032</v>
      </c>
      <c r="P2" s="5">
        <v>2033</v>
      </c>
      <c r="Q2">
        <v>2034</v>
      </c>
      <c r="R2">
        <v>2035</v>
      </c>
      <c r="S2" s="5">
        <v>2036</v>
      </c>
      <c r="T2">
        <v>2037</v>
      </c>
      <c r="U2">
        <v>2038</v>
      </c>
      <c r="V2" s="5">
        <v>2039</v>
      </c>
      <c r="W2">
        <v>2040</v>
      </c>
      <c r="X2">
        <v>2041</v>
      </c>
      <c r="Y2" s="5">
        <v>2042</v>
      </c>
      <c r="Z2">
        <v>2043</v>
      </c>
      <c r="AA2">
        <v>2044</v>
      </c>
      <c r="AB2" s="5">
        <v>2045</v>
      </c>
      <c r="AC2">
        <v>2046</v>
      </c>
      <c r="AD2">
        <v>2047</v>
      </c>
      <c r="AE2" s="5">
        <v>2048</v>
      </c>
      <c r="AF2">
        <v>2049</v>
      </c>
      <c r="AG2">
        <v>2050</v>
      </c>
      <c r="AH2" s="5">
        <v>2051</v>
      </c>
      <c r="AI2">
        <v>2052</v>
      </c>
      <c r="AJ2">
        <v>2053</v>
      </c>
      <c r="AK2" s="5">
        <v>2054</v>
      </c>
      <c r="AL2">
        <v>2055</v>
      </c>
      <c r="AM2">
        <v>2056</v>
      </c>
      <c r="AN2" s="5">
        <v>2057</v>
      </c>
      <c r="AO2">
        <v>2058</v>
      </c>
      <c r="AP2">
        <v>2059</v>
      </c>
      <c r="AQ2" s="5">
        <v>2060</v>
      </c>
    </row>
    <row r="3" spans="1:43" x14ac:dyDescent="0.15">
      <c r="A3" t="s">
        <v>186</v>
      </c>
      <c r="C3" s="85" cm="1">
        <f t="array" ref="C3:H3">TRANSPOSE('BNEF Outlook'!E6:E11)</f>
        <v>206.47601698235135</v>
      </c>
      <c r="D3" s="85">
        <v>178.94588138470451</v>
      </c>
      <c r="E3" s="86">
        <v>165.18081358588108</v>
      </c>
      <c r="F3" s="85">
        <v>151.41574578705766</v>
      </c>
      <c r="G3" s="85">
        <v>137.65067798823424</v>
      </c>
      <c r="H3" s="85">
        <v>123.88561018941081</v>
      </c>
      <c r="J3" s="5"/>
      <c r="M3" s="5"/>
    </row>
    <row r="4" spans="1:43" x14ac:dyDescent="0.15">
      <c r="A4" t="s">
        <v>187</v>
      </c>
      <c r="AG4">
        <f>'MIT Cost Projection'!E18</f>
        <v>60.073862789238653</v>
      </c>
    </row>
    <row r="5" spans="1:43" s="85" customFormat="1" x14ac:dyDescent="0.15">
      <c r="A5" s="85" t="s">
        <v>189</v>
      </c>
      <c r="C5" s="85">
        <f>C3</f>
        <v>206.47601698235135</v>
      </c>
      <c r="D5" s="85">
        <f t="shared" ref="D5:H5" si="0">D3</f>
        <v>178.94588138470451</v>
      </c>
      <c r="E5" s="85">
        <f t="shared" si="0"/>
        <v>165.18081358588108</v>
      </c>
      <c r="F5" s="85">
        <f t="shared" si="0"/>
        <v>151.41574578705766</v>
      </c>
      <c r="G5" s="85">
        <f t="shared" si="0"/>
        <v>137.65067798823424</v>
      </c>
      <c r="H5" s="85">
        <f t="shared" si="0"/>
        <v>123.88561018941081</v>
      </c>
      <c r="I5" s="85">
        <f>($AG$4/$H$3)^(1/25)*H5</f>
        <v>120.35037616039114</v>
      </c>
      <c r="J5" s="85">
        <f t="shared" ref="J5:AQ5" si="1">($AG$4/$H$3)^(1/25)*I5</f>
        <v>116.91602454718092</v>
      </c>
      <c r="K5" s="85">
        <f t="shared" si="1"/>
        <v>113.57967654126681</v>
      </c>
      <c r="L5" s="85">
        <f t="shared" si="1"/>
        <v>110.33853548461117</v>
      </c>
      <c r="M5" s="85">
        <f t="shared" si="1"/>
        <v>107.1898845253835</v>
      </c>
      <c r="N5" s="85">
        <f t="shared" si="1"/>
        <v>104.13108434058839</v>
      </c>
      <c r="O5" s="85">
        <f t="shared" si="1"/>
        <v>101.15957092368122</v>
      </c>
      <c r="P5" s="85">
        <f t="shared" si="1"/>
        <v>98.272853435317131</v>
      </c>
      <c r="Q5" s="85">
        <f t="shared" si="1"/>
        <v>95.468512115431594</v>
      </c>
      <c r="R5" s="85">
        <f t="shared" si="1"/>
        <v>92.744196254902377</v>
      </c>
      <c r="S5" s="85">
        <f t="shared" si="1"/>
        <v>90.097622225092778</v>
      </c>
      <c r="T5" s="85">
        <f t="shared" si="1"/>
        <v>87.526571563624316</v>
      </c>
      <c r="U5" s="85">
        <f t="shared" si="1"/>
        <v>85.028889114774415</v>
      </c>
      <c r="V5" s="85">
        <f t="shared" si="1"/>
        <v>82.602481222940128</v>
      </c>
      <c r="W5" s="85">
        <f t="shared" si="1"/>
        <v>80.245313977653737</v>
      </c>
      <c r="X5" s="85">
        <f t="shared" si="1"/>
        <v>77.95541150867902</v>
      </c>
      <c r="Y5" s="85">
        <f t="shared" si="1"/>
        <v>75.730854329759211</v>
      </c>
      <c r="Z5" s="85">
        <f t="shared" si="1"/>
        <v>73.569777729628129</v>
      </c>
      <c r="AA5" s="85">
        <f t="shared" si="1"/>
        <v>71.47037020893589</v>
      </c>
      <c r="AB5" s="85">
        <f t="shared" si="1"/>
        <v>69.430871961779005</v>
      </c>
      <c r="AC5" s="85">
        <f t="shared" si="1"/>
        <v>67.449573400561846</v>
      </c>
      <c r="AD5" s="85">
        <f t="shared" si="1"/>
        <v>65.524813722953155</v>
      </c>
      <c r="AE5" s="85">
        <f t="shared" si="1"/>
        <v>63.65497951973623</v>
      </c>
      <c r="AF5" s="85">
        <f t="shared" si="1"/>
        <v>61.838503422385919</v>
      </c>
      <c r="AG5" s="85">
        <f t="shared" si="1"/>
        <v>60.073862789238724</v>
      </c>
      <c r="AH5" s="85">
        <f t="shared" si="1"/>
        <v>58.359578429154674</v>
      </c>
      <c r="AI5" s="85">
        <f t="shared" si="1"/>
        <v>56.694213361601207</v>
      </c>
      <c r="AJ5" s="85">
        <f t="shared" si="1"/>
        <v>55.07637161211958</v>
      </c>
      <c r="AK5" s="85">
        <f t="shared" si="1"/>
        <v>53.504697042164224</v>
      </c>
      <c r="AL5" s="85">
        <f t="shared" si="1"/>
        <v>51.977872212334105</v>
      </c>
      <c r="AM5" s="85">
        <f t="shared" si="1"/>
        <v>50.494617278043229</v>
      </c>
      <c r="AN5" s="85">
        <f t="shared" si="1"/>
        <v>49.053688916704601</v>
      </c>
      <c r="AO5" s="85">
        <f t="shared" si="1"/>
        <v>47.653879285528383</v>
      </c>
      <c r="AP5" s="85">
        <f t="shared" si="1"/>
        <v>46.294015009060573</v>
      </c>
      <c r="AQ5" s="85">
        <f t="shared" si="1"/>
        <v>44.972956195613584</v>
      </c>
    </row>
    <row r="6" spans="1:43" x14ac:dyDescent="0.15">
      <c r="A6" t="s">
        <v>190</v>
      </c>
      <c r="C6">
        <f>C5*1000*2</f>
        <v>412952.03396470268</v>
      </c>
      <c r="D6">
        <f t="shared" ref="D6:AQ6" si="2">D5*1000*2</f>
        <v>357891.76276940899</v>
      </c>
      <c r="E6">
        <f t="shared" si="2"/>
        <v>330361.62717176217</v>
      </c>
      <c r="F6">
        <f t="shared" si="2"/>
        <v>302831.49157411529</v>
      </c>
      <c r="G6">
        <f t="shared" si="2"/>
        <v>275301.35597646848</v>
      </c>
      <c r="H6">
        <f t="shared" si="2"/>
        <v>247771.22037882163</v>
      </c>
      <c r="I6">
        <f t="shared" si="2"/>
        <v>240700.75232078228</v>
      </c>
      <c r="J6">
        <f t="shared" si="2"/>
        <v>233832.04909436184</v>
      </c>
      <c r="K6">
        <f t="shared" si="2"/>
        <v>227159.35308253361</v>
      </c>
      <c r="L6">
        <f t="shared" si="2"/>
        <v>220677.07096922235</v>
      </c>
      <c r="M6">
        <f t="shared" si="2"/>
        <v>214379.769050767</v>
      </c>
      <c r="N6">
        <f t="shared" si="2"/>
        <v>208262.16868117679</v>
      </c>
      <c r="O6">
        <f t="shared" si="2"/>
        <v>202319.14184736242</v>
      </c>
      <c r="P6">
        <f t="shared" si="2"/>
        <v>196545.70687063425</v>
      </c>
      <c r="Q6">
        <f t="shared" si="2"/>
        <v>190937.0242308632</v>
      </c>
      <c r="R6">
        <f t="shared" si="2"/>
        <v>185488.39250980475</v>
      </c>
      <c r="S6">
        <f t="shared" si="2"/>
        <v>180195.24445018556</v>
      </c>
      <c r="T6">
        <f t="shared" si="2"/>
        <v>175053.14312724862</v>
      </c>
      <c r="U6">
        <f t="shared" si="2"/>
        <v>170057.77822954883</v>
      </c>
      <c r="V6">
        <f t="shared" si="2"/>
        <v>165204.96244588026</v>
      </c>
      <c r="W6">
        <f t="shared" si="2"/>
        <v>160490.62795530749</v>
      </c>
      <c r="X6">
        <f t="shared" si="2"/>
        <v>155910.82301735805</v>
      </c>
      <c r="Y6">
        <f t="shared" si="2"/>
        <v>151461.70865951842</v>
      </c>
      <c r="Z6">
        <f t="shared" si="2"/>
        <v>147139.55545925625</v>
      </c>
      <c r="AA6">
        <f t="shared" si="2"/>
        <v>142940.74041787177</v>
      </c>
      <c r="AB6">
        <f t="shared" si="2"/>
        <v>138861.74392355801</v>
      </c>
      <c r="AC6">
        <f t="shared" si="2"/>
        <v>134899.14680112369</v>
      </c>
      <c r="AD6">
        <f t="shared" si="2"/>
        <v>131049.62744590631</v>
      </c>
      <c r="AE6">
        <f t="shared" si="2"/>
        <v>127309.95903947247</v>
      </c>
      <c r="AF6">
        <f t="shared" si="2"/>
        <v>123677.00684477184</v>
      </c>
      <c r="AG6">
        <f t="shared" si="2"/>
        <v>120147.72557847745</v>
      </c>
      <c r="AH6">
        <f t="shared" si="2"/>
        <v>116719.15685830935</v>
      </c>
      <c r="AI6">
        <f t="shared" si="2"/>
        <v>113388.42672320241</v>
      </c>
      <c r="AJ6">
        <f t="shared" si="2"/>
        <v>110152.74322423917</v>
      </c>
      <c r="AK6">
        <f t="shared" si="2"/>
        <v>107009.39408432845</v>
      </c>
      <c r="AL6">
        <f t="shared" si="2"/>
        <v>103955.74442466821</v>
      </c>
      <c r="AM6">
        <f t="shared" si="2"/>
        <v>100989.23455608646</v>
      </c>
      <c r="AN6">
        <f t="shared" si="2"/>
        <v>98107.377833409206</v>
      </c>
      <c r="AO6">
        <f t="shared" si="2"/>
        <v>95307.758571056766</v>
      </c>
      <c r="AP6">
        <f t="shared" si="2"/>
        <v>92588.03001812115</v>
      </c>
      <c r="AQ6">
        <f t="shared" si="2"/>
        <v>89945.912391227161</v>
      </c>
    </row>
    <row r="7" spans="1:43" x14ac:dyDescent="0.15">
      <c r="B7" s="37"/>
      <c r="D7" s="43"/>
      <c r="G7" s="43"/>
      <c r="J7" s="43"/>
      <c r="M7" s="43"/>
      <c r="O7" s="43"/>
    </row>
    <row r="8" spans="1:43" x14ac:dyDescent="0.15">
      <c r="B8" s="37"/>
      <c r="D8" s="43"/>
      <c r="G8" s="43"/>
      <c r="J8" s="43"/>
      <c r="M8" s="43"/>
      <c r="O8" s="43"/>
    </row>
    <row r="12" spans="1:43" x14ac:dyDescent="0.15">
      <c r="B12" s="37"/>
      <c r="D12" s="59"/>
    </row>
    <row r="13" spans="1:43" x14ac:dyDescent="0.15">
      <c r="B13" s="37"/>
      <c r="D13" s="59"/>
    </row>
  </sheetData>
  <phoneticPr fontId="10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3399"/>
  </sheetPr>
  <dimension ref="A1:F42"/>
  <sheetViews>
    <sheetView topLeftCell="A4" workbookViewId="0">
      <selection activeCell="B26" sqref="B26"/>
    </sheetView>
  </sheetViews>
  <sheetFormatPr defaultRowHeight="13.5" x14ac:dyDescent="0.15"/>
  <cols>
    <col min="1" max="1" width="11.125" customWidth="1"/>
  </cols>
  <sheetData>
    <row r="1" spans="1:6" x14ac:dyDescent="0.15">
      <c r="A1" s="6" t="s">
        <v>0</v>
      </c>
      <c r="B1" s="6" t="s">
        <v>13</v>
      </c>
    </row>
    <row r="2" spans="1:6" x14ac:dyDescent="0.15">
      <c r="A2">
        <v>2020</v>
      </c>
      <c r="B2" s="59" cm="1">
        <f t="array" ref="B2:B42">TRANSPOSE('Cost per Unit Capacity Calc'!C6:AQ6)</f>
        <v>412952.03396470268</v>
      </c>
      <c r="D2" s="5"/>
    </row>
    <row r="3" spans="1:6" x14ac:dyDescent="0.15">
      <c r="A3">
        <v>2021</v>
      </c>
      <c r="B3" s="59">
        <v>357891.76276940899</v>
      </c>
      <c r="F3" s="5"/>
    </row>
    <row r="4" spans="1:6" x14ac:dyDescent="0.15">
      <c r="A4">
        <v>2022</v>
      </c>
      <c r="B4" s="59">
        <v>330361.62717176217</v>
      </c>
    </row>
    <row r="5" spans="1:6" x14ac:dyDescent="0.15">
      <c r="A5">
        <v>2023</v>
      </c>
      <c r="B5" s="59">
        <v>302831.49157411529</v>
      </c>
    </row>
    <row r="6" spans="1:6" x14ac:dyDescent="0.15">
      <c r="A6">
        <v>2024</v>
      </c>
      <c r="B6" s="59">
        <v>275301.35597646848</v>
      </c>
    </row>
    <row r="7" spans="1:6" x14ac:dyDescent="0.15">
      <c r="A7">
        <v>2025</v>
      </c>
      <c r="B7" s="59">
        <v>247771.22037882163</v>
      </c>
    </row>
    <row r="8" spans="1:6" x14ac:dyDescent="0.15">
      <c r="A8">
        <v>2026</v>
      </c>
      <c r="B8" s="59">
        <v>240700.75232078228</v>
      </c>
    </row>
    <row r="9" spans="1:6" x14ac:dyDescent="0.15">
      <c r="A9">
        <v>2027</v>
      </c>
      <c r="B9" s="59">
        <v>233832.04909436184</v>
      </c>
    </row>
    <row r="10" spans="1:6" x14ac:dyDescent="0.15">
      <c r="A10">
        <v>2028</v>
      </c>
      <c r="B10" s="59">
        <v>227159.35308253361</v>
      </c>
    </row>
    <row r="11" spans="1:6" x14ac:dyDescent="0.15">
      <c r="A11">
        <v>2029</v>
      </c>
      <c r="B11" s="59">
        <v>220677.07096922235</v>
      </c>
    </row>
    <row r="12" spans="1:6" x14ac:dyDescent="0.15">
      <c r="A12">
        <v>2030</v>
      </c>
      <c r="B12" s="59">
        <v>214379.769050767</v>
      </c>
    </row>
    <row r="13" spans="1:6" x14ac:dyDescent="0.15">
      <c r="A13">
        <v>2031</v>
      </c>
      <c r="B13" s="59">
        <v>208262.16868117679</v>
      </c>
    </row>
    <row r="14" spans="1:6" x14ac:dyDescent="0.15">
      <c r="A14">
        <v>2032</v>
      </c>
      <c r="B14" s="59">
        <v>202319.14184736242</v>
      </c>
    </row>
    <row r="15" spans="1:6" x14ac:dyDescent="0.15">
      <c r="A15">
        <v>2033</v>
      </c>
      <c r="B15" s="59">
        <v>196545.70687063425</v>
      </c>
    </row>
    <row r="16" spans="1:6" x14ac:dyDescent="0.15">
      <c r="A16">
        <v>2034</v>
      </c>
      <c r="B16" s="59">
        <v>190937.0242308632</v>
      </c>
    </row>
    <row r="17" spans="1:2" x14ac:dyDescent="0.15">
      <c r="A17">
        <v>2035</v>
      </c>
      <c r="B17" s="59">
        <v>185488.39250980475</v>
      </c>
    </row>
    <row r="18" spans="1:2" x14ac:dyDescent="0.15">
      <c r="A18">
        <v>2036</v>
      </c>
      <c r="B18" s="59">
        <v>180195.24445018556</v>
      </c>
    </row>
    <row r="19" spans="1:2" x14ac:dyDescent="0.15">
      <c r="A19">
        <v>2037</v>
      </c>
      <c r="B19" s="59">
        <v>175053.14312724862</v>
      </c>
    </row>
    <row r="20" spans="1:2" x14ac:dyDescent="0.15">
      <c r="A20">
        <v>2038</v>
      </c>
      <c r="B20" s="59">
        <v>170057.77822954883</v>
      </c>
    </row>
    <row r="21" spans="1:2" x14ac:dyDescent="0.15">
      <c r="A21">
        <v>2039</v>
      </c>
      <c r="B21" s="59">
        <v>165204.96244588026</v>
      </c>
    </row>
    <row r="22" spans="1:2" x14ac:dyDescent="0.15">
      <c r="A22">
        <v>2040</v>
      </c>
      <c r="B22" s="59">
        <v>160490.62795530749</v>
      </c>
    </row>
    <row r="23" spans="1:2" x14ac:dyDescent="0.15">
      <c r="A23">
        <v>2041</v>
      </c>
      <c r="B23" s="59">
        <v>155910.82301735805</v>
      </c>
    </row>
    <row r="24" spans="1:2" x14ac:dyDescent="0.15">
      <c r="A24">
        <v>2042</v>
      </c>
      <c r="B24" s="59">
        <v>151461.70865951842</v>
      </c>
    </row>
    <row r="25" spans="1:2" x14ac:dyDescent="0.15">
      <c r="A25">
        <v>2043</v>
      </c>
      <c r="B25" s="59">
        <v>147139.55545925625</v>
      </c>
    </row>
    <row r="26" spans="1:2" x14ac:dyDescent="0.15">
      <c r="A26">
        <v>2044</v>
      </c>
      <c r="B26" s="59">
        <v>142940.74041787177</v>
      </c>
    </row>
    <row r="27" spans="1:2" x14ac:dyDescent="0.15">
      <c r="A27">
        <v>2045</v>
      </c>
      <c r="B27" s="59">
        <v>138861.74392355801</v>
      </c>
    </row>
    <row r="28" spans="1:2" x14ac:dyDescent="0.15">
      <c r="A28">
        <v>2046</v>
      </c>
      <c r="B28" s="59">
        <v>134899.14680112369</v>
      </c>
    </row>
    <row r="29" spans="1:2" x14ac:dyDescent="0.15">
      <c r="A29">
        <v>2047</v>
      </c>
      <c r="B29" s="59">
        <v>131049.62744590631</v>
      </c>
    </row>
    <row r="30" spans="1:2" x14ac:dyDescent="0.15">
      <c r="A30">
        <v>2048</v>
      </c>
      <c r="B30" s="59">
        <v>127309.95903947247</v>
      </c>
    </row>
    <row r="31" spans="1:2" x14ac:dyDescent="0.15">
      <c r="A31">
        <v>2049</v>
      </c>
      <c r="B31" s="59">
        <v>123677.00684477184</v>
      </c>
    </row>
    <row r="32" spans="1:2" x14ac:dyDescent="0.15">
      <c r="A32">
        <v>2050</v>
      </c>
      <c r="B32" s="59">
        <v>120147.72557847745</v>
      </c>
    </row>
    <row r="33" spans="1:2" x14ac:dyDescent="0.15">
      <c r="A33">
        <v>2051</v>
      </c>
      <c r="B33" s="59">
        <v>116719.15685830935</v>
      </c>
    </row>
    <row r="34" spans="1:2" x14ac:dyDescent="0.15">
      <c r="A34">
        <v>2052</v>
      </c>
      <c r="B34" s="59">
        <v>113388.42672320241</v>
      </c>
    </row>
    <row r="35" spans="1:2" x14ac:dyDescent="0.15">
      <c r="A35">
        <v>2053</v>
      </c>
      <c r="B35" s="59">
        <v>110152.74322423917</v>
      </c>
    </row>
    <row r="36" spans="1:2" x14ac:dyDescent="0.15">
      <c r="A36">
        <v>2054</v>
      </c>
      <c r="B36" s="59">
        <v>107009.39408432845</v>
      </c>
    </row>
    <row r="37" spans="1:2" x14ac:dyDescent="0.15">
      <c r="A37">
        <v>2055</v>
      </c>
      <c r="B37" s="59">
        <v>103955.74442466821</v>
      </c>
    </row>
    <row r="38" spans="1:2" x14ac:dyDescent="0.15">
      <c r="A38">
        <v>2056</v>
      </c>
      <c r="B38" s="59">
        <v>100989.23455608646</v>
      </c>
    </row>
    <row r="39" spans="1:2" x14ac:dyDescent="0.15">
      <c r="A39">
        <v>2057</v>
      </c>
      <c r="B39" s="59">
        <v>98107.377833409206</v>
      </c>
    </row>
    <row r="40" spans="1:2" x14ac:dyDescent="0.15">
      <c r="A40">
        <v>2058</v>
      </c>
      <c r="B40" s="59">
        <v>95307.758571056766</v>
      </c>
    </row>
    <row r="41" spans="1:2" x14ac:dyDescent="0.15">
      <c r="A41">
        <v>2059</v>
      </c>
      <c r="B41" s="59">
        <v>92588.03001812115</v>
      </c>
    </row>
    <row r="42" spans="1:2" x14ac:dyDescent="0.15">
      <c r="A42">
        <v>2060</v>
      </c>
      <c r="B42" s="59">
        <v>89945.912391227161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0C7A-0160-47B2-B089-93F8CBD71882}">
  <sheetPr>
    <tabColor rgb="FF003399"/>
  </sheetPr>
  <dimension ref="A1:AP2"/>
  <sheetViews>
    <sheetView tabSelected="1" topLeftCell="S1" workbookViewId="0">
      <selection activeCell="AQ25" sqref="AQ25"/>
    </sheetView>
  </sheetViews>
  <sheetFormatPr defaultRowHeight="13.5" x14ac:dyDescent="0.15"/>
  <cols>
    <col min="1" max="1" width="19.875" customWidth="1"/>
  </cols>
  <sheetData>
    <row r="1" spans="1:42" x14ac:dyDescent="0.15">
      <c r="A1" t="s">
        <v>21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15">
      <c r="A2" t="s">
        <v>22</v>
      </c>
      <c r="B2" s="5">
        <f>'Balance of System Calculations'!D36</f>
        <v>195513.50567536935</v>
      </c>
      <c r="C2" s="5">
        <f>$B2</f>
        <v>195513.50567536935</v>
      </c>
      <c r="D2" s="5">
        <f t="shared" ref="D2:AP2" si="0">$B2</f>
        <v>195513.50567536935</v>
      </c>
      <c r="E2" s="5">
        <f t="shared" si="0"/>
        <v>195513.50567536935</v>
      </c>
      <c r="F2" s="5">
        <f t="shared" si="0"/>
        <v>195513.50567536935</v>
      </c>
      <c r="G2" s="5">
        <f t="shared" si="0"/>
        <v>195513.50567536935</v>
      </c>
      <c r="H2" s="5">
        <f t="shared" si="0"/>
        <v>195513.50567536935</v>
      </c>
      <c r="I2" s="5">
        <f t="shared" si="0"/>
        <v>195513.50567536935</v>
      </c>
      <c r="J2" s="5">
        <f t="shared" si="0"/>
        <v>195513.50567536935</v>
      </c>
      <c r="K2" s="5">
        <f t="shared" si="0"/>
        <v>195513.50567536935</v>
      </c>
      <c r="L2" s="5">
        <f t="shared" si="0"/>
        <v>195513.50567536935</v>
      </c>
      <c r="M2" s="5">
        <f t="shared" si="0"/>
        <v>195513.50567536935</v>
      </c>
      <c r="N2" s="5">
        <f t="shared" si="0"/>
        <v>195513.50567536935</v>
      </c>
      <c r="O2" s="5">
        <f t="shared" si="0"/>
        <v>195513.50567536935</v>
      </c>
      <c r="P2" s="5">
        <f t="shared" si="0"/>
        <v>195513.50567536935</v>
      </c>
      <c r="Q2" s="5">
        <f t="shared" si="0"/>
        <v>195513.50567536935</v>
      </c>
      <c r="R2" s="5">
        <f t="shared" si="0"/>
        <v>195513.50567536935</v>
      </c>
      <c r="S2" s="5">
        <f t="shared" si="0"/>
        <v>195513.50567536935</v>
      </c>
      <c r="T2" s="5">
        <f t="shared" si="0"/>
        <v>195513.50567536935</v>
      </c>
      <c r="U2" s="5">
        <f t="shared" si="0"/>
        <v>195513.50567536935</v>
      </c>
      <c r="V2" s="5">
        <f t="shared" si="0"/>
        <v>195513.50567536935</v>
      </c>
      <c r="W2" s="5">
        <f t="shared" si="0"/>
        <v>195513.50567536935</v>
      </c>
      <c r="X2" s="5">
        <f t="shared" si="0"/>
        <v>195513.50567536935</v>
      </c>
      <c r="Y2" s="5">
        <f t="shared" si="0"/>
        <v>195513.50567536935</v>
      </c>
      <c r="Z2" s="5">
        <f t="shared" si="0"/>
        <v>195513.50567536935</v>
      </c>
      <c r="AA2" s="5">
        <f t="shared" si="0"/>
        <v>195513.50567536935</v>
      </c>
      <c r="AB2" s="5">
        <f t="shared" si="0"/>
        <v>195513.50567536935</v>
      </c>
      <c r="AC2" s="5">
        <f t="shared" si="0"/>
        <v>195513.50567536935</v>
      </c>
      <c r="AD2" s="5">
        <f t="shared" si="0"/>
        <v>195513.50567536935</v>
      </c>
      <c r="AE2" s="5">
        <f t="shared" si="0"/>
        <v>195513.50567536935</v>
      </c>
      <c r="AF2" s="5">
        <f t="shared" si="0"/>
        <v>195513.50567536935</v>
      </c>
      <c r="AG2" s="5">
        <f t="shared" si="0"/>
        <v>195513.50567536935</v>
      </c>
      <c r="AH2" s="5">
        <f t="shared" si="0"/>
        <v>195513.50567536935</v>
      </c>
      <c r="AI2" s="5">
        <f t="shared" si="0"/>
        <v>195513.50567536935</v>
      </c>
      <c r="AJ2" s="5">
        <f t="shared" si="0"/>
        <v>195513.50567536935</v>
      </c>
      <c r="AK2" s="5">
        <f t="shared" si="0"/>
        <v>195513.50567536935</v>
      </c>
      <c r="AL2" s="5">
        <f t="shared" si="0"/>
        <v>195513.50567536935</v>
      </c>
      <c r="AM2" s="5">
        <f t="shared" si="0"/>
        <v>195513.50567536935</v>
      </c>
      <c r="AN2" s="5">
        <f t="shared" si="0"/>
        <v>195513.50567536935</v>
      </c>
      <c r="AO2" s="5">
        <f t="shared" si="0"/>
        <v>195513.50567536935</v>
      </c>
      <c r="AP2" s="5">
        <f t="shared" si="0"/>
        <v>195513.50567536935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About</vt:lpstr>
      <vt:lpstr>Exchange Rate</vt:lpstr>
      <vt:lpstr>NREL ATB</vt:lpstr>
      <vt:lpstr>China Historical Battery Cost</vt:lpstr>
      <vt:lpstr>MIT Cost Projection</vt:lpstr>
      <vt:lpstr>China Battery Cost Breakdown</vt:lpstr>
      <vt:lpstr>BNEF Outlook</vt:lpstr>
      <vt:lpstr>Balance of System Calculations</vt:lpstr>
      <vt:lpstr>Cost per Unit Capacity Calc</vt:lpstr>
      <vt:lpstr>BCpUC</vt:lpstr>
      <vt:lpstr>BBoSCpUC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admin</cp:lastModifiedBy>
  <dcterms:created xsi:type="dcterms:W3CDTF">2015-05-01T22:00:45Z</dcterms:created>
  <dcterms:modified xsi:type="dcterms:W3CDTF">2023-08-25T05:37:00Z</dcterms:modified>
</cp:coreProperties>
</file>