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550" tabRatio="723" firstSheet="1" activeTab="7"/>
  </bookViews>
  <sheets>
    <sheet name="About" sheetId="13" r:id="rId1"/>
    <sheet name="Grid Side Projects" sheetId="11" r:id="rId2"/>
    <sheet name="CEC Annual" sheetId="14" r:id="rId3"/>
    <sheet name="CNESA" sheetId="1" r:id="rId4"/>
    <sheet name="Past" sheetId="2" r:id="rId5"/>
    <sheet name="CN ST Forecast" sheetId="4" r:id="rId6"/>
    <sheet name="CN LT Forecast" sheetId="15" r:id="rId7"/>
    <sheet name="2024 Stats" sheetId="16" r:id="rId8"/>
    <sheet name="Extrapolation" sheetId="17" r:id="rId9"/>
    <sheet name="BGBSC" sheetId="5" r:id="rId10"/>
    <sheet name="PAGBSC" sheetId="7" r:id="rId11"/>
    <sheet name="SYGBSC" sheetId="8" r:id="rId12"/>
  </sheets>
  <externalReferences>
    <externalReference r:id="rId13"/>
  </externalReferences>
  <definedNames>
    <definedName name="billion_kw_to_MW">#REF!</definedName>
    <definedName name="gigwatt_to_megawatt">#REF!</definedName>
    <definedName name="gigwatts_to_megawatts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ercent_rural">#REF!</definedName>
    <definedName name="Percent_Urba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<sst xmlns="http://schemas.openxmlformats.org/spreadsheetml/2006/main" count="579" uniqueCount="327">
  <si>
    <t>Grid Battery Storage Capacities</t>
  </si>
  <si>
    <t>Sources:</t>
  </si>
  <si>
    <t>Current Grid Side Battery Storage Projects</t>
  </si>
  <si>
    <t>Near term deployment and technology breakdown</t>
  </si>
  <si>
    <t>Bei Ji Xing</t>
  </si>
  <si>
    <t>中关村产业联盟 CNESA</t>
  </si>
  <si>
    <t>Grid Side Battery Storage List 2020</t>
  </si>
  <si>
    <t>2016-2021</t>
  </si>
  <si>
    <t>Annual Energy Storage Whitebook</t>
  </si>
  <si>
    <t>电网侧储能57项目总储能规模超1.98GWh</t>
  </si>
  <si>
    <t>研究报告_CNESA 储能研究平台 (esresearch.com.cn)</t>
  </si>
  <si>
    <t>Energy Storage Pilot Projects</t>
  </si>
  <si>
    <t>Annual Power Storage Station Statistics</t>
  </si>
  <si>
    <t>Shandong Bureau</t>
  </si>
  <si>
    <t>中国电力企业联合会 China Electricity Council</t>
  </si>
  <si>
    <t xml:space="preserve">Energy Storage Pilot Projects </t>
  </si>
  <si>
    <t>年度电化学储能电站行业统计数据</t>
  </si>
  <si>
    <t>2021, 2022</t>
  </si>
  <si>
    <t>2022，2023H1, 2023</t>
  </si>
  <si>
    <t>2021 Pilot Projects</t>
  </si>
  <si>
    <t>https://news.bjx.com.cn/html/20230404/1298853.shtml</t>
  </si>
  <si>
    <t>2022 Pilot Projects</t>
  </si>
  <si>
    <t>https://mp.weixin.qq.com/s/0SpFZCc7TUlFJ385_6LQZgg</t>
  </si>
  <si>
    <t>References for future deployment projectsion</t>
  </si>
  <si>
    <t>ECO Gov China</t>
  </si>
  <si>
    <t>《储能产业研究白皮书2022》发布：2021年中国新型储能新增投运2.4GW/4.9GWh - 生态中国网 (eco.gov.cn)</t>
  </si>
  <si>
    <t>国家发改委，国家能源局</t>
  </si>
  <si>
    <t>关于加快推动新型储能发展的指导意见</t>
  </si>
  <si>
    <t>国家发展改革委 国家能源局关于加快推动新型储能发展的指导意见_其他_中国政府网 (www.gov.cn)</t>
  </si>
  <si>
    <t>坚决扛牢电网责任 积极推进碳达峰碳中和</t>
  </si>
  <si>
    <t>坚决扛牢电网责任 积极推进碳达峰碳中和 (people.com.cn)</t>
  </si>
  <si>
    <t>Notes</t>
  </si>
  <si>
    <t>We view all electrochemical energy storage as battery storages in this variable, this means excluding pumped hydro, compressed air and flywheel</t>
  </si>
  <si>
    <t>The projected capacity for Shandong is scaled down from the projection of battery capacity for China, using the estimated power demand of China and Shandong between 2020 and 2060</t>
  </si>
  <si>
    <r>
      <rPr>
        <b/>
        <sz val="10"/>
        <rFont val="Microsoft YaHei"/>
        <charset val="134"/>
      </rPr>
      <t>储能项目名称</t>
    </r>
  </si>
  <si>
    <r>
      <rPr>
        <b/>
        <sz val="10"/>
        <rFont val="Microsoft YaHei"/>
        <charset val="134"/>
      </rPr>
      <t>储能规模</t>
    </r>
  </si>
  <si>
    <r>
      <rPr>
        <b/>
        <sz val="10"/>
        <rFont val="Microsoft YaHei"/>
        <charset val="134"/>
      </rPr>
      <t>参与企业</t>
    </r>
  </si>
  <si>
    <t>Province</t>
  </si>
  <si>
    <t>MW</t>
  </si>
  <si>
    <t>MWh</t>
  </si>
  <si>
    <r>
      <rPr>
        <sz val="10"/>
        <rFont val="Microsoft YaHei"/>
        <charset val="134"/>
      </rPr>
      <t>江苏建山储能电站</t>
    </r>
  </si>
  <si>
    <t>5MW/10MWh</t>
  </si>
  <si>
    <t>国网江苏综能</t>
  </si>
  <si>
    <t>江苏</t>
  </si>
  <si>
    <r>
      <rPr>
        <sz val="10"/>
        <rFont val="Microsoft YaHei"/>
        <charset val="134"/>
      </rPr>
      <t>江苏丹阳储能电站</t>
    </r>
  </si>
  <si>
    <t>12MW/24MWh</t>
  </si>
  <si>
    <t>福建</t>
  </si>
  <si>
    <r>
      <rPr>
        <sz val="10"/>
        <rFont val="Microsoft YaHei"/>
        <charset val="134"/>
      </rPr>
      <t>江苏大港储能电站</t>
    </r>
  </si>
  <si>
    <t>16MW/32MWh</t>
  </si>
  <si>
    <t>河南</t>
  </si>
  <si>
    <r>
      <rPr>
        <sz val="10"/>
        <rFont val="Microsoft YaHei"/>
        <charset val="134"/>
      </rPr>
      <t>江苏五峰山储能电站</t>
    </r>
  </si>
  <si>
    <t>24MW/48MWh</t>
  </si>
  <si>
    <r>
      <rPr>
        <sz val="10"/>
        <rFont val="Microsoft YaHei"/>
        <charset val="134"/>
      </rPr>
      <t>许继集团</t>
    </r>
  </si>
  <si>
    <t>湖南</t>
  </si>
  <si>
    <r>
      <rPr>
        <sz val="10"/>
        <rFont val="Microsoft YaHei"/>
        <charset val="134"/>
      </rPr>
      <t>江苏三跃储能电站</t>
    </r>
  </si>
  <si>
    <t>10MW/20MWh</t>
  </si>
  <si>
    <t>青海</t>
  </si>
  <si>
    <r>
      <rPr>
        <sz val="10"/>
        <rFont val="Microsoft YaHei"/>
        <charset val="134"/>
      </rPr>
      <t>江苏扬州储能电站</t>
    </r>
  </si>
  <si>
    <t>17.64MW/30.8MWh</t>
  </si>
  <si>
    <t>广东</t>
  </si>
  <si>
    <r>
      <rPr>
        <sz val="10"/>
        <rFont val="Microsoft YaHei"/>
        <charset val="134"/>
      </rPr>
      <t>江苏北山储能电站</t>
    </r>
  </si>
  <si>
    <r>
      <rPr>
        <sz val="10"/>
        <rFont val="Microsoft YaHei"/>
        <charset val="134"/>
      </rPr>
      <t>山东电工</t>
    </r>
    <r>
      <rPr>
        <sz val="10"/>
        <rFont val="宋体"/>
        <charset val="134"/>
      </rPr>
      <t>电气</t>
    </r>
  </si>
  <si>
    <t>浙江</t>
  </si>
  <si>
    <r>
      <rPr>
        <sz val="10"/>
        <rFont val="Microsoft YaHei"/>
        <charset val="134"/>
      </rPr>
      <t>江苏新坝储能电站</t>
    </r>
  </si>
  <si>
    <t>北京</t>
  </si>
  <si>
    <r>
      <rPr>
        <sz val="10"/>
        <rFont val="Microsoft YaHei"/>
        <charset val="134"/>
      </rPr>
      <t>江苏长旺储能电站</t>
    </r>
  </si>
  <si>
    <t>8MW/16MWh</t>
  </si>
  <si>
    <t>天津</t>
  </si>
  <si>
    <r>
      <rPr>
        <sz val="10"/>
        <rFont val="Microsoft YaHei"/>
        <charset val="134"/>
      </rPr>
      <t>江苏苏州张家港乐余储能电站</t>
    </r>
  </si>
  <si>
    <t>20.16MW/35MWh</t>
  </si>
  <si>
    <t>河北</t>
  </si>
  <si>
    <r>
      <rPr>
        <sz val="10"/>
        <rFont val="Microsoft YaHei"/>
        <charset val="134"/>
      </rPr>
      <t>江苏苏州常熟任阳储能电站</t>
    </r>
  </si>
  <si>
    <t>7.56MW/13.2MWh</t>
  </si>
  <si>
    <r>
      <rPr>
        <sz val="10"/>
        <rFont val="Microsoft YaHei"/>
        <charset val="134"/>
      </rPr>
      <t>江苏南京江北储能电站</t>
    </r>
  </si>
  <si>
    <t>35.28MW/61.6MWh</t>
  </si>
  <si>
    <r>
      <rPr>
        <sz val="10"/>
        <rFont val="Microsoft YaHei"/>
        <charset val="134"/>
      </rPr>
      <t>平高集团</t>
    </r>
  </si>
  <si>
    <t>江苏南京江北梯次利用储能电站</t>
  </si>
  <si>
    <t>20MW/75MWh</t>
  </si>
  <si>
    <r>
      <rPr>
        <sz val="10"/>
        <rFont val="Microsoft YaHei"/>
        <charset val="134"/>
      </rPr>
      <t>江苏南京江北梯次利用储能电站</t>
    </r>
  </si>
  <si>
    <r>
      <rPr>
        <sz val="10"/>
        <rFont val="Microsoft YaHei"/>
        <charset val="134"/>
      </rPr>
      <t>江苏苏州昆山储能电站</t>
    </r>
  </si>
  <si>
    <t>110.88MW/193.6MWh</t>
  </si>
  <si>
    <r>
      <rPr>
        <sz val="10"/>
        <rFont val="Microsoft YaHei"/>
        <charset val="134"/>
      </rPr>
      <t>江苏盐城大丰庆生渡储能电站</t>
    </r>
  </si>
  <si>
    <t>27.72MW/48.4MWh</t>
  </si>
  <si>
    <r>
      <rPr>
        <sz val="10"/>
        <rFont val="Microsoft YaHei"/>
        <charset val="134"/>
      </rPr>
      <t>江苏盐城大丰西团储能电站</t>
    </r>
  </si>
  <si>
    <t>22.68MW/39.6MWh</t>
  </si>
  <si>
    <r>
      <rPr>
        <sz val="10"/>
        <rFont val="Microsoft YaHei"/>
        <charset val="134"/>
      </rPr>
      <t>江苏淮安金湖戴楼镇官塘储能电站</t>
    </r>
  </si>
  <si>
    <t>15.12MW/26.4MWh</t>
  </si>
  <si>
    <r>
      <rPr>
        <sz val="10"/>
        <rFont val="Microsoft YaHei"/>
        <charset val="134"/>
      </rPr>
      <t>国网综能</t>
    </r>
  </si>
  <si>
    <r>
      <rPr>
        <sz val="10"/>
        <rFont val="Microsoft YaHei"/>
        <charset val="134"/>
      </rPr>
      <t>江苏淮安金湖银涂镇红湖储能电站</t>
    </r>
  </si>
  <si>
    <t>40.32MW/70.4MWh</t>
  </si>
  <si>
    <r>
      <rPr>
        <sz val="10"/>
        <rFont val="Microsoft YaHei"/>
        <charset val="134"/>
      </rPr>
      <t>河南汤阴变储能电站</t>
    </r>
  </si>
  <si>
    <t>100.8MW/100.8MWh</t>
  </si>
  <si>
    <r>
      <rPr>
        <sz val="10"/>
        <rFont val="Microsoft YaHei"/>
        <charset val="134"/>
      </rPr>
      <t>河南兰考变储能电站</t>
    </r>
  </si>
  <si>
    <r>
      <rPr>
        <sz val="10"/>
        <rFont val="Microsoft YaHei"/>
        <charset val="134"/>
      </rPr>
      <t>河南庞屯变储能电站</t>
    </r>
  </si>
  <si>
    <r>
      <rPr>
        <sz val="10"/>
        <rFont val="Microsoft YaHei"/>
        <charset val="134"/>
      </rPr>
      <t>河南</t>
    </r>
    <r>
      <rPr>
        <sz val="10"/>
        <rFont val="宋体"/>
        <charset val="134"/>
      </rPr>
      <t>漯河</t>
    </r>
    <r>
      <rPr>
        <sz val="10"/>
        <rFont val="Microsoft YaHei"/>
        <charset val="134"/>
      </rPr>
      <t>变储能电站</t>
    </r>
  </si>
  <si>
    <r>
      <rPr>
        <sz val="10"/>
        <rFont val="Microsoft YaHei"/>
        <charset val="134"/>
      </rPr>
      <t>河南干河陈变储能电站</t>
    </r>
  </si>
  <si>
    <r>
      <rPr>
        <sz val="10"/>
        <rFont val="宋体"/>
        <charset val="134"/>
      </rPr>
      <t>河南郊县变储能电站</t>
    </r>
  </si>
  <si>
    <r>
      <rPr>
        <sz val="10"/>
        <rFont val="Microsoft YaHei"/>
        <charset val="134"/>
      </rPr>
      <t>河南</t>
    </r>
    <r>
      <rPr>
        <sz val="10"/>
        <rFont val="宋体"/>
        <charset val="134"/>
      </rPr>
      <t>趔</t>
    </r>
    <r>
      <rPr>
        <sz val="10"/>
        <rFont val="Microsoft YaHei"/>
        <charset val="134"/>
      </rPr>
      <t>山变储能电站</t>
    </r>
  </si>
  <si>
    <r>
      <rPr>
        <sz val="10"/>
        <rFont val="Microsoft YaHei"/>
        <charset val="134"/>
      </rPr>
      <t>河南温庄变储能电站</t>
    </r>
  </si>
  <si>
    <r>
      <rPr>
        <sz val="10"/>
        <rFont val="Microsoft YaHei"/>
        <charset val="134"/>
      </rPr>
      <t>河南洪门变储能电站</t>
    </r>
  </si>
  <si>
    <r>
      <rPr>
        <sz val="10"/>
        <rFont val="Microsoft YaHei"/>
        <charset val="134"/>
      </rPr>
      <t>河南五里墩变储能电站</t>
    </r>
  </si>
  <si>
    <r>
      <rPr>
        <sz val="10"/>
        <rFont val="Microsoft YaHei"/>
        <charset val="134"/>
      </rPr>
      <t>河南息县变储能电站</t>
    </r>
  </si>
  <si>
    <r>
      <rPr>
        <sz val="10"/>
        <rFont val="Microsoft YaHei"/>
        <charset val="134"/>
      </rPr>
      <t>河南许昌变储能电站</t>
    </r>
  </si>
  <si>
    <r>
      <rPr>
        <sz val="10"/>
        <rFont val="Microsoft YaHei"/>
        <charset val="134"/>
      </rPr>
      <t>河南平安变储能电站</t>
    </r>
  </si>
  <si>
    <r>
      <rPr>
        <sz val="10"/>
        <rFont val="Microsoft YaHei"/>
        <charset val="134"/>
      </rPr>
      <t>河南潘庄变储能电站</t>
    </r>
  </si>
  <si>
    <r>
      <rPr>
        <sz val="10"/>
        <rFont val="Microsoft YaHei"/>
        <charset val="134"/>
      </rPr>
      <t>河南黄龙变储能电站</t>
    </r>
  </si>
  <si>
    <r>
      <rPr>
        <sz val="10"/>
        <rFont val="Microsoft YaHei"/>
        <charset val="134"/>
      </rPr>
      <t>河南龙山变储能电站</t>
    </r>
  </si>
  <si>
    <r>
      <rPr>
        <sz val="10"/>
        <rFont val="Microsoft YaHei"/>
        <charset val="134"/>
      </rPr>
      <t>湖南长沙榔梨储能电站</t>
    </r>
  </si>
  <si>
    <t>国网湖南综能</t>
  </si>
  <si>
    <r>
      <rPr>
        <sz val="10"/>
        <rFont val="Microsoft YaHei"/>
        <charset val="134"/>
      </rPr>
      <t>湖南长沙延农储能电站</t>
    </r>
  </si>
  <si>
    <r>
      <rPr>
        <sz val="10"/>
        <rFont val="Microsoft YaHei"/>
        <charset val="134"/>
      </rPr>
      <t>湖南长沙芙蓉储能电站</t>
    </r>
  </si>
  <si>
    <t>26MW/52MWh</t>
  </si>
  <si>
    <r>
      <rPr>
        <sz val="10"/>
        <rFont val="Microsoft YaHei"/>
        <charset val="134"/>
      </rPr>
      <t>青海格尔木美满储能电站</t>
    </r>
  </si>
  <si>
    <t>16MW/64MWh</t>
  </si>
  <si>
    <r>
      <rPr>
        <sz val="10"/>
        <rFont val="Microsoft YaHei"/>
        <charset val="134"/>
      </rPr>
      <t>国网青海</t>
    </r>
  </si>
  <si>
    <r>
      <rPr>
        <sz val="10"/>
        <rFont val="Microsoft YaHei"/>
        <charset val="134"/>
      </rPr>
      <t>福建晋江储能电站试点示范项目</t>
    </r>
  </si>
  <si>
    <t>30MW/100MWh</t>
  </si>
  <si>
    <r>
      <rPr>
        <sz val="10"/>
        <rFont val="Microsoft YaHei"/>
        <charset val="134"/>
      </rPr>
      <t>福建省投资</t>
    </r>
  </si>
  <si>
    <r>
      <rPr>
        <sz val="10"/>
        <rFont val="Microsoft YaHei"/>
        <charset val="134"/>
      </rPr>
      <t>国网时代漳浦储能电站</t>
    </r>
  </si>
  <si>
    <t>150MW/300MWh</t>
  </si>
  <si>
    <r>
      <rPr>
        <sz val="10"/>
        <rFont val="Microsoft YaHei"/>
        <charset val="134"/>
      </rPr>
      <t>国网时代</t>
    </r>
  </si>
  <si>
    <r>
      <rPr>
        <sz val="10"/>
        <rFont val="Microsoft YaHei"/>
        <charset val="134"/>
      </rPr>
      <t>国网时代福清储能电站</t>
    </r>
  </si>
  <si>
    <r>
      <rPr>
        <sz val="10"/>
        <rFont val="Microsoft YaHei"/>
        <charset val="134"/>
      </rPr>
      <t>浙江宁波</t>
    </r>
    <r>
      <rPr>
        <sz val="10"/>
        <rFont val="Arial"/>
        <charset val="134"/>
      </rPr>
      <t>110KV</t>
    </r>
    <r>
      <rPr>
        <sz val="10"/>
        <rFont val="Microsoft YaHei"/>
        <charset val="134"/>
      </rPr>
      <t>越瓷变储能</t>
    </r>
  </si>
  <si>
    <t>6MW/8.4MWh</t>
  </si>
  <si>
    <r>
      <rPr>
        <sz val="10"/>
        <rFont val="Microsoft YaHei"/>
        <charset val="134"/>
      </rPr>
      <t>华云能源</t>
    </r>
  </si>
  <si>
    <r>
      <rPr>
        <sz val="10"/>
        <rFont val="Microsoft YaHei"/>
        <charset val="134"/>
      </rPr>
      <t>浙江杭州</t>
    </r>
    <r>
      <rPr>
        <sz val="10"/>
        <rFont val="Arial"/>
        <charset val="134"/>
      </rPr>
      <t>110KV</t>
    </r>
    <r>
      <rPr>
        <sz val="10"/>
        <rFont val="Microsoft YaHei"/>
        <charset val="134"/>
      </rPr>
      <t>江虹变储能</t>
    </r>
  </si>
  <si>
    <t>4MW/12.8MWh</t>
  </si>
  <si>
    <r>
      <rPr>
        <sz val="10"/>
        <rFont val="Microsoft YaHei"/>
        <charset val="134"/>
      </rPr>
      <t>浙江湖州</t>
    </r>
    <r>
      <rPr>
        <sz val="10"/>
        <rFont val="Arial"/>
        <charset val="134"/>
      </rPr>
      <t>110kW</t>
    </r>
    <r>
      <rPr>
        <sz val="10"/>
        <rFont val="Microsoft YaHei"/>
        <charset val="134"/>
      </rPr>
      <t>金陵变储能</t>
    </r>
  </si>
  <si>
    <r>
      <rPr>
        <sz val="10"/>
        <rFont val="Microsoft YaHei"/>
        <charset val="134"/>
      </rPr>
      <t>浙江衢州灰坪乡大麦源村储能</t>
    </r>
  </si>
  <si>
    <t>30KW/450KWh</t>
  </si>
  <si>
    <t>国网浙江综能</t>
  </si>
  <si>
    <r>
      <rPr>
        <sz val="10"/>
        <rFont val="微软雅黑"/>
        <charset val="134"/>
      </rPr>
      <t>浙江慈溪</t>
    </r>
    <r>
      <rPr>
        <sz val="10"/>
        <rFont val="宋体"/>
        <charset val="134"/>
      </rPr>
      <t>掌起</t>
    </r>
    <r>
      <rPr>
        <sz val="10"/>
        <rFont val="微软雅黑"/>
        <charset val="134"/>
      </rPr>
      <t>万洋众创城梯次利用电网侧储能</t>
    </r>
  </si>
  <si>
    <t>20kW/44.22kWh</t>
  </si>
  <si>
    <r>
      <rPr>
        <sz val="10"/>
        <rFont val="Microsoft YaHei"/>
        <charset val="134"/>
      </rPr>
      <t>北京怀柔科学城储能一期</t>
    </r>
  </si>
  <si>
    <t>国网北京电力公司</t>
  </si>
  <si>
    <r>
      <rPr>
        <sz val="10"/>
        <rFont val="Microsoft YaHei"/>
        <charset val="134"/>
      </rPr>
      <t>北京冬奥会场馆储能电站</t>
    </r>
  </si>
  <si>
    <t>14MW/14MWh</t>
  </si>
  <si>
    <r>
      <rPr>
        <sz val="10"/>
        <rFont val="Microsoft YaHei"/>
        <charset val="134"/>
      </rPr>
      <t>青海格尔木电网侧共享储能项目</t>
    </r>
  </si>
  <si>
    <t>32MW/64MWh</t>
  </si>
  <si>
    <r>
      <rPr>
        <sz val="10"/>
        <rFont val="Microsoft YaHei"/>
        <charset val="134"/>
      </rPr>
      <t>上海电气</t>
    </r>
  </si>
  <si>
    <r>
      <rPr>
        <sz val="10"/>
        <rFont val="微软雅黑"/>
        <charset val="134"/>
      </rPr>
      <t>天津智慧能源小镇创新示范</t>
    </r>
    <r>
      <rPr>
        <sz val="10"/>
        <rFont val="宋体"/>
        <charset val="134"/>
      </rPr>
      <t>工</t>
    </r>
    <r>
      <rPr>
        <sz val="10"/>
        <rFont val="微软雅黑"/>
        <charset val="134"/>
      </rPr>
      <t>程中新生态城电网侧储能</t>
    </r>
  </si>
  <si>
    <t>10MW/10MWh</t>
  </si>
  <si>
    <t>河北秦皇岛北戴河新区10千伏蒲河电网侧储能</t>
  </si>
  <si>
    <t>2MW/4MWh</t>
  </si>
  <si>
    <t>国网冀北电力</t>
  </si>
  <si>
    <t>东莞松木山（巷尾）110kV变电站储能项目</t>
  </si>
  <si>
    <r>
      <rPr>
        <sz val="10"/>
        <rFont val="Microsoft YaHei"/>
        <charset val="134"/>
      </rPr>
      <t>东莞港区</t>
    </r>
    <r>
      <rPr>
        <sz val="10"/>
        <rFont val="Arial"/>
        <charset val="134"/>
      </rPr>
      <t>110kV</t>
    </r>
    <r>
      <rPr>
        <sz val="10"/>
        <rFont val="Microsoft YaHei"/>
        <charset val="134"/>
      </rPr>
      <t>变电站侧电池储能</t>
    </r>
  </si>
  <si>
    <r>
      <rPr>
        <sz val="10"/>
        <rFont val="Microsoft YaHei"/>
        <charset val="134"/>
      </rPr>
      <t>深圳宝清电池储能站扩建项目</t>
    </r>
  </si>
  <si>
    <t>4MW/4MWh</t>
  </si>
  <si>
    <r>
      <rPr>
        <sz val="10"/>
        <rFont val="微软雅黑"/>
        <charset val="134"/>
      </rPr>
      <t>深圳供电局</t>
    </r>
    <r>
      <rPr>
        <sz val="10"/>
        <rFont val="Arial"/>
        <charset val="134"/>
      </rPr>
      <t>110kV</t>
    </r>
    <r>
      <rPr>
        <sz val="10"/>
        <rFont val="微软雅黑"/>
        <charset val="134"/>
      </rPr>
      <t>潭头变电站电池储能</t>
    </r>
  </si>
  <si>
    <r>
      <rPr>
        <sz val="10"/>
        <rFont val="Microsoft YaHei"/>
        <charset val="134"/>
      </rPr>
      <t>深圳供电局</t>
    </r>
  </si>
  <si>
    <t>广州供电局从化白兔变电站退役电池梯级利用储能示范工程</t>
  </si>
  <si>
    <t>187kW/1.87MWh</t>
  </si>
  <si>
    <r>
      <rPr>
        <sz val="10"/>
        <rFont val="Microsoft YaHei"/>
        <charset val="134"/>
      </rPr>
      <t>广州供电局</t>
    </r>
  </si>
  <si>
    <t>电站装机情况</t>
  </si>
  <si>
    <t>2021E</t>
  </si>
  <si>
    <t>2023H1</t>
  </si>
  <si>
    <t>Registered</t>
  </si>
  <si>
    <t>Sites</t>
  </si>
  <si>
    <t>Capacity (GW)</t>
  </si>
  <si>
    <t>Energy (GWh)</t>
  </si>
  <si>
    <t>Average (MW)</t>
  </si>
  <si>
    <t>Ratio (Hour)</t>
  </si>
  <si>
    <t>Operating</t>
  </si>
  <si>
    <t>Stopped</t>
  </si>
  <si>
    <t>Operating &amp; Stopped</t>
  </si>
  <si>
    <t>Construction</t>
  </si>
  <si>
    <t xml:space="preserve"> </t>
  </si>
  <si>
    <t>Addition</t>
  </si>
  <si>
    <t>Regional Statistics</t>
  </si>
  <si>
    <t>2022 Top10 Addition</t>
  </si>
  <si>
    <t>2023 Top 10 Addtion</t>
  </si>
  <si>
    <t>Capacity(MW)</t>
  </si>
  <si>
    <t>2022 Addition</t>
  </si>
  <si>
    <t>2022 Total</t>
  </si>
  <si>
    <t>2023 Addition</t>
  </si>
  <si>
    <t>2023 Total</t>
  </si>
  <si>
    <t>宁夏回族自治区</t>
  </si>
  <si>
    <t>内蒙古自治区</t>
  </si>
  <si>
    <t>山东省</t>
  </si>
  <si>
    <t>甘肃省</t>
  </si>
  <si>
    <t>河北省</t>
  </si>
  <si>
    <t>湖南省</t>
  </si>
  <si>
    <t>新疆维吾尔自治区</t>
  </si>
  <si>
    <t>辽宁省</t>
  </si>
  <si>
    <t>湖北省</t>
  </si>
  <si>
    <t>青海省</t>
  </si>
  <si>
    <t>安徽省</t>
  </si>
  <si>
    <t>贵州省</t>
  </si>
  <si>
    <t>浙江省</t>
  </si>
  <si>
    <t>广西省</t>
  </si>
  <si>
    <t>江苏省</t>
  </si>
  <si>
    <t>西藏自治区</t>
  </si>
  <si>
    <t>广东省</t>
  </si>
  <si>
    <t>2022 Top 10 Cumulative</t>
  </si>
  <si>
    <t>2023 Top 10 Cultimative</t>
  </si>
  <si>
    <t>Year</t>
  </si>
  <si>
    <t>All Storages Capacity (MW)</t>
  </si>
  <si>
    <t>Total</t>
  </si>
  <si>
    <t>Pumped Hydro 抽水蓄能</t>
  </si>
  <si>
    <t>Molten Salt 熔融盐</t>
  </si>
  <si>
    <t>Noval Energy Storage 新型储能</t>
  </si>
  <si>
    <t>Compressed Air 压缩空气储能</t>
  </si>
  <si>
    <t>Flywheel 飞轮储能</t>
  </si>
  <si>
    <t>Electrochemical 电化学储能</t>
  </si>
  <si>
    <t xml:space="preserve">   Lithium Ion 锂离子电池储能</t>
  </si>
  <si>
    <t xml:space="preserve">   Lead Acid 铅蓄电池</t>
  </si>
  <si>
    <t xml:space="preserve">   Flow Battery 液流电池</t>
  </si>
  <si>
    <t xml:space="preserve">   Supercapacitator 超级电容</t>
  </si>
  <si>
    <t xml:space="preserve">   Other 其他</t>
  </si>
  <si>
    <t>Alternative Energy Storage</t>
  </si>
  <si>
    <t>Pumped Hydro</t>
  </si>
  <si>
    <t>Electrochemical/Noval Energy Storage</t>
  </si>
  <si>
    <t>Molten Salt</t>
  </si>
  <si>
    <t>Compressed Air</t>
  </si>
  <si>
    <t>Flywheel</t>
  </si>
  <si>
    <t>Electrochemical</t>
  </si>
  <si>
    <t>Lithium Ion</t>
  </si>
  <si>
    <t>Lead Acid</t>
  </si>
  <si>
    <t>Flow Battery</t>
  </si>
  <si>
    <t>Supercapacitator</t>
  </si>
  <si>
    <t>Other</t>
  </si>
  <si>
    <t>Forecasts</t>
  </si>
  <si>
    <t>2024 Conservative</t>
  </si>
  <si>
    <t>2024 Aggressive</t>
  </si>
  <si>
    <t>2023 Conservative</t>
  </si>
  <si>
    <t>2023 Aggressive</t>
  </si>
  <si>
    <t>2022 Conservative</t>
  </si>
  <si>
    <t>2022 Aggressive</t>
  </si>
  <si>
    <t>2021 Conservative</t>
  </si>
  <si>
    <t>2021 Aggressive</t>
  </si>
  <si>
    <t>2020 Conservative</t>
  </si>
  <si>
    <t>2020 Aggressive</t>
  </si>
  <si>
    <t>2019 Projection</t>
  </si>
  <si>
    <t>Grid Scale Storage</t>
  </si>
  <si>
    <t>电源侧</t>
  </si>
  <si>
    <t>电网侧</t>
  </si>
  <si>
    <t>BAU</t>
  </si>
  <si>
    <t>BGBSC</t>
  </si>
  <si>
    <t>用户侧</t>
  </si>
  <si>
    <t>Total Alternative</t>
  </si>
  <si>
    <t>Potential</t>
  </si>
  <si>
    <t>PGSC</t>
  </si>
  <si>
    <t>PAGSC</t>
  </si>
  <si>
    <t>Source: IEA. Licence: CC BY 4.0</t>
  </si>
  <si>
    <t>This data is subject to the IEA's terms and conditions: https://www.iea.org/t_c/termsandconditions/</t>
  </si>
  <si>
    <t>Units: GW</t>
  </si>
  <si>
    <t>China</t>
  </si>
  <si>
    <t>United States</t>
  </si>
  <si>
    <t>Europe</t>
  </si>
  <si>
    <t>South Korea</t>
  </si>
  <si>
    <t>Japan</t>
  </si>
  <si>
    <t>Rest of the world</t>
  </si>
  <si>
    <t>2021年新增</t>
  </si>
  <si>
    <t>支持可再生能源并网</t>
  </si>
  <si>
    <t>辅助服务</t>
  </si>
  <si>
    <t>大容量能源服务</t>
  </si>
  <si>
    <t>输电基础设施服务</t>
  </si>
  <si>
    <t>配电基础设施服务</t>
  </si>
  <si>
    <t>用户能源管理服务</t>
  </si>
  <si>
    <t>合计</t>
  </si>
  <si>
    <t>2021年新增项目比例</t>
  </si>
  <si>
    <t>截至2021年底，全国储能装机规模达到4266万千瓦，其中新型储能装机626.8万千瓦，同比增长56.4%;</t>
  </si>
  <si>
    <t>新型储能中90%为电化学储能。截至2021年底，电源侧、用户侧、电网侧储能装机占比分别为49.7%、27.4%和22.9%，电源侧储能接近装机的一半。</t>
  </si>
  <si>
    <t>新能源配储能的现状、挑战及发展建议_电力网 (chinapower.com.cn)</t>
  </si>
  <si>
    <t>CNESA重磅｜2022储能产业盘点：大势已成，因势而动</t>
  </si>
  <si>
    <t>https://new.qq.com/rain/a/20230116A098JW00</t>
  </si>
  <si>
    <t>2022年，中国储能产业继续保持高速发展态势</t>
  </si>
  <si>
    <r>
      <rPr>
        <b/>
        <sz val="11"/>
        <color rgb="FF000000"/>
        <rFont val="Segoe UI"/>
        <charset val="134"/>
      </rPr>
      <t>新型储能继续保持高增长，累计装机规模首次突破10GW，</t>
    </r>
    <r>
      <rPr>
        <sz val="11"/>
        <color rgb="FF000000"/>
        <rFont val="Segoe UI"/>
        <charset val="134"/>
      </rPr>
      <t>超过2021年同期的2倍，</t>
    </r>
    <r>
      <rPr>
        <b/>
        <sz val="11"/>
        <color rgb="FF000000"/>
        <rFont val="Segoe UI"/>
        <charset val="134"/>
      </rPr>
      <t>达到12.7GW</t>
    </r>
  </si>
  <si>
    <r>
      <rPr>
        <sz val="11"/>
        <color rgb="FF000000"/>
        <rFont val="Segoe UI"/>
        <charset val="134"/>
      </rPr>
      <t>2022年，</t>
    </r>
    <r>
      <rPr>
        <b/>
        <sz val="11"/>
        <color rgb="FF000000"/>
        <rFont val="Segoe UI"/>
        <charset val="134"/>
      </rPr>
      <t>国内新增投运新型储能项目装机规模达6.9GW/15.3GWh</t>
    </r>
  </si>
  <si>
    <r>
      <rPr>
        <b/>
        <sz val="11"/>
        <color rgb="FF000000"/>
        <rFont val="Segoe UI"/>
        <charset val="134"/>
      </rPr>
      <t>从应用模式上，</t>
    </r>
    <r>
      <rPr>
        <sz val="11"/>
        <color rgb="FF000000"/>
        <rFont val="Segoe UI"/>
        <charset val="134"/>
      </rPr>
      <t>近65%的装机规模分布在电网侧，并且其中90%的项目为独立储能项目，独立储能有望成为新型储能的主流应用形式。</t>
    </r>
  </si>
  <si>
    <t>电网侧储能</t>
  </si>
  <si>
    <t>容量预测(GWh)</t>
  </si>
  <si>
    <t>电网侧合计</t>
  </si>
  <si>
    <t>调峰</t>
  </si>
  <si>
    <t>调频</t>
  </si>
  <si>
    <t>尖峰负荷</t>
  </si>
  <si>
    <t>功率预测(GW)</t>
  </si>
  <si>
    <t>累计</t>
  </si>
  <si>
    <t>累计值</t>
  </si>
  <si>
    <t>Hydrogen</t>
  </si>
  <si>
    <t xml:space="preserve">We give leeway for the Potential Achievable Battery Storage to be 50% higher than the Estimated </t>
  </si>
  <si>
    <t>Potential Max</t>
  </si>
  <si>
    <t>We used the most aggressive prediction by CNESA to set the Potential Capacity Development prior to 2030, the extropolate to follow the Long Term Estimation</t>
  </si>
  <si>
    <t>BAU Battery Storage</t>
  </si>
  <si>
    <t>Potential Battery Storage</t>
  </si>
  <si>
    <t>Total Battery Storage Needed</t>
  </si>
  <si>
    <t>Potential Additional Battery Storage Needed</t>
  </si>
  <si>
    <t>Maximum PAGBSC (value)</t>
  </si>
  <si>
    <t>Maximum PAGBSC (percentage)</t>
  </si>
  <si>
    <t>FOPITY</t>
  </si>
  <si>
    <t>2024年上半年电化学储能电站行业统计数据</t>
  </si>
  <si>
    <t>https://cpnn.com.cn/news/xwtt/202409/t20240910_1735441.html</t>
  </si>
  <si>
    <t>TOP 10 Addtion</t>
  </si>
  <si>
    <t>广西壮族自治区</t>
  </si>
  <si>
    <t>山西省</t>
  </si>
  <si>
    <t>TOP 10 Cultimative</t>
  </si>
  <si>
    <t>China Power Demand</t>
  </si>
  <si>
    <t>Time (Time)</t>
  </si>
  <si>
    <t>Total Electricity Demand : MostRecentRun</t>
  </si>
  <si>
    <t>Shanghai Power Demand</t>
  </si>
  <si>
    <t>Electricity Generation by Type Including Distributed Generation[hard coal es] : MostRecentRun</t>
  </si>
  <si>
    <t>Electricity Generation by Type Including Distributed Generation[natural gas nonpeaker es] : MostRecentRun</t>
  </si>
  <si>
    <t>Electricity Generation by Type Including Distributed Generation[nuclear es] : MostRecentRun</t>
  </si>
  <si>
    <t>Electricity Generation by Type Including Distributed Generation[hydro es] : MostRecentRun</t>
  </si>
  <si>
    <t>Electricity Generation by Type Including Distributed Generation[onshore wind es] : MostRecentRun</t>
  </si>
  <si>
    <t>Electricity Generation by Type Including Distributed Generation[solar PV es] : MostRecentRun</t>
  </si>
  <si>
    <t>Electricity Generation by Type Including Distributed Generation[solar thermal es] : MostRecentRun</t>
  </si>
  <si>
    <t>Electricity Generation by Type Including Distributed Generation[biomass es] : MostRecentRun</t>
  </si>
  <si>
    <t>Electricity Generation by Type Including Distributed Generation[geothermal es] : MostRecentRun</t>
  </si>
  <si>
    <t>Electricity Generation by Type Including Distributed Generation[petroleum es] : MostRecentRun</t>
  </si>
  <si>
    <t>Electricity Generation by Type Including Distributed Generation[natural gas peaker es] : MostRecentRun</t>
  </si>
  <si>
    <t>Electricity Generation by Type Including Distributed Generation[lignite es] : MostRecentRun</t>
  </si>
  <si>
    <t>Electricity Generation by Type Including Distributed Generation[offshore wind es] : MostRecentRun</t>
  </si>
  <si>
    <t>Electricity Generation by Type Including Distributed Generation[crude oil es] : MostRecentRun</t>
  </si>
  <si>
    <t>Electricity Generation by Type Including Distributed Generation[heavy or residual fuel oil es] : MostRecentRun</t>
  </si>
  <si>
    <t>Electricity Generation by Type Including Distributed Generation[municipal solid waste es] : MostRecentRun</t>
  </si>
  <si>
    <t>China Potential Battery Storage</t>
  </si>
  <si>
    <t>Shang Hai Battery Storage</t>
  </si>
  <si>
    <t>BAU Grid Battery Storage Capaicty (MW)</t>
  </si>
  <si>
    <t>Potential Grid Battery Storage Capaicty (MW)</t>
  </si>
  <si>
    <t>Note:上海第一个储能项目在2024年才落地，所以BAU计算从2024开始</t>
  </si>
  <si>
    <t>Unit: MW</t>
  </si>
  <si>
    <t>BAU Grid Battery Storage Capacity</t>
  </si>
  <si>
    <t>Potential Additional Grid Battery Storage Capacity</t>
  </si>
  <si>
    <t>Battery Storage Capacity</t>
  </si>
  <si>
    <t>Start Year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</si>
</sst>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* #,##0.00_);_([$€-2]* \(#,##0.00\);_([$€-2]* &quot;-&quot;??_)"/>
    <numFmt numFmtId="177" formatCode="0_ "/>
    <numFmt numFmtId="178" formatCode="0_);[Red]\(0\)"/>
    <numFmt numFmtId="179" formatCode="0.00_);[Red]\(0.00\)"/>
  </numFmts>
  <fonts count="56">
    <font>
      <sz val="11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b/>
      <sz val="24"/>
      <color rgb="FF333333"/>
      <name val="Segoe UI"/>
      <charset val="134"/>
    </font>
    <font>
      <sz val="11"/>
      <color rgb="FF000000"/>
      <name val="Segoe UI"/>
      <charset val="134"/>
    </font>
    <font>
      <b/>
      <sz val="11"/>
      <color rgb="FF000000"/>
      <name val="Segoe UI"/>
      <charset val="134"/>
    </font>
    <font>
      <sz val="12"/>
      <color rgb="FF333333"/>
      <name val="Microsoft Yahei"/>
      <charset val="134"/>
    </font>
    <font>
      <u/>
      <sz val="11"/>
      <color theme="1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0"/>
      <name val="Arial"/>
      <charset val="134"/>
    </font>
    <font>
      <sz val="10"/>
      <name val="宋体"/>
      <charset val="134"/>
    </font>
    <font>
      <sz val="10"/>
      <name val="Microsoft YaHei"/>
      <charset val="134"/>
    </font>
    <font>
      <sz val="11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sz val="11"/>
      <color indexed="26"/>
      <name val="Calibri"/>
      <charset val="134"/>
    </font>
    <font>
      <sz val="9"/>
      <color indexed="8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9"/>
      <color indexed="8"/>
      <name val="Calibri"/>
      <charset val="134"/>
    </font>
    <font>
      <b/>
      <sz val="15"/>
      <color indexed="62"/>
      <name val="Calibri"/>
      <charset val="134"/>
    </font>
    <font>
      <b/>
      <sz val="13"/>
      <color indexed="62"/>
      <name val="Calibri"/>
      <charset val="134"/>
    </font>
    <font>
      <b/>
      <sz val="11"/>
      <color indexed="62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b/>
      <sz val="11"/>
      <color indexed="63"/>
      <name val="Calibri"/>
      <charset val="134"/>
    </font>
    <font>
      <b/>
      <sz val="12"/>
      <color indexed="30"/>
      <name val="Calibri"/>
      <charset val="134"/>
    </font>
    <font>
      <b/>
      <sz val="18"/>
      <color indexed="62"/>
      <name val="Cambria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indexed="8"/>
      <name val="等线"/>
      <charset val="134"/>
      <scheme val="minor"/>
    </font>
    <font>
      <b/>
      <sz val="10"/>
      <name val="Microsoft YaHei"/>
      <charset val="134"/>
    </font>
    <font>
      <sz val="10"/>
      <name val="微软雅黑"/>
      <charset val="134"/>
    </font>
  </fonts>
  <fills count="53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indexed="34"/>
      </top>
      <bottom style="double">
        <color indexed="34"/>
      </bottom>
      <diagonal/>
    </border>
  </borders>
  <cellStyleXfs count="117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0" borderId="20" applyNumberFormat="0" applyAlignment="0" applyProtection="0">
      <alignment vertical="center"/>
    </xf>
    <xf numFmtId="0" fontId="23" fillId="11" borderId="21" applyNumberFormat="0" applyAlignment="0" applyProtection="0">
      <alignment vertical="center"/>
    </xf>
    <xf numFmtId="0" fontId="24" fillId="11" borderId="20" applyNumberFormat="0" applyAlignment="0" applyProtection="0">
      <alignment vertical="center"/>
    </xf>
    <xf numFmtId="0" fontId="25" fillId="12" borderId="22" applyNumberFormat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39" borderId="0" applyNumberFormat="0" applyBorder="0" applyAlignment="0" applyProtection="0"/>
    <xf numFmtId="0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3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0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5" fillId="50" borderId="0" applyNumberFormat="0" applyBorder="0" applyAlignment="0" applyProtection="0"/>
    <xf numFmtId="0" fontId="36" fillId="0" borderId="25" applyNumberFormat="0" applyFont="0" applyProtection="0">
      <alignment wrapText="1"/>
    </xf>
    <xf numFmtId="0" fontId="36" fillId="0" borderId="25">
      <alignment wrapText="1"/>
    </xf>
    <xf numFmtId="0" fontId="37" fillId="39" borderId="26" applyNumberFormat="0" applyAlignment="0" applyProtection="0"/>
    <xf numFmtId="0" fontId="38" fillId="51" borderId="27" applyNumberFormat="0" applyAlignment="0" applyProtection="0"/>
    <xf numFmtId="176" fontId="11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/>
    <xf numFmtId="0" fontId="36" fillId="0" borderId="28" applyNumberFormat="0" applyProtection="0">
      <alignment wrapText="1"/>
    </xf>
    <xf numFmtId="0" fontId="36" fillId="0" borderId="28">
      <alignment wrapText="1"/>
    </xf>
    <xf numFmtId="0" fontId="40" fillId="52" borderId="0" applyNumberFormat="0" applyBorder="0" applyAlignment="0" applyProtection="0"/>
    <xf numFmtId="0" fontId="41" fillId="0" borderId="29" applyNumberFormat="0" applyProtection="0">
      <alignment wrapText="1"/>
    </xf>
    <xf numFmtId="0" fontId="41" fillId="0" borderId="29">
      <alignment wrapText="1"/>
    </xf>
    <xf numFmtId="0" fontId="42" fillId="0" borderId="30" applyNumberFormat="0" applyFill="0" applyAlignment="0" applyProtection="0"/>
    <xf numFmtId="0" fontId="43" fillId="0" borderId="31" applyNumberFormat="0" applyFill="0" applyAlignment="0" applyProtection="0"/>
    <xf numFmtId="0" fontId="44" fillId="0" borderId="32" applyNumberFormat="0" applyFill="0" applyAlignment="0" applyProtection="0"/>
    <xf numFmtId="0" fontId="44" fillId="0" borderId="0" applyNumberFormat="0" applyFill="0" applyBorder="0" applyAlignment="0" applyProtection="0"/>
    <xf numFmtId="0" fontId="45" fillId="40" borderId="26" applyNumberFormat="0" applyAlignment="0" applyProtection="0"/>
    <xf numFmtId="0" fontId="46" fillId="0" borderId="33" applyNumberFormat="0" applyFill="0" applyAlignment="0" applyProtection="0"/>
    <xf numFmtId="0" fontId="47" fillId="4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6" fillId="0" borderId="0"/>
    <xf numFmtId="0" fontId="11" fillId="41" borderId="34" applyNumberFormat="0" applyFont="0" applyAlignment="0" applyProtection="0"/>
    <xf numFmtId="0" fontId="48" fillId="39" borderId="35" applyNumberFormat="0" applyAlignment="0" applyProtection="0"/>
    <xf numFmtId="0" fontId="41" fillId="0" borderId="36" applyNumberFormat="0" applyProtection="0">
      <alignment wrapText="1"/>
    </xf>
    <xf numFmtId="0" fontId="41" fillId="0" borderId="36">
      <alignment wrapText="1"/>
    </xf>
    <xf numFmtId="0" fontId="49" fillId="0" borderId="0" applyNumberFormat="0" applyProtection="0">
      <alignment horizontal="left"/>
    </xf>
    <xf numFmtId="0" fontId="49" fillId="0" borderId="0">
      <alignment horizontal="left"/>
    </xf>
    <xf numFmtId="0" fontId="50" fillId="0" borderId="0" applyNumberFormat="0" applyFill="0" applyBorder="0" applyAlignment="0" applyProtection="0"/>
    <xf numFmtId="0" fontId="51" fillId="0" borderId="37" applyNumberFormat="0" applyFill="0" applyAlignment="0" applyProtection="0"/>
    <xf numFmtId="0" fontId="52" fillId="0" borderId="0" applyNumberFormat="0" applyFill="0" applyBorder="0" applyAlignment="0" applyProtection="0"/>
    <xf numFmtId="0" fontId="0" fillId="0" borderId="0"/>
    <xf numFmtId="0" fontId="53" fillId="0" borderId="0">
      <alignment vertical="center"/>
    </xf>
    <xf numFmtId="0" fontId="11" fillId="0" borderId="0">
      <alignment vertical="center"/>
    </xf>
    <xf numFmtId="0" fontId="0" fillId="0" borderId="0"/>
    <xf numFmtId="0" fontId="9" fillId="0" borderId="0" applyNumberFormat="0" applyFill="0" applyBorder="0" applyAlignment="0" applyProtection="0"/>
  </cellStyleXfs>
  <cellXfs count="89">
    <xf numFmtId="0" fontId="0" fillId="0" borderId="0" xfId="0">
      <alignment vertical="center"/>
    </xf>
    <xf numFmtId="0" fontId="0" fillId="0" borderId="0" xfId="0" applyAlignment="1"/>
    <xf numFmtId="1" fontId="0" fillId="0" borderId="0" xfId="0" applyNumberFormat="1" applyAlignment="1"/>
    <xf numFmtId="0" fontId="1" fillId="0" borderId="0" xfId="0" applyFont="1" applyAlignment="1"/>
    <xf numFmtId="0" fontId="0" fillId="0" borderId="0" xfId="112"/>
    <xf numFmtId="1" fontId="0" fillId="0" borderId="0" xfId="0" applyNumberFormat="1" applyFont="1" applyFill="1" applyAlignment="1"/>
    <xf numFmtId="0" fontId="1" fillId="0" borderId="0" xfId="112" applyFont="1"/>
    <xf numFmtId="177" fontId="0" fillId="0" borderId="0" xfId="112" applyNumberFormat="1" applyFont="1" applyFill="1" applyAlignment="1"/>
    <xf numFmtId="11" fontId="0" fillId="0" borderId="0" xfId="0" applyNumberFormat="1">
      <alignment vertical="center"/>
    </xf>
    <xf numFmtId="11" fontId="0" fillId="2" borderId="0" xfId="0" applyNumberFormat="1" applyFill="1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6" applyFo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178" fontId="0" fillId="0" borderId="0" xfId="0" applyNumberFormat="1">
      <alignment vertical="center"/>
    </xf>
    <xf numFmtId="178" fontId="3" fillId="0" borderId="0" xfId="0" applyNumberFormat="1" applyFont="1">
      <alignment vertical="center"/>
    </xf>
    <xf numFmtId="9" fontId="3" fillId="0" borderId="0" xfId="3" applyFont="1">
      <alignment vertical="center"/>
    </xf>
    <xf numFmtId="0" fontId="2" fillId="4" borderId="0" xfId="0" applyFont="1" applyFill="1">
      <alignment vertical="center"/>
    </xf>
    <xf numFmtId="9" fontId="0" fillId="0" borderId="0" xfId="3">
      <alignment vertical="center"/>
    </xf>
    <xf numFmtId="9" fontId="0" fillId="5" borderId="0" xfId="3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9" fillId="0" borderId="0" xfId="6">
      <alignment vertical="center"/>
    </xf>
    <xf numFmtId="0" fontId="2" fillId="6" borderId="0" xfId="0" applyFont="1" applyFill="1">
      <alignment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9" fontId="0" fillId="0" borderId="0" xfId="0" applyNumberFormat="1">
      <alignment vertical="center"/>
    </xf>
    <xf numFmtId="178" fontId="2" fillId="7" borderId="0" xfId="0" applyNumberFormat="1" applyFont="1" applyFill="1">
      <alignment vertical="center"/>
    </xf>
    <xf numFmtId="177" fontId="10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0" fillId="6" borderId="0" xfId="0" applyFill="1">
      <alignment vertical="center"/>
    </xf>
    <xf numFmtId="0" fontId="0" fillId="0" borderId="1" xfId="0" applyBorder="1" applyAlignment="1"/>
    <xf numFmtId="0" fontId="0" fillId="0" borderId="2" xfId="0" applyBorder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/>
    <xf numFmtId="178" fontId="0" fillId="0" borderId="7" xfId="0" applyNumberFormat="1" applyBorder="1" applyAlignment="1">
      <alignment horizontal="right"/>
    </xf>
    <xf numFmtId="178" fontId="0" fillId="0" borderId="8" xfId="0" applyNumberFormat="1" applyBorder="1" applyAlignment="1">
      <alignment horizontal="right"/>
    </xf>
    <xf numFmtId="178" fontId="3" fillId="0" borderId="8" xfId="0" applyNumberFormat="1" applyFont="1" applyBorder="1" applyAlignment="1">
      <alignment horizontal="right"/>
    </xf>
    <xf numFmtId="178" fontId="0" fillId="0" borderId="8" xfId="0" applyNumberForma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/>
    <xf numFmtId="179" fontId="0" fillId="0" borderId="11" xfId="0" applyNumberFormat="1" applyBorder="1" applyAlignment="1">
      <alignment horizontal="right"/>
    </xf>
    <xf numFmtId="179" fontId="0" fillId="0" borderId="12" xfId="0" applyNumberFormat="1" applyBorder="1" applyAlignment="1">
      <alignment horizontal="right"/>
    </xf>
    <xf numFmtId="179" fontId="3" fillId="0" borderId="12" xfId="0" applyNumberFormat="1" applyFont="1" applyBorder="1" applyAlignment="1">
      <alignment horizontal="right"/>
    </xf>
    <xf numFmtId="179" fontId="0" fillId="0" borderId="12" xfId="0" applyNumberForma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/>
    <xf numFmtId="179" fontId="0" fillId="0" borderId="15" xfId="0" applyNumberFormat="1" applyBorder="1" applyAlignment="1">
      <alignment horizontal="right"/>
    </xf>
    <xf numFmtId="179" fontId="0" fillId="0" borderId="16" xfId="0" applyNumberFormat="1" applyBorder="1" applyAlignment="1">
      <alignment horizontal="right"/>
    </xf>
    <xf numFmtId="179" fontId="10" fillId="0" borderId="16" xfId="0" applyNumberFormat="1" applyFont="1" applyBorder="1" applyAlignment="1">
      <alignment horizontal="right"/>
    </xf>
    <xf numFmtId="179" fontId="2" fillId="0" borderId="16" xfId="0" applyNumberFormat="1" applyFont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178" fontId="3" fillId="0" borderId="8" xfId="0" applyNumberFormat="1" applyFont="1" applyBorder="1" applyAlignment="1">
      <alignment horizontal="right" vertical="center"/>
    </xf>
    <xf numFmtId="0" fontId="0" fillId="0" borderId="9" xfId="0" applyBorder="1" applyAlignment="1">
      <alignment horizontal="center" vertical="center" wrapText="1"/>
    </xf>
    <xf numFmtId="179" fontId="3" fillId="0" borderId="12" xfId="0" applyNumberFormat="1" applyFont="1" applyBorder="1" applyAlignment="1">
      <alignment horizontal="right" vertical="center"/>
    </xf>
    <xf numFmtId="0" fontId="0" fillId="0" borderId="13" xfId="0" applyBorder="1" applyAlignment="1">
      <alignment horizontal="center" vertical="center" wrapText="1"/>
    </xf>
    <xf numFmtId="0" fontId="0" fillId="4" borderId="0" xfId="0" applyFill="1">
      <alignment vertical="center"/>
    </xf>
    <xf numFmtId="178" fontId="0" fillId="6" borderId="0" xfId="0" applyNumberFormat="1" applyFill="1">
      <alignment vertical="center"/>
    </xf>
    <xf numFmtId="0" fontId="2" fillId="0" borderId="2" xfId="0" applyFont="1" applyBorder="1" applyAlignment="1">
      <alignment horizontal="center" vertical="center"/>
    </xf>
    <xf numFmtId="178" fontId="0" fillId="0" borderId="6" xfId="0" applyNumberFormat="1" applyBorder="1" applyAlignment="1">
      <alignment horizontal="right" vertical="center"/>
    </xf>
    <xf numFmtId="179" fontId="0" fillId="0" borderId="10" xfId="0" applyNumberFormat="1" applyBorder="1" applyAlignment="1">
      <alignment horizontal="right" vertical="center"/>
    </xf>
    <xf numFmtId="179" fontId="0" fillId="0" borderId="14" xfId="0" applyNumberForma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>
      <alignment vertical="center"/>
    </xf>
    <xf numFmtId="177" fontId="0" fillId="0" borderId="12" xfId="0" applyNumberFormat="1" applyBorder="1">
      <alignment vertical="center"/>
    </xf>
    <xf numFmtId="178" fontId="0" fillId="0" borderId="12" xfId="0" applyNumberFormat="1" applyBorder="1">
      <alignment vertical="center"/>
    </xf>
    <xf numFmtId="178" fontId="0" fillId="0" borderId="12" xfId="0" applyNumberForma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0" fontId="4" fillId="0" borderId="0" xfId="6" applyFont="1" applyAlignment="1">
      <alignment horizontal="left" vertical="center"/>
    </xf>
    <xf numFmtId="0" fontId="14" fillId="0" borderId="0" xfId="0" applyFont="1">
      <alignment vertical="center"/>
    </xf>
    <xf numFmtId="0" fontId="2" fillId="0" borderId="0" xfId="115" applyFont="1"/>
    <xf numFmtId="0" fontId="0" fillId="0" borderId="0" xfId="115" applyAlignment="1">
      <alignment horizontal="left"/>
    </xf>
    <xf numFmtId="0" fontId="0" fillId="0" borderId="0" xfId="115"/>
  </cellXfs>
  <cellStyles count="11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 2" xfId="49"/>
    <cellStyle name="20% - Accent2 2" xfId="50"/>
    <cellStyle name="20% - Accent3 2" xfId="51"/>
    <cellStyle name="20% - Accent4 2" xfId="52"/>
    <cellStyle name="20% - Accent5 2" xfId="53"/>
    <cellStyle name="20% - Accent6 2" xfId="54"/>
    <cellStyle name="40% - Accent1 2" xfId="55"/>
    <cellStyle name="40% - Accent2 2" xfId="56"/>
    <cellStyle name="40% - Accent3 2" xfId="57"/>
    <cellStyle name="40% - Accent4 2" xfId="58"/>
    <cellStyle name="40% - Accent5 2" xfId="59"/>
    <cellStyle name="40% - Accent6 2" xfId="60"/>
    <cellStyle name="60% - Accent1 2" xfId="61"/>
    <cellStyle name="60% - Accent2 2" xfId="62"/>
    <cellStyle name="60% - Accent3 2" xfId="63"/>
    <cellStyle name="60% - Accent4 2" xfId="64"/>
    <cellStyle name="60% - Accent5 2" xfId="65"/>
    <cellStyle name="60% - Accent6 2" xfId="66"/>
    <cellStyle name="Accent1 2" xfId="67"/>
    <cellStyle name="Accent2 2" xfId="68"/>
    <cellStyle name="Accent3 2" xfId="69"/>
    <cellStyle name="Accent4 2" xfId="70"/>
    <cellStyle name="Accent5 2" xfId="71"/>
    <cellStyle name="Accent6 2" xfId="72"/>
    <cellStyle name="Bad 2" xfId="73"/>
    <cellStyle name="Body: normal cell" xfId="74"/>
    <cellStyle name="Body: normal cell 2" xfId="75"/>
    <cellStyle name="Calculation 2" xfId="76"/>
    <cellStyle name="Check Cell 2" xfId="77"/>
    <cellStyle name="Euro" xfId="78"/>
    <cellStyle name="Explanatory Text 2" xfId="79"/>
    <cellStyle name="Font: Calibri, 9pt regular" xfId="80"/>
    <cellStyle name="Font: Calibri, 9pt regular 2" xfId="81"/>
    <cellStyle name="Footnotes: top row" xfId="82"/>
    <cellStyle name="Footnotes: top row 2" xfId="83"/>
    <cellStyle name="Good 2" xfId="84"/>
    <cellStyle name="Header: bottom row" xfId="85"/>
    <cellStyle name="Header: bottom row 2" xfId="86"/>
    <cellStyle name="Heading 1 2" xfId="87"/>
    <cellStyle name="Heading 2 2" xfId="88"/>
    <cellStyle name="Heading 3 2" xfId="89"/>
    <cellStyle name="Heading 4 2" xfId="90"/>
    <cellStyle name="Input 2" xfId="91"/>
    <cellStyle name="Linked Cell 2" xfId="92"/>
    <cellStyle name="Neutral 2" xfId="93"/>
    <cellStyle name="Normal 2" xfId="94"/>
    <cellStyle name="Normal 2 2" xfId="95"/>
    <cellStyle name="Normal 2 3" xfId="96"/>
    <cellStyle name="Normal 2 4" xfId="97"/>
    <cellStyle name="Normal 2 5" xfId="98"/>
    <cellStyle name="Normal 2 6" xfId="99"/>
    <cellStyle name="Normal 3" xfId="100"/>
    <cellStyle name="Normal 4" xfId="101"/>
    <cellStyle name="Normal 5" xfId="102"/>
    <cellStyle name="Note 2" xfId="103"/>
    <cellStyle name="Output 2" xfId="104"/>
    <cellStyle name="Parent row" xfId="105"/>
    <cellStyle name="Parent row 2" xfId="106"/>
    <cellStyle name="Table title" xfId="107"/>
    <cellStyle name="Table title 2" xfId="108"/>
    <cellStyle name="Title 2" xfId="109"/>
    <cellStyle name="Total 2" xfId="110"/>
    <cellStyle name="Warning Text 2" xfId="111"/>
    <cellStyle name="常规 2" xfId="112"/>
    <cellStyle name="常规 2 2" xfId="113"/>
    <cellStyle name="常规 3" xfId="114"/>
    <cellStyle name="常规 4" xfId="115"/>
    <cellStyle name="超链接 2" xfId="11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[1]Sheet1!$H$2:$H$11</c:f>
              <c:strCache>
                <c:ptCount val="10"/>
                <c:pt idx="0">
                  <c:v>江苏</c:v>
                </c:pt>
                <c:pt idx="1">
                  <c:v>福建</c:v>
                </c:pt>
                <c:pt idx="2">
                  <c:v>河南</c:v>
                </c:pt>
                <c:pt idx="3">
                  <c:v>湖南</c:v>
                </c:pt>
                <c:pt idx="4">
                  <c:v>青海</c:v>
                </c:pt>
                <c:pt idx="5">
                  <c:v>广东</c:v>
                </c:pt>
                <c:pt idx="6">
                  <c:v>浙江</c:v>
                </c:pt>
                <c:pt idx="7">
                  <c:v>北京</c:v>
                </c:pt>
                <c:pt idx="8">
                  <c:v>天津</c:v>
                </c:pt>
                <c:pt idx="9">
                  <c:v>河北</c:v>
                </c:pt>
              </c:strCache>
            </c:strRef>
          </c:cat>
          <c:val>
            <c:numRef>
              <c:f>[1]Sheet1!$I$2:$I$11</c:f>
              <c:numCache>
                <c:formatCode>General</c:formatCode>
                <c:ptCount val="10"/>
                <c:pt idx="0">
                  <c:v>437.72</c:v>
                </c:pt>
                <c:pt idx="1">
                  <c:v>330</c:v>
                </c:pt>
                <c:pt idx="2">
                  <c:v>110.4</c:v>
                </c:pt>
                <c:pt idx="3">
                  <c:v>60</c:v>
                </c:pt>
                <c:pt idx="4">
                  <c:v>48</c:v>
                </c:pt>
                <c:pt idx="5">
                  <c:v>27.187</c:v>
                </c:pt>
                <c:pt idx="6">
                  <c:v>22.5</c:v>
                </c:pt>
                <c:pt idx="7">
                  <c:v>19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e9b9763-9943-4e2d-aa8a-8b668175fd6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CNESA!$F$47:$Q$47</c:f>
              <c:numCache>
                <c:formatCode>General</c:formatCode>
                <c:ptCount val="12"/>
                <c:pt idx="0">
                  <c:v>2016</c:v>
                </c:pt>
                <c:pt idx="1" c:formatCode="0_ ">
                  <c:v>2017</c:v>
                </c:pt>
                <c:pt idx="2">
                  <c:v>2018</c:v>
                </c:pt>
                <c:pt idx="3" c:formatCode="0_ ">
                  <c:v>2019</c:v>
                </c:pt>
                <c:pt idx="4">
                  <c:v>2020</c:v>
                </c:pt>
                <c:pt idx="5" c:formatCode="0_ ">
                  <c:v>2021</c:v>
                </c:pt>
                <c:pt idx="6">
                  <c:v>2022</c:v>
                </c:pt>
                <c:pt idx="7" c:formatCode="0_ ">
                  <c:v>2023</c:v>
                </c:pt>
                <c:pt idx="8">
                  <c:v>2024</c:v>
                </c:pt>
                <c:pt idx="9" c:formatCode="0_ ">
                  <c:v>2025</c:v>
                </c:pt>
                <c:pt idx="10">
                  <c:v>2026</c:v>
                </c:pt>
                <c:pt idx="11" c:formatCode="0_ ">
                  <c:v>2050</c:v>
                </c:pt>
              </c:numCache>
            </c:numRef>
          </c:xVal>
          <c:yVal>
            <c:numRef>
              <c:f>CNESA!$F$49:$Q$49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308</c:v>
                </c:pt>
                <c:pt idx="3">
                  <c:v>411</c:v>
                </c:pt>
                <c:pt idx="4" c:formatCode="0_ ">
                  <c:v>673</c:v>
                </c:pt>
                <c:pt idx="5" c:formatCode="0_ ">
                  <c:v>2181.2</c:v>
                </c:pt>
                <c:pt idx="6" c:formatCode="0_ ">
                  <c:v>6666.2</c:v>
                </c:pt>
                <c:pt idx="7" c:formatCode="0_ ">
                  <c:v>10056.2</c:v>
                </c:pt>
                <c:pt idx="8" c:formatCode="0_ ">
                  <c:v>16346.2</c:v>
                </c:pt>
                <c:pt idx="9">
                  <c:v>26135.8444571895</c:v>
                </c:pt>
                <c:pt idx="10">
                  <c:v>37081.4039053336</c:v>
                </c:pt>
                <c:pt idx="11">
                  <c:v>210000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428960"/>
        <c:axId val="640428544"/>
      </c:scatterChart>
      <c:valAx>
        <c:axId val="64042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428544"/>
        <c:crosses val="autoZero"/>
        <c:crossBetween val="midCat"/>
      </c:valAx>
      <c:valAx>
        <c:axId val="6404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42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f81da65-cc2e-4bb7-bfb7-ba55ac14d90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6753280839895"/>
          <c:y val="0.129721329928315"/>
          <c:w val="0.873795738767948"/>
          <c:h val="0.646146732089708"/>
        </c:manualLayout>
      </c:layout>
      <c:scatterChart>
        <c:scatterStyle val="line"/>
        <c:varyColors val="0"/>
        <c:ser>
          <c:idx val="0"/>
          <c:order val="0"/>
          <c:tx>
            <c:strRef>
              <c:f>CNESA!$B$34</c:f>
              <c:strCache>
                <c:ptCount val="1"/>
                <c:pt idx="0">
                  <c:v>2024 Conservative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CNESA!$C$1:$T$1</c:f>
              <c:numCache>
                <c:formatCode>General</c:formatCode>
                <c:ptCount val="1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</c:numCache>
            </c:numRef>
          </c:xVal>
          <c:yVal>
            <c:numRef>
              <c:f>CNESA!$C$34:$T$34</c:f>
              <c:numCache>
                <c:formatCode>0_);[Red]\(0\)</c:formatCode>
                <c:ptCount val="18"/>
                <c:pt idx="0">
                  <c:v>44</c:v>
                </c:pt>
                <c:pt idx="1">
                  <c:v>71</c:v>
                </c:pt>
                <c:pt idx="2">
                  <c:v>132</c:v>
                </c:pt>
                <c:pt idx="3">
                  <c:v>243</c:v>
                </c:pt>
                <c:pt idx="4">
                  <c:v>389.8</c:v>
                </c:pt>
                <c:pt idx="5">
                  <c:v>1072.7</c:v>
                </c:pt>
                <c:pt idx="6">
                  <c:v>1709.6</c:v>
                </c:pt>
                <c:pt idx="7">
                  <c:v>3269.2</c:v>
                </c:pt>
                <c:pt idx="8">
                  <c:v>5729.7</c:v>
                </c:pt>
                <c:pt idx="9">
                  <c:v>13076.8</c:v>
                </c:pt>
                <c:pt idx="10">
                  <c:v>34509.1</c:v>
                </c:pt>
                <c:pt idx="11">
                  <c:v>64620</c:v>
                </c:pt>
                <c:pt idx="15">
                  <c:v>168700</c:v>
                </c:pt>
                <c:pt idx="17">
                  <c:v>221180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CNESA!$B$35</c:f>
              <c:strCache>
                <c:ptCount val="1"/>
                <c:pt idx="0">
                  <c:v>2024 Aggressive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CNESA!$C$1:$T$1</c:f>
              <c:numCache>
                <c:formatCode>General</c:formatCode>
                <c:ptCount val="1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</c:numCache>
            </c:numRef>
          </c:xVal>
          <c:yVal>
            <c:numRef>
              <c:f>CNESA!$C$35:$T$35</c:f>
              <c:numCache>
                <c:formatCode>0_);[Red]\(0\)</c:formatCode>
                <c:ptCount val="18"/>
                <c:pt idx="0">
                  <c:v>44</c:v>
                </c:pt>
                <c:pt idx="1">
                  <c:v>71</c:v>
                </c:pt>
                <c:pt idx="2">
                  <c:v>132</c:v>
                </c:pt>
                <c:pt idx="3">
                  <c:v>243</c:v>
                </c:pt>
                <c:pt idx="4">
                  <c:v>389.8</c:v>
                </c:pt>
                <c:pt idx="5">
                  <c:v>1072.7</c:v>
                </c:pt>
                <c:pt idx="6">
                  <c:v>1709.6</c:v>
                </c:pt>
                <c:pt idx="7">
                  <c:v>3269.2</c:v>
                </c:pt>
                <c:pt idx="8">
                  <c:v>5729.7</c:v>
                </c:pt>
                <c:pt idx="9">
                  <c:v>13076.8</c:v>
                </c:pt>
                <c:pt idx="10">
                  <c:v>34509.1</c:v>
                </c:pt>
                <c:pt idx="11">
                  <c:v>75710</c:v>
                </c:pt>
                <c:pt idx="15">
                  <c:v>220900</c:v>
                </c:pt>
                <c:pt idx="17">
                  <c:v>313860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CNESA!$B$36</c:f>
              <c:strCache>
                <c:ptCount val="1"/>
                <c:pt idx="0">
                  <c:v>2023 Conservative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CNESA!$C$1:$T$1</c:f>
              <c:numCache>
                <c:formatCode>General</c:formatCode>
                <c:ptCount val="1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</c:numCache>
            </c:numRef>
          </c:xVal>
          <c:yVal>
            <c:numRef>
              <c:f>CNESA!$C$36:$T$36</c:f>
              <c:numCache>
                <c:formatCode>0_);[Red]\(0\)</c:formatCode>
                <c:ptCount val="18"/>
                <c:pt idx="0">
                  <c:v>44</c:v>
                </c:pt>
                <c:pt idx="1">
                  <c:v>71</c:v>
                </c:pt>
                <c:pt idx="2">
                  <c:v>132</c:v>
                </c:pt>
                <c:pt idx="3">
                  <c:v>243</c:v>
                </c:pt>
                <c:pt idx="4">
                  <c:v>389.8</c:v>
                </c:pt>
                <c:pt idx="5">
                  <c:v>1072.7</c:v>
                </c:pt>
                <c:pt idx="6">
                  <c:v>1709.6</c:v>
                </c:pt>
                <c:pt idx="7">
                  <c:v>3269.2</c:v>
                </c:pt>
                <c:pt idx="8">
                  <c:v>5729.7</c:v>
                </c:pt>
                <c:pt idx="9">
                  <c:v>13076.8</c:v>
                </c:pt>
                <c:pt idx="10">
                  <c:v>23460.8</c:v>
                </c:pt>
                <c:pt idx="14">
                  <c:v>97008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CNESA!$B$37</c:f>
              <c:strCache>
                <c:ptCount val="1"/>
                <c:pt idx="0">
                  <c:v>2023 Aggressive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CNESA!$C$1:$T$1</c:f>
              <c:numCache>
                <c:formatCode>General</c:formatCode>
                <c:ptCount val="1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</c:numCache>
            </c:numRef>
          </c:xVal>
          <c:yVal>
            <c:numRef>
              <c:f>CNESA!$C$37:$T$37</c:f>
              <c:numCache>
                <c:formatCode>0_);[Red]\(0\)</c:formatCode>
                <c:ptCount val="18"/>
                <c:pt idx="0">
                  <c:v>44</c:v>
                </c:pt>
                <c:pt idx="1">
                  <c:v>71</c:v>
                </c:pt>
                <c:pt idx="2">
                  <c:v>132</c:v>
                </c:pt>
                <c:pt idx="3">
                  <c:v>243</c:v>
                </c:pt>
                <c:pt idx="4">
                  <c:v>389.8</c:v>
                </c:pt>
                <c:pt idx="5">
                  <c:v>1072.7</c:v>
                </c:pt>
                <c:pt idx="6">
                  <c:v>1709.6</c:v>
                </c:pt>
                <c:pt idx="7">
                  <c:v>3269.2</c:v>
                </c:pt>
                <c:pt idx="8">
                  <c:v>5729.7</c:v>
                </c:pt>
                <c:pt idx="9">
                  <c:v>13076.8</c:v>
                </c:pt>
                <c:pt idx="10">
                  <c:v>31271.8</c:v>
                </c:pt>
                <c:pt idx="14">
                  <c:v>138386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CNESA!$B$38</c:f>
              <c:strCache>
                <c:ptCount val="1"/>
                <c:pt idx="0">
                  <c:v>2022 Conservative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CNESA!$C$1:$T$1</c:f>
              <c:numCache>
                <c:formatCode>General</c:formatCode>
                <c:ptCount val="1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</c:numCache>
            </c:numRef>
          </c:xVal>
          <c:yVal>
            <c:numRef>
              <c:f>CNESA!$C$38:$T$38</c:f>
              <c:numCache>
                <c:formatCode>0_);[Red]\(0\)</c:formatCode>
                <c:ptCount val="18"/>
                <c:pt idx="0">
                  <c:v>44</c:v>
                </c:pt>
                <c:pt idx="1">
                  <c:v>71</c:v>
                </c:pt>
                <c:pt idx="2">
                  <c:v>132</c:v>
                </c:pt>
                <c:pt idx="3">
                  <c:v>243</c:v>
                </c:pt>
                <c:pt idx="4">
                  <c:v>389.8</c:v>
                </c:pt>
                <c:pt idx="5">
                  <c:v>1072.7</c:v>
                </c:pt>
                <c:pt idx="6">
                  <c:v>1709.6</c:v>
                </c:pt>
                <c:pt idx="7">
                  <c:v>3269.2</c:v>
                </c:pt>
                <c:pt idx="8">
                  <c:v>5729.7</c:v>
                </c:pt>
                <c:pt idx="9">
                  <c:v>9531.7</c:v>
                </c:pt>
                <c:pt idx="10">
                  <c:v>15260</c:v>
                </c:pt>
                <c:pt idx="11">
                  <c:v>23750</c:v>
                </c:pt>
                <c:pt idx="12">
                  <c:v>35440</c:v>
                </c:pt>
                <c:pt idx="13">
                  <c:v>48510.3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CNESA!$B$39</c:f>
              <c:strCache>
                <c:ptCount val="1"/>
                <c:pt idx="0">
                  <c:v>2022 Aggressive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CNESA!$C$1:$T$1</c:f>
              <c:numCache>
                <c:formatCode>General</c:formatCode>
                <c:ptCount val="1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</c:numCache>
            </c:numRef>
          </c:xVal>
          <c:yVal>
            <c:numRef>
              <c:f>CNESA!$C$39:$T$39</c:f>
              <c:numCache>
                <c:formatCode>0_);[Red]\(0\)</c:formatCode>
                <c:ptCount val="18"/>
                <c:pt idx="0">
                  <c:v>44</c:v>
                </c:pt>
                <c:pt idx="1">
                  <c:v>71</c:v>
                </c:pt>
                <c:pt idx="2">
                  <c:v>132</c:v>
                </c:pt>
                <c:pt idx="3">
                  <c:v>243</c:v>
                </c:pt>
                <c:pt idx="4">
                  <c:v>389.8</c:v>
                </c:pt>
                <c:pt idx="5">
                  <c:v>1072.7</c:v>
                </c:pt>
                <c:pt idx="6">
                  <c:v>1709.6</c:v>
                </c:pt>
                <c:pt idx="7">
                  <c:v>3269.2</c:v>
                </c:pt>
                <c:pt idx="8">
                  <c:v>5729.7</c:v>
                </c:pt>
                <c:pt idx="9">
                  <c:v>11192.3</c:v>
                </c:pt>
                <c:pt idx="10">
                  <c:v>18240</c:v>
                </c:pt>
                <c:pt idx="11">
                  <c:v>32530</c:v>
                </c:pt>
                <c:pt idx="12">
                  <c:v>56100</c:v>
                </c:pt>
                <c:pt idx="13">
                  <c:v>79535.4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CNESA!$B$40</c:f>
              <c:strCache>
                <c:ptCount val="1"/>
                <c:pt idx="0">
                  <c:v>2021 Conservative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CNESA!$C$1:$T$1</c:f>
              <c:numCache>
                <c:formatCode>General</c:formatCode>
                <c:ptCount val="1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</c:numCache>
            </c:numRef>
          </c:xVal>
          <c:yVal>
            <c:numRef>
              <c:f>CNESA!$C$40:$T$40</c:f>
              <c:numCache>
                <c:formatCode>0_);[Red]\(0\)</c:formatCode>
                <c:ptCount val="18"/>
                <c:pt idx="0">
                  <c:v>44</c:v>
                </c:pt>
                <c:pt idx="1">
                  <c:v>71</c:v>
                </c:pt>
                <c:pt idx="2">
                  <c:v>132</c:v>
                </c:pt>
                <c:pt idx="3">
                  <c:v>243</c:v>
                </c:pt>
                <c:pt idx="4">
                  <c:v>389.8</c:v>
                </c:pt>
                <c:pt idx="5">
                  <c:v>1072.7</c:v>
                </c:pt>
                <c:pt idx="6">
                  <c:v>1709.6</c:v>
                </c:pt>
                <c:pt idx="7">
                  <c:v>3269.2</c:v>
                </c:pt>
                <c:pt idx="8">
                  <c:v>5790.8</c:v>
                </c:pt>
                <c:pt idx="12">
                  <c:v>35519.1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CNESA!$B$41</c:f>
              <c:strCache>
                <c:ptCount val="1"/>
                <c:pt idx="0">
                  <c:v>2021 Aggressive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CNESA!$C$1:$T$1</c:f>
              <c:numCache>
                <c:formatCode>General</c:formatCode>
                <c:ptCount val="1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</c:numCache>
            </c:numRef>
          </c:xVal>
          <c:yVal>
            <c:numRef>
              <c:f>CNESA!$C$41:$T$41</c:f>
              <c:numCache>
                <c:formatCode>0_);[Red]\(0\)</c:formatCode>
                <c:ptCount val="18"/>
                <c:pt idx="0">
                  <c:v>44</c:v>
                </c:pt>
                <c:pt idx="1">
                  <c:v>71</c:v>
                </c:pt>
                <c:pt idx="2">
                  <c:v>132</c:v>
                </c:pt>
                <c:pt idx="3">
                  <c:v>243</c:v>
                </c:pt>
                <c:pt idx="4">
                  <c:v>389.8</c:v>
                </c:pt>
                <c:pt idx="5">
                  <c:v>1072.7</c:v>
                </c:pt>
                <c:pt idx="6">
                  <c:v>1709.6</c:v>
                </c:pt>
                <c:pt idx="7">
                  <c:v>3269.2</c:v>
                </c:pt>
                <c:pt idx="8">
                  <c:v>6614.8</c:v>
                </c:pt>
                <c:pt idx="12">
                  <c:v>55883.2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CNESA!$B$42</c:f>
              <c:strCache>
                <c:ptCount val="1"/>
                <c:pt idx="0">
                  <c:v>2020 Conservative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CNESA!$C$1:$T$1</c:f>
              <c:numCache>
                <c:formatCode>General</c:formatCode>
                <c:ptCount val="1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</c:numCache>
            </c:numRef>
          </c:xVal>
          <c:yVal>
            <c:numRef>
              <c:f>CNESA!$C$42:$T$42</c:f>
              <c:numCache>
                <c:formatCode>0_);[Red]\(0\)</c:formatCode>
                <c:ptCount val="18"/>
                <c:pt idx="0">
                  <c:v>44</c:v>
                </c:pt>
                <c:pt idx="1">
                  <c:v>71</c:v>
                </c:pt>
                <c:pt idx="2">
                  <c:v>132</c:v>
                </c:pt>
                <c:pt idx="3">
                  <c:v>243</c:v>
                </c:pt>
                <c:pt idx="4">
                  <c:v>389.8</c:v>
                </c:pt>
                <c:pt idx="5">
                  <c:v>1072.7</c:v>
                </c:pt>
                <c:pt idx="6">
                  <c:v>1709.6</c:v>
                </c:pt>
                <c:pt idx="7">
                  <c:v>2726.7</c:v>
                </c:pt>
                <c:pt idx="11">
                  <c:v>15529.9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CNESA!$B$43</c:f>
              <c:strCache>
                <c:ptCount val="1"/>
                <c:pt idx="0">
                  <c:v>2020 Aggressive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CNESA!$C$1:$T$1</c:f>
              <c:numCache>
                <c:formatCode>General</c:formatCode>
                <c:ptCount val="1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</c:numCache>
            </c:numRef>
          </c:xVal>
          <c:yVal>
            <c:numRef>
              <c:f>CNESA!$C$43:$T$43</c:f>
              <c:numCache>
                <c:formatCode>0_);[Red]\(0\)</c:formatCode>
                <c:ptCount val="18"/>
                <c:pt idx="0">
                  <c:v>44</c:v>
                </c:pt>
                <c:pt idx="1">
                  <c:v>71</c:v>
                </c:pt>
                <c:pt idx="2">
                  <c:v>132</c:v>
                </c:pt>
                <c:pt idx="3">
                  <c:v>243</c:v>
                </c:pt>
                <c:pt idx="4">
                  <c:v>389.8</c:v>
                </c:pt>
                <c:pt idx="5">
                  <c:v>1072.7</c:v>
                </c:pt>
                <c:pt idx="6">
                  <c:v>1709.6</c:v>
                </c:pt>
                <c:pt idx="7">
                  <c:v>3092.2</c:v>
                </c:pt>
                <c:pt idx="11">
                  <c:v>23834.8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537376"/>
        <c:axId val="1395534976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CNESA!$B$44</c15:sqref>
                        </c15:formulaRef>
                      </c:ext>
                    </c:extLst>
                    <c:strCache>
                      <c:ptCount val="1"/>
                      <c:pt idx="0">
                        <c:v>2019 Projection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18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  <c:pt idx="10">
                        <c:v>2023</c:v>
                      </c:pt>
                      <c:pt idx="11">
                        <c:v>2024</c:v>
                      </c:pt>
                      <c:pt idx="12">
                        <c:v>2025</c:v>
                      </c:pt>
                      <c:pt idx="13">
                        <c:v>2026</c:v>
                      </c:pt>
                      <c:pt idx="14">
                        <c:v>2027</c:v>
                      </c:pt>
                      <c:pt idx="15">
                        <c:v>2028</c:v>
                      </c:pt>
                      <c:pt idx="16">
                        <c:v>2029</c:v>
                      </c:pt>
                      <c:pt idx="17">
                        <c:v>2030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8"/>
                      <c:pt idx="0">
                        <c:v>44</c:v>
                      </c:pt>
                      <c:pt idx="1">
                        <c:v>71</c:v>
                      </c:pt>
                      <c:pt idx="2">
                        <c:v>132</c:v>
                      </c:pt>
                      <c:pt idx="3">
                        <c:v>243</c:v>
                      </c:pt>
                      <c:pt idx="4">
                        <c:v>389.8</c:v>
                      </c:pt>
                      <c:pt idx="5">
                        <c:v>1072.7</c:v>
                      </c:pt>
                      <c:pt idx="6">
                        <c:v>1914.5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19319.2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395537376"/>
        <c:scaling>
          <c:orientation val="minMax"/>
          <c:max val="2025"/>
          <c:min val="20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5534976"/>
        <c:crosses val="autoZero"/>
        <c:crossBetween val="midCat"/>
      </c:valAx>
      <c:valAx>
        <c:axId val="1395534976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553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6465713981632"/>
          <c:w val="1"/>
          <c:h val="0.153559252189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  <c:extLst>
      <c:ext uri="{0b15fc19-7d7d-44ad-8c2d-2c3a37ce22c3}">
        <chartProps xmlns="https://web.wps.cn/et/2018/main" chartId="{ca6aa92e-9a8d-4079-bd3b-7747d53a1db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Estimated Energy Storage Capcity under Noval</a:t>
            </a:r>
            <a:r>
              <a:rPr lang="en-US" altLang="zh-CN" baseline="0"/>
              <a:t> Power System Development</a:t>
            </a:r>
            <a:endParaRPr lang="en-US" altLang="zh-CN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41502624671916"/>
          <c:y val="0.180393700787402"/>
          <c:w val="0.885294181977253"/>
          <c:h val="0.6063035870516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'CN LT Forecast'!$A$3</c:f>
              <c:strCache>
                <c:ptCount val="1"/>
                <c:pt idx="0">
                  <c:v>Pumped Hydro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'CN LT Forecast'!$B$2:$F$2</c:f>
              <c:numCache>
                <c:formatCode>General</c:formatCode>
                <c:ptCount val="5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'CN LT Forecast'!$B$3:$F$3</c:f>
              <c:numCache>
                <c:formatCode>General</c:formatCode>
                <c:ptCount val="5"/>
                <c:pt idx="0">
                  <c:v>67000</c:v>
                </c:pt>
                <c:pt idx="1">
                  <c:v>145000</c:v>
                </c:pt>
                <c:pt idx="2">
                  <c:v>234000</c:v>
                </c:pt>
                <c:pt idx="3">
                  <c:v>323000</c:v>
                </c:pt>
                <c:pt idx="4">
                  <c:v>412000</c:v>
                </c:pt>
              </c:numCache>
            </c:numRef>
          </c:val>
        </c:ser>
        <c:ser>
          <c:idx val="1"/>
          <c:order val="1"/>
          <c:tx>
            <c:strRef>
              <c:f>'CN LT Forecast'!$A$4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'CN LT Forecast'!$B$2:$F$2</c:f>
              <c:numCache>
                <c:formatCode>General</c:formatCode>
                <c:ptCount val="5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'CN LT Forecast'!$B$4:$F$4</c:f>
              <c:numCache>
                <c:formatCode>General</c:formatCode>
                <c:ptCount val="5"/>
                <c:pt idx="0">
                  <c:v>24000</c:v>
                </c:pt>
                <c:pt idx="1">
                  <c:v>10000</c:v>
                </c:pt>
                <c:pt idx="2">
                  <c:v>42000</c:v>
                </c:pt>
                <c:pt idx="3">
                  <c:v>82000</c:v>
                </c:pt>
                <c:pt idx="4">
                  <c:v>134000</c:v>
                </c:pt>
              </c:numCache>
            </c:numRef>
          </c:val>
        </c:ser>
        <c:ser>
          <c:idx val="2"/>
          <c:order val="2"/>
          <c:tx>
            <c:strRef>
              <c:f>'CN LT Forecast'!$A$5</c:f>
              <c:strCache>
                <c:ptCount val="1"/>
                <c:pt idx="0">
                  <c:v>Electrochemical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'CN LT Forecast'!$B$2:$F$2</c:f>
              <c:numCache>
                <c:formatCode>General</c:formatCode>
                <c:ptCount val="5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'CN LT Forecast'!$B$5:$F$5</c:f>
              <c:numCache>
                <c:formatCode>General</c:formatCode>
                <c:ptCount val="5"/>
                <c:pt idx="0">
                  <c:v>33000</c:v>
                </c:pt>
                <c:pt idx="1">
                  <c:v>92000</c:v>
                </c:pt>
                <c:pt idx="2">
                  <c:v>359000</c:v>
                </c:pt>
                <c:pt idx="3">
                  <c:v>665000</c:v>
                </c:pt>
                <c:pt idx="4">
                  <c:v>1063000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7390560"/>
        <c:axId val="1397386240"/>
      </c:barChart>
      <c:catAx>
        <c:axId val="13973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386240"/>
        <c:crosses val="autoZero"/>
        <c:auto val="1"/>
        <c:lblAlgn val="ctr"/>
        <c:lblOffset val="100"/>
        <c:noMultiLvlLbl val="0"/>
      </c:catAx>
      <c:valAx>
        <c:axId val="13973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39056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0305555555555556"/>
                <c:y val="0.0970603674540682"/>
              </c:manualLayout>
            </c:layout>
            <c:tx>
              <c:rich>
                <a:bodyPr rot="0" spcFirstLastPara="1" vertOverflow="ellipsis" vert="horz" wrap="square" anchor="ctr" anchorCtr="1">
                  <a:spAutoFit/>
                </a:bodyPr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/>
                    <a:t>GW</a:t>
                  </a:r>
                  <a:endParaRPr lang="en-US" altLang="zh-CN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a74148c-acb3-4efd-8560-9223626e7fb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'CN LT Forecast'!$A$28</c:f>
              <c:strCache>
                <c:ptCount val="1"/>
                <c:pt idx="0">
                  <c:v>Potential Battery 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'CN LT Forecast'!$B$26:$AP$26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xVal>
          <c:yVal>
            <c:numRef>
              <c:f>'CN LT Forecast'!$B$28:$AP$28</c:f>
              <c:numCache>
                <c:formatCode>0_);[Red]\(0\)</c:formatCode>
                <c:ptCount val="41"/>
                <c:pt idx="0">
                  <c:v>4903.8</c:v>
                </c:pt>
                <c:pt idx="1">
                  <c:v>9922.2</c:v>
                </c:pt>
                <c:pt idx="2">
                  <c:v>19615.2</c:v>
                </c:pt>
                <c:pt idx="3">
                  <c:v>51763.65</c:v>
                </c:pt>
                <c:pt idx="4">
                  <c:v>75710</c:v>
                </c:pt>
                <c:pt idx="5">
                  <c:v>98949.559143541</c:v>
                </c:pt>
                <c:pt idx="6">
                  <c:v>129322.615964881</c:v>
                </c:pt>
                <c:pt idx="7">
                  <c:v>169018.832875636</c:v>
                </c:pt>
                <c:pt idx="8">
                  <c:v>220900</c:v>
                </c:pt>
                <c:pt idx="9">
                  <c:v>263309.084537545</c:v>
                </c:pt>
                <c:pt idx="10">
                  <c:v>313860</c:v>
                </c:pt>
                <c:pt idx="11">
                  <c:v>331269.11245362</c:v>
                </c:pt>
                <c:pt idx="12">
                  <c:v>349643.86945074</c:v>
                </c:pt>
                <c:pt idx="13">
                  <c:v>369037.833135144</c:v>
                </c:pt>
                <c:pt idx="14">
                  <c:v>389507.536622973</c:v>
                </c:pt>
                <c:pt idx="15">
                  <c:v>411112.648795923</c:v>
                </c:pt>
                <c:pt idx="16">
                  <c:v>433916.148235144</c:v>
                </c:pt>
                <c:pt idx="17">
                  <c:v>457984.506802873</c:v>
                </c:pt>
                <c:pt idx="18">
                  <c:v>483387.883406923</c:v>
                </c:pt>
                <c:pt idx="19">
                  <c:v>510200.328512858</c:v>
                </c:pt>
                <c:pt idx="20">
                  <c:v>538500</c:v>
                </c:pt>
                <c:pt idx="21">
                  <c:v>572741.202902248</c:v>
                </c:pt>
                <c:pt idx="22">
                  <c:v>609159.675955273</c:v>
                </c:pt>
                <c:pt idx="23">
                  <c:v>647893.863632621</c:v>
                </c:pt>
                <c:pt idx="24">
                  <c:v>689091.01357462</c:v>
                </c:pt>
                <c:pt idx="25">
                  <c:v>732907.736348853</c:v>
                </c:pt>
                <c:pt idx="26">
                  <c:v>779510.600803725</c:v>
                </c:pt>
                <c:pt idx="27">
                  <c:v>829076.767278328</c:v>
                </c:pt>
                <c:pt idx="28">
                  <c:v>881794.66107576</c:v>
                </c:pt>
                <c:pt idx="29">
                  <c:v>937864.688760095</c:v>
                </c:pt>
                <c:pt idx="30">
                  <c:v>997500</c:v>
                </c:pt>
                <c:pt idx="31">
                  <c:v>1045403.78043856</c:v>
                </c:pt>
                <c:pt idx="32">
                  <c:v>1095608.08436616</c:v>
                </c:pt>
                <c:pt idx="33">
                  <c:v>1148223.39175482</c:v>
                </c:pt>
                <c:pt idx="34">
                  <c:v>1203365.48824911</c:v>
                </c:pt>
                <c:pt idx="35">
                  <c:v>1261155.71996483</c:v>
                </c:pt>
                <c:pt idx="36">
                  <c:v>1321721.26052426</c:v>
                </c:pt>
                <c:pt idx="37">
                  <c:v>1385195.39091538</c:v>
                </c:pt>
                <c:pt idx="38">
                  <c:v>1451717.79279099</c:v>
                </c:pt>
                <c:pt idx="39">
                  <c:v>1521434.85585326</c:v>
                </c:pt>
                <c:pt idx="40">
                  <c:v>1594500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'CN LT Forecast'!$A$27</c:f>
              <c:strCache>
                <c:ptCount val="1"/>
                <c:pt idx="0">
                  <c:v>BAU Battery Storage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'CN LT Forecast'!$B$26:$AP$26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xVal>
          <c:yVal>
            <c:numRef>
              <c:f>'CN LT Forecast'!$B$27:$AP$27</c:f>
              <c:numCache>
                <c:formatCode>0_);[Red]\(0\)</c:formatCode>
                <c:ptCount val="41"/>
                <c:pt idx="0">
                  <c:v>3269.2</c:v>
                </c:pt>
                <c:pt idx="1">
                  <c:v>5729.7</c:v>
                </c:pt>
                <c:pt idx="2">
                  <c:v>9531.7</c:v>
                </c:pt>
                <c:pt idx="3">
                  <c:v>15260</c:v>
                </c:pt>
                <c:pt idx="4">
                  <c:v>23750</c:v>
                </c:pt>
                <c:pt idx="5">
                  <c:v>35440</c:v>
                </c:pt>
                <c:pt idx="6">
                  <c:v>48510.3</c:v>
                </c:pt>
                <c:pt idx="7">
                  <c:v>55673.7615384615</c:v>
                </c:pt>
                <c:pt idx="8">
                  <c:v>62837.2230769231</c:v>
                </c:pt>
                <c:pt idx="9">
                  <c:v>70000.6846153846</c:v>
                </c:pt>
                <c:pt idx="10">
                  <c:v>77164.1461538461</c:v>
                </c:pt>
                <c:pt idx="11">
                  <c:v>84327.6076923077</c:v>
                </c:pt>
                <c:pt idx="12">
                  <c:v>91491.0692307692</c:v>
                </c:pt>
                <c:pt idx="13">
                  <c:v>98654.5307692307</c:v>
                </c:pt>
                <c:pt idx="14">
                  <c:v>105817.992307692</c:v>
                </c:pt>
                <c:pt idx="15">
                  <c:v>112981.453846154</c:v>
                </c:pt>
                <c:pt idx="16">
                  <c:v>120144.915384615</c:v>
                </c:pt>
                <c:pt idx="17">
                  <c:v>127308.376923077</c:v>
                </c:pt>
                <c:pt idx="18">
                  <c:v>134471.838461538</c:v>
                </c:pt>
                <c:pt idx="19">
                  <c:v>141635.3</c:v>
                </c:pt>
                <c:pt idx="20">
                  <c:v>148798.761538461</c:v>
                </c:pt>
                <c:pt idx="21">
                  <c:v>155962.223076923</c:v>
                </c:pt>
                <c:pt idx="22">
                  <c:v>163125.684615385</c:v>
                </c:pt>
                <c:pt idx="23">
                  <c:v>170289.146153846</c:v>
                </c:pt>
                <c:pt idx="24">
                  <c:v>177452.607692308</c:v>
                </c:pt>
                <c:pt idx="25">
                  <c:v>184616.069230769</c:v>
                </c:pt>
                <c:pt idx="26">
                  <c:v>191779.530769231</c:v>
                </c:pt>
                <c:pt idx="27">
                  <c:v>198942.992307692</c:v>
                </c:pt>
                <c:pt idx="28">
                  <c:v>206106.453846154</c:v>
                </c:pt>
                <c:pt idx="29">
                  <c:v>213269.915384615</c:v>
                </c:pt>
                <c:pt idx="30" c:formatCode="General">
                  <c:v>210000</c:v>
                </c:pt>
                <c:pt idx="31">
                  <c:v>217163.461538462</c:v>
                </c:pt>
                <c:pt idx="32">
                  <c:v>224326.923076923</c:v>
                </c:pt>
                <c:pt idx="33">
                  <c:v>231490.384615385</c:v>
                </c:pt>
                <c:pt idx="34">
                  <c:v>238653.846153846</c:v>
                </c:pt>
                <c:pt idx="35">
                  <c:v>245817.307692308</c:v>
                </c:pt>
                <c:pt idx="36">
                  <c:v>252980.769230769</c:v>
                </c:pt>
                <c:pt idx="37">
                  <c:v>260144.230769231</c:v>
                </c:pt>
                <c:pt idx="38">
                  <c:v>267307.692307692</c:v>
                </c:pt>
                <c:pt idx="39">
                  <c:v>274471.153846154</c:v>
                </c:pt>
                <c:pt idx="40">
                  <c:v>281634.615384615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951680"/>
        <c:axId val="1492952160"/>
      </c:scatterChart>
      <c:valAx>
        <c:axId val="1492951680"/>
        <c:scaling>
          <c:orientation val="minMax"/>
          <c:max val="206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2952160"/>
        <c:crosses val="autoZero"/>
        <c:crossBetween val="midCat"/>
      </c:valAx>
      <c:valAx>
        <c:axId val="14929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295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5c906c5-ad7c-4f22-82b9-9e28c6eec77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923925</xdr:colOff>
      <xdr:row>11</xdr:row>
      <xdr:rowOff>161925</xdr:rowOff>
    </xdr:from>
    <xdr:to>
      <xdr:col>10</xdr:col>
      <xdr:colOff>38100</xdr:colOff>
      <xdr:row>26</xdr:row>
      <xdr:rowOff>47625</xdr:rowOff>
    </xdr:to>
    <xdr:graphicFrame>
      <xdr:nvGraphicFramePr>
        <xdr:cNvPr id="2" name="图表 1"/>
        <xdr:cNvGraphicFramePr/>
      </xdr:nvGraphicFramePr>
      <xdr:xfrm>
        <a:off x="6629400" y="2257425"/>
        <a:ext cx="5105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5</xdr:col>
      <xdr:colOff>561975</xdr:colOff>
      <xdr:row>52</xdr:row>
      <xdr:rowOff>137015</xdr:rowOff>
    </xdr:to>
    <xdr:pic>
      <xdr:nvPicPr>
        <xdr:cNvPr id="14" name="图片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6299200"/>
          <a:ext cx="4953000" cy="31591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13</xdr:col>
      <xdr:colOff>400050</xdr:colOff>
      <xdr:row>52</xdr:row>
      <xdr:rowOff>173778</xdr:rowOff>
    </xdr:to>
    <xdr:pic>
      <xdr:nvPicPr>
        <xdr:cNvPr id="16" name="图片 1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124450" y="6299200"/>
          <a:ext cx="5534025" cy="3195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5</xdr:col>
      <xdr:colOff>573510</xdr:colOff>
      <xdr:row>70</xdr:row>
      <xdr:rowOff>9525</xdr:rowOff>
    </xdr:to>
    <xdr:pic>
      <xdr:nvPicPr>
        <xdr:cNvPr id="18" name="图片 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9677400"/>
          <a:ext cx="4964430" cy="2854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13</xdr:col>
      <xdr:colOff>409575</xdr:colOff>
      <xdr:row>71</xdr:row>
      <xdr:rowOff>161135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124450" y="9677400"/>
          <a:ext cx="5543550" cy="3183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472440</xdr:colOff>
      <xdr:row>58</xdr:row>
      <xdr:rowOff>11430</xdr:rowOff>
    </xdr:from>
    <xdr:to>
      <xdr:col>13</xdr:col>
      <xdr:colOff>22860</xdr:colOff>
      <xdr:row>73</xdr:row>
      <xdr:rowOff>11430</xdr:rowOff>
    </xdr:to>
    <xdr:graphicFrame>
      <xdr:nvGraphicFramePr>
        <xdr:cNvPr id="2" name="Chart 1"/>
        <xdr:cNvGraphicFramePr/>
      </xdr:nvGraphicFramePr>
      <xdr:xfrm>
        <a:off x="6149340" y="10323830"/>
        <a:ext cx="517017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142874</xdr:colOff>
      <xdr:row>59</xdr:row>
      <xdr:rowOff>133350</xdr:rowOff>
    </xdr:from>
    <xdr:to>
      <xdr:col>25</xdr:col>
      <xdr:colOff>457199</xdr:colOff>
      <xdr:row>83</xdr:row>
      <xdr:rowOff>57150</xdr:rowOff>
    </xdr:to>
    <xdr:graphicFrame>
      <xdr:nvGraphicFramePr>
        <xdr:cNvPr id="3" name="图表 2"/>
        <xdr:cNvGraphicFramePr/>
      </xdr:nvGraphicFramePr>
      <xdr:xfrm>
        <a:off x="11438890" y="10623550"/>
        <a:ext cx="8543925" cy="419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353240</xdr:colOff>
      <xdr:row>27</xdr:row>
      <xdr:rowOff>153103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839460" cy="495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7</xdr:col>
      <xdr:colOff>496039</xdr:colOff>
      <xdr:row>43</xdr:row>
      <xdr:rowOff>114695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4978400"/>
          <a:ext cx="5296535" cy="27813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17</xdr:col>
      <xdr:colOff>124608</xdr:colOff>
      <xdr:row>45</xdr:row>
      <xdr:rowOff>134505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0"/>
          <a:ext cx="5610860" cy="81349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10</xdr:col>
      <xdr:colOff>639221</xdr:colOff>
      <xdr:row>94</xdr:row>
      <xdr:rowOff>157569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8178800"/>
          <a:ext cx="7496810" cy="87553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47</xdr:row>
      <xdr:rowOff>0</xdr:rowOff>
    </xdr:from>
    <xdr:to>
      <xdr:col>20</xdr:col>
      <xdr:colOff>750794</xdr:colOff>
      <xdr:row>72</xdr:row>
      <xdr:rowOff>8024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29600" y="8356600"/>
          <a:ext cx="6484620" cy="44526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24</xdr:col>
      <xdr:colOff>449916</xdr:colOff>
      <xdr:row>32</xdr:row>
      <xdr:rowOff>114300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30200" y="2489200"/>
          <a:ext cx="5116830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581968</xdr:colOff>
      <xdr:row>49</xdr:row>
      <xdr:rowOff>138408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214630"/>
          <a:ext cx="6753860" cy="87991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8</xdr:col>
      <xdr:colOff>304800</xdr:colOff>
      <xdr:row>69</xdr:row>
      <xdr:rowOff>123825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5800" y="9409430"/>
          <a:ext cx="5105400" cy="314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638176</xdr:colOff>
      <xdr:row>50</xdr:row>
      <xdr:rowOff>131894</xdr:rowOff>
    </xdr:from>
    <xdr:to>
      <xdr:col>15</xdr:col>
      <xdr:colOff>0</xdr:colOff>
      <xdr:row>66</xdr:row>
      <xdr:rowOff>13225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4575" y="9185275"/>
          <a:ext cx="4162425" cy="272605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50</xdr:row>
      <xdr:rowOff>0</xdr:rowOff>
    </xdr:from>
    <xdr:to>
      <xdr:col>21</xdr:col>
      <xdr:colOff>404247</xdr:colOff>
      <xdr:row>65</xdr:row>
      <xdr:rowOff>112395</xdr:rowOff>
    </xdr:to>
    <xdr:pic>
      <xdr:nvPicPr>
        <xdr:cNvPr id="8" name="图片 7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2800" y="9053830"/>
          <a:ext cx="3832860" cy="277939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21</xdr:col>
      <xdr:colOff>342900</xdr:colOff>
      <xdr:row>34</xdr:row>
      <xdr:rowOff>141605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15400" y="2475230"/>
          <a:ext cx="5829300" cy="38754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19050</xdr:colOff>
      <xdr:row>22</xdr:row>
      <xdr:rowOff>28575</xdr:rowOff>
    </xdr:to>
    <xdr:graphicFrame>
      <xdr:nvGraphicFramePr>
        <xdr:cNvPr id="7" name="图表 6"/>
        <xdr:cNvGraphicFramePr/>
      </xdr:nvGraphicFramePr>
      <xdr:xfrm>
        <a:off x="0" y="1244600"/>
        <a:ext cx="6530975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13</xdr:col>
      <xdr:colOff>457200</xdr:colOff>
      <xdr:row>22</xdr:row>
      <xdr:rowOff>28575</xdr:rowOff>
    </xdr:to>
    <xdr:graphicFrame>
      <xdr:nvGraphicFramePr>
        <xdr:cNvPr id="9" name="图表 8"/>
        <xdr:cNvGraphicFramePr/>
      </xdr:nvGraphicFramePr>
      <xdr:xfrm>
        <a:off x="7477125" y="1244600"/>
        <a:ext cx="624840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6</xdr:col>
      <xdr:colOff>590550</xdr:colOff>
      <xdr:row>14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889000"/>
          <a:ext cx="4552950" cy="2190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6350</xdr:colOff>
      <xdr:row>19</xdr:row>
      <xdr:rowOff>0</xdr:rowOff>
    </xdr:from>
    <xdr:to>
      <xdr:col>7</xdr:col>
      <xdr:colOff>20320</xdr:colOff>
      <xdr:row>28</xdr:row>
      <xdr:rowOff>153035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0" y="3911600"/>
          <a:ext cx="4636770" cy="22866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2021%20&#26234;&#27719;&#32511;&#34892;\Energy%20Policy%20Simulator\Electricity\Energy%20Storage\2020&#24180;&#30005;&#32593;&#20391;&#20648;&#3302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H2" t="str">
            <v>江苏</v>
          </cell>
          <cell r="I2">
            <v>437.72</v>
          </cell>
        </row>
        <row r="3">
          <cell r="H3" t="str">
            <v>福建</v>
          </cell>
          <cell r="I3">
            <v>330</v>
          </cell>
        </row>
        <row r="4">
          <cell r="H4" t="str">
            <v>河南</v>
          </cell>
          <cell r="I4">
            <v>110.4</v>
          </cell>
        </row>
        <row r="5">
          <cell r="H5" t="str">
            <v>湖南</v>
          </cell>
          <cell r="I5">
            <v>60</v>
          </cell>
        </row>
        <row r="6">
          <cell r="H6" t="str">
            <v>青海</v>
          </cell>
          <cell r="I6">
            <v>48</v>
          </cell>
        </row>
        <row r="7">
          <cell r="H7" t="str">
            <v>广东</v>
          </cell>
          <cell r="I7">
            <v>27.187</v>
          </cell>
        </row>
        <row r="8">
          <cell r="H8" t="str">
            <v>浙江</v>
          </cell>
          <cell r="I8">
            <v>22.5</v>
          </cell>
        </row>
        <row r="9">
          <cell r="H9" t="str">
            <v>北京</v>
          </cell>
          <cell r="I9">
            <v>19</v>
          </cell>
        </row>
        <row r="10">
          <cell r="H10" t="str">
            <v>天津</v>
          </cell>
          <cell r="I10">
            <v>10</v>
          </cell>
        </row>
        <row r="11">
          <cell r="H11" t="str">
            <v>河北</v>
          </cell>
          <cell r="I11">
            <v>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://www.esresearch.com.cn/report/?category_id=26" TargetMode="External"/><Relationship Id="rId6" Type="http://schemas.openxmlformats.org/officeDocument/2006/relationships/hyperlink" Target="http://paper.people.com.cn/rmrb/html/2022-02/23/nw.D110000renmrb_20220223_2-12.htm" TargetMode="External"/><Relationship Id="rId5" Type="http://schemas.openxmlformats.org/officeDocument/2006/relationships/hyperlink" Target="http://www.gov.cn/zhengce/zhengceku/2021-07/24/content_5627088.htm" TargetMode="External"/><Relationship Id="rId4" Type="http://schemas.openxmlformats.org/officeDocument/2006/relationships/hyperlink" Target="https://www.eco.gov.cn/news_info/54859.html" TargetMode="External"/><Relationship Id="rId3" Type="http://schemas.openxmlformats.org/officeDocument/2006/relationships/hyperlink" Target="http://nyj.shandong.gov.cn/module/download/downfile.jsp?classid=0&amp;filename=fc5a5cf0fd0d465eb33aa1ef19745990.pdf" TargetMode="External"/><Relationship Id="rId2" Type="http://schemas.openxmlformats.org/officeDocument/2006/relationships/hyperlink" Target="http://nyj.shandong.gov.cn/module/download/downfile.jsp?classid=0&amp;filename=5ba9629b4b9b47d9af21775a4bb035cd.pdf" TargetMode="External"/><Relationship Id="rId1" Type="http://schemas.openxmlformats.org/officeDocument/2006/relationships/hyperlink" Target="https://news.bjx.com.cn/html/20201225/1125005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mm.chinapower.com.cn/zx/zxbg/20230203/186424.html" TargetMode="Externa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cpnn.com.cn/news/xwtt/202409/t20240910_1735441.html" TargetMode="Externa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selection activeCell="D8" sqref="D8"/>
    </sheetView>
  </sheetViews>
  <sheetFormatPr defaultColWidth="9" defaultRowHeight="14" outlineLevelCol="3"/>
  <cols>
    <col min="2" max="2" width="44.75" style="33" customWidth="1"/>
    <col min="4" max="4" width="44.75" customWidth="1"/>
  </cols>
  <sheetData>
    <row r="1" spans="1:1">
      <c r="A1" t="s">
        <v>0</v>
      </c>
    </row>
    <row r="4" spans="1:4">
      <c r="A4" t="s">
        <v>1</v>
      </c>
      <c r="B4" s="83" t="s">
        <v>2</v>
      </c>
      <c r="D4" s="83" t="s">
        <v>3</v>
      </c>
    </row>
    <row r="5" spans="2:4">
      <c r="B5" s="33" t="s">
        <v>4</v>
      </c>
      <c r="D5" t="s">
        <v>5</v>
      </c>
    </row>
    <row r="6" spans="2:4">
      <c r="B6" s="33" t="s">
        <v>6</v>
      </c>
      <c r="D6" s="33" t="s">
        <v>7</v>
      </c>
    </row>
    <row r="7" spans="2:4">
      <c r="B7" s="33">
        <v>2020</v>
      </c>
      <c r="D7" t="s">
        <v>8</v>
      </c>
    </row>
    <row r="8" spans="2:4">
      <c r="B8" s="84" t="s">
        <v>9</v>
      </c>
      <c r="D8" s="15" t="s">
        <v>10</v>
      </c>
    </row>
    <row r="10" spans="2:4">
      <c r="B10" s="83" t="s">
        <v>11</v>
      </c>
      <c r="D10" s="83" t="s">
        <v>12</v>
      </c>
    </row>
    <row r="11" spans="2:4">
      <c r="B11" s="33" t="s">
        <v>13</v>
      </c>
      <c r="D11" t="s">
        <v>14</v>
      </c>
    </row>
    <row r="12" spans="2:4">
      <c r="B12" s="33" t="s">
        <v>15</v>
      </c>
      <c r="D12" t="s">
        <v>16</v>
      </c>
    </row>
    <row r="13" spans="2:4">
      <c r="B13" s="33" t="s">
        <v>17</v>
      </c>
      <c r="D13" t="s">
        <v>18</v>
      </c>
    </row>
    <row r="14" spans="2:4">
      <c r="B14" s="29" t="s">
        <v>19</v>
      </c>
      <c r="D14" t="s">
        <v>20</v>
      </c>
    </row>
    <row r="15" spans="2:4">
      <c r="B15" s="29" t="s">
        <v>21</v>
      </c>
      <c r="D15" t="s">
        <v>22</v>
      </c>
    </row>
    <row r="17" spans="2:2">
      <c r="B17" s="83" t="s">
        <v>23</v>
      </c>
    </row>
    <row r="18" spans="2:2">
      <c r="B18" t="s">
        <v>24</v>
      </c>
    </row>
    <row r="19" spans="2:2">
      <c r="B19" s="15" t="s">
        <v>25</v>
      </c>
    </row>
    <row r="20" spans="2:2">
      <c r="B20"/>
    </row>
    <row r="21" spans="2:2">
      <c r="B21" t="s">
        <v>26</v>
      </c>
    </row>
    <row r="22" spans="2:2">
      <c r="B22" s="85" t="s">
        <v>27</v>
      </c>
    </row>
    <row r="23" spans="2:2">
      <c r="B23" s="29" t="s">
        <v>28</v>
      </c>
    </row>
    <row r="24" spans="2:2">
      <c r="B24"/>
    </row>
    <row r="25" spans="2:2">
      <c r="B25" t="s">
        <v>29</v>
      </c>
    </row>
    <row r="26" spans="2:2">
      <c r="B26" s="29" t="s">
        <v>30</v>
      </c>
    </row>
    <row r="27" spans="2:2">
      <c r="B27"/>
    </row>
    <row r="29" spans="1:2">
      <c r="A29" s="86" t="s">
        <v>31</v>
      </c>
      <c r="B29" s="87"/>
    </row>
    <row r="30" spans="1:2">
      <c r="A30" s="88" t="s">
        <v>32</v>
      </c>
      <c r="B30" s="88"/>
    </row>
    <row r="31" spans="1:1">
      <c r="A31" t="s">
        <v>33</v>
      </c>
    </row>
  </sheetData>
  <hyperlinks>
    <hyperlink ref="B8" r:id="rId1" display="电网侧储能57项目总储能规模超1.98GWh"/>
    <hyperlink ref="B14" r:id="rId2" display="2021 Pilot Projects"/>
    <hyperlink ref="B15" r:id="rId3" display="2022 Pilot Projects"/>
    <hyperlink ref="B19" r:id="rId4" display="《储能产业研究白皮书2022》发布：2021年中国新型储能新增投运2.4GW/4.9GWh - 生态中国网 (eco.gov.cn)"/>
    <hyperlink ref="B23" r:id="rId5" display="国家发展改革委 国家能源局关于加快推动新型储能发展的指导意见_其他_中国政府网 (www.gov.cn)"/>
    <hyperlink ref="B26" r:id="rId6" display="坚决扛牢电网责任 积极推进碳达峰碳中和 (people.com.cn)"/>
    <hyperlink ref="D8" r:id="rId7" display="研究报告_CNESA 储能研究平台 (esresearch.com.cn)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AT2"/>
  <sheetViews>
    <sheetView topLeftCell="Y1" workbookViewId="0">
      <selection activeCell="B2" sqref="B2:AT2"/>
    </sheetView>
  </sheetViews>
  <sheetFormatPr defaultColWidth="9" defaultRowHeight="14" outlineLevelRow="1"/>
  <cols>
    <col min="1" max="1" width="29.375" style="4" customWidth="1"/>
    <col min="2" max="5" width="9.16666666666667" style="4" customWidth="1"/>
    <col min="6" max="46" width="10.25" style="4" customWidth="1"/>
    <col min="47" max="16384" width="9" style="4"/>
  </cols>
  <sheetData>
    <row r="1" spans="1:46">
      <c r="A1" s="6" t="s">
        <v>322</v>
      </c>
      <c r="B1" s="4">
        <v>2016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4">
        <v>2022</v>
      </c>
      <c r="I1" s="4">
        <v>2023</v>
      </c>
      <c r="J1" s="4">
        <v>2024</v>
      </c>
      <c r="K1" s="4">
        <v>2025</v>
      </c>
      <c r="L1" s="4">
        <v>2026</v>
      </c>
      <c r="M1" s="4">
        <v>2027</v>
      </c>
      <c r="N1" s="4">
        <v>2028</v>
      </c>
      <c r="O1" s="4">
        <v>2029</v>
      </c>
      <c r="P1" s="4">
        <v>2030</v>
      </c>
      <c r="Q1" s="4">
        <v>2031</v>
      </c>
      <c r="R1" s="4">
        <v>2032</v>
      </c>
      <c r="S1" s="4">
        <v>2033</v>
      </c>
      <c r="T1" s="4">
        <v>2034</v>
      </c>
      <c r="U1" s="4">
        <v>2035</v>
      </c>
      <c r="V1" s="4">
        <v>2036</v>
      </c>
      <c r="W1" s="4">
        <v>2037</v>
      </c>
      <c r="X1" s="4">
        <v>2038</v>
      </c>
      <c r="Y1" s="4">
        <v>2039</v>
      </c>
      <c r="Z1" s="4">
        <v>2040</v>
      </c>
      <c r="AA1" s="4">
        <v>2041</v>
      </c>
      <c r="AB1" s="4">
        <v>2042</v>
      </c>
      <c r="AC1" s="4">
        <v>2043</v>
      </c>
      <c r="AD1" s="4">
        <v>2044</v>
      </c>
      <c r="AE1" s="4">
        <v>2045</v>
      </c>
      <c r="AF1" s="4">
        <v>2046</v>
      </c>
      <c r="AG1" s="4">
        <v>2047</v>
      </c>
      <c r="AH1" s="4">
        <v>2048</v>
      </c>
      <c r="AI1" s="4">
        <v>2049</v>
      </c>
      <c r="AJ1" s="4">
        <v>2050</v>
      </c>
      <c r="AK1" s="4">
        <v>2051</v>
      </c>
      <c r="AL1" s="4">
        <v>2052</v>
      </c>
      <c r="AM1" s="4">
        <v>2053</v>
      </c>
      <c r="AN1" s="4">
        <v>2054</v>
      </c>
      <c r="AO1" s="4">
        <v>2055</v>
      </c>
      <c r="AP1" s="4">
        <v>2056</v>
      </c>
      <c r="AQ1" s="4">
        <v>2057</v>
      </c>
      <c r="AR1" s="4">
        <v>2058</v>
      </c>
      <c r="AS1" s="4">
        <v>2059</v>
      </c>
      <c r="AT1" s="4">
        <v>2060</v>
      </c>
    </row>
    <row r="2" spans="1:46">
      <c r="A2" s="4" t="s">
        <v>323</v>
      </c>
      <c r="B2" s="4">
        <v>0</v>
      </c>
      <c r="C2" s="4">
        <v>0</v>
      </c>
      <c r="D2" s="4">
        <v>0</v>
      </c>
      <c r="E2" s="4">
        <v>0</v>
      </c>
      <c r="F2" s="7">
        <f>Extrapolation!B36</f>
        <v>0</v>
      </c>
      <c r="G2" s="7">
        <f>Extrapolation!C36</f>
        <v>0</v>
      </c>
      <c r="H2" s="7">
        <f>Extrapolation!D36</f>
        <v>0</v>
      </c>
      <c r="I2" s="7">
        <f>Extrapolation!E36</f>
        <v>0</v>
      </c>
      <c r="J2" s="7">
        <f>Extrapolation!F36</f>
        <v>295.191600449238</v>
      </c>
      <c r="K2" s="7">
        <f>Extrapolation!G36</f>
        <v>440.488013470358</v>
      </c>
      <c r="L2" s="7">
        <f>Extrapolation!H36</f>
        <v>602.940340853587</v>
      </c>
      <c r="M2" s="7">
        <f>Extrapolation!I36</f>
        <v>691.975864066008</v>
      </c>
      <c r="N2" s="7">
        <f>Extrapolation!J36</f>
        <v>781.011387278431</v>
      </c>
      <c r="O2" s="7">
        <f>Extrapolation!K36</f>
        <v>870.046910490853</v>
      </c>
      <c r="P2" s="7">
        <f>Extrapolation!L36</f>
        <v>959.082433703274</v>
      </c>
      <c r="Q2" s="7">
        <f>Extrapolation!M36</f>
        <v>1048.1179569157</v>
      </c>
      <c r="R2" s="7">
        <f>Extrapolation!N36</f>
        <v>1137.15348012812</v>
      </c>
      <c r="S2" s="7">
        <f>Extrapolation!O36</f>
        <v>1226.18900334054</v>
      </c>
      <c r="T2" s="7">
        <f>Extrapolation!P36</f>
        <v>1315.22452655296</v>
      </c>
      <c r="U2" s="7">
        <f>Extrapolation!Q36</f>
        <v>1404.26004976539</v>
      </c>
      <c r="V2" s="7">
        <f>Extrapolation!R36</f>
        <v>1493.2955729778</v>
      </c>
      <c r="W2" s="7">
        <f>Extrapolation!S36</f>
        <v>1582.33109619023</v>
      </c>
      <c r="X2" s="7">
        <f>Extrapolation!T36</f>
        <v>1671.36661940265</v>
      </c>
      <c r="Y2" s="7">
        <f>Extrapolation!U36</f>
        <v>1760.40214261507</v>
      </c>
      <c r="Z2" s="7">
        <f>Extrapolation!V36</f>
        <v>1849.43766582749</v>
      </c>
      <c r="AA2" s="7">
        <f>Extrapolation!W36</f>
        <v>1938.47318903992</v>
      </c>
      <c r="AB2" s="7">
        <f>Extrapolation!X36</f>
        <v>2027.50871225234</v>
      </c>
      <c r="AC2" s="7">
        <f>Extrapolation!Y36</f>
        <v>2116.54423546476</v>
      </c>
      <c r="AD2" s="7">
        <f>Extrapolation!Z36</f>
        <v>2205.57975867719</v>
      </c>
      <c r="AE2" s="7">
        <f>Extrapolation!AA36</f>
        <v>2294.6152818896</v>
      </c>
      <c r="AF2" s="7">
        <f>Extrapolation!AB36</f>
        <v>2383.65080510203</v>
      </c>
      <c r="AG2" s="7">
        <f>Extrapolation!AC36</f>
        <v>2472.68632831445</v>
      </c>
      <c r="AH2" s="7">
        <f>Extrapolation!AD36</f>
        <v>2561.72185152687</v>
      </c>
      <c r="AI2" s="7">
        <f>Extrapolation!AE36</f>
        <v>2650.75737473929</v>
      </c>
      <c r="AJ2" s="7">
        <f>Extrapolation!AF36</f>
        <v>2610.11520397221</v>
      </c>
      <c r="AK2" s="7">
        <f>Extrapolation!AG36</f>
        <v>2699.15072718464</v>
      </c>
      <c r="AL2" s="7">
        <f>Extrapolation!AH36</f>
        <v>2788.18625039706</v>
      </c>
      <c r="AM2" s="7">
        <f>Extrapolation!AI36</f>
        <v>2877.22177360948</v>
      </c>
      <c r="AN2" s="7">
        <f>Extrapolation!AJ36</f>
        <v>2966.2572968219</v>
      </c>
      <c r="AO2" s="7">
        <f>Extrapolation!AK36</f>
        <v>3055.29282003433</v>
      </c>
      <c r="AP2" s="7">
        <f>Extrapolation!AL36</f>
        <v>3144.32834324674</v>
      </c>
      <c r="AQ2" s="7">
        <f>Extrapolation!AM36</f>
        <v>3233.36386645917</v>
      </c>
      <c r="AR2" s="7">
        <f>Extrapolation!AN36</f>
        <v>3322.39938967158</v>
      </c>
      <c r="AS2" s="7">
        <f>Extrapolation!AO36</f>
        <v>3411.43491288401</v>
      </c>
      <c r="AT2" s="7">
        <f>Extrapolation!AP36</f>
        <v>3500.47043609643</v>
      </c>
    </row>
  </sheetData>
  <pageMargins left="0.7" right="0.7" top="0.75" bottom="0.75" header="0.3" footer="0.3"/>
  <pageSetup paperSize="1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AT2"/>
  <sheetViews>
    <sheetView topLeftCell="V1" workbookViewId="0">
      <selection activeCell="AF17" sqref="AF17"/>
    </sheetView>
  </sheetViews>
  <sheetFormatPr defaultColWidth="9" defaultRowHeight="14" outlineLevelRow="1"/>
  <sheetData>
    <row r="1" s="1" customFormat="1" spans="1:46">
      <c r="A1" s="3" t="s">
        <v>322</v>
      </c>
      <c r="B1" s="4">
        <v>2016</v>
      </c>
      <c r="C1" s="4">
        <v>2017</v>
      </c>
      <c r="D1" s="4">
        <v>2018</v>
      </c>
      <c r="E1" s="4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>
        <v>2051</v>
      </c>
      <c r="AL1" s="1">
        <v>2052</v>
      </c>
      <c r="AM1" s="1">
        <v>2053</v>
      </c>
      <c r="AN1" s="1">
        <v>2054</v>
      </c>
      <c r="AO1" s="1">
        <v>2055</v>
      </c>
      <c r="AP1" s="1">
        <v>2056</v>
      </c>
      <c r="AQ1" s="1">
        <v>2057</v>
      </c>
      <c r="AR1" s="1">
        <v>2058</v>
      </c>
      <c r="AS1" s="1">
        <v>2059</v>
      </c>
      <c r="AT1" s="1">
        <v>2060</v>
      </c>
    </row>
    <row r="2" s="2" customFormat="1" spans="1:46">
      <c r="A2" s="2" t="s">
        <v>324</v>
      </c>
      <c r="B2" s="4">
        <v>0</v>
      </c>
      <c r="C2" s="4">
        <v>0</v>
      </c>
      <c r="D2" s="4">
        <v>0</v>
      </c>
      <c r="E2" s="4">
        <v>0</v>
      </c>
      <c r="F2" s="5">
        <f>Extrapolation!B37</f>
        <v>60.9499187487568</v>
      </c>
      <c r="G2" s="5">
        <f>Extrapolation!C37</f>
        <v>123.324214651681</v>
      </c>
      <c r="H2" s="5">
        <f>Extrapolation!D37</f>
        <v>243.799674995027</v>
      </c>
      <c r="I2" s="5">
        <f>Extrapolation!E37</f>
        <v>643.376618467125</v>
      </c>
      <c r="J2" s="5">
        <f>Extrapolation!F37</f>
        <v>941.008676632077</v>
      </c>
      <c r="K2" s="5">
        <f>Extrapolation!G37</f>
        <v>1229.85594641383</v>
      </c>
      <c r="L2" s="5">
        <f>Extrapolation!H37</f>
        <v>1607.3663149876</v>
      </c>
      <c r="M2" s="5">
        <f>Extrapolation!I37</f>
        <v>2100.75535926827</v>
      </c>
      <c r="N2" s="5">
        <f>Extrapolation!J37</f>
        <v>2745.59261217839</v>
      </c>
      <c r="O2" s="5">
        <f>Extrapolation!K37</f>
        <v>3272.70021378786</v>
      </c>
      <c r="P2" s="5">
        <f>Extrapolation!L37</f>
        <v>3901.00360913675</v>
      </c>
      <c r="Q2" s="5">
        <f>Extrapolation!M37</f>
        <v>4117.38355724559</v>
      </c>
      <c r="R2" s="5">
        <f>Extrapolation!N37</f>
        <v>4345.7656172812</v>
      </c>
      <c r="S2" s="5">
        <f>Extrapolation!O37</f>
        <v>4586.81551955714</v>
      </c>
      <c r="T2" s="5">
        <f>Extrapolation!P37</f>
        <v>4841.23592095898</v>
      </c>
      <c r="U2" s="5">
        <f>Extrapolation!Q37</f>
        <v>5109.7684531787</v>
      </c>
      <c r="V2" s="5">
        <f>Extrapolation!R37</f>
        <v>5393.19588456004</v>
      </c>
      <c r="W2" s="5">
        <f>Extrapolation!S37</f>
        <v>5692.34440185664</v>
      </c>
      <c r="X2" s="5">
        <f>Extrapolation!T37</f>
        <v>6008.08601855408</v>
      </c>
      <c r="Y2" s="5">
        <f>Extrapolation!U37</f>
        <v>6341.34111677632</v>
      </c>
      <c r="Z2" s="5">
        <f>Extrapolation!V37</f>
        <v>6693.08113018589</v>
      </c>
      <c r="AA2" s="5">
        <f>Extrapolation!W37</f>
        <v>7118.66915064996</v>
      </c>
      <c r="AB2" s="5">
        <f>Extrapolation!X37</f>
        <v>7571.31872313164</v>
      </c>
      <c r="AC2" s="5">
        <f>Extrapolation!Y37</f>
        <v>8052.75059060859</v>
      </c>
      <c r="AD2" s="5">
        <f>Extrapolation!Z37</f>
        <v>8564.79491167494</v>
      </c>
      <c r="AE2" s="5">
        <f>Extrapolation!AA37</f>
        <v>9109.39821787142</v>
      </c>
      <c r="AF2" s="5">
        <f>Extrapolation!AB37</f>
        <v>9688.63081340627</v>
      </c>
      <c r="AG2" s="5">
        <f>Extrapolation!AC37</f>
        <v>10304.6946453966</v>
      </c>
      <c r="AH2" s="5">
        <f>Extrapolation!AD37</f>
        <v>10959.9316745494</v>
      </c>
      <c r="AI2" s="5">
        <f>Extrapolation!AE37</f>
        <v>11656.8327781019</v>
      </c>
      <c r="AJ2" s="5">
        <f>Extrapolation!AF37</f>
        <v>12398.047218868</v>
      </c>
      <c r="AK2" s="5">
        <f>Extrapolation!AG37</f>
        <v>12993.4490552986</v>
      </c>
      <c r="AL2" s="5">
        <f>Extrapolation!AH37</f>
        <v>13617.4443742809</v>
      </c>
      <c r="AM2" s="5">
        <f>Extrapolation!AI37</f>
        <v>14271.4063446467</v>
      </c>
      <c r="AN2" s="5">
        <f>Extrapolation!AJ37</f>
        <v>14956.7740800688</v>
      </c>
      <c r="AO2" s="5">
        <f>Extrapolation!AK37</f>
        <v>15675.0558059844</v>
      </c>
      <c r="AP2" s="5">
        <f>Extrapolation!AL37</f>
        <v>16427.832178608</v>
      </c>
      <c r="AQ2" s="5">
        <f>Extrapolation!AM37</f>
        <v>17216.7597633355</v>
      </c>
      <c r="AR2" s="5">
        <f>Extrapolation!AN37</f>
        <v>18043.574680194</v>
      </c>
      <c r="AS2" s="5">
        <f>Extrapolation!AO37</f>
        <v>18910.0964243613</v>
      </c>
      <c r="AT2" s="5">
        <f>Extrapolation!AP37</f>
        <v>19818.2318701604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B2"/>
  <sheetViews>
    <sheetView workbookViewId="0">
      <selection activeCell="D3" sqref="D3"/>
    </sheetView>
  </sheetViews>
  <sheetFormatPr defaultColWidth="9" defaultRowHeight="14" outlineLevelRow="1" outlineLevelCol="1"/>
  <cols>
    <col min="2" max="2" width="21.5" customWidth="1"/>
  </cols>
  <sheetData>
    <row r="1" spans="1:2">
      <c r="A1" s="1" t="s">
        <v>322</v>
      </c>
      <c r="B1" s="1" t="s">
        <v>325</v>
      </c>
    </row>
    <row r="2" spans="1:2">
      <c r="A2" s="1" t="s">
        <v>326</v>
      </c>
      <c r="B2" s="1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8"/>
  <sheetViews>
    <sheetView workbookViewId="0">
      <selection activeCell="A24" sqref="A24"/>
    </sheetView>
  </sheetViews>
  <sheetFormatPr defaultColWidth="9" defaultRowHeight="14"/>
  <cols>
    <col min="1" max="1" width="49.25" customWidth="1"/>
    <col min="2" max="2" width="25.625" customWidth="1"/>
    <col min="3" max="3" width="15.625" customWidth="1"/>
  </cols>
  <sheetData>
    <row r="1" ht="15" customHeight="1" spans="1:10">
      <c r="A1" s="78" t="s">
        <v>34</v>
      </c>
      <c r="B1" s="78" t="s">
        <v>35</v>
      </c>
      <c r="C1" s="78" t="s">
        <v>36</v>
      </c>
      <c r="D1" s="78" t="s">
        <v>37</v>
      </c>
      <c r="E1" s="78" t="s">
        <v>38</v>
      </c>
      <c r="F1" s="78" t="s">
        <v>39</v>
      </c>
      <c r="H1" t="s">
        <v>37</v>
      </c>
      <c r="I1" s="78" t="s">
        <v>38</v>
      </c>
      <c r="J1" s="78" t="s">
        <v>39</v>
      </c>
    </row>
    <row r="2" ht="15" customHeight="1" spans="1:10">
      <c r="A2" s="78" t="s">
        <v>40</v>
      </c>
      <c r="B2" s="78" t="s">
        <v>41</v>
      </c>
      <c r="C2" s="79" t="s">
        <v>42</v>
      </c>
      <c r="D2" s="80" t="s">
        <v>43</v>
      </c>
      <c r="E2">
        <v>5</v>
      </c>
      <c r="F2">
        <v>10</v>
      </c>
      <c r="H2" t="s">
        <v>43</v>
      </c>
      <c r="I2">
        <f t="shared" ref="I2:I11" si="0">SUMIF(D:D,H2,E:E)</f>
        <v>437.72</v>
      </c>
      <c r="J2">
        <f t="shared" ref="J2:J11" si="1">SUMIF(D:D,H2,F:F)</f>
        <v>871</v>
      </c>
    </row>
    <row r="3" ht="15" customHeight="1" spans="1:10">
      <c r="A3" s="78" t="s">
        <v>44</v>
      </c>
      <c r="B3" s="78" t="s">
        <v>45</v>
      </c>
      <c r="C3" s="79" t="s">
        <v>42</v>
      </c>
      <c r="D3" s="80" t="s">
        <v>43</v>
      </c>
      <c r="E3">
        <v>12</v>
      </c>
      <c r="F3">
        <v>24</v>
      </c>
      <c r="H3" t="s">
        <v>46</v>
      </c>
      <c r="I3">
        <f t="shared" si="0"/>
        <v>330</v>
      </c>
      <c r="J3">
        <f t="shared" si="1"/>
        <v>700</v>
      </c>
    </row>
    <row r="4" ht="15" customHeight="1" spans="1:10">
      <c r="A4" s="78" t="s">
        <v>47</v>
      </c>
      <c r="B4" s="78" t="s">
        <v>48</v>
      </c>
      <c r="C4" s="79" t="s">
        <v>42</v>
      </c>
      <c r="D4" s="80" t="s">
        <v>43</v>
      </c>
      <c r="E4">
        <v>16</v>
      </c>
      <c r="F4">
        <v>32</v>
      </c>
      <c r="H4" t="s">
        <v>49</v>
      </c>
      <c r="I4">
        <f t="shared" si="0"/>
        <v>110.4</v>
      </c>
      <c r="J4">
        <f t="shared" si="1"/>
        <v>100.8</v>
      </c>
    </row>
    <row r="5" ht="15" customHeight="1" spans="1:10">
      <c r="A5" s="78" t="s">
        <v>50</v>
      </c>
      <c r="B5" s="78" t="s">
        <v>51</v>
      </c>
      <c r="C5" s="78" t="s">
        <v>52</v>
      </c>
      <c r="D5" s="80" t="s">
        <v>43</v>
      </c>
      <c r="E5">
        <v>24</v>
      </c>
      <c r="F5">
        <v>48</v>
      </c>
      <c r="H5" t="s">
        <v>53</v>
      </c>
      <c r="I5">
        <f t="shared" si="0"/>
        <v>60</v>
      </c>
      <c r="J5">
        <f t="shared" si="1"/>
        <v>120</v>
      </c>
    </row>
    <row r="6" ht="15" customHeight="1" spans="1:10">
      <c r="A6" s="78" t="s">
        <v>54</v>
      </c>
      <c r="B6" s="78" t="s">
        <v>55</v>
      </c>
      <c r="C6" s="78" t="s">
        <v>52</v>
      </c>
      <c r="D6" s="80" t="s">
        <v>43</v>
      </c>
      <c r="E6">
        <v>10</v>
      </c>
      <c r="F6">
        <v>20</v>
      </c>
      <c r="H6" t="s">
        <v>56</v>
      </c>
      <c r="I6">
        <f t="shared" si="0"/>
        <v>48</v>
      </c>
      <c r="J6">
        <f t="shared" si="1"/>
        <v>128</v>
      </c>
    </row>
    <row r="7" ht="15" customHeight="1" spans="1:10">
      <c r="A7" s="78" t="s">
        <v>57</v>
      </c>
      <c r="B7" s="78" t="s">
        <v>58</v>
      </c>
      <c r="C7" s="78" t="s">
        <v>52</v>
      </c>
      <c r="D7" s="80" t="s">
        <v>43</v>
      </c>
      <c r="E7">
        <v>17</v>
      </c>
      <c r="F7">
        <v>30.8</v>
      </c>
      <c r="H7" t="s">
        <v>59</v>
      </c>
      <c r="I7">
        <f t="shared" si="0"/>
        <v>27.187</v>
      </c>
      <c r="J7">
        <f t="shared" si="1"/>
        <v>51.87</v>
      </c>
    </row>
    <row r="8" ht="15" customHeight="1" spans="1:10">
      <c r="A8" s="78" t="s">
        <v>60</v>
      </c>
      <c r="B8" s="78" t="s">
        <v>48</v>
      </c>
      <c r="C8" s="78" t="s">
        <v>61</v>
      </c>
      <c r="D8" s="80" t="s">
        <v>43</v>
      </c>
      <c r="E8">
        <v>16</v>
      </c>
      <c r="F8">
        <v>32</v>
      </c>
      <c r="H8" t="s">
        <v>62</v>
      </c>
      <c r="I8">
        <f t="shared" si="0"/>
        <v>22.5</v>
      </c>
      <c r="J8">
        <f t="shared" si="1"/>
        <v>45.69422</v>
      </c>
    </row>
    <row r="9" ht="15" customHeight="1" spans="1:10">
      <c r="A9" s="78" t="s">
        <v>63</v>
      </c>
      <c r="B9" s="78" t="s">
        <v>55</v>
      </c>
      <c r="C9" s="78" t="s">
        <v>61</v>
      </c>
      <c r="D9" s="80" t="s">
        <v>43</v>
      </c>
      <c r="E9">
        <v>10</v>
      </c>
      <c r="F9">
        <v>20</v>
      </c>
      <c r="H9" t="s">
        <v>64</v>
      </c>
      <c r="I9">
        <f t="shared" si="0"/>
        <v>19</v>
      </c>
      <c r="J9">
        <f t="shared" si="1"/>
        <v>24</v>
      </c>
    </row>
    <row r="10" ht="15" customHeight="1" spans="1:10">
      <c r="A10" s="78" t="s">
        <v>65</v>
      </c>
      <c r="B10" s="78" t="s">
        <v>66</v>
      </c>
      <c r="C10" s="78" t="s">
        <v>61</v>
      </c>
      <c r="D10" s="80" t="s">
        <v>43</v>
      </c>
      <c r="E10">
        <v>8</v>
      </c>
      <c r="F10">
        <v>16</v>
      </c>
      <c r="H10" t="s">
        <v>67</v>
      </c>
      <c r="I10">
        <f t="shared" si="0"/>
        <v>10</v>
      </c>
      <c r="J10">
        <f t="shared" si="1"/>
        <v>10</v>
      </c>
    </row>
    <row r="11" ht="15" customHeight="1" spans="1:10">
      <c r="A11" s="78" t="s">
        <v>68</v>
      </c>
      <c r="B11" s="78" t="s">
        <v>69</v>
      </c>
      <c r="C11" s="78" t="s">
        <v>61</v>
      </c>
      <c r="D11" s="80" t="s">
        <v>43</v>
      </c>
      <c r="E11">
        <v>20.16</v>
      </c>
      <c r="F11">
        <v>35</v>
      </c>
      <c r="H11" t="s">
        <v>70</v>
      </c>
      <c r="I11">
        <f t="shared" si="0"/>
        <v>2</v>
      </c>
      <c r="J11">
        <f t="shared" si="1"/>
        <v>4</v>
      </c>
    </row>
    <row r="12" ht="15" customHeight="1" spans="1:6">
      <c r="A12" s="78" t="s">
        <v>71</v>
      </c>
      <c r="B12" s="78" t="s">
        <v>72</v>
      </c>
      <c r="C12" s="78" t="s">
        <v>61</v>
      </c>
      <c r="D12" s="80" t="s">
        <v>43</v>
      </c>
      <c r="E12">
        <v>7.56</v>
      </c>
      <c r="F12">
        <v>13.2</v>
      </c>
    </row>
    <row r="13" ht="15" customHeight="1" spans="1:6">
      <c r="A13" s="78" t="s">
        <v>73</v>
      </c>
      <c r="B13" s="78" t="s">
        <v>74</v>
      </c>
      <c r="C13" s="78" t="s">
        <v>75</v>
      </c>
      <c r="D13" s="80" t="s">
        <v>43</v>
      </c>
      <c r="E13">
        <v>35.28</v>
      </c>
      <c r="F13">
        <v>61.6</v>
      </c>
    </row>
    <row r="14" ht="15" customHeight="1" spans="1:6">
      <c r="A14" s="81" t="s">
        <v>76</v>
      </c>
      <c r="B14" s="78" t="s">
        <v>77</v>
      </c>
      <c r="C14" s="78" t="s">
        <v>75</v>
      </c>
      <c r="D14" s="80" t="s">
        <v>43</v>
      </c>
      <c r="E14">
        <v>20</v>
      </c>
      <c r="F14">
        <v>75</v>
      </c>
    </row>
    <row r="15" ht="15" customHeight="1" spans="1:6">
      <c r="A15" s="78" t="s">
        <v>78</v>
      </c>
      <c r="B15" s="78"/>
      <c r="C15" s="78" t="s">
        <v>75</v>
      </c>
      <c r="D15" s="80" t="s">
        <v>43</v>
      </c>
      <c r="E15">
        <v>20</v>
      </c>
      <c r="F15">
        <v>75</v>
      </c>
    </row>
    <row r="16" ht="15" customHeight="1" spans="1:6">
      <c r="A16" s="78" t="s">
        <v>79</v>
      </c>
      <c r="B16" s="78" t="s">
        <v>80</v>
      </c>
      <c r="C16" s="78" t="s">
        <v>75</v>
      </c>
      <c r="D16" s="80" t="s">
        <v>43</v>
      </c>
      <c r="E16">
        <v>110.88</v>
      </c>
      <c r="F16">
        <v>193.6</v>
      </c>
    </row>
    <row r="17" ht="15" customHeight="1" spans="1:6">
      <c r="A17" s="78" t="s">
        <v>81</v>
      </c>
      <c r="B17" s="78" t="s">
        <v>82</v>
      </c>
      <c r="C17" s="78" t="s">
        <v>75</v>
      </c>
      <c r="D17" s="80" t="s">
        <v>43</v>
      </c>
      <c r="E17">
        <v>27.72</v>
      </c>
      <c r="F17">
        <v>48.4</v>
      </c>
    </row>
    <row r="18" ht="15" customHeight="1" spans="1:6">
      <c r="A18" s="78" t="s">
        <v>83</v>
      </c>
      <c r="B18" s="78" t="s">
        <v>84</v>
      </c>
      <c r="C18" s="78" t="s">
        <v>75</v>
      </c>
      <c r="D18" s="80" t="s">
        <v>43</v>
      </c>
      <c r="E18">
        <v>22.68</v>
      </c>
      <c r="F18">
        <v>39.6</v>
      </c>
    </row>
    <row r="19" ht="15" customHeight="1" spans="1:6">
      <c r="A19" s="78" t="s">
        <v>85</v>
      </c>
      <c r="B19" s="78" t="s">
        <v>86</v>
      </c>
      <c r="C19" s="78" t="s">
        <v>87</v>
      </c>
      <c r="D19" s="80" t="s">
        <v>43</v>
      </c>
      <c r="E19">
        <v>15.12</v>
      </c>
      <c r="F19">
        <v>26.4</v>
      </c>
    </row>
    <row r="20" ht="15" customHeight="1" spans="1:6">
      <c r="A20" s="78" t="s">
        <v>88</v>
      </c>
      <c r="B20" s="78" t="s">
        <v>89</v>
      </c>
      <c r="C20" s="78" t="s">
        <v>87</v>
      </c>
      <c r="D20" s="80" t="s">
        <v>43</v>
      </c>
      <c r="E20">
        <v>40.32</v>
      </c>
      <c r="F20">
        <v>70.4</v>
      </c>
    </row>
    <row r="21" ht="15" customHeight="1" spans="1:6">
      <c r="A21" s="78" t="s">
        <v>90</v>
      </c>
      <c r="B21" s="82" t="s">
        <v>91</v>
      </c>
      <c r="C21" s="78" t="s">
        <v>75</v>
      </c>
      <c r="D21" s="80" t="s">
        <v>49</v>
      </c>
      <c r="E21">
        <v>100.8</v>
      </c>
      <c r="F21">
        <v>100.8</v>
      </c>
    </row>
    <row r="22" ht="15" customHeight="1" spans="1:4">
      <c r="A22" s="78" t="s">
        <v>92</v>
      </c>
      <c r="B22" s="82"/>
      <c r="C22" s="78" t="s">
        <v>75</v>
      </c>
      <c r="D22" s="80" t="s">
        <v>49</v>
      </c>
    </row>
    <row r="23" ht="15" customHeight="1" spans="1:4">
      <c r="A23" s="78" t="s">
        <v>93</v>
      </c>
      <c r="B23" s="82"/>
      <c r="C23" s="78" t="s">
        <v>75</v>
      </c>
      <c r="D23" s="80" t="s">
        <v>49</v>
      </c>
    </row>
    <row r="24" ht="15" customHeight="1" spans="1:4">
      <c r="A24" s="78" t="s">
        <v>94</v>
      </c>
      <c r="B24" s="82"/>
      <c r="C24" s="78" t="s">
        <v>75</v>
      </c>
      <c r="D24" s="80" t="s">
        <v>49</v>
      </c>
    </row>
    <row r="25" ht="15" customHeight="1" spans="1:4">
      <c r="A25" s="79" t="s">
        <v>95</v>
      </c>
      <c r="B25" s="82"/>
      <c r="C25" s="78" t="s">
        <v>75</v>
      </c>
      <c r="D25" s="80" t="s">
        <v>49</v>
      </c>
    </row>
    <row r="26" ht="15" customHeight="1" spans="1:4">
      <c r="A26" s="79" t="s">
        <v>96</v>
      </c>
      <c r="B26" s="82"/>
      <c r="C26" s="78" t="s">
        <v>75</v>
      </c>
      <c r="D26" s="80" t="s">
        <v>49</v>
      </c>
    </row>
    <row r="27" ht="15" customHeight="1" spans="1:4">
      <c r="A27" s="78" t="s">
        <v>97</v>
      </c>
      <c r="B27" s="82"/>
      <c r="C27" s="78" t="s">
        <v>75</v>
      </c>
      <c r="D27" s="80" t="s">
        <v>49</v>
      </c>
    </row>
    <row r="28" ht="15" customHeight="1" spans="1:4">
      <c r="A28" s="78" t="s">
        <v>98</v>
      </c>
      <c r="B28" s="82"/>
      <c r="C28" s="78" t="s">
        <v>75</v>
      </c>
      <c r="D28" s="80" t="s">
        <v>49</v>
      </c>
    </row>
    <row r="29" ht="15" customHeight="1" spans="1:4">
      <c r="A29" s="78" t="s">
        <v>99</v>
      </c>
      <c r="B29" s="82"/>
      <c r="C29" s="78" t="s">
        <v>75</v>
      </c>
      <c r="D29" s="80" t="s">
        <v>49</v>
      </c>
    </row>
    <row r="30" ht="15" customHeight="1" spans="1:4">
      <c r="A30" s="79" t="s">
        <v>100</v>
      </c>
      <c r="B30" s="82"/>
      <c r="C30" s="78" t="s">
        <v>75</v>
      </c>
      <c r="D30" s="80" t="s">
        <v>49</v>
      </c>
    </row>
    <row r="31" ht="15" customHeight="1" spans="1:4">
      <c r="A31" s="79" t="s">
        <v>101</v>
      </c>
      <c r="B31" s="82"/>
      <c r="C31" s="78" t="s">
        <v>75</v>
      </c>
      <c r="D31" s="80" t="s">
        <v>49</v>
      </c>
    </row>
    <row r="32" ht="15" customHeight="1" spans="1:4">
      <c r="A32" s="78" t="s">
        <v>102</v>
      </c>
      <c r="B32" s="82"/>
      <c r="C32" s="78" t="s">
        <v>75</v>
      </c>
      <c r="D32" s="80" t="s">
        <v>49</v>
      </c>
    </row>
    <row r="33" ht="15" customHeight="1" spans="1:4">
      <c r="A33" s="78" t="s">
        <v>103</v>
      </c>
      <c r="B33" s="82"/>
      <c r="C33" s="78" t="s">
        <v>75</v>
      </c>
      <c r="D33" s="80" t="s">
        <v>49</v>
      </c>
    </row>
    <row r="34" ht="15" customHeight="1" spans="1:4">
      <c r="A34" s="78" t="s">
        <v>104</v>
      </c>
      <c r="B34" s="82"/>
      <c r="C34" s="78" t="s">
        <v>75</v>
      </c>
      <c r="D34" s="80" t="s">
        <v>49</v>
      </c>
    </row>
    <row r="35" ht="15" customHeight="1" spans="1:4">
      <c r="A35" s="78" t="s">
        <v>105</v>
      </c>
      <c r="B35" s="82"/>
      <c r="C35" s="78" t="s">
        <v>75</v>
      </c>
      <c r="D35" s="80" t="s">
        <v>49</v>
      </c>
    </row>
    <row r="36" ht="15" customHeight="1" spans="1:5">
      <c r="A36" s="78" t="s">
        <v>106</v>
      </c>
      <c r="B36" s="82"/>
      <c r="C36" s="78" t="s">
        <v>75</v>
      </c>
      <c r="D36" s="80" t="s">
        <v>49</v>
      </c>
      <c r="E36">
        <v>9.6</v>
      </c>
    </row>
    <row r="37" ht="15" customHeight="1" spans="1:6">
      <c r="A37" s="78" t="s">
        <v>107</v>
      </c>
      <c r="B37" s="78" t="s">
        <v>51</v>
      </c>
      <c r="C37" s="79" t="s">
        <v>108</v>
      </c>
      <c r="D37" s="80" t="s">
        <v>53</v>
      </c>
      <c r="E37">
        <v>24</v>
      </c>
      <c r="F37">
        <v>48</v>
      </c>
    </row>
    <row r="38" ht="15" customHeight="1" spans="1:6">
      <c r="A38" s="78" t="s">
        <v>109</v>
      </c>
      <c r="B38" s="78" t="s">
        <v>55</v>
      </c>
      <c r="C38" s="79" t="s">
        <v>108</v>
      </c>
      <c r="D38" s="80" t="s">
        <v>53</v>
      </c>
      <c r="E38">
        <v>10</v>
      </c>
      <c r="F38">
        <v>20</v>
      </c>
    </row>
    <row r="39" ht="15" customHeight="1" spans="1:6">
      <c r="A39" s="78" t="s">
        <v>110</v>
      </c>
      <c r="B39" s="78" t="s">
        <v>111</v>
      </c>
      <c r="C39" s="79" t="s">
        <v>108</v>
      </c>
      <c r="D39" s="80" t="s">
        <v>53</v>
      </c>
      <c r="E39">
        <v>26</v>
      </c>
      <c r="F39">
        <v>52</v>
      </c>
    </row>
    <row r="40" ht="15" customHeight="1" spans="1:6">
      <c r="A40" s="78" t="s">
        <v>112</v>
      </c>
      <c r="B40" s="78" t="s">
        <v>113</v>
      </c>
      <c r="C40" s="78" t="s">
        <v>114</v>
      </c>
      <c r="D40" s="80" t="s">
        <v>56</v>
      </c>
      <c r="E40">
        <v>16</v>
      </c>
      <c r="F40">
        <v>64</v>
      </c>
    </row>
    <row r="41" ht="15" customHeight="1" spans="1:6">
      <c r="A41" s="78" t="s">
        <v>115</v>
      </c>
      <c r="B41" s="78" t="s">
        <v>116</v>
      </c>
      <c r="C41" s="78" t="s">
        <v>117</v>
      </c>
      <c r="D41" s="80" t="s">
        <v>46</v>
      </c>
      <c r="E41">
        <v>30</v>
      </c>
      <c r="F41">
        <v>100</v>
      </c>
    </row>
    <row r="42" ht="15" customHeight="1" spans="1:6">
      <c r="A42" s="78" t="s">
        <v>118</v>
      </c>
      <c r="B42" s="78" t="s">
        <v>119</v>
      </c>
      <c r="C42" s="78" t="s">
        <v>120</v>
      </c>
      <c r="D42" s="80" t="s">
        <v>46</v>
      </c>
      <c r="E42">
        <v>150</v>
      </c>
      <c r="F42">
        <v>300</v>
      </c>
    </row>
    <row r="43" ht="15" customHeight="1" spans="1:6">
      <c r="A43" s="78" t="s">
        <v>121</v>
      </c>
      <c r="B43" s="78" t="s">
        <v>119</v>
      </c>
      <c r="C43" s="78"/>
      <c r="D43" s="80" t="s">
        <v>46</v>
      </c>
      <c r="E43">
        <v>150</v>
      </c>
      <c r="F43">
        <v>300</v>
      </c>
    </row>
    <row r="44" ht="15" customHeight="1" spans="1:6">
      <c r="A44" s="78" t="s">
        <v>122</v>
      </c>
      <c r="B44" s="78" t="s">
        <v>123</v>
      </c>
      <c r="C44" s="78" t="s">
        <v>124</v>
      </c>
      <c r="D44" s="80" t="s">
        <v>62</v>
      </c>
      <c r="E44">
        <v>6</v>
      </c>
      <c r="F44">
        <v>8.4</v>
      </c>
    </row>
    <row r="45" ht="15" customHeight="1" spans="1:6">
      <c r="A45" s="78" t="s">
        <v>125</v>
      </c>
      <c r="B45" s="78" t="s">
        <v>126</v>
      </c>
      <c r="C45" s="78" t="s">
        <v>124</v>
      </c>
      <c r="D45" s="80" t="s">
        <v>62</v>
      </c>
      <c r="E45">
        <v>4</v>
      </c>
      <c r="F45">
        <v>12.8</v>
      </c>
    </row>
    <row r="46" ht="15" customHeight="1" spans="1:6">
      <c r="A46" s="78" t="s">
        <v>127</v>
      </c>
      <c r="B46" s="78" t="s">
        <v>45</v>
      </c>
      <c r="C46" s="78" t="s">
        <v>124</v>
      </c>
      <c r="D46" s="80" t="s">
        <v>62</v>
      </c>
      <c r="E46">
        <v>12</v>
      </c>
      <c r="F46">
        <v>24</v>
      </c>
    </row>
    <row r="47" ht="15" customHeight="1" spans="1:6">
      <c r="A47" s="78" t="s">
        <v>128</v>
      </c>
      <c r="B47" s="78" t="s">
        <v>129</v>
      </c>
      <c r="C47" s="79" t="s">
        <v>130</v>
      </c>
      <c r="D47" s="80" t="s">
        <v>62</v>
      </c>
      <c r="E47">
        <v>0.3</v>
      </c>
      <c r="F47">
        <v>0.45</v>
      </c>
    </row>
    <row r="48" ht="15" customHeight="1" spans="1:6">
      <c r="A48" s="79" t="s">
        <v>131</v>
      </c>
      <c r="B48" s="78" t="s">
        <v>132</v>
      </c>
      <c r="C48" s="78"/>
      <c r="D48" s="80" t="s">
        <v>62</v>
      </c>
      <c r="E48">
        <v>0.2</v>
      </c>
      <c r="F48">
        <v>0.04422</v>
      </c>
    </row>
    <row r="49" ht="15" customHeight="1" spans="1:6">
      <c r="A49" s="78" t="s">
        <v>133</v>
      </c>
      <c r="B49" s="78" t="s">
        <v>41</v>
      </c>
      <c r="C49" s="79" t="s">
        <v>134</v>
      </c>
      <c r="D49" s="80" t="s">
        <v>64</v>
      </c>
      <c r="E49">
        <v>5</v>
      </c>
      <c r="F49">
        <v>10</v>
      </c>
    </row>
    <row r="50" ht="15" customHeight="1" spans="1:6">
      <c r="A50" s="78" t="s">
        <v>135</v>
      </c>
      <c r="B50" s="78" t="s">
        <v>136</v>
      </c>
      <c r="C50" s="79" t="s">
        <v>134</v>
      </c>
      <c r="D50" s="80" t="s">
        <v>64</v>
      </c>
      <c r="E50">
        <v>14</v>
      </c>
      <c r="F50">
        <v>14</v>
      </c>
    </row>
    <row r="51" ht="15" customHeight="1" spans="1:6">
      <c r="A51" s="78" t="s">
        <v>137</v>
      </c>
      <c r="B51" s="78" t="s">
        <v>138</v>
      </c>
      <c r="C51" s="78" t="s">
        <v>139</v>
      </c>
      <c r="D51" s="80" t="s">
        <v>56</v>
      </c>
      <c r="E51">
        <v>32</v>
      </c>
      <c r="F51">
        <v>64</v>
      </c>
    </row>
    <row r="52" ht="15" customHeight="1" spans="1:6">
      <c r="A52" s="79" t="s">
        <v>140</v>
      </c>
      <c r="B52" s="78" t="s">
        <v>141</v>
      </c>
      <c r="C52" s="78" t="s">
        <v>75</v>
      </c>
      <c r="D52" s="80" t="s">
        <v>67</v>
      </c>
      <c r="E52">
        <v>10</v>
      </c>
      <c r="F52">
        <v>10</v>
      </c>
    </row>
    <row r="53" ht="15" customHeight="1" spans="1:6">
      <c r="A53" s="79" t="s">
        <v>142</v>
      </c>
      <c r="B53" s="78" t="s">
        <v>143</v>
      </c>
      <c r="C53" s="79" t="s">
        <v>144</v>
      </c>
      <c r="D53" s="80" t="s">
        <v>70</v>
      </c>
      <c r="E53">
        <v>2</v>
      </c>
      <c r="F53">
        <v>4</v>
      </c>
    </row>
    <row r="54" ht="15" customHeight="1" spans="1:6">
      <c r="A54" s="79" t="s">
        <v>145</v>
      </c>
      <c r="B54" s="78" t="s">
        <v>55</v>
      </c>
      <c r="C54" s="78"/>
      <c r="D54" s="80" t="s">
        <v>59</v>
      </c>
      <c r="E54">
        <v>10</v>
      </c>
      <c r="F54">
        <v>20</v>
      </c>
    </row>
    <row r="55" ht="15" customHeight="1" spans="1:6">
      <c r="A55" s="78" t="s">
        <v>146</v>
      </c>
      <c r="B55" s="78" t="s">
        <v>66</v>
      </c>
      <c r="C55" s="78"/>
      <c r="D55" s="80" t="s">
        <v>59</v>
      </c>
      <c r="E55">
        <v>8</v>
      </c>
      <c r="F55">
        <v>16</v>
      </c>
    </row>
    <row r="56" ht="15" customHeight="1" spans="1:6">
      <c r="A56" s="78" t="s">
        <v>147</v>
      </c>
      <c r="B56" s="78" t="s">
        <v>148</v>
      </c>
      <c r="C56" s="78"/>
      <c r="D56" s="80" t="s">
        <v>59</v>
      </c>
      <c r="E56">
        <v>4</v>
      </c>
      <c r="F56">
        <v>4</v>
      </c>
    </row>
    <row r="57" ht="15" customHeight="1" spans="1:6">
      <c r="A57" s="79" t="s">
        <v>149</v>
      </c>
      <c r="B57" s="78" t="s">
        <v>41</v>
      </c>
      <c r="C57" s="78" t="s">
        <v>150</v>
      </c>
      <c r="D57" s="80" t="s">
        <v>59</v>
      </c>
      <c r="E57">
        <v>5</v>
      </c>
      <c r="F57">
        <v>10</v>
      </c>
    </row>
    <row r="58" ht="15" customHeight="1" spans="1:6">
      <c r="A58" s="79" t="s">
        <v>151</v>
      </c>
      <c r="B58" s="78" t="s">
        <v>152</v>
      </c>
      <c r="C58" s="78" t="s">
        <v>153</v>
      </c>
      <c r="D58" s="80" t="s">
        <v>59</v>
      </c>
      <c r="E58">
        <v>0.187</v>
      </c>
      <c r="F58">
        <v>1.87</v>
      </c>
    </row>
  </sheetData>
  <mergeCells count="3">
    <mergeCell ref="B14:B15"/>
    <mergeCell ref="B21:B36"/>
    <mergeCell ref="C42:C43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topLeftCell="A28" workbookViewId="0">
      <selection activeCell="P36" sqref="P36:Q52"/>
    </sheetView>
  </sheetViews>
  <sheetFormatPr defaultColWidth="9" defaultRowHeight="14"/>
  <cols>
    <col min="1" max="1" width="15.125" customWidth="1"/>
    <col min="2" max="2" width="13.625" customWidth="1"/>
    <col min="3" max="14" width="9.625" customWidth="1"/>
    <col min="15" max="15" width="16.25" customWidth="1"/>
    <col min="16" max="19" width="12" style="18" customWidth="1"/>
  </cols>
  <sheetData>
    <row r="1" s="38" customFormat="1" ht="14.75" spans="1:19">
      <c r="A1" s="38" t="s">
        <v>154</v>
      </c>
      <c r="P1" s="68"/>
      <c r="Q1" s="68"/>
      <c r="R1" s="68"/>
      <c r="S1" s="68"/>
    </row>
    <row r="2" ht="14.75" spans="1:9">
      <c r="A2" s="39"/>
      <c r="B2" s="40"/>
      <c r="C2" s="41">
        <v>2019</v>
      </c>
      <c r="D2" s="42">
        <v>2020</v>
      </c>
      <c r="E2" s="42" t="s">
        <v>155</v>
      </c>
      <c r="F2" s="42">
        <v>2022</v>
      </c>
      <c r="G2" s="42" t="s">
        <v>156</v>
      </c>
      <c r="H2" s="43">
        <v>2023</v>
      </c>
      <c r="I2" s="69">
        <v>2024</v>
      </c>
    </row>
    <row r="3" spans="1:9">
      <c r="A3" s="44" t="s">
        <v>157</v>
      </c>
      <c r="B3" s="45" t="s">
        <v>158</v>
      </c>
      <c r="C3" s="46"/>
      <c r="D3" s="47"/>
      <c r="E3" s="48">
        <f>F3-F28</f>
        <v>578</v>
      </c>
      <c r="F3" s="47">
        <v>772</v>
      </c>
      <c r="G3" s="47">
        <v>1024</v>
      </c>
      <c r="H3" s="49">
        <v>1375</v>
      </c>
      <c r="I3" s="70"/>
    </row>
    <row r="4" spans="1:9">
      <c r="A4" s="50"/>
      <c r="B4" s="51" t="s">
        <v>159</v>
      </c>
      <c r="C4" s="52"/>
      <c r="D4" s="53"/>
      <c r="E4" s="54">
        <f>F4-F29</f>
        <v>14.91</v>
      </c>
      <c r="F4" s="53">
        <v>18.59</v>
      </c>
      <c r="G4" s="53">
        <v>27.22</v>
      </c>
      <c r="H4" s="55">
        <v>45.43</v>
      </c>
      <c r="I4" s="71"/>
    </row>
    <row r="5" spans="1:9">
      <c r="A5" s="50"/>
      <c r="B5" s="51" t="s">
        <v>160</v>
      </c>
      <c r="C5" s="52"/>
      <c r="D5" s="53"/>
      <c r="E5" s="54">
        <f>F5-F30</f>
        <v>35.22</v>
      </c>
      <c r="F5" s="53">
        <v>43.08</v>
      </c>
      <c r="G5" s="53">
        <v>59.26</v>
      </c>
      <c r="H5" s="55">
        <v>92.61</v>
      </c>
      <c r="I5" s="71"/>
    </row>
    <row r="6" spans="1:9">
      <c r="A6" s="50"/>
      <c r="B6" s="51" t="s">
        <v>161</v>
      </c>
      <c r="C6" s="52"/>
      <c r="D6" s="53"/>
      <c r="E6" s="54">
        <f>E4/E3*1000</f>
        <v>25.7958477508651</v>
      </c>
      <c r="F6" s="53">
        <f t="shared" ref="F6:G6" si="0">F4/F3*1000</f>
        <v>24.080310880829</v>
      </c>
      <c r="G6" s="53">
        <f t="shared" si="0"/>
        <v>26.58203125</v>
      </c>
      <c r="H6" s="53">
        <f t="shared" ref="H6" si="1">H4/H3*1000</f>
        <v>33.04</v>
      </c>
      <c r="I6" s="71"/>
    </row>
    <row r="7" ht="14.75" spans="1:9">
      <c r="A7" s="56"/>
      <c r="B7" s="57" t="s">
        <v>162</v>
      </c>
      <c r="C7" s="58"/>
      <c r="D7" s="59"/>
      <c r="E7" s="60">
        <f>E5/E4</f>
        <v>2.36217303822938</v>
      </c>
      <c r="F7" s="61">
        <f t="shared" ref="F7:G7" si="2">F5/F4</f>
        <v>2.31737493275955</v>
      </c>
      <c r="G7" s="61">
        <f t="shared" si="2"/>
        <v>2.17707567964732</v>
      </c>
      <c r="H7" s="61">
        <f t="shared" ref="H7" si="3">H5/H4</f>
        <v>2.03852080123267</v>
      </c>
      <c r="I7" s="72"/>
    </row>
    <row r="8" spans="1:9">
      <c r="A8" s="44" t="s">
        <v>163</v>
      </c>
      <c r="B8" s="45" t="s">
        <v>158</v>
      </c>
      <c r="C8" s="46"/>
      <c r="D8" s="47"/>
      <c r="E8" s="47"/>
      <c r="F8" s="47">
        <v>405</v>
      </c>
      <c r="G8" s="47">
        <v>604</v>
      </c>
      <c r="H8" s="49">
        <v>863</v>
      </c>
      <c r="I8" s="70"/>
    </row>
    <row r="9" spans="1:9">
      <c r="A9" s="50"/>
      <c r="B9" s="51" t="s">
        <v>159</v>
      </c>
      <c r="C9" s="52"/>
      <c r="D9" s="53"/>
      <c r="E9" s="53"/>
      <c r="F9" s="53">
        <v>6.44</v>
      </c>
      <c r="G9" s="53">
        <v>13.76</v>
      </c>
      <c r="H9" s="55">
        <v>24.35</v>
      </c>
      <c r="I9" s="71"/>
    </row>
    <row r="10" spans="1:9">
      <c r="A10" s="50"/>
      <c r="B10" s="51" t="s">
        <v>160</v>
      </c>
      <c r="C10" s="52"/>
      <c r="D10" s="53"/>
      <c r="E10" s="53"/>
      <c r="F10" s="53">
        <v>13.19</v>
      </c>
      <c r="G10" s="53">
        <v>27.64</v>
      </c>
      <c r="H10" s="55">
        <v>49.62</v>
      </c>
      <c r="I10" s="71"/>
    </row>
    <row r="11" spans="1:9">
      <c r="A11" s="50"/>
      <c r="B11" s="51" t="s">
        <v>161</v>
      </c>
      <c r="C11" s="52"/>
      <c r="D11" s="53"/>
      <c r="E11" s="53"/>
      <c r="F11" s="53">
        <f t="shared" ref="F11:G11" si="4">F9/F8*1000</f>
        <v>15.9012345679012</v>
      </c>
      <c r="G11" s="53">
        <f t="shared" si="4"/>
        <v>22.7814569536424</v>
      </c>
      <c r="H11" s="53">
        <f t="shared" ref="H11" si="5">H9/H8*1000</f>
        <v>28.215527230591</v>
      </c>
      <c r="I11" s="71"/>
    </row>
    <row r="12" ht="14.75" spans="1:9">
      <c r="A12" s="56"/>
      <c r="B12" s="57" t="s">
        <v>162</v>
      </c>
      <c r="C12" s="58"/>
      <c r="D12" s="59"/>
      <c r="E12" s="59"/>
      <c r="F12" s="61">
        <f t="shared" ref="F12:G12" si="6">F10/F9</f>
        <v>2.04813664596273</v>
      </c>
      <c r="G12" s="61">
        <f t="shared" si="6"/>
        <v>2.00872093023256</v>
      </c>
      <c r="H12" s="61">
        <f t="shared" ref="H12" si="7">H10/H9</f>
        <v>2.03778234086242</v>
      </c>
      <c r="I12" s="72"/>
    </row>
    <row r="13" spans="1:9">
      <c r="A13" s="44" t="s">
        <v>164</v>
      </c>
      <c r="B13" s="45" t="s">
        <v>158</v>
      </c>
      <c r="C13" s="46"/>
      <c r="D13" s="47"/>
      <c r="E13" s="47"/>
      <c r="F13" s="47">
        <v>67</v>
      </c>
      <c r="G13" s="47">
        <v>95</v>
      </c>
      <c r="H13" s="49">
        <v>95</v>
      </c>
      <c r="I13" s="70"/>
    </row>
    <row r="14" spans="1:9">
      <c r="A14" s="50"/>
      <c r="B14" s="51" t="s">
        <v>159</v>
      </c>
      <c r="C14" s="52"/>
      <c r="D14" s="53"/>
      <c r="E14" s="53"/>
      <c r="F14" s="53">
        <v>0.45</v>
      </c>
      <c r="G14" s="53">
        <v>0.54</v>
      </c>
      <c r="H14" s="55">
        <v>0.65</v>
      </c>
      <c r="I14" s="71"/>
    </row>
    <row r="15" spans="1:9">
      <c r="A15" s="50"/>
      <c r="B15" s="51" t="s">
        <v>160</v>
      </c>
      <c r="C15" s="52"/>
      <c r="D15" s="53"/>
      <c r="E15" s="53"/>
      <c r="F15" s="53">
        <v>0.86</v>
      </c>
      <c r="G15" s="53">
        <v>1.13</v>
      </c>
      <c r="H15" s="55">
        <v>1.25</v>
      </c>
      <c r="I15" s="71"/>
    </row>
    <row r="16" spans="1:9">
      <c r="A16" s="50"/>
      <c r="B16" s="51" t="s">
        <v>161</v>
      </c>
      <c r="C16" s="52"/>
      <c r="D16" s="53"/>
      <c r="E16" s="53"/>
      <c r="F16" s="53">
        <f t="shared" ref="F16:G16" si="8">F14/F13*1000</f>
        <v>6.71641791044776</v>
      </c>
      <c r="G16" s="53">
        <f t="shared" si="8"/>
        <v>5.68421052631579</v>
      </c>
      <c r="H16" s="53">
        <f t="shared" ref="H16" si="9">H14/H13*1000</f>
        <v>6.84210526315789</v>
      </c>
      <c r="I16" s="71"/>
    </row>
    <row r="17" ht="14.75" spans="1:9">
      <c r="A17" s="56"/>
      <c r="B17" s="57" t="s">
        <v>162</v>
      </c>
      <c r="C17" s="58"/>
      <c r="D17" s="59"/>
      <c r="E17" s="59"/>
      <c r="F17" s="61">
        <f t="shared" ref="F17:G17" si="10">F15/F14</f>
        <v>1.91111111111111</v>
      </c>
      <c r="G17" s="61">
        <f t="shared" si="10"/>
        <v>2.09259259259259</v>
      </c>
      <c r="H17" s="61">
        <f t="shared" ref="H17" si="11">H15/H14</f>
        <v>1.92307692307692</v>
      </c>
      <c r="I17" s="72"/>
    </row>
    <row r="18" spans="1:9">
      <c r="A18" s="62" t="s">
        <v>165</v>
      </c>
      <c r="B18" s="45" t="s">
        <v>158</v>
      </c>
      <c r="C18" s="46"/>
      <c r="D18" s="47"/>
      <c r="E18" s="47"/>
      <c r="F18" s="47">
        <f>F8+F13</f>
        <v>472</v>
      </c>
      <c r="G18" s="47">
        <f>G8+G13</f>
        <v>699</v>
      </c>
      <c r="H18" s="63">
        <f>F18+H28</f>
        <v>958</v>
      </c>
      <c r="I18" s="70"/>
    </row>
    <row r="19" spans="1:9">
      <c r="A19" s="64"/>
      <c r="B19" s="51" t="s">
        <v>159</v>
      </c>
      <c r="C19" s="52"/>
      <c r="D19" s="53"/>
      <c r="E19" s="53"/>
      <c r="F19" s="53">
        <f t="shared" ref="F19:G19" si="12">F9+F14</f>
        <v>6.89</v>
      </c>
      <c r="G19" s="53">
        <f t="shared" si="12"/>
        <v>14.3</v>
      </c>
      <c r="H19" s="65">
        <f>F19+H29</f>
        <v>25</v>
      </c>
      <c r="I19" s="71"/>
    </row>
    <row r="20" spans="1:9">
      <c r="A20" s="64"/>
      <c r="B20" s="51" t="s">
        <v>160</v>
      </c>
      <c r="C20" s="52">
        <v>1.415</v>
      </c>
      <c r="D20" s="53">
        <v>3.349</v>
      </c>
      <c r="E20" s="53">
        <v>6.197</v>
      </c>
      <c r="F20" s="53">
        <f t="shared" ref="F20:G20" si="13">F10+F15</f>
        <v>14.05</v>
      </c>
      <c r="G20" s="53">
        <f t="shared" si="13"/>
        <v>28.77</v>
      </c>
      <c r="H20" s="65">
        <f>F20+H30</f>
        <v>50.86</v>
      </c>
      <c r="I20" s="71"/>
    </row>
    <row r="21" spans="1:9">
      <c r="A21" s="64"/>
      <c r="B21" s="51" t="s">
        <v>161</v>
      </c>
      <c r="C21" s="52"/>
      <c r="D21" s="53"/>
      <c r="E21" s="53"/>
      <c r="F21" s="53">
        <f t="shared" ref="F21:G21" si="14">F19/F18*1000</f>
        <v>14.5974576271186</v>
      </c>
      <c r="G21" s="53">
        <f t="shared" si="14"/>
        <v>20.4577968526466</v>
      </c>
      <c r="H21" s="54">
        <f t="shared" ref="H21" si="15">H19/H18*1000</f>
        <v>26.0960334029228</v>
      </c>
      <c r="I21" s="71"/>
    </row>
    <row r="22" ht="14.75" spans="1:9">
      <c r="A22" s="66"/>
      <c r="B22" s="57" t="s">
        <v>162</v>
      </c>
      <c r="C22" s="58"/>
      <c r="D22" s="59"/>
      <c r="E22" s="59"/>
      <c r="F22" s="61">
        <f t="shared" ref="F22:G22" si="16">F20/F19</f>
        <v>2.03918722786647</v>
      </c>
      <c r="G22" s="61">
        <f t="shared" si="16"/>
        <v>2.01188811188811</v>
      </c>
      <c r="H22" s="60">
        <f t="shared" ref="H22" si="17">H20/H19</f>
        <v>2.0344</v>
      </c>
      <c r="I22" s="72"/>
    </row>
    <row r="23" spans="1:9">
      <c r="A23" s="44" t="s">
        <v>166</v>
      </c>
      <c r="B23" s="45" t="s">
        <v>158</v>
      </c>
      <c r="C23" s="46"/>
      <c r="D23" s="47"/>
      <c r="E23" s="47"/>
      <c r="F23" s="47">
        <v>300</v>
      </c>
      <c r="G23" s="47">
        <v>325</v>
      </c>
      <c r="H23" s="49">
        <v>417</v>
      </c>
      <c r="I23" s="70"/>
    </row>
    <row r="24" spans="1:9">
      <c r="A24" s="50"/>
      <c r="B24" s="51" t="s">
        <v>159</v>
      </c>
      <c r="C24" s="52"/>
      <c r="D24" s="53"/>
      <c r="E24" s="53"/>
      <c r="F24" s="53">
        <v>11.7</v>
      </c>
      <c r="G24" s="53">
        <v>12.92</v>
      </c>
      <c r="H24" s="55">
        <v>20.43</v>
      </c>
      <c r="I24" s="71"/>
    </row>
    <row r="25" spans="1:12">
      <c r="A25" s="50"/>
      <c r="B25" s="51" t="s">
        <v>160</v>
      </c>
      <c r="C25" s="52"/>
      <c r="D25" s="53"/>
      <c r="E25" s="53"/>
      <c r="F25" s="53">
        <v>29.03</v>
      </c>
      <c r="G25" s="53">
        <v>30.49</v>
      </c>
      <c r="H25" s="55">
        <v>41.7</v>
      </c>
      <c r="I25" s="71"/>
      <c r="L25" t="s">
        <v>167</v>
      </c>
    </row>
    <row r="26" spans="1:9">
      <c r="A26" s="50"/>
      <c r="B26" s="51" t="s">
        <v>161</v>
      </c>
      <c r="C26" s="52"/>
      <c r="D26" s="53"/>
      <c r="E26" s="53"/>
      <c r="F26" s="53">
        <f t="shared" ref="F26:G26" si="18">F24/F23*1000</f>
        <v>39</v>
      </c>
      <c r="G26" s="53">
        <f t="shared" si="18"/>
        <v>39.7538461538462</v>
      </c>
      <c r="H26" s="53">
        <f t="shared" ref="H26" si="19">H24/H23*1000</f>
        <v>48.9928057553957</v>
      </c>
      <c r="I26" s="71"/>
    </row>
    <row r="27" ht="14.75" spans="1:9">
      <c r="A27" s="56"/>
      <c r="B27" s="57" t="s">
        <v>162</v>
      </c>
      <c r="C27" s="58"/>
      <c r="D27" s="59"/>
      <c r="E27" s="59"/>
      <c r="F27" s="61">
        <f t="shared" ref="F27:G27" si="20">F25/F24</f>
        <v>2.48119658119658</v>
      </c>
      <c r="G27" s="61">
        <f t="shared" si="20"/>
        <v>2.35990712074303</v>
      </c>
      <c r="H27" s="61">
        <f t="shared" ref="H27" si="21">H25/H24</f>
        <v>2.04111600587372</v>
      </c>
      <c r="I27" s="72"/>
    </row>
    <row r="28" spans="1:9">
      <c r="A28" s="44" t="s">
        <v>168</v>
      </c>
      <c r="B28" s="45" t="s">
        <v>158</v>
      </c>
      <c r="C28" s="46"/>
      <c r="D28" s="47"/>
      <c r="E28" s="47"/>
      <c r="F28" s="47">
        <v>194</v>
      </c>
      <c r="G28" s="47">
        <v>227</v>
      </c>
      <c r="H28" s="49">
        <v>486</v>
      </c>
      <c r="I28" s="70"/>
    </row>
    <row r="29" spans="1:9">
      <c r="A29" s="50"/>
      <c r="B29" s="51" t="s">
        <v>159</v>
      </c>
      <c r="C29" s="52"/>
      <c r="D29" s="53"/>
      <c r="E29" s="53"/>
      <c r="F29" s="53">
        <v>3.68</v>
      </c>
      <c r="G29" s="53">
        <v>7.41</v>
      </c>
      <c r="H29" s="55">
        <v>18.11</v>
      </c>
      <c r="I29" s="71"/>
    </row>
    <row r="30" spans="1:9">
      <c r="A30" s="50"/>
      <c r="B30" s="51" t="s">
        <v>160</v>
      </c>
      <c r="C30" s="52">
        <v>0.557</v>
      </c>
      <c r="D30" s="53">
        <v>1.934</v>
      </c>
      <c r="E30" s="53">
        <v>2.848</v>
      </c>
      <c r="F30" s="53">
        <v>7.86</v>
      </c>
      <c r="G30" s="53">
        <v>14.71</v>
      </c>
      <c r="H30" s="55">
        <v>36.81</v>
      </c>
      <c r="I30" s="71"/>
    </row>
    <row r="31" spans="1:9">
      <c r="A31" s="50"/>
      <c r="B31" s="51" t="s">
        <v>161</v>
      </c>
      <c r="C31" s="52"/>
      <c r="D31" s="53"/>
      <c r="E31" s="53"/>
      <c r="F31" s="53">
        <f t="shared" ref="F31:G31" si="22">F29/F28*1000</f>
        <v>18.9690721649485</v>
      </c>
      <c r="G31" s="53">
        <f t="shared" si="22"/>
        <v>32.6431718061674</v>
      </c>
      <c r="H31" s="53">
        <f t="shared" ref="H31" si="23">H29/H28*1000</f>
        <v>37.2633744855967</v>
      </c>
      <c r="I31" s="71"/>
    </row>
    <row r="32" ht="14.75" spans="1:9">
      <c r="A32" s="56"/>
      <c r="B32" s="57" t="s">
        <v>162</v>
      </c>
      <c r="C32" s="58"/>
      <c r="D32" s="59"/>
      <c r="E32" s="59"/>
      <c r="F32" s="61">
        <f t="shared" ref="F32:G32" si="24">F30/F29</f>
        <v>2.13586956521739</v>
      </c>
      <c r="G32" s="61">
        <f t="shared" si="24"/>
        <v>1.98515519568151</v>
      </c>
      <c r="H32" s="61">
        <f t="shared" ref="H32" si="25">H30/H29</f>
        <v>2.03257868580895</v>
      </c>
      <c r="I32" s="72"/>
    </row>
    <row r="34" spans="1:14">
      <c r="A34" s="67" t="s">
        <v>169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</row>
    <row r="35" spans="1:19">
      <c r="A35" s="67" t="s">
        <v>170</v>
      </c>
      <c r="B35" s="67"/>
      <c r="C35" s="67"/>
      <c r="D35" s="67"/>
      <c r="E35" s="67"/>
      <c r="F35" s="67"/>
      <c r="G35" s="67" t="s">
        <v>171</v>
      </c>
      <c r="H35" s="67"/>
      <c r="I35" s="67"/>
      <c r="J35" s="67"/>
      <c r="K35" s="67"/>
      <c r="L35" s="67"/>
      <c r="M35" s="67"/>
      <c r="N35" s="67"/>
      <c r="O35" s="73" t="s">
        <v>172</v>
      </c>
      <c r="P35" s="74" t="s">
        <v>173</v>
      </c>
      <c r="Q35" s="74" t="s">
        <v>174</v>
      </c>
      <c r="R35" s="74" t="s">
        <v>175</v>
      </c>
      <c r="S35" s="74" t="s">
        <v>176</v>
      </c>
    </row>
    <row r="36" spans="1:19">
      <c r="A36" t="s">
        <v>177</v>
      </c>
      <c r="B36" s="18">
        <v>1485.42</v>
      </c>
      <c r="C36" s="18">
        <v>735.15</v>
      </c>
      <c r="D36" s="67"/>
      <c r="E36" s="67"/>
      <c r="F36" s="67"/>
      <c r="G36" s="18" t="s">
        <v>178</v>
      </c>
      <c r="H36" s="18">
        <v>2385.87</v>
      </c>
      <c r="I36" s="18">
        <v>4408.96</v>
      </c>
      <c r="J36" s="67"/>
      <c r="K36" s="67"/>
      <c r="L36" s="67"/>
      <c r="M36" s="67"/>
      <c r="N36" s="67"/>
      <c r="O36" s="74" t="s">
        <v>177</v>
      </c>
      <c r="P36" s="75">
        <v>735.15</v>
      </c>
      <c r="Q36" s="75">
        <v>743.15</v>
      </c>
      <c r="R36" s="75">
        <f>IFERROR(VLOOKUP(O36,$G$36:$H$45,2,FALSE),"")</f>
        <v>2000.9</v>
      </c>
      <c r="S36" s="75">
        <f t="shared" ref="S36:S52" si="26">IFERROR(VLOOKUP(O36,$G$55:$H$64,2,FALSE),"")</f>
        <v>2744.05</v>
      </c>
    </row>
    <row r="37" spans="1:19">
      <c r="A37" t="s">
        <v>179</v>
      </c>
      <c r="B37" s="18">
        <v>1286.4</v>
      </c>
      <c r="C37" s="18">
        <v>647.7</v>
      </c>
      <c r="D37" s="67"/>
      <c r="E37" s="67"/>
      <c r="F37" s="67"/>
      <c r="G37" s="18" t="s">
        <v>180</v>
      </c>
      <c r="H37" s="18">
        <v>2002.4</v>
      </c>
      <c r="I37" s="18">
        <v>4105.1</v>
      </c>
      <c r="J37" s="67"/>
      <c r="K37" s="67"/>
      <c r="L37" s="67"/>
      <c r="M37" s="67"/>
      <c r="N37" s="67"/>
      <c r="O37" s="74" t="s">
        <v>179</v>
      </c>
      <c r="P37" s="75">
        <v>647.7</v>
      </c>
      <c r="Q37" s="75">
        <v>1364.1</v>
      </c>
      <c r="R37" s="75">
        <f t="shared" ref="R36:R52" si="27">IFERROR(VLOOKUP(O37,$G$36:$H$45,2,FALSE),"")</f>
        <v>1751.28</v>
      </c>
      <c r="S37" s="75">
        <f t="shared" si="26"/>
        <v>3115.38</v>
      </c>
    </row>
    <row r="38" spans="1:19">
      <c r="A38" t="s">
        <v>178</v>
      </c>
      <c r="B38" s="18">
        <v>736.12</v>
      </c>
      <c r="C38" s="18">
        <v>316.5</v>
      </c>
      <c r="D38" s="67"/>
      <c r="E38" s="67"/>
      <c r="F38" s="67"/>
      <c r="G38" s="18" t="s">
        <v>177</v>
      </c>
      <c r="H38" s="18">
        <v>2000.9</v>
      </c>
      <c r="I38" s="18">
        <v>3887.05</v>
      </c>
      <c r="J38" s="67"/>
      <c r="K38" s="67"/>
      <c r="L38" s="67"/>
      <c r="M38" s="67"/>
      <c r="N38" s="67"/>
      <c r="O38" s="74" t="s">
        <v>178</v>
      </c>
      <c r="P38" s="75">
        <v>316.5</v>
      </c>
      <c r="Q38" s="75">
        <v>368.5</v>
      </c>
      <c r="R38" s="75">
        <f t="shared" si="27"/>
        <v>2385.87</v>
      </c>
      <c r="S38" s="75">
        <f t="shared" si="26"/>
        <v>2754.37</v>
      </c>
    </row>
    <row r="39" spans="1:19">
      <c r="A39" t="s">
        <v>181</v>
      </c>
      <c r="B39" s="18">
        <v>615.41</v>
      </c>
      <c r="C39" s="18">
        <v>216.15</v>
      </c>
      <c r="D39" s="67"/>
      <c r="E39" s="67"/>
      <c r="F39" s="67"/>
      <c r="G39" s="18" t="s">
        <v>182</v>
      </c>
      <c r="H39" s="18">
        <v>1924</v>
      </c>
      <c r="I39" s="18">
        <v>3821</v>
      </c>
      <c r="J39" s="67"/>
      <c r="K39" s="67"/>
      <c r="L39" s="67"/>
      <c r="M39" s="67"/>
      <c r="N39" s="67"/>
      <c r="O39" s="74" t="s">
        <v>181</v>
      </c>
      <c r="P39" s="75">
        <v>216.45</v>
      </c>
      <c r="Q39" s="75">
        <v>306.85</v>
      </c>
      <c r="R39" s="75" t="str">
        <f t="shared" si="27"/>
        <v/>
      </c>
      <c r="S39" s="75" t="str">
        <f t="shared" si="26"/>
        <v/>
      </c>
    </row>
    <row r="40" spans="1:19">
      <c r="A40" t="s">
        <v>183</v>
      </c>
      <c r="B40" s="18">
        <v>540</v>
      </c>
      <c r="C40" s="18">
        <v>265</v>
      </c>
      <c r="D40" s="67"/>
      <c r="E40" s="67"/>
      <c r="F40" s="67"/>
      <c r="G40" s="18" t="s">
        <v>179</v>
      </c>
      <c r="H40" s="18">
        <v>1751.28</v>
      </c>
      <c r="I40" s="18">
        <v>3507.86</v>
      </c>
      <c r="J40" s="67"/>
      <c r="K40" s="67"/>
      <c r="L40" s="67"/>
      <c r="M40" s="67"/>
      <c r="N40" s="67"/>
      <c r="O40" s="74" t="s">
        <v>183</v>
      </c>
      <c r="P40" s="75">
        <v>265</v>
      </c>
      <c r="Q40" s="75">
        <v>311</v>
      </c>
      <c r="R40" s="75">
        <f t="shared" si="27"/>
        <v>1565</v>
      </c>
      <c r="S40" s="75">
        <f t="shared" si="26"/>
        <v>1876</v>
      </c>
    </row>
    <row r="41" spans="1:19">
      <c r="A41" t="s">
        <v>184</v>
      </c>
      <c r="B41" s="18">
        <v>447</v>
      </c>
      <c r="C41" s="18">
        <v>117.5</v>
      </c>
      <c r="D41" s="67"/>
      <c r="E41" s="67"/>
      <c r="F41" s="67"/>
      <c r="G41" s="18" t="s">
        <v>183</v>
      </c>
      <c r="H41" s="18">
        <v>1565</v>
      </c>
      <c r="I41" s="18">
        <v>4140</v>
      </c>
      <c r="J41" s="67"/>
      <c r="K41" s="67"/>
      <c r="L41" s="67"/>
      <c r="M41" s="67"/>
      <c r="N41" s="67"/>
      <c r="O41" s="74" t="s">
        <v>184</v>
      </c>
      <c r="P41" s="75">
        <v>117.5</v>
      </c>
      <c r="Q41" s="75" t="str">
        <f>IFERROR(VLOOKUP(O41,$A$55:$B$64,2,FALSE),"")</f>
        <v/>
      </c>
      <c r="R41" s="75" t="str">
        <f t="shared" si="27"/>
        <v/>
      </c>
      <c r="S41" s="75" t="str">
        <f t="shared" si="26"/>
        <v/>
      </c>
    </row>
    <row r="42" spans="1:19">
      <c r="A42" t="s">
        <v>180</v>
      </c>
      <c r="B42" s="18">
        <v>445</v>
      </c>
      <c r="C42" s="18">
        <v>221</v>
      </c>
      <c r="D42" s="67"/>
      <c r="E42" s="67"/>
      <c r="F42" s="67"/>
      <c r="G42" s="18" t="s">
        <v>185</v>
      </c>
      <c r="H42" s="18">
        <v>1235.8</v>
      </c>
      <c r="I42" s="18">
        <v>2471.6</v>
      </c>
      <c r="J42" s="67"/>
      <c r="K42" s="67"/>
      <c r="L42" s="67"/>
      <c r="M42" s="67"/>
      <c r="N42" s="67"/>
      <c r="O42" s="74" t="s">
        <v>180</v>
      </c>
      <c r="P42" s="75">
        <v>221</v>
      </c>
      <c r="Q42" s="75">
        <v>304.7</v>
      </c>
      <c r="R42" s="75">
        <f t="shared" si="27"/>
        <v>2002.4</v>
      </c>
      <c r="S42" s="75">
        <f t="shared" si="26"/>
        <v>2307.1</v>
      </c>
    </row>
    <row r="43" spans="1:19">
      <c r="A43" t="s">
        <v>186</v>
      </c>
      <c r="B43" s="18">
        <v>431.2</v>
      </c>
      <c r="C43" s="18">
        <v>218</v>
      </c>
      <c r="D43" s="67"/>
      <c r="E43" s="67"/>
      <c r="F43" s="67"/>
      <c r="G43" s="18" t="s">
        <v>187</v>
      </c>
      <c r="H43" s="18">
        <v>1124.89</v>
      </c>
      <c r="I43" s="18">
        <v>1827.63</v>
      </c>
      <c r="J43" s="67"/>
      <c r="K43" s="67"/>
      <c r="L43" s="67"/>
      <c r="M43" s="67"/>
      <c r="N43" s="67"/>
      <c r="O43" s="74" t="s">
        <v>186</v>
      </c>
      <c r="P43" s="75">
        <v>218</v>
      </c>
      <c r="Q43" s="75">
        <v>608.31</v>
      </c>
      <c r="R43" s="75" t="str">
        <f t="shared" si="27"/>
        <v/>
      </c>
      <c r="S43" s="75" t="str">
        <f t="shared" si="26"/>
        <v/>
      </c>
    </row>
    <row r="44" spans="1:19">
      <c r="A44" t="s">
        <v>182</v>
      </c>
      <c r="B44" s="18">
        <v>400</v>
      </c>
      <c r="C44" s="18">
        <v>200</v>
      </c>
      <c r="D44" s="67"/>
      <c r="E44" s="67"/>
      <c r="F44" s="67"/>
      <c r="G44" s="18" t="s">
        <v>188</v>
      </c>
      <c r="H44" s="18">
        <v>900</v>
      </c>
      <c r="I44" s="18">
        <v>1800</v>
      </c>
      <c r="J44" s="67"/>
      <c r="K44" s="67"/>
      <c r="L44" s="67"/>
      <c r="M44" s="67"/>
      <c r="N44" s="67"/>
      <c r="O44" s="74" t="s">
        <v>182</v>
      </c>
      <c r="P44" s="75">
        <v>200</v>
      </c>
      <c r="Q44" s="75">
        <v>433.45</v>
      </c>
      <c r="R44" s="75">
        <f t="shared" si="27"/>
        <v>1924</v>
      </c>
      <c r="S44" s="75">
        <f t="shared" si="26"/>
        <v>2357.45</v>
      </c>
    </row>
    <row r="45" spans="1:19">
      <c r="A45" t="s">
        <v>189</v>
      </c>
      <c r="B45" s="18">
        <v>318.63</v>
      </c>
      <c r="C45" s="18">
        <v>129.09</v>
      </c>
      <c r="D45" s="67"/>
      <c r="E45" s="67"/>
      <c r="F45" s="67"/>
      <c r="G45" s="18" t="s">
        <v>190</v>
      </c>
      <c r="H45" s="18">
        <v>780</v>
      </c>
      <c r="I45" s="18">
        <v>1575.11</v>
      </c>
      <c r="J45" s="67"/>
      <c r="K45" s="67"/>
      <c r="L45" s="67"/>
      <c r="M45" s="67"/>
      <c r="N45" s="67"/>
      <c r="O45" s="74" t="s">
        <v>189</v>
      </c>
      <c r="P45" s="75">
        <v>129.09</v>
      </c>
      <c r="Q45" s="75" t="str">
        <f t="shared" ref="Q45:Q52" si="28">IFERROR(VLOOKUP(O45,$A$55:$B$64,2,FALSE),"")</f>
        <v/>
      </c>
      <c r="R45" s="75" t="str">
        <f t="shared" si="27"/>
        <v/>
      </c>
      <c r="S45" s="75" t="str">
        <f t="shared" si="26"/>
        <v/>
      </c>
    </row>
    <row r="46" spans="1:19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74" t="s">
        <v>191</v>
      </c>
      <c r="P46" s="75" t="str">
        <f t="shared" ref="P46:P52" si="29">IFERROR(VLOOKUP(O46,$A$36:$B$45,2,FALSE),"")</f>
        <v/>
      </c>
      <c r="Q46" s="75">
        <v>536.4</v>
      </c>
      <c r="R46" s="75" t="str">
        <f t="shared" si="27"/>
        <v/>
      </c>
      <c r="S46" s="75" t="str">
        <f t="shared" si="26"/>
        <v/>
      </c>
    </row>
    <row r="47" spans="1:19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74" t="s">
        <v>192</v>
      </c>
      <c r="P47" s="75" t="str">
        <f t="shared" si="29"/>
        <v/>
      </c>
      <c r="Q47" s="75">
        <v>228.2</v>
      </c>
      <c r="R47" s="75" t="str">
        <f t="shared" si="27"/>
        <v/>
      </c>
      <c r="S47" s="75" t="str">
        <f t="shared" si="26"/>
        <v/>
      </c>
    </row>
    <row r="48" spans="1:19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76" t="s">
        <v>185</v>
      </c>
      <c r="P48" s="75" t="str">
        <f t="shared" si="29"/>
        <v/>
      </c>
      <c r="Q48" s="75" t="str">
        <f t="shared" si="28"/>
        <v/>
      </c>
      <c r="R48" s="75">
        <f t="shared" si="27"/>
        <v>1235.8</v>
      </c>
      <c r="S48" s="75">
        <f t="shared" si="26"/>
        <v>1303.3</v>
      </c>
    </row>
    <row r="49" spans="1:19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76" t="s">
        <v>187</v>
      </c>
      <c r="P49" s="75" t="str">
        <f t="shared" si="29"/>
        <v/>
      </c>
      <c r="Q49" s="75" t="str">
        <f t="shared" si="28"/>
        <v/>
      </c>
      <c r="R49" s="75">
        <f t="shared" si="27"/>
        <v>1124.89</v>
      </c>
      <c r="S49" s="75">
        <f t="shared" si="26"/>
        <v>1414.5</v>
      </c>
    </row>
    <row r="50" spans="1:19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76" t="s">
        <v>188</v>
      </c>
      <c r="P50" s="75" t="str">
        <f t="shared" si="29"/>
        <v/>
      </c>
      <c r="Q50" s="75" t="str">
        <f t="shared" si="28"/>
        <v/>
      </c>
      <c r="R50" s="75">
        <f t="shared" si="27"/>
        <v>900</v>
      </c>
      <c r="S50" s="75">
        <f t="shared" si="26"/>
        <v>900</v>
      </c>
    </row>
    <row r="51" spans="1:19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76" t="s">
        <v>190</v>
      </c>
      <c r="P51" s="75" t="str">
        <f t="shared" si="29"/>
        <v/>
      </c>
      <c r="Q51" s="75" t="str">
        <f t="shared" si="28"/>
        <v/>
      </c>
      <c r="R51" s="75">
        <f t="shared" si="27"/>
        <v>780</v>
      </c>
      <c r="S51" s="75" t="str">
        <f t="shared" si="26"/>
        <v/>
      </c>
    </row>
    <row r="52" spans="1:19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76" t="s">
        <v>193</v>
      </c>
      <c r="P52" s="75" t="str">
        <f t="shared" si="29"/>
        <v/>
      </c>
      <c r="Q52" s="75" t="str">
        <f t="shared" si="28"/>
        <v/>
      </c>
      <c r="R52" s="75" t="str">
        <f t="shared" si="27"/>
        <v/>
      </c>
      <c r="S52" s="75">
        <f t="shared" si="26"/>
        <v>793.74</v>
      </c>
    </row>
    <row r="53" spans="1:14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</row>
    <row r="54" spans="1:19">
      <c r="A54" s="67" t="s">
        <v>194</v>
      </c>
      <c r="B54" s="67"/>
      <c r="C54" s="67"/>
      <c r="D54" s="67"/>
      <c r="E54" s="67"/>
      <c r="F54" s="67"/>
      <c r="G54" s="67" t="s">
        <v>195</v>
      </c>
      <c r="H54" s="67"/>
      <c r="I54" s="67"/>
      <c r="J54" s="67"/>
      <c r="K54" s="67"/>
      <c r="L54" s="67"/>
      <c r="M54" s="67"/>
      <c r="N54" s="67"/>
      <c r="O54" s="73" t="s">
        <v>172</v>
      </c>
      <c r="P54" s="77">
        <v>2020</v>
      </c>
      <c r="Q54" s="77">
        <v>2021</v>
      </c>
      <c r="R54" s="77">
        <v>2022</v>
      </c>
      <c r="S54" s="77">
        <v>2023</v>
      </c>
    </row>
    <row r="55" spans="1:19">
      <c r="A55" t="s">
        <v>179</v>
      </c>
      <c r="B55" s="18">
        <v>2689.1</v>
      </c>
      <c r="C55" s="18">
        <v>1364.1</v>
      </c>
      <c r="D55" s="67"/>
      <c r="E55" s="67"/>
      <c r="F55" s="67"/>
      <c r="G55" s="18" t="s">
        <v>179</v>
      </c>
      <c r="H55" s="18">
        <v>3115.38</v>
      </c>
      <c r="I55" s="18">
        <v>6196.96</v>
      </c>
      <c r="J55" s="67"/>
      <c r="K55" s="67"/>
      <c r="L55" s="67"/>
      <c r="M55" s="67"/>
      <c r="N55" s="67"/>
      <c r="O55" s="74" t="s">
        <v>177</v>
      </c>
      <c r="P55" s="76"/>
      <c r="Q55" s="76">
        <f>Q36-P36</f>
        <v>8</v>
      </c>
      <c r="R55" s="76">
        <f>Q36</f>
        <v>743.15</v>
      </c>
      <c r="S55" s="76">
        <f>S36</f>
        <v>2744.05</v>
      </c>
    </row>
    <row r="56" spans="1:19">
      <c r="A56" t="s">
        <v>191</v>
      </c>
      <c r="B56" s="18">
        <v>1589.6</v>
      </c>
      <c r="C56" s="18">
        <v>536.4</v>
      </c>
      <c r="D56" s="67"/>
      <c r="E56" s="67"/>
      <c r="F56" s="67"/>
      <c r="G56" s="18" t="s">
        <v>178</v>
      </c>
      <c r="H56" s="18">
        <v>2754.37</v>
      </c>
      <c r="I56" s="18">
        <v>5191.74</v>
      </c>
      <c r="J56" s="67"/>
      <c r="K56" s="67"/>
      <c r="L56" s="67"/>
      <c r="M56" s="67"/>
      <c r="N56" s="67"/>
      <c r="O56" s="74" t="s">
        <v>179</v>
      </c>
      <c r="P56" s="76"/>
      <c r="Q56" s="76">
        <f t="shared" ref="Q56:Q63" si="30">Q37-P37</f>
        <v>716.4</v>
      </c>
      <c r="R56" s="76">
        <f>Q37</f>
        <v>1364.1</v>
      </c>
      <c r="S56" s="76">
        <f>S37</f>
        <v>3115.38</v>
      </c>
    </row>
    <row r="57" spans="1:19">
      <c r="A57" t="s">
        <v>177</v>
      </c>
      <c r="B57" s="18">
        <v>1501.82</v>
      </c>
      <c r="C57" s="18">
        <v>743.15</v>
      </c>
      <c r="D57" s="67"/>
      <c r="E57" s="67"/>
      <c r="F57" s="67"/>
      <c r="G57" s="18" t="s">
        <v>177</v>
      </c>
      <c r="H57" s="18">
        <v>2744.05</v>
      </c>
      <c r="I57" s="18">
        <v>5388.87</v>
      </c>
      <c r="J57" s="67"/>
      <c r="K57" s="67"/>
      <c r="L57" s="67"/>
      <c r="M57" s="67"/>
      <c r="N57" s="67"/>
      <c r="O57" s="74" t="s">
        <v>178</v>
      </c>
      <c r="P57" s="76"/>
      <c r="Q57" s="76">
        <f t="shared" si="30"/>
        <v>52</v>
      </c>
      <c r="R57" s="76">
        <f t="shared" ref="R56:R66" si="31">Q38</f>
        <v>368.5</v>
      </c>
      <c r="S57" s="76">
        <f t="shared" ref="S56:S71" si="32">S38</f>
        <v>2754.37</v>
      </c>
    </row>
    <row r="58" spans="1:19">
      <c r="A58" t="s">
        <v>182</v>
      </c>
      <c r="B58" s="18">
        <v>1166.9</v>
      </c>
      <c r="C58" s="18">
        <v>433.45</v>
      </c>
      <c r="D58" s="67"/>
      <c r="E58" s="67"/>
      <c r="F58" s="67"/>
      <c r="G58" s="18" t="s">
        <v>182</v>
      </c>
      <c r="H58" s="18">
        <v>2357.45</v>
      </c>
      <c r="I58" s="18">
        <v>4987.9</v>
      </c>
      <c r="J58" s="67"/>
      <c r="K58" s="67"/>
      <c r="L58" s="67"/>
      <c r="M58" s="67"/>
      <c r="N58" s="67"/>
      <c r="O58" s="74" t="s">
        <v>181</v>
      </c>
      <c r="P58" s="76"/>
      <c r="Q58" s="76">
        <f t="shared" si="30"/>
        <v>90.4</v>
      </c>
      <c r="R58" s="76">
        <f t="shared" si="31"/>
        <v>306.85</v>
      </c>
      <c r="S58" s="76" t="str">
        <f t="shared" si="32"/>
        <v/>
      </c>
    </row>
    <row r="59" spans="1:19">
      <c r="A59" t="s">
        <v>186</v>
      </c>
      <c r="B59" s="18">
        <v>1031.16</v>
      </c>
      <c r="C59" s="18">
        <v>608.31</v>
      </c>
      <c r="D59" s="67"/>
      <c r="E59" s="67"/>
      <c r="F59" s="67"/>
      <c r="G59" s="18" t="s">
        <v>180</v>
      </c>
      <c r="H59" s="18">
        <v>2307.1</v>
      </c>
      <c r="I59" s="18">
        <v>4815.2</v>
      </c>
      <c r="J59" s="67"/>
      <c r="K59" s="67"/>
      <c r="L59" s="67"/>
      <c r="M59" s="67"/>
      <c r="N59" s="67"/>
      <c r="O59" s="74" t="s">
        <v>183</v>
      </c>
      <c r="P59" s="76"/>
      <c r="Q59" s="76">
        <f t="shared" si="30"/>
        <v>46</v>
      </c>
      <c r="R59" s="76">
        <f t="shared" si="31"/>
        <v>311</v>
      </c>
      <c r="S59" s="76">
        <f t="shared" si="32"/>
        <v>1876</v>
      </c>
    </row>
    <row r="60" spans="1:19">
      <c r="A60" t="s">
        <v>178</v>
      </c>
      <c r="B60" s="18">
        <v>782.78</v>
      </c>
      <c r="C60" s="18">
        <v>368.5</v>
      </c>
      <c r="D60" s="67"/>
      <c r="E60" s="67"/>
      <c r="F60" s="67"/>
      <c r="G60" s="18" t="s">
        <v>183</v>
      </c>
      <c r="H60" s="18">
        <v>1876</v>
      </c>
      <c r="I60" s="18">
        <v>4765</v>
      </c>
      <c r="J60" s="67"/>
      <c r="K60" s="67"/>
      <c r="L60" s="67"/>
      <c r="M60" s="67"/>
      <c r="N60" s="67"/>
      <c r="O60" s="74" t="s">
        <v>184</v>
      </c>
      <c r="P60" s="76"/>
      <c r="Q60" s="76"/>
      <c r="R60" s="76" t="str">
        <f t="shared" si="31"/>
        <v/>
      </c>
      <c r="S60" s="76" t="str">
        <f t="shared" si="32"/>
        <v/>
      </c>
    </row>
    <row r="61" spans="1:19">
      <c r="A61" t="s">
        <v>181</v>
      </c>
      <c r="B61" s="18">
        <v>774.82</v>
      </c>
      <c r="C61" s="18">
        <v>306.85</v>
      </c>
      <c r="D61" s="67"/>
      <c r="E61" s="67"/>
      <c r="F61" s="67"/>
      <c r="G61" s="18" t="s">
        <v>187</v>
      </c>
      <c r="H61" s="18">
        <v>1414.5</v>
      </c>
      <c r="I61" s="18">
        <v>2182.23</v>
      </c>
      <c r="J61" s="67"/>
      <c r="K61" s="67"/>
      <c r="L61" s="67"/>
      <c r="M61" s="67"/>
      <c r="N61" s="67"/>
      <c r="O61" s="74" t="s">
        <v>180</v>
      </c>
      <c r="P61" s="76"/>
      <c r="Q61" s="76">
        <f t="shared" si="30"/>
        <v>83.7</v>
      </c>
      <c r="R61" s="76">
        <f t="shared" si="31"/>
        <v>304.7</v>
      </c>
      <c r="S61" s="76">
        <f t="shared" si="32"/>
        <v>2307.1</v>
      </c>
    </row>
    <row r="62" spans="1:19">
      <c r="A62" t="s">
        <v>192</v>
      </c>
      <c r="B62" s="18">
        <v>734.35</v>
      </c>
      <c r="C62" s="18">
        <v>228.2</v>
      </c>
      <c r="D62" s="67"/>
      <c r="E62" s="67"/>
      <c r="F62" s="67"/>
      <c r="G62" s="18" t="s">
        <v>185</v>
      </c>
      <c r="H62" s="18">
        <v>1303.3</v>
      </c>
      <c r="I62" s="18">
        <v>2596.6</v>
      </c>
      <c r="J62" s="67"/>
      <c r="K62" s="67"/>
      <c r="L62" s="67"/>
      <c r="M62" s="67"/>
      <c r="N62" s="67"/>
      <c r="O62" s="74" t="s">
        <v>186</v>
      </c>
      <c r="P62" s="76"/>
      <c r="Q62" s="76">
        <f t="shared" si="30"/>
        <v>390.31</v>
      </c>
      <c r="R62" s="76">
        <f t="shared" si="31"/>
        <v>608.31</v>
      </c>
      <c r="S62" s="76" t="str">
        <f t="shared" si="32"/>
        <v/>
      </c>
    </row>
    <row r="63" spans="1:19">
      <c r="A63" t="s">
        <v>180</v>
      </c>
      <c r="B63" s="18">
        <v>710.1</v>
      </c>
      <c r="C63" s="18">
        <v>304.7</v>
      </c>
      <c r="D63" s="67"/>
      <c r="E63" s="67"/>
      <c r="F63" s="67"/>
      <c r="G63" s="18" t="s">
        <v>188</v>
      </c>
      <c r="H63" s="18">
        <v>900</v>
      </c>
      <c r="I63" s="18">
        <v>1800</v>
      </c>
      <c r="J63" s="67"/>
      <c r="K63" s="67"/>
      <c r="L63" s="67"/>
      <c r="M63" s="67"/>
      <c r="N63" s="67"/>
      <c r="O63" s="74" t="s">
        <v>182</v>
      </c>
      <c r="P63" s="76"/>
      <c r="Q63" s="76">
        <f t="shared" si="30"/>
        <v>233.45</v>
      </c>
      <c r="R63" s="76">
        <f t="shared" si="31"/>
        <v>433.45</v>
      </c>
      <c r="S63" s="76">
        <f t="shared" si="32"/>
        <v>2357.45</v>
      </c>
    </row>
    <row r="64" spans="1:19">
      <c r="A64" t="s">
        <v>183</v>
      </c>
      <c r="B64" s="18">
        <v>625</v>
      </c>
      <c r="C64" s="18">
        <v>311</v>
      </c>
      <c r="D64" s="67"/>
      <c r="E64" s="67"/>
      <c r="F64" s="67"/>
      <c r="G64" s="18" t="s">
        <v>193</v>
      </c>
      <c r="H64" s="18">
        <v>793.74</v>
      </c>
      <c r="I64" s="18">
        <v>906.77</v>
      </c>
      <c r="J64" s="67"/>
      <c r="K64" s="67"/>
      <c r="L64" s="67"/>
      <c r="M64" s="67"/>
      <c r="N64" s="67"/>
      <c r="O64" s="74" t="s">
        <v>189</v>
      </c>
      <c r="P64" s="76"/>
      <c r="Q64" s="76"/>
      <c r="R64" s="76" t="str">
        <f t="shared" si="31"/>
        <v/>
      </c>
      <c r="S64" s="76" t="str">
        <f t="shared" si="32"/>
        <v/>
      </c>
    </row>
    <row r="65" spans="1:19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74" t="s">
        <v>191</v>
      </c>
      <c r="P65" s="76"/>
      <c r="Q65" s="76"/>
      <c r="R65" s="76">
        <f t="shared" si="31"/>
        <v>536.4</v>
      </c>
      <c r="S65" s="76" t="str">
        <f t="shared" si="32"/>
        <v/>
      </c>
    </row>
    <row r="66" spans="1:19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74" t="s">
        <v>192</v>
      </c>
      <c r="P66" s="76"/>
      <c r="Q66" s="76"/>
      <c r="R66" s="76">
        <f t="shared" si="31"/>
        <v>228.2</v>
      </c>
      <c r="S66" s="76" t="str">
        <f t="shared" si="32"/>
        <v/>
      </c>
    </row>
    <row r="67" spans="1:19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76" t="s">
        <v>185</v>
      </c>
      <c r="P67" s="76"/>
      <c r="Q67" s="76"/>
      <c r="R67" s="76">
        <f>S48-R48</f>
        <v>67.5</v>
      </c>
      <c r="S67" s="76">
        <f t="shared" si="32"/>
        <v>1303.3</v>
      </c>
    </row>
    <row r="68" spans="1:19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76" t="s">
        <v>187</v>
      </c>
      <c r="P68" s="76"/>
      <c r="Q68" s="76"/>
      <c r="R68" s="76">
        <f t="shared" ref="R68:R69" si="33">S49-R49</f>
        <v>289.61</v>
      </c>
      <c r="S68" s="76">
        <f t="shared" si="32"/>
        <v>1414.5</v>
      </c>
    </row>
    <row r="69" spans="1:19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76" t="s">
        <v>188</v>
      </c>
      <c r="P69" s="76"/>
      <c r="Q69" s="76"/>
      <c r="R69" s="76">
        <f t="shared" si="33"/>
        <v>0</v>
      </c>
      <c r="S69" s="76">
        <f t="shared" si="32"/>
        <v>900</v>
      </c>
    </row>
    <row r="70" spans="1:19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76" t="s">
        <v>190</v>
      </c>
      <c r="P70" s="76"/>
      <c r="Q70" s="76"/>
      <c r="R70" s="76"/>
      <c r="S70" s="76">
        <f>R51</f>
        <v>780</v>
      </c>
    </row>
    <row r="71" spans="1:19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76" t="s">
        <v>193</v>
      </c>
      <c r="P71" s="76"/>
      <c r="Q71" s="76"/>
      <c r="R71" s="76"/>
      <c r="S71" s="76">
        <f t="shared" si="32"/>
        <v>793.74</v>
      </c>
    </row>
    <row r="72" spans="1:14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</row>
    <row r="73" spans="1:14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</row>
  </sheetData>
  <mergeCells count="6">
    <mergeCell ref="A3:A7"/>
    <mergeCell ref="A8:A12"/>
    <mergeCell ref="A13:A17"/>
    <mergeCell ref="A18:A22"/>
    <mergeCell ref="A23:A27"/>
    <mergeCell ref="A28:A32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9" sqref="J9"/>
    </sheetView>
  </sheetViews>
  <sheetFormatPr defaultColWidth="9" defaultRowHeight="14"/>
  <cols>
    <col min="1" max="1" width="14.75" customWidth="1"/>
    <col min="2" max="2" width="32" customWidth="1"/>
    <col min="3" max="12" width="9.25" customWidth="1"/>
  </cols>
  <sheetData>
    <row r="1" spans="1:20">
      <c r="A1" s="30"/>
      <c r="B1" s="31" t="s">
        <v>196</v>
      </c>
      <c r="C1" s="31">
        <v>2013</v>
      </c>
      <c r="D1" s="31">
        <v>2014</v>
      </c>
      <c r="E1" s="31">
        <v>2015</v>
      </c>
      <c r="F1" s="31">
        <v>2016</v>
      </c>
      <c r="G1" s="31">
        <v>2017</v>
      </c>
      <c r="H1" s="31">
        <v>2018</v>
      </c>
      <c r="I1" s="31">
        <v>2019</v>
      </c>
      <c r="J1" s="31">
        <v>2020</v>
      </c>
      <c r="K1" s="31">
        <v>2021</v>
      </c>
      <c r="L1" s="31">
        <v>2022</v>
      </c>
      <c r="M1" s="31">
        <v>2023</v>
      </c>
      <c r="N1" s="31">
        <v>2024</v>
      </c>
      <c r="O1" s="31">
        <v>2025</v>
      </c>
      <c r="P1" s="31">
        <v>2026</v>
      </c>
      <c r="Q1" s="31">
        <v>2027</v>
      </c>
      <c r="R1" s="31">
        <v>2028</v>
      </c>
      <c r="S1" s="31">
        <v>2029</v>
      </c>
      <c r="T1" s="31">
        <v>2030</v>
      </c>
    </row>
    <row r="2" spans="1:20">
      <c r="A2" s="32" t="s">
        <v>197</v>
      </c>
      <c r="B2" s="11" t="s">
        <v>198</v>
      </c>
      <c r="C2" s="12"/>
      <c r="D2" s="12"/>
      <c r="E2" s="12"/>
      <c r="F2" s="12">
        <v>24300</v>
      </c>
      <c r="G2" s="12">
        <v>28900</v>
      </c>
      <c r="H2" s="12">
        <v>31300</v>
      </c>
      <c r="I2" s="12">
        <v>32400</v>
      </c>
      <c r="J2" s="12">
        <v>35600</v>
      </c>
      <c r="K2" s="12">
        <f>46100</f>
        <v>46100</v>
      </c>
      <c r="L2" s="12">
        <f>L$5/L$22</f>
        <v>59711.4155251142</v>
      </c>
      <c r="M2" s="12">
        <v>86500</v>
      </c>
      <c r="N2" s="12"/>
      <c r="O2" s="12"/>
      <c r="P2" s="12"/>
      <c r="Q2" s="12"/>
      <c r="R2" s="12"/>
      <c r="S2" s="12"/>
      <c r="T2" s="12"/>
    </row>
    <row r="3" spans="1:20">
      <c r="A3" s="32"/>
      <c r="B3" s="33" t="s">
        <v>199</v>
      </c>
      <c r="C3" s="12"/>
      <c r="D3" s="12"/>
      <c r="E3" s="12"/>
      <c r="F3" s="12"/>
      <c r="G3" s="12"/>
      <c r="H3" s="12">
        <v>29990</v>
      </c>
      <c r="I3" s="12">
        <v>30300</v>
      </c>
      <c r="J3" s="12">
        <v>31790</v>
      </c>
      <c r="K3" s="12">
        <f>K$2*K$17</f>
        <v>39784.3</v>
      </c>
      <c r="L3" s="12">
        <f>L$2*L$17</f>
        <v>46037.501369863</v>
      </c>
      <c r="M3" s="12">
        <f>M2*M17</f>
        <v>51381</v>
      </c>
      <c r="N3" s="12"/>
      <c r="O3" s="12"/>
      <c r="P3" s="12"/>
      <c r="Q3" s="12"/>
      <c r="R3" s="12"/>
      <c r="S3" s="12"/>
      <c r="T3" s="12"/>
    </row>
    <row r="4" spans="1:20">
      <c r="A4" s="32"/>
      <c r="B4" s="33" t="s">
        <v>200</v>
      </c>
      <c r="C4" s="12"/>
      <c r="D4" s="12"/>
      <c r="E4" s="12"/>
      <c r="F4" s="12"/>
      <c r="G4" s="12"/>
      <c r="H4" s="12">
        <f>H2*H19</f>
        <v>219.1</v>
      </c>
      <c r="I4" s="12">
        <f>I2-I3-I5</f>
        <v>377.44</v>
      </c>
      <c r="J4" s="12">
        <f>J2-J3-J5</f>
        <v>524.8</v>
      </c>
      <c r="K4" s="12">
        <f>K2-K3-K5</f>
        <v>585.999999999997</v>
      </c>
      <c r="L4" s="12">
        <f>L2-L3-L5</f>
        <v>597.114155251151</v>
      </c>
      <c r="M4" s="12">
        <f>M2-M3-M5</f>
        <v>609.900000000001</v>
      </c>
      <c r="N4" s="12"/>
      <c r="O4" s="12"/>
      <c r="P4" s="12"/>
      <c r="Q4" s="12"/>
      <c r="R4" s="12"/>
      <c r="S4" s="12"/>
      <c r="T4" s="12"/>
    </row>
    <row r="5" spans="1:20">
      <c r="A5" s="32"/>
      <c r="B5" s="33" t="s">
        <v>201</v>
      </c>
      <c r="C5" s="12"/>
      <c r="D5" s="12"/>
      <c r="E5" s="12"/>
      <c r="F5" s="12"/>
      <c r="G5" s="12"/>
      <c r="H5" s="12"/>
      <c r="I5" s="13">
        <f>I6+I7+I8</f>
        <v>1722.56</v>
      </c>
      <c r="J5" s="13">
        <f>J6+J7+J8</f>
        <v>3285.2</v>
      </c>
      <c r="K5" s="36">
        <f>K16</f>
        <v>5729.7</v>
      </c>
      <c r="L5" s="36">
        <f>L16</f>
        <v>13076.8</v>
      </c>
      <c r="M5" s="13">
        <f>M16</f>
        <v>34509.1</v>
      </c>
      <c r="N5" s="12"/>
      <c r="O5" s="12"/>
      <c r="P5" s="12"/>
      <c r="Q5" s="12"/>
      <c r="R5" s="12"/>
      <c r="S5" s="12"/>
      <c r="T5" s="12"/>
    </row>
    <row r="6" spans="1:20">
      <c r="A6" s="32"/>
      <c r="B6" s="33" t="s">
        <v>202</v>
      </c>
      <c r="C6" s="12"/>
      <c r="D6" s="12"/>
      <c r="E6" s="12"/>
      <c r="F6" s="12"/>
      <c r="G6" s="12"/>
      <c r="H6" s="12"/>
      <c r="I6" s="12">
        <f>I2*I20</f>
        <v>12.96</v>
      </c>
      <c r="J6" s="12">
        <v>13</v>
      </c>
      <c r="K6" s="37">
        <f t="shared" ref="K6:M7" si="0">K$5*K29</f>
        <v>183.3504</v>
      </c>
      <c r="L6" s="37">
        <f t="shared" si="0"/>
        <v>196.152</v>
      </c>
      <c r="M6" s="12">
        <f t="shared" si="0"/>
        <v>207.0546</v>
      </c>
      <c r="N6" s="12"/>
      <c r="O6" s="12"/>
      <c r="P6" s="12"/>
      <c r="Q6" s="12"/>
      <c r="R6" s="12"/>
      <c r="S6" s="12"/>
      <c r="T6" s="12"/>
    </row>
    <row r="7" spans="1:20">
      <c r="A7" s="32"/>
      <c r="B7" s="33" t="s">
        <v>203</v>
      </c>
      <c r="C7" s="12"/>
      <c r="D7" s="12"/>
      <c r="E7" s="12"/>
      <c r="F7" s="12"/>
      <c r="G7" s="12"/>
      <c r="H7" s="12"/>
      <c r="I7" s="12"/>
      <c r="J7" s="12">
        <v>3</v>
      </c>
      <c r="K7" s="37">
        <f t="shared" si="0"/>
        <v>5.7297</v>
      </c>
      <c r="L7" s="37">
        <f t="shared" si="0"/>
        <v>13.0768</v>
      </c>
      <c r="M7" s="12">
        <f t="shared" si="0"/>
        <v>69.0182</v>
      </c>
      <c r="N7" s="12"/>
      <c r="O7" s="12"/>
      <c r="P7" s="12"/>
      <c r="Q7" s="12"/>
      <c r="R7" s="12"/>
      <c r="S7" s="12"/>
      <c r="T7" s="12"/>
    </row>
    <row r="8" spans="1:20">
      <c r="A8" s="32"/>
      <c r="B8" t="s">
        <v>204</v>
      </c>
      <c r="C8" s="13">
        <v>44</v>
      </c>
      <c r="D8" s="13">
        <v>71</v>
      </c>
      <c r="E8" s="13">
        <v>132</v>
      </c>
      <c r="F8" s="13">
        <v>243</v>
      </c>
      <c r="G8" s="13">
        <v>389.8</v>
      </c>
      <c r="H8" s="13">
        <v>1072.7</v>
      </c>
      <c r="I8" s="13">
        <v>1709.6</v>
      </c>
      <c r="J8" s="13">
        <v>3269.2</v>
      </c>
      <c r="K8" s="13">
        <f>K5-K6-K7</f>
        <v>5540.6199</v>
      </c>
      <c r="L8" s="13">
        <f>L5-L6-L7</f>
        <v>12867.5712</v>
      </c>
      <c r="M8" s="13">
        <f>M5-M6-M7</f>
        <v>34233.0272</v>
      </c>
      <c r="N8" s="12"/>
      <c r="O8" s="12"/>
      <c r="P8" s="12"/>
      <c r="Q8" s="12"/>
      <c r="R8" s="12"/>
      <c r="S8" s="12"/>
      <c r="T8" s="12"/>
    </row>
    <row r="9" spans="1:20">
      <c r="A9" s="32"/>
      <c r="B9" t="s">
        <v>205</v>
      </c>
      <c r="C9" s="12"/>
      <c r="D9" s="12"/>
      <c r="E9" s="12"/>
      <c r="F9" s="12">
        <f>F8*F25</f>
        <v>143.37</v>
      </c>
      <c r="G9" s="12">
        <f>G8*G25</f>
        <v>226.084</v>
      </c>
      <c r="H9" s="12">
        <f t="shared" ref="H9:J12" si="1">H$8*H25</f>
        <v>758.3989</v>
      </c>
      <c r="I9" s="12">
        <f t="shared" si="1"/>
        <v>1377.9376</v>
      </c>
      <c r="J9" s="12">
        <f t="shared" si="1"/>
        <v>2903.0496</v>
      </c>
      <c r="K9" s="12">
        <f t="shared" ref="K9:M12" si="2">K$5*K25</f>
        <v>5139.5409</v>
      </c>
      <c r="L9" s="12">
        <f t="shared" si="2"/>
        <v>12292.192</v>
      </c>
      <c r="M9" s="12">
        <f t="shared" si="2"/>
        <v>33577.3543</v>
      </c>
      <c r="N9" s="12"/>
      <c r="O9" s="12"/>
      <c r="P9" s="12"/>
      <c r="Q9" s="12"/>
      <c r="R9" s="12"/>
      <c r="S9" s="12"/>
      <c r="T9" s="12"/>
    </row>
    <row r="10" spans="1:20">
      <c r="A10" s="32"/>
      <c r="B10" t="s">
        <v>206</v>
      </c>
      <c r="C10" s="12"/>
      <c r="D10" s="12"/>
      <c r="E10" s="12"/>
      <c r="F10" s="12"/>
      <c r="G10" s="12"/>
      <c r="H10" s="12">
        <f t="shared" si="1"/>
        <v>291.7744</v>
      </c>
      <c r="I10" s="12">
        <f t="shared" si="1"/>
        <v>304.3088</v>
      </c>
      <c r="J10" s="12">
        <f t="shared" si="1"/>
        <v>333.4584</v>
      </c>
      <c r="K10" s="12">
        <f t="shared" si="2"/>
        <v>338.0523</v>
      </c>
      <c r="L10" s="12">
        <f t="shared" si="2"/>
        <v>405.3808</v>
      </c>
      <c r="M10" s="12">
        <f t="shared" si="2"/>
        <v>414.1092</v>
      </c>
      <c r="N10" s="12"/>
      <c r="O10" s="12"/>
      <c r="P10" s="12"/>
      <c r="Q10" s="12"/>
      <c r="R10" s="12"/>
      <c r="S10" s="12"/>
      <c r="T10" s="12"/>
    </row>
    <row r="11" spans="1:20">
      <c r="A11" s="32"/>
      <c r="B11" t="s">
        <v>207</v>
      </c>
      <c r="C11" s="12"/>
      <c r="D11" s="12"/>
      <c r="E11" s="12"/>
      <c r="F11" s="12"/>
      <c r="G11" s="12"/>
      <c r="H11" s="12">
        <f t="shared" si="1"/>
        <v>16.0905</v>
      </c>
      <c r="I11" s="12">
        <f t="shared" si="1"/>
        <v>20.5152</v>
      </c>
      <c r="J11" s="12">
        <f t="shared" si="1"/>
        <v>22.8844</v>
      </c>
      <c r="K11" s="12">
        <f t="shared" si="2"/>
        <v>51.5673</v>
      </c>
      <c r="L11" s="12">
        <f t="shared" si="2"/>
        <v>156.9216</v>
      </c>
      <c r="M11" s="12">
        <f t="shared" si="2"/>
        <v>207.0546</v>
      </c>
      <c r="N11" s="12"/>
      <c r="O11" s="12"/>
      <c r="P11" s="12"/>
      <c r="Q11" s="12"/>
      <c r="R11" s="12"/>
      <c r="S11" s="12"/>
      <c r="T11" s="12"/>
    </row>
    <row r="12" spans="1:20">
      <c r="A12" s="32"/>
      <c r="B12" t="s">
        <v>208</v>
      </c>
      <c r="C12" s="12"/>
      <c r="D12" s="12"/>
      <c r="E12" s="12"/>
      <c r="F12" s="12"/>
      <c r="G12" s="12"/>
      <c r="H12" s="12">
        <f t="shared" si="1"/>
        <v>6.4362</v>
      </c>
      <c r="I12" s="12">
        <f t="shared" si="1"/>
        <v>6.8384</v>
      </c>
      <c r="J12" s="12">
        <f t="shared" si="1"/>
        <v>6.5384</v>
      </c>
      <c r="K12" s="12">
        <f t="shared" si="2"/>
        <v>11.4594</v>
      </c>
      <c r="L12" s="12">
        <f t="shared" si="2"/>
        <v>13.0768</v>
      </c>
      <c r="M12" s="12">
        <f t="shared" si="2"/>
        <v>34.5091</v>
      </c>
      <c r="N12" s="12"/>
      <c r="O12" s="12"/>
      <c r="P12" s="12"/>
      <c r="Q12" s="12"/>
      <c r="R12" s="12"/>
      <c r="S12" s="12"/>
      <c r="T12" s="12"/>
    </row>
    <row r="13" spans="1:13">
      <c r="A13" s="32"/>
      <c r="B13" t="s">
        <v>209</v>
      </c>
      <c r="H13" s="12">
        <f>H8-SUM(H9:H12)</f>
        <v>0</v>
      </c>
      <c r="I13" s="12">
        <f>I8-SUM(I9:I12)</f>
        <v>0</v>
      </c>
      <c r="J13" s="12">
        <f t="shared" ref="J13:M13" si="3">J8-SUM(J9:J12)</f>
        <v>3.26920000000018</v>
      </c>
      <c r="K13" s="12">
        <f t="shared" si="3"/>
        <v>0</v>
      </c>
      <c r="L13" s="12">
        <f t="shared" si="3"/>
        <v>0</v>
      </c>
      <c r="M13" s="12">
        <f t="shared" si="3"/>
        <v>0</v>
      </c>
    </row>
    <row r="15" spans="1:1">
      <c r="A15" s="32"/>
    </row>
    <row r="16" spans="1:20">
      <c r="A16" s="32"/>
      <c r="B16" t="s">
        <v>210</v>
      </c>
      <c r="C16" s="12"/>
      <c r="D16" s="12"/>
      <c r="E16" s="12"/>
      <c r="F16" s="12"/>
      <c r="G16" s="12"/>
      <c r="H16" s="12"/>
      <c r="I16" s="12"/>
      <c r="J16" s="12"/>
      <c r="K16" s="37">
        <v>5729.7</v>
      </c>
      <c r="L16" s="37">
        <v>13076.8</v>
      </c>
      <c r="M16" s="37">
        <v>34509.1</v>
      </c>
      <c r="N16" s="12"/>
      <c r="O16" s="12"/>
      <c r="P16" s="12"/>
      <c r="Q16" s="12"/>
      <c r="R16" s="12"/>
      <c r="S16" s="12"/>
      <c r="T16" s="12"/>
    </row>
    <row r="17" spans="1:13">
      <c r="A17" s="32"/>
      <c r="B17" t="s">
        <v>211</v>
      </c>
      <c r="G17" s="10"/>
      <c r="H17" s="10">
        <v>0.958</v>
      </c>
      <c r="I17" s="10">
        <v>0.934</v>
      </c>
      <c r="J17" s="10">
        <v>0.893</v>
      </c>
      <c r="K17" s="10">
        <v>0.863</v>
      </c>
      <c r="L17" s="10">
        <v>0.771</v>
      </c>
      <c r="M17" s="10">
        <v>0.594</v>
      </c>
    </row>
    <row r="18" spans="1:11">
      <c r="A18" s="32"/>
      <c r="B18" t="s">
        <v>212</v>
      </c>
      <c r="G18" s="10">
        <v>0.013</v>
      </c>
      <c r="H18" s="10">
        <v>0.034</v>
      </c>
      <c r="I18" s="10">
        <v>0.053</v>
      </c>
      <c r="J18" s="10">
        <v>0.092</v>
      </c>
      <c r="K18" s="10">
        <f>1-K17-K19</f>
        <v>0.125</v>
      </c>
    </row>
    <row r="19" spans="1:13">
      <c r="A19" s="32"/>
      <c r="B19" t="s">
        <v>213</v>
      </c>
      <c r="G19" s="10"/>
      <c r="H19" s="10">
        <v>0.007</v>
      </c>
      <c r="I19" s="10">
        <v>0.013</v>
      </c>
      <c r="J19" s="10">
        <v>0.015</v>
      </c>
      <c r="K19" s="10">
        <v>0.012</v>
      </c>
      <c r="L19" s="10">
        <v>0.01</v>
      </c>
      <c r="M19" s="10">
        <v>0.007</v>
      </c>
    </row>
    <row r="20" spans="1:10">
      <c r="A20" s="32"/>
      <c r="B20" t="s">
        <v>214</v>
      </c>
      <c r="G20" s="10"/>
      <c r="H20" s="10">
        <v>0.001</v>
      </c>
      <c r="I20" s="10">
        <v>0.0004</v>
      </c>
      <c r="J20" s="10">
        <v>0.0003</v>
      </c>
    </row>
    <row r="21" spans="1:10">
      <c r="A21" s="32"/>
      <c r="B21" t="s">
        <v>215</v>
      </c>
      <c r="H21" s="10">
        <f>1-SUM(H17:H20)</f>
        <v>0</v>
      </c>
      <c r="I21" s="10">
        <f>1-SUM(I17:I20)</f>
        <v>-0.000399999999999956</v>
      </c>
      <c r="J21" s="10">
        <f>1-SUM(J17:J20)</f>
        <v>-0.000299999999999967</v>
      </c>
    </row>
    <row r="22" spans="1:13">
      <c r="A22" s="32"/>
      <c r="B22" t="s">
        <v>210</v>
      </c>
      <c r="I22" s="10"/>
      <c r="K22" s="10">
        <v>0.125</v>
      </c>
      <c r="L22" s="10">
        <v>0.219</v>
      </c>
      <c r="M22" s="10">
        <v>0.393</v>
      </c>
    </row>
    <row r="23" spans="1:1">
      <c r="A23" s="32"/>
    </row>
    <row r="24" spans="1:2">
      <c r="A24" s="32"/>
      <c r="B24" t="s">
        <v>216</v>
      </c>
    </row>
    <row r="25" spans="1:13">
      <c r="A25" s="32"/>
      <c r="B25" t="s">
        <v>217</v>
      </c>
      <c r="F25" s="34">
        <v>0.59</v>
      </c>
      <c r="G25" s="10">
        <v>0.58</v>
      </c>
      <c r="H25" s="10">
        <v>0.707</v>
      </c>
      <c r="I25" s="10">
        <v>0.806</v>
      </c>
      <c r="J25" s="10">
        <v>0.888</v>
      </c>
      <c r="K25" s="10">
        <v>0.897</v>
      </c>
      <c r="L25" s="10">
        <v>0.94</v>
      </c>
      <c r="M25" s="10">
        <v>0.973</v>
      </c>
    </row>
    <row r="26" spans="1:13">
      <c r="A26" s="32"/>
      <c r="B26" t="s">
        <v>218</v>
      </c>
      <c r="G26" s="10"/>
      <c r="H26" s="10">
        <v>0.272</v>
      </c>
      <c r="I26" s="10">
        <v>0.178</v>
      </c>
      <c r="J26" s="10">
        <v>0.102</v>
      </c>
      <c r="K26" s="10">
        <v>0.059</v>
      </c>
      <c r="L26" s="10">
        <v>0.031</v>
      </c>
      <c r="M26" s="10">
        <v>0.012</v>
      </c>
    </row>
    <row r="27" spans="1:13">
      <c r="A27" s="32"/>
      <c r="B27" t="s">
        <v>219</v>
      </c>
      <c r="G27" s="10"/>
      <c r="H27" s="10">
        <v>0.015</v>
      </c>
      <c r="I27" s="10">
        <v>0.012</v>
      </c>
      <c r="J27" s="10">
        <v>0.007</v>
      </c>
      <c r="K27" s="10">
        <v>0.009</v>
      </c>
      <c r="L27" s="10">
        <v>0.012</v>
      </c>
      <c r="M27" s="10">
        <v>0.006</v>
      </c>
    </row>
    <row r="28" spans="1:13">
      <c r="A28" s="32"/>
      <c r="B28" t="s">
        <v>220</v>
      </c>
      <c r="G28" s="10"/>
      <c r="H28" s="10">
        <v>0.006</v>
      </c>
      <c r="I28" s="10">
        <v>0.004</v>
      </c>
      <c r="J28" s="10">
        <v>0.002</v>
      </c>
      <c r="K28" s="10">
        <v>0.002</v>
      </c>
      <c r="L28" s="10">
        <v>0.001</v>
      </c>
      <c r="M28" s="10">
        <v>0.001</v>
      </c>
    </row>
    <row r="29" spans="1:13">
      <c r="A29" s="32"/>
      <c r="B29" t="s">
        <v>214</v>
      </c>
      <c r="K29" s="10">
        <v>0.032</v>
      </c>
      <c r="L29" s="10">
        <v>0.015</v>
      </c>
      <c r="M29" s="10">
        <v>0.006</v>
      </c>
    </row>
    <row r="30" spans="1:13">
      <c r="A30" s="32"/>
      <c r="B30" t="s">
        <v>215</v>
      </c>
      <c r="K30" s="10">
        <v>0.001</v>
      </c>
      <c r="L30" s="10">
        <v>0.001</v>
      </c>
      <c r="M30" s="10">
        <v>0.002</v>
      </c>
    </row>
    <row r="31" spans="1:13">
      <c r="A31" s="32"/>
      <c r="B31" t="s">
        <v>221</v>
      </c>
      <c r="C31" s="10">
        <f t="shared" ref="C31:M31" si="4">1-SUM(C25:C30)</f>
        <v>1</v>
      </c>
      <c r="D31" s="10">
        <f t="shared" si="4"/>
        <v>1</v>
      </c>
      <c r="E31" s="10">
        <f t="shared" si="4"/>
        <v>1</v>
      </c>
      <c r="F31" s="10">
        <f t="shared" si="4"/>
        <v>0.41</v>
      </c>
      <c r="G31" s="10">
        <f t="shared" si="4"/>
        <v>0.42</v>
      </c>
      <c r="H31" s="10">
        <f t="shared" si="4"/>
        <v>0</v>
      </c>
      <c r="I31" s="10">
        <f t="shared" si="4"/>
        <v>0</v>
      </c>
      <c r="J31" s="10">
        <f t="shared" si="4"/>
        <v>0.001</v>
      </c>
      <c r="K31" s="10">
        <f t="shared" si="4"/>
        <v>0</v>
      </c>
      <c r="L31" s="10">
        <f t="shared" si="4"/>
        <v>0</v>
      </c>
      <c r="M31" s="10">
        <f t="shared" si="4"/>
        <v>0</v>
      </c>
    </row>
    <row r="34" spans="1:20">
      <c r="A34" s="27" t="s">
        <v>222</v>
      </c>
      <c r="B34" t="s">
        <v>223</v>
      </c>
      <c r="C34" s="35">
        <f t="shared" ref="C34:G44" si="5">C$8</f>
        <v>44</v>
      </c>
      <c r="D34" s="35">
        <f t="shared" si="5"/>
        <v>71</v>
      </c>
      <c r="E34" s="35">
        <f t="shared" si="5"/>
        <v>132</v>
      </c>
      <c r="F34" s="35">
        <f t="shared" si="5"/>
        <v>243</v>
      </c>
      <c r="G34" s="35">
        <f t="shared" si="5"/>
        <v>389.8</v>
      </c>
      <c r="H34" s="35">
        <f>H$8</f>
        <v>1072.7</v>
      </c>
      <c r="I34" s="35">
        <f t="shared" ref="I34:J43" si="6">I$8</f>
        <v>1709.6</v>
      </c>
      <c r="J34" s="35">
        <f t="shared" si="6"/>
        <v>3269.2</v>
      </c>
      <c r="K34" s="35">
        <f>K$5</f>
        <v>5729.7</v>
      </c>
      <c r="L34" s="35">
        <f t="shared" ref="L34:M37" si="7">L$5</f>
        <v>13076.8</v>
      </c>
      <c r="M34" s="35">
        <f t="shared" si="7"/>
        <v>34509.1</v>
      </c>
      <c r="N34" s="18">
        <v>64620</v>
      </c>
      <c r="O34" s="18"/>
      <c r="P34" s="18"/>
      <c r="Q34" s="18"/>
      <c r="R34" s="18">
        <v>168700</v>
      </c>
      <c r="S34" s="18"/>
      <c r="T34" s="18">
        <v>221180</v>
      </c>
    </row>
    <row r="35" spans="1:20">
      <c r="A35" s="27"/>
      <c r="B35" t="s">
        <v>224</v>
      </c>
      <c r="C35" s="35">
        <f t="shared" si="5"/>
        <v>44</v>
      </c>
      <c r="D35" s="35">
        <f t="shared" si="5"/>
        <v>71</v>
      </c>
      <c r="E35" s="35">
        <f t="shared" si="5"/>
        <v>132</v>
      </c>
      <c r="F35" s="35">
        <f t="shared" si="5"/>
        <v>243</v>
      </c>
      <c r="G35" s="35">
        <f t="shared" si="5"/>
        <v>389.8</v>
      </c>
      <c r="H35" s="35">
        <f t="shared" ref="H35:H44" si="8">H$8</f>
        <v>1072.7</v>
      </c>
      <c r="I35" s="35">
        <f t="shared" si="6"/>
        <v>1709.6</v>
      </c>
      <c r="J35" s="35">
        <f t="shared" si="6"/>
        <v>3269.2</v>
      </c>
      <c r="K35" s="35">
        <f>K$5</f>
        <v>5729.7</v>
      </c>
      <c r="L35" s="35">
        <f t="shared" si="7"/>
        <v>13076.8</v>
      </c>
      <c r="M35" s="35">
        <f>M$5</f>
        <v>34509.1</v>
      </c>
      <c r="N35" s="18">
        <v>75710</v>
      </c>
      <c r="O35" s="18"/>
      <c r="P35" s="18"/>
      <c r="Q35" s="18"/>
      <c r="R35" s="18">
        <v>220900</v>
      </c>
      <c r="S35" s="18"/>
      <c r="T35" s="18">
        <v>313860</v>
      </c>
    </row>
    <row r="36" spans="1:20">
      <c r="A36" s="27"/>
      <c r="B36" t="s">
        <v>225</v>
      </c>
      <c r="C36" s="35">
        <f t="shared" si="5"/>
        <v>44</v>
      </c>
      <c r="D36" s="35">
        <f t="shared" si="5"/>
        <v>71</v>
      </c>
      <c r="E36" s="35">
        <f t="shared" si="5"/>
        <v>132</v>
      </c>
      <c r="F36" s="35">
        <f t="shared" si="5"/>
        <v>243</v>
      </c>
      <c r="G36" s="35">
        <f t="shared" si="5"/>
        <v>389.8</v>
      </c>
      <c r="H36" s="35">
        <f t="shared" si="8"/>
        <v>1072.7</v>
      </c>
      <c r="I36" s="35">
        <f t="shared" si="6"/>
        <v>1709.6</v>
      </c>
      <c r="J36" s="35">
        <f t="shared" si="6"/>
        <v>3269.2</v>
      </c>
      <c r="K36" s="35">
        <f t="shared" ref="K36:K39" si="9">K$5</f>
        <v>5729.7</v>
      </c>
      <c r="L36" s="35">
        <f t="shared" si="7"/>
        <v>13076.8</v>
      </c>
      <c r="M36" s="18">
        <f>L36+10384</f>
        <v>23460.8</v>
      </c>
      <c r="N36" s="18"/>
      <c r="O36" s="18"/>
      <c r="P36" s="18"/>
      <c r="Q36" s="18">
        <v>97008</v>
      </c>
      <c r="R36" s="18"/>
      <c r="S36" s="18"/>
      <c r="T36" s="18"/>
    </row>
    <row r="37" spans="1:20">
      <c r="A37" s="27"/>
      <c r="B37" t="s">
        <v>226</v>
      </c>
      <c r="C37" s="35">
        <f t="shared" si="5"/>
        <v>44</v>
      </c>
      <c r="D37" s="35">
        <f t="shared" si="5"/>
        <v>71</v>
      </c>
      <c r="E37" s="35">
        <f t="shared" si="5"/>
        <v>132</v>
      </c>
      <c r="F37" s="35">
        <f t="shared" si="5"/>
        <v>243</v>
      </c>
      <c r="G37" s="35">
        <f t="shared" si="5"/>
        <v>389.8</v>
      </c>
      <c r="H37" s="35">
        <f t="shared" si="8"/>
        <v>1072.7</v>
      </c>
      <c r="I37" s="35">
        <f t="shared" si="6"/>
        <v>1709.6</v>
      </c>
      <c r="J37" s="35">
        <f t="shared" si="6"/>
        <v>3269.2</v>
      </c>
      <c r="K37" s="35">
        <f t="shared" si="9"/>
        <v>5729.7</v>
      </c>
      <c r="L37" s="35">
        <f t="shared" si="7"/>
        <v>13076.8</v>
      </c>
      <c r="M37" s="18">
        <f>18195+L37</f>
        <v>31271.8</v>
      </c>
      <c r="N37" s="18"/>
      <c r="O37" s="18"/>
      <c r="P37" s="18"/>
      <c r="Q37" s="18">
        <v>138386</v>
      </c>
      <c r="R37" s="18"/>
      <c r="S37" s="18"/>
      <c r="T37" s="18"/>
    </row>
    <row r="38" spans="1:20">
      <c r="A38" s="27"/>
      <c r="B38" t="s">
        <v>227</v>
      </c>
      <c r="C38" s="35">
        <f t="shared" si="5"/>
        <v>44</v>
      </c>
      <c r="D38" s="35">
        <f t="shared" si="5"/>
        <v>71</v>
      </c>
      <c r="E38" s="35">
        <f t="shared" si="5"/>
        <v>132</v>
      </c>
      <c r="F38" s="35">
        <f t="shared" si="5"/>
        <v>243</v>
      </c>
      <c r="G38" s="35">
        <f t="shared" si="5"/>
        <v>389.8</v>
      </c>
      <c r="H38" s="35">
        <f t="shared" si="8"/>
        <v>1072.7</v>
      </c>
      <c r="I38" s="35">
        <f t="shared" si="6"/>
        <v>1709.6</v>
      </c>
      <c r="J38" s="35">
        <f t="shared" si="6"/>
        <v>3269.2</v>
      </c>
      <c r="K38" s="35">
        <f t="shared" si="9"/>
        <v>5729.7</v>
      </c>
      <c r="L38" s="18">
        <v>9531.7</v>
      </c>
      <c r="M38" s="18">
        <v>15260</v>
      </c>
      <c r="N38" s="18">
        <v>23750</v>
      </c>
      <c r="O38" s="18">
        <v>35440</v>
      </c>
      <c r="P38" s="18">
        <v>48510.3</v>
      </c>
      <c r="Q38" s="18"/>
      <c r="R38" s="18"/>
      <c r="S38" s="18"/>
      <c r="T38" s="18"/>
    </row>
    <row r="39" spans="1:20">
      <c r="A39" s="27"/>
      <c r="B39" t="s">
        <v>228</v>
      </c>
      <c r="C39" s="35">
        <f t="shared" si="5"/>
        <v>44</v>
      </c>
      <c r="D39" s="35">
        <f t="shared" si="5"/>
        <v>71</v>
      </c>
      <c r="E39" s="35">
        <f t="shared" si="5"/>
        <v>132</v>
      </c>
      <c r="F39" s="35">
        <f t="shared" si="5"/>
        <v>243</v>
      </c>
      <c r="G39" s="35">
        <f t="shared" si="5"/>
        <v>389.8</v>
      </c>
      <c r="H39" s="35">
        <f t="shared" si="8"/>
        <v>1072.7</v>
      </c>
      <c r="I39" s="35">
        <f t="shared" si="6"/>
        <v>1709.6</v>
      </c>
      <c r="J39" s="35">
        <f t="shared" si="6"/>
        <v>3269.2</v>
      </c>
      <c r="K39" s="35">
        <f t="shared" si="9"/>
        <v>5729.7</v>
      </c>
      <c r="L39" s="18">
        <v>11192.3</v>
      </c>
      <c r="M39" s="18">
        <v>18240</v>
      </c>
      <c r="N39" s="18">
        <v>32530</v>
      </c>
      <c r="O39" s="18">
        <v>56100</v>
      </c>
      <c r="P39" s="18">
        <v>79535.4</v>
      </c>
      <c r="Q39" s="18"/>
      <c r="R39" s="18"/>
      <c r="S39" s="18"/>
      <c r="T39" s="18"/>
    </row>
    <row r="40" spans="1:20">
      <c r="A40" s="27"/>
      <c r="B40" t="s">
        <v>229</v>
      </c>
      <c r="C40" s="35">
        <f t="shared" si="5"/>
        <v>44</v>
      </c>
      <c r="D40" s="35">
        <f t="shared" si="5"/>
        <v>71</v>
      </c>
      <c r="E40" s="35">
        <f t="shared" si="5"/>
        <v>132</v>
      </c>
      <c r="F40" s="35">
        <f t="shared" si="5"/>
        <v>243</v>
      </c>
      <c r="G40" s="35">
        <f t="shared" si="5"/>
        <v>389.8</v>
      </c>
      <c r="H40" s="35">
        <f t="shared" si="8"/>
        <v>1072.7</v>
      </c>
      <c r="I40" s="35">
        <f t="shared" si="6"/>
        <v>1709.6</v>
      </c>
      <c r="J40" s="35">
        <f t="shared" si="6"/>
        <v>3269.2</v>
      </c>
      <c r="K40" s="18">
        <v>5790.8</v>
      </c>
      <c r="L40" s="18"/>
      <c r="M40" s="18"/>
      <c r="N40" s="18"/>
      <c r="O40" s="18">
        <v>35519.1</v>
      </c>
      <c r="P40" s="18"/>
      <c r="Q40" s="18"/>
      <c r="R40" s="18"/>
      <c r="S40" s="18"/>
      <c r="T40" s="18"/>
    </row>
    <row r="41" spans="1:20">
      <c r="A41" s="27"/>
      <c r="B41" t="s">
        <v>230</v>
      </c>
      <c r="C41" s="35">
        <f t="shared" si="5"/>
        <v>44</v>
      </c>
      <c r="D41" s="35">
        <f t="shared" si="5"/>
        <v>71</v>
      </c>
      <c r="E41" s="35">
        <f t="shared" si="5"/>
        <v>132</v>
      </c>
      <c r="F41" s="35">
        <f t="shared" si="5"/>
        <v>243</v>
      </c>
      <c r="G41" s="35">
        <f t="shared" si="5"/>
        <v>389.8</v>
      </c>
      <c r="H41" s="35">
        <f t="shared" si="8"/>
        <v>1072.7</v>
      </c>
      <c r="I41" s="35">
        <f t="shared" si="6"/>
        <v>1709.6</v>
      </c>
      <c r="J41" s="35">
        <f t="shared" si="6"/>
        <v>3269.2</v>
      </c>
      <c r="K41" s="18">
        <v>6614.8</v>
      </c>
      <c r="L41" s="18"/>
      <c r="M41" s="18"/>
      <c r="N41" s="18"/>
      <c r="O41" s="18">
        <v>55883.2</v>
      </c>
      <c r="P41" s="18"/>
      <c r="Q41" s="18"/>
      <c r="R41" s="18"/>
      <c r="S41" s="18"/>
      <c r="T41" s="18"/>
    </row>
    <row r="42" spans="1:20">
      <c r="A42" s="27"/>
      <c r="B42" t="s">
        <v>231</v>
      </c>
      <c r="C42" s="35">
        <f t="shared" si="5"/>
        <v>44</v>
      </c>
      <c r="D42" s="35">
        <f t="shared" si="5"/>
        <v>71</v>
      </c>
      <c r="E42" s="35">
        <f t="shared" si="5"/>
        <v>132</v>
      </c>
      <c r="F42" s="35">
        <f t="shared" si="5"/>
        <v>243</v>
      </c>
      <c r="G42" s="35">
        <f t="shared" si="5"/>
        <v>389.8</v>
      </c>
      <c r="H42" s="35">
        <f t="shared" si="8"/>
        <v>1072.7</v>
      </c>
      <c r="I42" s="35">
        <f t="shared" si="6"/>
        <v>1709.6</v>
      </c>
      <c r="J42" s="18">
        <v>2726.7</v>
      </c>
      <c r="K42" s="18"/>
      <c r="L42" s="18"/>
      <c r="M42" s="18"/>
      <c r="N42" s="18">
        <v>15529.9</v>
      </c>
      <c r="O42" s="18"/>
      <c r="P42" s="18"/>
      <c r="Q42" s="18"/>
      <c r="R42" s="18"/>
      <c r="S42" s="18"/>
      <c r="T42" s="18"/>
    </row>
    <row r="43" spans="1:20">
      <c r="A43" s="27"/>
      <c r="B43" t="s">
        <v>232</v>
      </c>
      <c r="C43" s="35">
        <f t="shared" si="5"/>
        <v>44</v>
      </c>
      <c r="D43" s="35">
        <f t="shared" si="5"/>
        <v>71</v>
      </c>
      <c r="E43" s="35">
        <f t="shared" si="5"/>
        <v>132</v>
      </c>
      <c r="F43" s="35">
        <f t="shared" si="5"/>
        <v>243</v>
      </c>
      <c r="G43" s="35">
        <f t="shared" si="5"/>
        <v>389.8</v>
      </c>
      <c r="H43" s="35">
        <f t="shared" si="8"/>
        <v>1072.7</v>
      </c>
      <c r="I43" s="35">
        <f t="shared" si="6"/>
        <v>1709.6</v>
      </c>
      <c r="J43" s="18">
        <v>3092.2</v>
      </c>
      <c r="K43" s="18"/>
      <c r="L43" s="18"/>
      <c r="M43" s="18"/>
      <c r="N43" s="18">
        <v>23834.8</v>
      </c>
      <c r="O43" s="18"/>
      <c r="P43" s="18"/>
      <c r="Q43" s="18"/>
      <c r="R43" s="18"/>
      <c r="S43" s="18"/>
      <c r="T43" s="18"/>
    </row>
    <row r="44" spans="1:20">
      <c r="A44" s="27"/>
      <c r="B44" t="s">
        <v>233</v>
      </c>
      <c r="C44" s="35">
        <f t="shared" si="5"/>
        <v>44</v>
      </c>
      <c r="D44" s="35">
        <f t="shared" si="5"/>
        <v>71</v>
      </c>
      <c r="E44" s="35">
        <f t="shared" si="5"/>
        <v>132</v>
      </c>
      <c r="F44" s="35">
        <f t="shared" si="5"/>
        <v>243</v>
      </c>
      <c r="G44" s="35">
        <f t="shared" si="5"/>
        <v>389.8</v>
      </c>
      <c r="H44" s="35">
        <f t="shared" si="8"/>
        <v>1072.7</v>
      </c>
      <c r="I44" s="18">
        <v>1914.5</v>
      </c>
      <c r="J44" s="18"/>
      <c r="K44" s="18"/>
      <c r="L44" s="18"/>
      <c r="M44" s="18">
        <v>19319.2</v>
      </c>
      <c r="N44" s="18"/>
      <c r="O44" s="18"/>
      <c r="P44" s="18"/>
      <c r="Q44" s="18"/>
      <c r="R44" s="18"/>
      <c r="S44" s="18"/>
      <c r="T44" s="18"/>
    </row>
    <row r="47" spans="1:17">
      <c r="A47" t="s">
        <v>234</v>
      </c>
      <c r="F47" s="27">
        <v>2016</v>
      </c>
      <c r="G47" s="12">
        <v>2017</v>
      </c>
      <c r="H47" s="27">
        <v>2018</v>
      </c>
      <c r="I47" s="12">
        <v>2019</v>
      </c>
      <c r="J47" s="27">
        <v>2020</v>
      </c>
      <c r="K47" s="12">
        <v>2021</v>
      </c>
      <c r="L47" s="27">
        <v>2022</v>
      </c>
      <c r="M47" s="12">
        <v>2023</v>
      </c>
      <c r="N47" s="27">
        <v>2024</v>
      </c>
      <c r="O47" s="12">
        <v>2025</v>
      </c>
      <c r="P47" s="27">
        <v>2026</v>
      </c>
      <c r="Q47" s="12">
        <v>2050</v>
      </c>
    </row>
    <row r="48" spans="2:11">
      <c r="B48" t="s">
        <v>235</v>
      </c>
      <c r="C48" s="10">
        <f>49.7%</f>
        <v>0.497</v>
      </c>
      <c r="J48" s="12"/>
      <c r="K48" s="12"/>
    </row>
    <row r="49" spans="2:17">
      <c r="B49" t="s">
        <v>236</v>
      </c>
      <c r="C49" s="10">
        <v>0.274</v>
      </c>
      <c r="D49" t="s">
        <v>237</v>
      </c>
      <c r="E49" t="s">
        <v>238</v>
      </c>
      <c r="F49">
        <v>0</v>
      </c>
      <c r="G49">
        <v>100</v>
      </c>
      <c r="H49">
        <f>G49+208</f>
        <v>308</v>
      </c>
      <c r="I49">
        <f>H49+103</f>
        <v>411</v>
      </c>
      <c r="J49" s="12">
        <f>I49+262</f>
        <v>673</v>
      </c>
      <c r="K49" s="12">
        <f>J49+SUM(Past!Y53:Y57)</f>
        <v>2181.2</v>
      </c>
      <c r="L49" s="12">
        <f>K49+'CN ST Forecast'!N10</f>
        <v>6666.2</v>
      </c>
      <c r="M49" s="12">
        <f>CNESA!L49+3390</f>
        <v>10056.2</v>
      </c>
      <c r="N49" s="12">
        <f>M49+6290</f>
        <v>16346.2</v>
      </c>
      <c r="O49">
        <f>(O38-N38)*O53+N49</f>
        <v>26135.8444571895</v>
      </c>
      <c r="P49">
        <f>(P38-O38)*P53+O49</f>
        <v>37081.4039053336</v>
      </c>
      <c r="Q49">
        <v>210000</v>
      </c>
    </row>
    <row r="50" spans="2:11">
      <c r="B50" t="s">
        <v>239</v>
      </c>
      <c r="C50" s="10">
        <v>0.229</v>
      </c>
      <c r="J50" s="12"/>
      <c r="K50" s="12"/>
    </row>
    <row r="51" spans="2:11">
      <c r="B51" t="s">
        <v>240</v>
      </c>
      <c r="K51" s="12"/>
    </row>
    <row r="53" spans="12:16">
      <c r="L53">
        <f>(L49-K49)/(L38-K38)</f>
        <v>1.17964229352972</v>
      </c>
      <c r="M53">
        <f>(M49-L49)/(M38-L38)</f>
        <v>0.591798613899412</v>
      </c>
      <c r="N53">
        <f>(N49-M49)/(N38-M38)</f>
        <v>0.740871613663133</v>
      </c>
      <c r="O53">
        <f>AVERAGE(L53:N53)</f>
        <v>0.837437507030755</v>
      </c>
      <c r="P53">
        <f>O53</f>
        <v>0.837437507030755</v>
      </c>
    </row>
    <row r="54" spans="12:16">
      <c r="L54">
        <f>(L39-K39)/(L38-K38)</f>
        <v>1.43677012098895</v>
      </c>
      <c r="M54">
        <f>(M39-L39)/(M38-L38)</f>
        <v>1.230330115392</v>
      </c>
      <c r="N54">
        <f>(N39-M39)/(N38-M38)</f>
        <v>1.6831566548881</v>
      </c>
      <c r="O54">
        <f>(O39-N39)/(O38-N38)</f>
        <v>2.01625320786997</v>
      </c>
      <c r="P54">
        <f>(P39-O39)/(P38-O38)</f>
        <v>1.7930269389379</v>
      </c>
    </row>
    <row r="56" spans="4:16">
      <c r="D56" t="s">
        <v>241</v>
      </c>
      <c r="E56" t="s">
        <v>242</v>
      </c>
      <c r="J56" s="12">
        <f>J49</f>
        <v>673</v>
      </c>
      <c r="K56" s="12">
        <f>K49</f>
        <v>2181.2</v>
      </c>
      <c r="L56" s="12">
        <f>L49</f>
        <v>6666.2</v>
      </c>
      <c r="M56">
        <f>(M49-L49)*M54+L56</f>
        <v>10837.0190911789</v>
      </c>
      <c r="N56">
        <f>(N49-M49)*N54+M56</f>
        <v>21424.0744504251</v>
      </c>
      <c r="O56">
        <f>(O49-N49)*O54+N56</f>
        <v>41162.47649114</v>
      </c>
      <c r="P56">
        <f>(P49-O49)*P54+O56</f>
        <v>60788.1594434085</v>
      </c>
    </row>
    <row r="57" spans="4:16">
      <c r="D57" t="s">
        <v>198</v>
      </c>
      <c r="E57" t="s">
        <v>243</v>
      </c>
      <c r="J57" s="12">
        <f>J56-J49</f>
        <v>0</v>
      </c>
      <c r="K57" s="12">
        <f>K56-K49</f>
        <v>0</v>
      </c>
      <c r="L57" s="12">
        <f>L56-L49</f>
        <v>0</v>
      </c>
      <c r="M57" s="12">
        <f t="shared" ref="M57:P57" si="10">M56-M49</f>
        <v>780.819091178884</v>
      </c>
      <c r="N57" s="12">
        <f t="shared" si="10"/>
        <v>5077.87445042505</v>
      </c>
      <c r="O57" s="12">
        <f t="shared" si="10"/>
        <v>15026.6320339504</v>
      </c>
      <c r="P57" s="12">
        <f t="shared" si="10"/>
        <v>23706.7555380749</v>
      </c>
    </row>
  </sheetData>
  <mergeCells count="3">
    <mergeCell ref="A2:A13"/>
    <mergeCell ref="A15:A31"/>
    <mergeCell ref="A34:A44"/>
  </mergeCells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M2:AA81"/>
  <sheetViews>
    <sheetView zoomScale="85" zoomScaleNormal="85" topLeftCell="A24" workbookViewId="0">
      <selection activeCell="O95" sqref="O95"/>
    </sheetView>
  </sheetViews>
  <sheetFormatPr defaultColWidth="9" defaultRowHeight="14"/>
  <cols>
    <col min="20" max="24" width="12.25" customWidth="1"/>
    <col min="25" max="25" width="12.25" style="12" customWidth="1"/>
    <col min="26" max="26" width="12.25" customWidth="1"/>
  </cols>
  <sheetData>
    <row r="2" spans="20:25">
      <c r="T2" t="s">
        <v>244</v>
      </c>
      <c r="Y2"/>
    </row>
    <row r="3" spans="20:25">
      <c r="T3" t="s">
        <v>245</v>
      </c>
      <c r="Y3"/>
    </row>
    <row r="4" spans="20:25">
      <c r="T4" t="s">
        <v>246</v>
      </c>
      <c r="Y4"/>
    </row>
    <row r="5" spans="21:26">
      <c r="U5" t="s">
        <v>247</v>
      </c>
      <c r="V5" t="s">
        <v>248</v>
      </c>
      <c r="W5" t="s">
        <v>249</v>
      </c>
      <c r="X5" t="s">
        <v>250</v>
      </c>
      <c r="Y5" t="s">
        <v>251</v>
      </c>
      <c r="Z5" t="s">
        <v>252</v>
      </c>
    </row>
    <row r="6" spans="20:26">
      <c r="T6">
        <v>2015</v>
      </c>
      <c r="U6">
        <v>0</v>
      </c>
      <c r="V6">
        <v>0.2</v>
      </c>
      <c r="W6">
        <v>0.1</v>
      </c>
      <c r="X6">
        <v>0</v>
      </c>
      <c r="Y6">
        <v>0</v>
      </c>
      <c r="Z6">
        <v>0</v>
      </c>
    </row>
    <row r="7" spans="20:26">
      <c r="T7">
        <v>2016</v>
      </c>
      <c r="U7">
        <v>0.1</v>
      </c>
      <c r="V7">
        <v>0.2</v>
      </c>
      <c r="W7">
        <v>0.1</v>
      </c>
      <c r="X7">
        <v>0.2</v>
      </c>
      <c r="Y7">
        <v>0.1</v>
      </c>
      <c r="Z7">
        <v>0</v>
      </c>
    </row>
    <row r="8" spans="20:26">
      <c r="T8">
        <v>2017</v>
      </c>
      <c r="U8">
        <v>0.1</v>
      </c>
      <c r="V8">
        <v>0.2</v>
      </c>
      <c r="W8">
        <v>0.3</v>
      </c>
      <c r="X8">
        <v>0.2</v>
      </c>
      <c r="Y8">
        <v>0</v>
      </c>
      <c r="Z8">
        <v>0.2</v>
      </c>
    </row>
    <row r="9" spans="20:26">
      <c r="T9">
        <v>2018</v>
      </c>
      <c r="U9">
        <v>0.3</v>
      </c>
      <c r="V9">
        <v>0.3</v>
      </c>
      <c r="W9">
        <v>0.6</v>
      </c>
      <c r="X9">
        <v>0.3</v>
      </c>
      <c r="Y9">
        <v>0</v>
      </c>
      <c r="Z9">
        <v>0.1</v>
      </c>
    </row>
    <row r="10" spans="20:26">
      <c r="T10">
        <v>2019</v>
      </c>
      <c r="U10">
        <v>0.4</v>
      </c>
      <c r="V10">
        <v>0.3</v>
      </c>
      <c r="W10">
        <v>0.5</v>
      </c>
      <c r="X10">
        <v>0.2</v>
      </c>
      <c r="Y10">
        <v>0</v>
      </c>
      <c r="Z10">
        <v>0.2</v>
      </c>
    </row>
    <row r="11" spans="20:26">
      <c r="T11">
        <v>2020</v>
      </c>
      <c r="U11">
        <v>0.9</v>
      </c>
      <c r="V11">
        <v>1.1</v>
      </c>
      <c r="W11">
        <v>0.5</v>
      </c>
      <c r="X11">
        <v>0.7</v>
      </c>
      <c r="Y11">
        <v>0.1</v>
      </c>
      <c r="Z11">
        <v>0.1</v>
      </c>
    </row>
    <row r="12" spans="20:26">
      <c r="T12">
        <v>2021</v>
      </c>
      <c r="U12">
        <v>1.9</v>
      </c>
      <c r="V12">
        <v>2.9</v>
      </c>
      <c r="W12">
        <v>1</v>
      </c>
      <c r="X12">
        <v>0.1</v>
      </c>
      <c r="Y12">
        <v>0</v>
      </c>
      <c r="Z12">
        <v>0.5</v>
      </c>
    </row>
    <row r="40" spans="25:25">
      <c r="Y40" s="12">
        <v>6268</v>
      </c>
    </row>
    <row r="49" spans="25:25">
      <c r="Y49" s="12" t="s">
        <v>253</v>
      </c>
    </row>
    <row r="50" spans="23:27">
      <c r="W50" t="s">
        <v>235</v>
      </c>
      <c r="X50" t="s">
        <v>254</v>
      </c>
      <c r="Y50" s="12">
        <v>814.7</v>
      </c>
      <c r="Z50" s="10">
        <f>Y50/Y$60</f>
        <v>0.196644943277818</v>
      </c>
      <c r="AA50" s="10">
        <f>Z50+Z51+Z52</f>
        <v>0.435047067342505</v>
      </c>
    </row>
    <row r="51" spans="23:26">
      <c r="W51" t="s">
        <v>235</v>
      </c>
      <c r="X51" t="s">
        <v>255</v>
      </c>
      <c r="Y51" s="12">
        <v>630.1</v>
      </c>
      <c r="Z51" s="10">
        <f t="shared" ref="Z51:Z59" si="0">Y51/Y$60</f>
        <v>0.152087859039343</v>
      </c>
    </row>
    <row r="52" spans="23:26">
      <c r="W52" t="s">
        <v>235</v>
      </c>
      <c r="X52" t="s">
        <v>256</v>
      </c>
      <c r="Y52" s="12">
        <v>357.6</v>
      </c>
      <c r="Z52" s="10">
        <f t="shared" si="0"/>
        <v>0.086314265025344</v>
      </c>
    </row>
    <row r="53" spans="23:27">
      <c r="W53" t="s">
        <v>236</v>
      </c>
      <c r="X53" t="s">
        <v>254</v>
      </c>
      <c r="Y53" s="12">
        <v>537.5</v>
      </c>
      <c r="Z53" s="10">
        <f t="shared" si="0"/>
        <v>0.129736905623944</v>
      </c>
      <c r="AA53" s="10">
        <f>Z53+Z54+Z55+Z56+Z57</f>
        <v>0.364035722906107</v>
      </c>
    </row>
    <row r="54" spans="23:26">
      <c r="W54" t="s">
        <v>236</v>
      </c>
      <c r="X54" t="s">
        <v>255</v>
      </c>
      <c r="Y54" s="12">
        <v>526.6</v>
      </c>
      <c r="Z54" s="10">
        <f t="shared" si="0"/>
        <v>0.127105961863384</v>
      </c>
    </row>
    <row r="55" spans="23:26">
      <c r="W55" t="s">
        <v>236</v>
      </c>
      <c r="X55" t="s">
        <v>257</v>
      </c>
      <c r="Y55" s="12">
        <v>263.3</v>
      </c>
      <c r="Z55" s="10">
        <f t="shared" si="0"/>
        <v>0.063552980931692</v>
      </c>
    </row>
    <row r="56" spans="23:26">
      <c r="W56" t="s">
        <v>236</v>
      </c>
      <c r="X56" t="s">
        <v>254</v>
      </c>
      <c r="Y56" s="12">
        <v>129.7</v>
      </c>
      <c r="Z56" s="10">
        <f t="shared" si="0"/>
        <v>0.0313058170407917</v>
      </c>
    </row>
    <row r="57" spans="23:26">
      <c r="W57" t="s">
        <v>236</v>
      </c>
      <c r="X57" t="s">
        <v>258</v>
      </c>
      <c r="Y57" s="12">
        <v>51.1</v>
      </c>
      <c r="Z57" s="10">
        <f t="shared" si="0"/>
        <v>0.012334057446295</v>
      </c>
    </row>
    <row r="58" spans="23:27">
      <c r="W58" t="s">
        <v>239</v>
      </c>
      <c r="X58" t="s">
        <v>259</v>
      </c>
      <c r="Y58" s="12">
        <v>689.6</v>
      </c>
      <c r="Z58" s="10">
        <f t="shared" si="0"/>
        <v>0.16644943277818</v>
      </c>
      <c r="AA58" s="10">
        <f>Z58+Z59</f>
        <v>0.200917209751388</v>
      </c>
    </row>
    <row r="59" spans="23:26">
      <c r="W59" t="s">
        <v>239</v>
      </c>
      <c r="X59" t="s">
        <v>258</v>
      </c>
      <c r="Y59" s="12">
        <v>142.8</v>
      </c>
      <c r="Z59" s="10">
        <f t="shared" si="0"/>
        <v>0.0344677769732078</v>
      </c>
    </row>
    <row r="60" spans="23:25">
      <c r="W60" t="s">
        <v>260</v>
      </c>
      <c r="Y60" s="12">
        <f>SUM(Y50:Y59)</f>
        <v>4143</v>
      </c>
    </row>
    <row r="61" spans="23:25">
      <c r="W61" s="27" t="s">
        <v>261</v>
      </c>
      <c r="X61" s="27"/>
      <c r="Y61" s="27"/>
    </row>
    <row r="79" ht="16.5" spans="13:13">
      <c r="M79" s="28" t="s">
        <v>262</v>
      </c>
    </row>
    <row r="80" ht="16.5" spans="13:13">
      <c r="M80" s="28" t="s">
        <v>263</v>
      </c>
    </row>
    <row r="81" spans="13:13">
      <c r="M81" s="29" t="s">
        <v>264</v>
      </c>
    </row>
  </sheetData>
  <mergeCells count="1">
    <mergeCell ref="W61:Y61"/>
  </mergeCells>
  <hyperlinks>
    <hyperlink ref="M81" r:id="rId2" location=":~:text=%E6%88%AA%E8%87%B32021%E5%B9%B4%E5%BA%95%EF%BC%8C%E5%85%A8%E5%9B%BD%E5%82%A8%E8%83%BD%E8%A3%85%E6%9C%BA%E8%A7%84%E6%A8%A1%E8%BE%BE%E5%88%B04266%E4%B8%87%E5%8D%83%E7%93%A6%EF%BC%8C%E5%85%B6%E4%B8%AD%E6%96%B0%E5%9E%8B%E5%82%A8%E8%83%BD%E8%A3%85%E6%9C%BA626.8%E4%B8%87%E5%8D%83%E7%93%A6%EF%BC%8C%E5%90%8C%E6%AF%94%E5%A2%9E%E9%95%BF56.4%25%3B%E6%96%B0%E5%9E%8B%E5%82%A8%E8%83%BD%E4%B8%AD90%25%E4%B8%BA%E7%94%B5%E5%8C%96%E5%AD%A6%E5%82%A8%E8%83%BD%E3%80%82,%E6%88%AA%E8%87%B32021%E5%B9%B4%E5%BA%95%EF%BC%8C%E7%94%B5%E6%BA%90%E4%BE%A7%E3%80%81%E7%94%A8%E6%88%B7%E4%BE%A7%E3%80%81%E7%94%B5%E7%BD%91%E4%BE%A7%E5%82%A8%E8%83%BD%E8%A3%85%E6%9C%BA%E5%8D%A0%E6%AF%94%E5%88%86%E5%88%AB%E4%B8%BA49.7%25%E3%80%8127.4%25%E5%92%8C22.9%25%EF%BC%8C%E7%94%B5%E6%BA%90%E4%BE%A7%E5%82%A8%E8%83%BD%E6%8E%A5%E8%BF%91%E8%A3%85%E6%9C%BA%E7%9A%84%E4%B8%80%E5%8D%8A%E3%80%82" display="新能源配储能的现状、挑战及发展建议_电力网 (chinapower.com.cn)"/>
  </hyperlink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87"/>
  <sheetViews>
    <sheetView workbookViewId="0">
      <selection activeCell="M32" sqref="M32"/>
    </sheetView>
  </sheetViews>
  <sheetFormatPr defaultColWidth="9" defaultRowHeight="14"/>
  <sheetData>
    <row r="1" ht="16.9" customHeight="1" spans="2:13">
      <c r="B1">
        <v>2021</v>
      </c>
      <c r="M1" s="24"/>
    </row>
    <row r="2" spans="13:13">
      <c r="M2" t="s">
        <v>265</v>
      </c>
    </row>
    <row r="3" spans="13:13">
      <c r="M3" t="s">
        <v>266</v>
      </c>
    </row>
    <row r="4" ht="16.5" spans="13:13">
      <c r="M4" s="25" t="s">
        <v>267</v>
      </c>
    </row>
    <row r="5" ht="16.5" spans="13:13">
      <c r="M5" s="26" t="s">
        <v>268</v>
      </c>
    </row>
    <row r="6" ht="16.5" spans="13:13">
      <c r="M6" s="25" t="s">
        <v>269</v>
      </c>
    </row>
    <row r="7" ht="16.5" spans="13:13">
      <c r="M7" s="26" t="s">
        <v>270</v>
      </c>
    </row>
    <row r="9" spans="13:14">
      <c r="M9">
        <v>2022</v>
      </c>
      <c r="N9" t="s">
        <v>271</v>
      </c>
    </row>
    <row r="10" spans="14:14">
      <c r="N10">
        <f>6900*0.65</f>
        <v>4485</v>
      </c>
    </row>
    <row r="68" spans="11:22">
      <c r="K68">
        <v>2021</v>
      </c>
      <c r="L68">
        <v>2022</v>
      </c>
      <c r="M68">
        <v>2023</v>
      </c>
      <c r="N68">
        <v>2024</v>
      </c>
      <c r="O68">
        <v>2025</v>
      </c>
      <c r="Q68" t="s">
        <v>272</v>
      </c>
      <c r="R68">
        <v>2021</v>
      </c>
      <c r="S68">
        <v>2022</v>
      </c>
      <c r="T68">
        <v>2023</v>
      </c>
      <c r="U68">
        <v>2024</v>
      </c>
      <c r="V68">
        <v>2025</v>
      </c>
    </row>
    <row r="69" spans="10:22">
      <c r="J69" t="s">
        <v>273</v>
      </c>
      <c r="K69">
        <v>495</v>
      </c>
      <c r="L69">
        <v>788</v>
      </c>
      <c r="M69">
        <v>1936</v>
      </c>
      <c r="N69">
        <v>4367</v>
      </c>
      <c r="O69">
        <v>6077</v>
      </c>
      <c r="Q69" t="s">
        <v>260</v>
      </c>
      <c r="R69" s="12">
        <v>3896.43463497453</v>
      </c>
      <c r="S69" s="12">
        <v>7869.26994906621</v>
      </c>
      <c r="T69" s="12">
        <v>15662.1392190152</v>
      </c>
      <c r="U69" s="12">
        <v>27351.4431239388</v>
      </c>
      <c r="V69" s="12">
        <v>40568.7606112054</v>
      </c>
    </row>
    <row r="70" spans="10:22">
      <c r="J70" t="s">
        <v>274</v>
      </c>
      <c r="K70">
        <v>260</v>
      </c>
      <c r="L70">
        <v>402</v>
      </c>
      <c r="M70">
        <v>1142</v>
      </c>
      <c r="N70">
        <v>2686</v>
      </c>
      <c r="O70">
        <v>3829</v>
      </c>
      <c r="P70">
        <f>SUM(K70:O70)</f>
        <v>8319</v>
      </c>
      <c r="Q70" t="s">
        <v>235</v>
      </c>
      <c r="R70" s="12">
        <v>2750.42444821731</v>
      </c>
      <c r="S70" s="12">
        <v>6112.05432937181</v>
      </c>
      <c r="T70" s="12">
        <v>12071.3073005093</v>
      </c>
      <c r="U70" s="12">
        <v>19864.1765704584</v>
      </c>
      <c r="V70" s="12">
        <v>27962.648556876</v>
      </c>
    </row>
    <row r="71" spans="10:22">
      <c r="J71" t="s">
        <v>275</v>
      </c>
      <c r="K71">
        <v>122</v>
      </c>
      <c r="L71">
        <v>205</v>
      </c>
      <c r="M71">
        <v>501</v>
      </c>
      <c r="N71">
        <v>1163</v>
      </c>
      <c r="O71">
        <v>1493</v>
      </c>
      <c r="P71">
        <f>SUM(K71:O71)</f>
        <v>3484</v>
      </c>
      <c r="Q71" t="s">
        <v>236</v>
      </c>
      <c r="R71" s="12">
        <v>534.80475382003</v>
      </c>
      <c r="S71" s="12">
        <v>916.80814940577</v>
      </c>
      <c r="T71" s="12">
        <v>2215.6196943973</v>
      </c>
      <c r="U71" s="12">
        <v>4354.8387096774</v>
      </c>
      <c r="V71" s="12">
        <v>5882.8522920204</v>
      </c>
    </row>
    <row r="72" spans="10:23">
      <c r="J72" t="s">
        <v>276</v>
      </c>
      <c r="K72">
        <v>113</v>
      </c>
      <c r="L72">
        <v>181</v>
      </c>
      <c r="M72">
        <v>293</v>
      </c>
      <c r="N72">
        <v>518</v>
      </c>
      <c r="O72">
        <v>755</v>
      </c>
      <c r="P72">
        <f>SUM(K72:O72)</f>
        <v>1860</v>
      </c>
      <c r="Q72" t="s">
        <v>239</v>
      </c>
      <c r="R72" s="12">
        <v>611.20543293719</v>
      </c>
      <c r="S72" s="12">
        <v>840.40747028863</v>
      </c>
      <c r="T72" s="12">
        <v>1375.2122241086</v>
      </c>
      <c r="U72" s="12">
        <v>3132.427843803</v>
      </c>
      <c r="V72" s="12">
        <v>6723.259762309</v>
      </c>
      <c r="W72" s="12">
        <f>SUM(R72:V72)</f>
        <v>12682.5127334464</v>
      </c>
    </row>
    <row r="74" spans="10:23">
      <c r="J74" t="s">
        <v>277</v>
      </c>
      <c r="Q74" t="s">
        <v>277</v>
      </c>
      <c r="R74">
        <v>2021</v>
      </c>
      <c r="S74">
        <v>2022</v>
      </c>
      <c r="T74">
        <v>2023</v>
      </c>
      <c r="U74">
        <v>2024</v>
      </c>
      <c r="V74">
        <v>2025</v>
      </c>
      <c r="W74" t="s">
        <v>278</v>
      </c>
    </row>
    <row r="75" spans="10:24">
      <c r="J75" t="s">
        <v>274</v>
      </c>
      <c r="K75">
        <f>K70/2</f>
        <v>130</v>
      </c>
      <c r="L75">
        <f t="shared" ref="L75:N77" si="0">L70/2</f>
        <v>201</v>
      </c>
      <c r="M75">
        <f t="shared" si="0"/>
        <v>571</v>
      </c>
      <c r="N75">
        <f t="shared" si="0"/>
        <v>1343</v>
      </c>
      <c r="O75">
        <f>O70/2</f>
        <v>1914.5</v>
      </c>
      <c r="P75" s="18">
        <f>SUM(K75:O75)</f>
        <v>4159.5</v>
      </c>
      <c r="Q75" s="18" t="s">
        <v>235</v>
      </c>
      <c r="R75" s="18">
        <f>R70/2</f>
        <v>1375.21222410865</v>
      </c>
      <c r="S75" s="18">
        <f>S70/2.1</f>
        <v>2910.50206160562</v>
      </c>
      <c r="T75" s="18">
        <f>T70/2.2</f>
        <v>5486.95786386786</v>
      </c>
      <c r="U75" s="18">
        <f>U70/2.2</f>
        <v>9029.17116839018</v>
      </c>
      <c r="V75" s="18">
        <f>V70/2.2</f>
        <v>12710.29479858</v>
      </c>
      <c r="W75" s="18">
        <f>SUM(R75:V75)</f>
        <v>31512.1381165523</v>
      </c>
      <c r="X75" s="18"/>
    </row>
    <row r="76" spans="10:24">
      <c r="J76" t="s">
        <v>275</v>
      </c>
      <c r="K76">
        <f>K71/2</f>
        <v>61</v>
      </c>
      <c r="L76">
        <f t="shared" si="0"/>
        <v>102.5</v>
      </c>
      <c r="M76">
        <f t="shared" si="0"/>
        <v>250.5</v>
      </c>
      <c r="N76">
        <f t="shared" si="0"/>
        <v>581.5</v>
      </c>
      <c r="O76">
        <f>O71/2</f>
        <v>746.5</v>
      </c>
      <c r="P76" s="18">
        <f>SUM(K76:O76)</f>
        <v>1742</v>
      </c>
      <c r="Q76" s="18" t="s">
        <v>236</v>
      </c>
      <c r="R76" s="18">
        <f>R71/2</f>
        <v>267.402376910015</v>
      </c>
      <c r="S76" s="18">
        <f t="shared" ref="S76:V76" si="1">S71/2</f>
        <v>458.404074702885</v>
      </c>
      <c r="T76" s="18">
        <f t="shared" si="1"/>
        <v>1107.80984719865</v>
      </c>
      <c r="U76" s="18">
        <f t="shared" si="1"/>
        <v>2177.4193548387</v>
      </c>
      <c r="V76" s="18">
        <f t="shared" si="1"/>
        <v>2941.4261460102</v>
      </c>
      <c r="W76" s="18">
        <f>SUM(R76:V76)</f>
        <v>6952.46179966045</v>
      </c>
      <c r="X76" s="18"/>
    </row>
    <row r="77" spans="10:24">
      <c r="J77" t="s">
        <v>276</v>
      </c>
      <c r="K77">
        <f>K72/2</f>
        <v>56.5</v>
      </c>
      <c r="L77">
        <f t="shared" si="0"/>
        <v>90.5</v>
      </c>
      <c r="M77">
        <f t="shared" si="0"/>
        <v>146.5</v>
      </c>
      <c r="N77">
        <f t="shared" si="0"/>
        <v>259</v>
      </c>
      <c r="O77">
        <f>O72/2</f>
        <v>377.5</v>
      </c>
      <c r="P77" s="18">
        <f>SUM(K77:O77)</f>
        <v>930</v>
      </c>
      <c r="Q77" s="18" t="s">
        <v>239</v>
      </c>
      <c r="R77" s="18">
        <f t="shared" ref="R77:V77" si="2">R72*($W77/$W72)</f>
        <v>287.527714881319</v>
      </c>
      <c r="S77" s="18">
        <f t="shared" si="2"/>
        <v>395.35060796181</v>
      </c>
      <c r="T77" s="18">
        <f t="shared" si="2"/>
        <v>646.93735848293</v>
      </c>
      <c r="U77" s="18">
        <f t="shared" si="2"/>
        <v>1473.57953876671</v>
      </c>
      <c r="V77" s="18">
        <f t="shared" si="2"/>
        <v>3162.80486369446</v>
      </c>
      <c r="W77" s="18">
        <f>W79-W75-W76-Q84</f>
        <v>5966.20008378723</v>
      </c>
      <c r="X77" s="18"/>
    </row>
    <row r="78" spans="16:24">
      <c r="P78" s="18"/>
      <c r="Q78" s="18" t="s">
        <v>260</v>
      </c>
      <c r="R78" s="18">
        <f>SUM(R75:R77)</f>
        <v>1930.14231589999</v>
      </c>
      <c r="S78" s="18">
        <f t="shared" ref="S78:V78" si="3">SUM(S75:S77)</f>
        <v>3764.25674427032</v>
      </c>
      <c r="T78" s="18">
        <f t="shared" si="3"/>
        <v>7241.70506954944</v>
      </c>
      <c r="U78" s="18">
        <f t="shared" si="3"/>
        <v>12680.1700619956</v>
      </c>
      <c r="V78" s="18">
        <f t="shared" si="3"/>
        <v>18814.5258082847</v>
      </c>
      <c r="W78" s="18"/>
      <c r="X78" s="18"/>
    </row>
    <row r="79" spans="16:24">
      <c r="P79" s="18"/>
      <c r="Q79" s="18"/>
      <c r="R79" s="18"/>
      <c r="S79" s="18"/>
      <c r="T79" s="18"/>
      <c r="U79" s="18"/>
      <c r="V79" s="18"/>
      <c r="W79" s="18">
        <f>47700</f>
        <v>47700</v>
      </c>
      <c r="X79" s="18"/>
    </row>
    <row r="80" spans="16:24">
      <c r="P80" s="18"/>
      <c r="Q80" s="18"/>
      <c r="R80" s="18"/>
      <c r="S80" s="18"/>
      <c r="T80" s="18"/>
      <c r="U80" s="18"/>
      <c r="V80" s="18"/>
      <c r="W80" s="18"/>
      <c r="X80" s="18"/>
    </row>
    <row r="81" spans="16:24">
      <c r="P81" s="18"/>
      <c r="Q81" s="18"/>
      <c r="R81" s="18"/>
      <c r="S81" s="18"/>
      <c r="T81" s="18"/>
      <c r="U81" s="18"/>
      <c r="V81" s="18"/>
      <c r="W81" s="18"/>
      <c r="X81" s="18"/>
    </row>
    <row r="82" spans="16:24">
      <c r="P82" s="18" t="s">
        <v>279</v>
      </c>
      <c r="Q82" s="18"/>
      <c r="R82" s="18"/>
      <c r="S82" s="18"/>
      <c r="T82" s="18"/>
      <c r="U82" s="18"/>
      <c r="V82" s="18"/>
      <c r="W82" s="18"/>
      <c r="X82" s="18"/>
    </row>
    <row r="83" spans="16:24">
      <c r="P83" s="18">
        <v>2019</v>
      </c>
      <c r="Q83" s="18">
        <v>2020</v>
      </c>
      <c r="R83" s="18">
        <v>2021</v>
      </c>
      <c r="S83" s="18">
        <v>2022</v>
      </c>
      <c r="T83" s="18">
        <v>2023</v>
      </c>
      <c r="U83" s="18">
        <v>2024</v>
      </c>
      <c r="V83" s="18">
        <v>2025</v>
      </c>
      <c r="W83" s="18"/>
      <c r="X83" s="18"/>
    </row>
    <row r="84" spans="15:24">
      <c r="O84" t="s">
        <v>260</v>
      </c>
      <c r="P84" s="18">
        <f>CNESA!I8</f>
        <v>1709.6</v>
      </c>
      <c r="Q84" s="18">
        <f>CNESA!J8</f>
        <v>3269.2</v>
      </c>
      <c r="R84" s="18">
        <f>Q84+R78</f>
        <v>5199.34231589999</v>
      </c>
      <c r="S84" s="18">
        <f t="shared" ref="S84:V84" si="4">R84+S78</f>
        <v>8963.59906017031</v>
      </c>
      <c r="T84" s="18">
        <f t="shared" si="4"/>
        <v>16205.3041297198</v>
      </c>
      <c r="U84" s="18">
        <f t="shared" si="4"/>
        <v>28885.4741917153</v>
      </c>
      <c r="V84" s="18">
        <f t="shared" si="4"/>
        <v>47700</v>
      </c>
      <c r="W84" s="18"/>
      <c r="X84" s="18"/>
    </row>
    <row r="85" spans="15:24">
      <c r="O85" s="18" t="s">
        <v>235</v>
      </c>
      <c r="P85" s="18"/>
      <c r="Q85" s="18">
        <f>CNESA!J48</f>
        <v>0</v>
      </c>
      <c r="R85" s="18">
        <f>Q85+R75</f>
        <v>1375.21222410865</v>
      </c>
      <c r="S85" s="18">
        <f t="shared" ref="S85:V85" si="5">R85+S75</f>
        <v>4285.71428571428</v>
      </c>
      <c r="T85" s="18">
        <f t="shared" si="5"/>
        <v>9772.67214958214</v>
      </c>
      <c r="U85" s="18">
        <f t="shared" si="5"/>
        <v>18801.8433179723</v>
      </c>
      <c r="V85" s="18">
        <f t="shared" si="5"/>
        <v>31512.1381165523</v>
      </c>
      <c r="W85" s="18"/>
      <c r="X85" s="18"/>
    </row>
    <row r="86" spans="15:24">
      <c r="O86" s="18" t="s">
        <v>236</v>
      </c>
      <c r="P86" s="18"/>
      <c r="Q86" s="18">
        <f>CNESA!J49</f>
        <v>673</v>
      </c>
      <c r="R86" s="18">
        <f t="shared" ref="R86:V87" si="6">Q86+R76</f>
        <v>940.402376910015</v>
      </c>
      <c r="S86" s="18">
        <f t="shared" si="6"/>
        <v>1398.8064516129</v>
      </c>
      <c r="T86" s="18">
        <f t="shared" si="6"/>
        <v>2506.61629881155</v>
      </c>
      <c r="U86" s="18">
        <f t="shared" si="6"/>
        <v>4684.03565365025</v>
      </c>
      <c r="V86" s="18">
        <f t="shared" si="6"/>
        <v>7625.46179966045</v>
      </c>
      <c r="W86" s="18"/>
      <c r="X86" s="18"/>
    </row>
    <row r="87" spans="15:24">
      <c r="O87" s="18" t="s">
        <v>239</v>
      </c>
      <c r="P87" s="18"/>
      <c r="Q87" s="18">
        <f>CNESA!J50</f>
        <v>0</v>
      </c>
      <c r="R87" s="18">
        <f t="shared" si="6"/>
        <v>287.527714881319</v>
      </c>
      <c r="S87" s="18">
        <f t="shared" si="6"/>
        <v>682.878322843129</v>
      </c>
      <c r="T87" s="18">
        <f t="shared" si="6"/>
        <v>1329.81568132606</v>
      </c>
      <c r="U87" s="18">
        <f t="shared" si="6"/>
        <v>2803.39522009277</v>
      </c>
      <c r="V87" s="18">
        <f t="shared" si="6"/>
        <v>5966.20008378723</v>
      </c>
      <c r="W87" s="18"/>
      <c r="X87" s="18"/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P34"/>
  <sheetViews>
    <sheetView topLeftCell="Y1" workbookViewId="0">
      <selection activeCell="A26" sqref="A26:AP28"/>
    </sheetView>
  </sheetViews>
  <sheetFormatPr defaultColWidth="9" defaultRowHeight="14"/>
  <cols>
    <col min="1" max="1" width="22.125" customWidth="1"/>
    <col min="2" max="41" width="12.6666666666667"/>
    <col min="42" max="42" width="12.1666666666667"/>
  </cols>
  <sheetData>
    <row r="2" spans="2:6">
      <c r="B2">
        <v>2025</v>
      </c>
      <c r="C2">
        <v>2030</v>
      </c>
      <c r="D2">
        <v>2040</v>
      </c>
      <c r="E2">
        <v>2050</v>
      </c>
      <c r="F2">
        <v>2060</v>
      </c>
    </row>
    <row r="3" spans="1:6">
      <c r="A3" t="s">
        <v>211</v>
      </c>
      <c r="B3">
        <v>67000</v>
      </c>
      <c r="C3">
        <v>145000</v>
      </c>
      <c r="D3">
        <v>234000</v>
      </c>
      <c r="E3">
        <v>323000</v>
      </c>
      <c r="F3">
        <v>412000</v>
      </c>
    </row>
    <row r="4" spans="1:6">
      <c r="A4" t="s">
        <v>280</v>
      </c>
      <c r="B4">
        <v>24000</v>
      </c>
      <c r="C4">
        <v>10000</v>
      </c>
      <c r="D4">
        <v>42000</v>
      </c>
      <c r="E4">
        <v>82000</v>
      </c>
      <c r="F4">
        <v>134000</v>
      </c>
    </row>
    <row r="5" spans="1:6">
      <c r="A5" t="s">
        <v>216</v>
      </c>
      <c r="B5">
        <v>33000</v>
      </c>
      <c r="C5">
        <v>92000</v>
      </c>
      <c r="D5">
        <v>359000</v>
      </c>
      <c r="E5">
        <v>665000</v>
      </c>
      <c r="F5">
        <v>1063000</v>
      </c>
    </row>
    <row r="6" spans="1:1">
      <c r="A6" t="s">
        <v>281</v>
      </c>
    </row>
    <row r="7" spans="1:6">
      <c r="A7" t="s">
        <v>282</v>
      </c>
      <c r="B7">
        <f>B5*1.5</f>
        <v>49500</v>
      </c>
      <c r="C7">
        <f t="shared" ref="C7:F7" si="0">C5*1.5</f>
        <v>138000</v>
      </c>
      <c r="D7">
        <f t="shared" si="0"/>
        <v>538500</v>
      </c>
      <c r="E7">
        <f t="shared" si="0"/>
        <v>997500</v>
      </c>
      <c r="F7">
        <f t="shared" si="0"/>
        <v>1594500</v>
      </c>
    </row>
    <row r="24" spans="1:1">
      <c r="A24" t="s">
        <v>283</v>
      </c>
    </row>
    <row r="26" spans="2:42">
      <c r="B26">
        <v>2020</v>
      </c>
      <c r="C26">
        <v>2021</v>
      </c>
      <c r="D26">
        <v>2022</v>
      </c>
      <c r="E26">
        <v>2023</v>
      </c>
      <c r="F26">
        <v>2024</v>
      </c>
      <c r="G26">
        <v>2025</v>
      </c>
      <c r="H26">
        <v>2026</v>
      </c>
      <c r="I26">
        <v>2027</v>
      </c>
      <c r="J26">
        <v>2028</v>
      </c>
      <c r="K26">
        <v>2029</v>
      </c>
      <c r="L26">
        <v>2030</v>
      </c>
      <c r="M26">
        <v>2031</v>
      </c>
      <c r="N26">
        <v>2032</v>
      </c>
      <c r="O26">
        <v>2033</v>
      </c>
      <c r="P26">
        <v>2034</v>
      </c>
      <c r="Q26">
        <v>2035</v>
      </c>
      <c r="R26">
        <v>2036</v>
      </c>
      <c r="S26">
        <v>2037</v>
      </c>
      <c r="T26">
        <v>2038</v>
      </c>
      <c r="U26">
        <v>2039</v>
      </c>
      <c r="V26">
        <v>2040</v>
      </c>
      <c r="W26">
        <v>2041</v>
      </c>
      <c r="X26">
        <v>2042</v>
      </c>
      <c r="Y26">
        <v>2043</v>
      </c>
      <c r="Z26">
        <v>2044</v>
      </c>
      <c r="AA26">
        <v>2045</v>
      </c>
      <c r="AB26">
        <v>2046</v>
      </c>
      <c r="AC26">
        <v>2047</v>
      </c>
      <c r="AD26">
        <v>2048</v>
      </c>
      <c r="AE26">
        <v>2049</v>
      </c>
      <c r="AF26">
        <v>2050</v>
      </c>
      <c r="AG26">
        <v>2051</v>
      </c>
      <c r="AH26">
        <v>2052</v>
      </c>
      <c r="AI26">
        <v>2053</v>
      </c>
      <c r="AJ26">
        <v>2054</v>
      </c>
      <c r="AK26">
        <v>2055</v>
      </c>
      <c r="AL26">
        <v>2056</v>
      </c>
      <c r="AM26">
        <v>2057</v>
      </c>
      <c r="AN26">
        <v>2058</v>
      </c>
      <c r="AO26">
        <v>2059</v>
      </c>
      <c r="AP26">
        <v>2060</v>
      </c>
    </row>
    <row r="27" spans="1:42">
      <c r="A27" t="s">
        <v>284</v>
      </c>
      <c r="B27" s="19">
        <f>CNESA!J38</f>
        <v>3269.2</v>
      </c>
      <c r="C27" s="19">
        <f>CNESA!K38</f>
        <v>5729.7</v>
      </c>
      <c r="D27" s="19">
        <f>CNESA!L38</f>
        <v>9531.7</v>
      </c>
      <c r="E27" s="19">
        <f>CNESA!M38</f>
        <v>15260</v>
      </c>
      <c r="F27" s="19">
        <f>CNESA!N38</f>
        <v>23750</v>
      </c>
      <c r="G27" s="19">
        <f>CNESA!O38</f>
        <v>35440</v>
      </c>
      <c r="H27" s="19">
        <f>CNESA!P38</f>
        <v>48510.3</v>
      </c>
      <c r="I27" s="18">
        <f t="shared" ref="H27:AP27" si="1">($AF$27-$F$27)/26+H27</f>
        <v>55673.7615384615</v>
      </c>
      <c r="J27" s="18">
        <f t="shared" si="1"/>
        <v>62837.2230769231</v>
      </c>
      <c r="K27" s="18">
        <f t="shared" si="1"/>
        <v>70000.6846153846</v>
      </c>
      <c r="L27" s="18">
        <f t="shared" si="1"/>
        <v>77164.1461538461</v>
      </c>
      <c r="M27" s="18">
        <f t="shared" si="1"/>
        <v>84327.6076923077</v>
      </c>
      <c r="N27" s="18">
        <f t="shared" si="1"/>
        <v>91491.0692307692</v>
      </c>
      <c r="O27" s="18">
        <f t="shared" si="1"/>
        <v>98654.5307692307</v>
      </c>
      <c r="P27" s="18">
        <f t="shared" si="1"/>
        <v>105817.992307692</v>
      </c>
      <c r="Q27" s="18">
        <f t="shared" si="1"/>
        <v>112981.453846154</v>
      </c>
      <c r="R27" s="18">
        <f t="shared" si="1"/>
        <v>120144.915384615</v>
      </c>
      <c r="S27" s="18">
        <f t="shared" si="1"/>
        <v>127308.376923077</v>
      </c>
      <c r="T27" s="18">
        <f t="shared" si="1"/>
        <v>134471.838461538</v>
      </c>
      <c r="U27" s="18">
        <f t="shared" si="1"/>
        <v>141635.3</v>
      </c>
      <c r="V27" s="18">
        <f t="shared" si="1"/>
        <v>148798.761538461</v>
      </c>
      <c r="W27" s="18">
        <f t="shared" si="1"/>
        <v>155962.223076923</v>
      </c>
      <c r="X27" s="18">
        <f t="shared" si="1"/>
        <v>163125.684615385</v>
      </c>
      <c r="Y27" s="18">
        <f t="shared" si="1"/>
        <v>170289.146153846</v>
      </c>
      <c r="Z27" s="18">
        <f t="shared" si="1"/>
        <v>177452.607692308</v>
      </c>
      <c r="AA27" s="18">
        <f t="shared" si="1"/>
        <v>184616.069230769</v>
      </c>
      <c r="AB27" s="18">
        <f t="shared" si="1"/>
        <v>191779.530769231</v>
      </c>
      <c r="AC27" s="18">
        <f t="shared" si="1"/>
        <v>198942.992307692</v>
      </c>
      <c r="AD27" s="18">
        <f t="shared" si="1"/>
        <v>206106.453846154</v>
      </c>
      <c r="AE27" s="18">
        <f t="shared" si="1"/>
        <v>213269.915384615</v>
      </c>
      <c r="AF27" s="14">
        <f>CNESA!Q49</f>
        <v>210000</v>
      </c>
      <c r="AG27" s="18">
        <f t="shared" si="1"/>
        <v>217163.461538462</v>
      </c>
      <c r="AH27" s="18">
        <f t="shared" si="1"/>
        <v>224326.923076923</v>
      </c>
      <c r="AI27" s="18">
        <f t="shared" si="1"/>
        <v>231490.384615385</v>
      </c>
      <c r="AJ27" s="18">
        <f t="shared" si="1"/>
        <v>238653.846153846</v>
      </c>
      <c r="AK27" s="18">
        <f t="shared" si="1"/>
        <v>245817.307692308</v>
      </c>
      <c r="AL27" s="18">
        <f t="shared" si="1"/>
        <v>252980.769230769</v>
      </c>
      <c r="AM27" s="18">
        <f t="shared" si="1"/>
        <v>260144.230769231</v>
      </c>
      <c r="AN27" s="18">
        <f t="shared" si="1"/>
        <v>267307.692307692</v>
      </c>
      <c r="AO27" s="18">
        <f t="shared" si="1"/>
        <v>274471.153846154</v>
      </c>
      <c r="AP27" s="18">
        <f t="shared" si="1"/>
        <v>281634.615384615</v>
      </c>
    </row>
    <row r="28" s="18" customFormat="1" spans="1:42">
      <c r="A28" s="18" t="s">
        <v>285</v>
      </c>
      <c r="B28" s="19">
        <f>MAX(CNESA!J34:J44)*1.5</f>
        <v>4903.8</v>
      </c>
      <c r="C28" s="19">
        <f>MAX(CNESA!K34:K44)*1.5</f>
        <v>9922.2</v>
      </c>
      <c r="D28" s="19">
        <f>MAX(CNESA!L34:L44)*1.5</f>
        <v>19615.2</v>
      </c>
      <c r="E28" s="19">
        <f>MAX(CNESA!M34:M44)*1.5</f>
        <v>51763.65</v>
      </c>
      <c r="F28" s="19">
        <f>MAX(CNESA!N34:N44)</f>
        <v>75710</v>
      </c>
      <c r="G28" s="18">
        <f>($J28/$F28)^0.25*F28</f>
        <v>98949.559143541</v>
      </c>
      <c r="H28" s="18">
        <f t="shared" ref="H28:I28" si="2">($J28/$F28)^0.25*G28</f>
        <v>129322.615964881</v>
      </c>
      <c r="I28" s="18">
        <f t="shared" si="2"/>
        <v>169018.832875636</v>
      </c>
      <c r="J28" s="18">
        <f>MAX(CNESA!R34:R44)</f>
        <v>220900</v>
      </c>
      <c r="K28" s="18">
        <f>(L28/J28)^0.5*J28</f>
        <v>263309.084537545</v>
      </c>
      <c r="L28" s="19">
        <f>MAX(CNESA!T34:T44)</f>
        <v>313860</v>
      </c>
      <c r="M28" s="18">
        <f>($V28/$L28)^0.1*L28</f>
        <v>331269.11245362</v>
      </c>
      <c r="N28" s="18">
        <f t="shared" ref="N28:U28" si="3">($V28/$L28)^0.1*M28</f>
        <v>349643.86945074</v>
      </c>
      <c r="O28" s="18">
        <f t="shared" si="3"/>
        <v>369037.833135144</v>
      </c>
      <c r="P28" s="18">
        <f t="shared" si="3"/>
        <v>389507.536622973</v>
      </c>
      <c r="Q28" s="18">
        <f t="shared" si="3"/>
        <v>411112.648795923</v>
      </c>
      <c r="R28" s="18">
        <f t="shared" si="3"/>
        <v>433916.148235144</v>
      </c>
      <c r="S28" s="18">
        <f t="shared" si="3"/>
        <v>457984.506802873</v>
      </c>
      <c r="T28" s="18">
        <f t="shared" si="3"/>
        <v>483387.883406923</v>
      </c>
      <c r="U28" s="18">
        <f t="shared" si="3"/>
        <v>510200.328512858</v>
      </c>
      <c r="V28" s="19">
        <f>$D$7</f>
        <v>538500</v>
      </c>
      <c r="W28" s="18">
        <f>($AF28/$V28)^0.1*V28</f>
        <v>572741.202902248</v>
      </c>
      <c r="X28" s="18">
        <f t="shared" ref="X28:AE28" si="4">($AF28/$V28)^0.1*W28</f>
        <v>609159.675955273</v>
      </c>
      <c r="Y28" s="18">
        <f t="shared" si="4"/>
        <v>647893.863632621</v>
      </c>
      <c r="Z28" s="18">
        <f t="shared" si="4"/>
        <v>689091.01357462</v>
      </c>
      <c r="AA28" s="18">
        <f t="shared" si="4"/>
        <v>732907.736348853</v>
      </c>
      <c r="AB28" s="18">
        <f t="shared" si="4"/>
        <v>779510.600803725</v>
      </c>
      <c r="AC28" s="18">
        <f t="shared" si="4"/>
        <v>829076.767278328</v>
      </c>
      <c r="AD28" s="18">
        <f t="shared" si="4"/>
        <v>881794.66107576</v>
      </c>
      <c r="AE28" s="18">
        <f t="shared" si="4"/>
        <v>937864.688760095</v>
      </c>
      <c r="AF28" s="19">
        <f>$E$7</f>
        <v>997500</v>
      </c>
      <c r="AG28" s="18">
        <f>($AP28/$AF28)^0.1*AF28</f>
        <v>1045403.78043856</v>
      </c>
      <c r="AH28" s="18">
        <f t="shared" ref="AH28:AO28" si="5">($AP28/$AF28)^0.1*AG28</f>
        <v>1095608.08436616</v>
      </c>
      <c r="AI28" s="18">
        <f t="shared" si="5"/>
        <v>1148223.39175482</v>
      </c>
      <c r="AJ28" s="18">
        <f t="shared" si="5"/>
        <v>1203365.48824911</v>
      </c>
      <c r="AK28" s="18">
        <f t="shared" si="5"/>
        <v>1261155.71996483</v>
      </c>
      <c r="AL28" s="18">
        <f t="shared" si="5"/>
        <v>1321721.26052426</v>
      </c>
      <c r="AM28" s="18">
        <f t="shared" si="5"/>
        <v>1385195.39091538</v>
      </c>
      <c r="AN28" s="18">
        <f t="shared" si="5"/>
        <v>1451717.79279099</v>
      </c>
      <c r="AO28" s="18">
        <f t="shared" si="5"/>
        <v>1521434.85585326</v>
      </c>
      <c r="AP28" s="19">
        <f>$F$7</f>
        <v>1594500</v>
      </c>
    </row>
    <row r="29" s="18" customFormat="1" spans="2:42">
      <c r="B29" s="19"/>
      <c r="C29" s="19"/>
      <c r="D29" s="19"/>
      <c r="E29" s="19"/>
      <c r="F29" s="19"/>
      <c r="L29" s="19"/>
      <c r="V29" s="19"/>
      <c r="AF29" s="19"/>
      <c r="AP29" s="19"/>
    </row>
    <row r="30" s="18" customFormat="1" spans="1:42">
      <c r="A30" s="18" t="s">
        <v>286</v>
      </c>
      <c r="B30" s="19"/>
      <c r="C30" s="19"/>
      <c r="D30" s="19"/>
      <c r="E30" s="19"/>
      <c r="F30" s="19"/>
      <c r="L30" s="19">
        <f>0.92*10^8/1000</f>
        <v>92000</v>
      </c>
      <c r="V30" s="19">
        <f>3.59*10^8/1000</f>
        <v>359000</v>
      </c>
      <c r="AF30" s="19">
        <f>6.65*10^8/1000</f>
        <v>665000</v>
      </c>
      <c r="AP30" s="19">
        <f>10.63*10^8/1000</f>
        <v>1063000</v>
      </c>
    </row>
    <row r="31" s="18" customFormat="1" spans="1:42">
      <c r="A31" s="18" t="s">
        <v>287</v>
      </c>
      <c r="B31" s="19"/>
      <c r="C31" s="19"/>
      <c r="D31" s="19"/>
      <c r="E31" s="19"/>
      <c r="F31" s="19"/>
      <c r="L31" s="19">
        <f>L30-L27</f>
        <v>14835.8538461539</v>
      </c>
      <c r="V31" s="19">
        <f>V30-V27</f>
        <v>210201.238461539</v>
      </c>
      <c r="AF31" s="19">
        <f>AF30-AF27</f>
        <v>455000</v>
      </c>
      <c r="AP31" s="19">
        <f>AP30-AP27</f>
        <v>781365.384615385</v>
      </c>
    </row>
    <row r="32" s="18" customFormat="1" spans="1:42">
      <c r="A32" s="18" t="s">
        <v>288</v>
      </c>
      <c r="B32" s="19">
        <f>MAX(L31:AP31)</f>
        <v>781365.384615385</v>
      </c>
      <c r="C32" s="19"/>
      <c r="D32" s="19"/>
      <c r="E32" s="19"/>
      <c r="F32" s="19"/>
      <c r="L32" s="19"/>
      <c r="V32" s="19"/>
      <c r="AF32" s="19"/>
      <c r="AP32" s="19"/>
    </row>
    <row r="33" s="18" customFormat="1" spans="1:42">
      <c r="A33" s="18" t="s">
        <v>289</v>
      </c>
      <c r="B33" s="20">
        <f>B32/AP28</f>
        <v>0.490037870564682</v>
      </c>
      <c r="C33" s="19"/>
      <c r="D33" s="19"/>
      <c r="E33" s="19"/>
      <c r="F33" s="19"/>
      <c r="L33" s="19"/>
      <c r="V33" s="19"/>
      <c r="AF33" s="19"/>
      <c r="AP33" s="19"/>
    </row>
    <row r="34" spans="1:42">
      <c r="A34" s="21" t="s">
        <v>290</v>
      </c>
      <c r="B34" s="22">
        <v>0</v>
      </c>
      <c r="C34" s="22">
        <f>$B$34+($L$34-$B$34)*(C26-$B$26)/($L$26-$B$26)</f>
        <v>0.0018987088676134</v>
      </c>
      <c r="D34" s="22">
        <f t="shared" ref="D34:K34" si="6">$B$34+($L$34-$B$34)*(D26-$B$26)/($L$26-$B$26)</f>
        <v>0.00379741773522681</v>
      </c>
      <c r="E34" s="22">
        <f t="shared" si="6"/>
        <v>0.00569612660284021</v>
      </c>
      <c r="F34" s="22">
        <f t="shared" si="6"/>
        <v>0.00759483547045362</v>
      </c>
      <c r="G34" s="22">
        <f t="shared" si="6"/>
        <v>0.00949354433806702</v>
      </c>
      <c r="H34" s="22">
        <f t="shared" si="6"/>
        <v>0.0113922532056804</v>
      </c>
      <c r="I34" s="22">
        <f t="shared" si="6"/>
        <v>0.0132909620732938</v>
      </c>
      <c r="J34" s="22">
        <f t="shared" si="6"/>
        <v>0.0151896709409072</v>
      </c>
      <c r="K34" s="22">
        <f t="shared" si="6"/>
        <v>0.0170883798085206</v>
      </c>
      <c r="L34" s="23">
        <f>L31/$B$32</f>
        <v>0.018987088676134</v>
      </c>
      <c r="M34" s="22">
        <f>$L$34+($V$34-$L$34)*(M26-$L$26)/($V$26-$L$26)</f>
        <v>0.0439901651448402</v>
      </c>
      <c r="N34" s="22">
        <f t="shared" ref="N34:U34" si="7">$L$34+($V$34-$L$34)*(N26-$L$26)/($V$26-$L$26)</f>
        <v>0.0689932416135464</v>
      </c>
      <c r="O34" s="22">
        <f t="shared" si="7"/>
        <v>0.0939963180822526</v>
      </c>
      <c r="P34" s="22">
        <f t="shared" si="7"/>
        <v>0.118999394550959</v>
      </c>
      <c r="Q34" s="22">
        <f t="shared" si="7"/>
        <v>0.144002471019665</v>
      </c>
      <c r="R34" s="22">
        <f t="shared" si="7"/>
        <v>0.169005547488371</v>
      </c>
      <c r="S34" s="22">
        <f t="shared" si="7"/>
        <v>0.194008623957077</v>
      </c>
      <c r="T34" s="22">
        <f t="shared" si="7"/>
        <v>0.219011700425784</v>
      </c>
      <c r="U34" s="22">
        <f t="shared" si="7"/>
        <v>0.24401477689449</v>
      </c>
      <c r="V34" s="23">
        <f>V31/$B$32</f>
        <v>0.269017853363196</v>
      </c>
      <c r="W34" s="22">
        <f>$V$34+($AF$34-$V$34)*(W26-$V$26)/($AF$26-$V$26)</f>
        <v>0.300347467697079</v>
      </c>
      <c r="X34" s="22">
        <f t="shared" ref="X34:AE34" si="8">$V$34+($AF$34-$V$34)*(X26-$V$26)/($AF$26-$V$26)</f>
        <v>0.331677082030962</v>
      </c>
      <c r="Y34" s="22">
        <f t="shared" si="8"/>
        <v>0.363006696364845</v>
      </c>
      <c r="Z34" s="22">
        <f t="shared" si="8"/>
        <v>0.394336310698728</v>
      </c>
      <c r="AA34" s="22">
        <f t="shared" si="8"/>
        <v>0.425665925032611</v>
      </c>
      <c r="AB34" s="22">
        <f t="shared" si="8"/>
        <v>0.456995539366494</v>
      </c>
      <c r="AC34" s="22">
        <f t="shared" si="8"/>
        <v>0.488325153700376</v>
      </c>
      <c r="AD34" s="22">
        <f t="shared" si="8"/>
        <v>0.519654768034259</v>
      </c>
      <c r="AE34" s="22">
        <f t="shared" si="8"/>
        <v>0.550984382368142</v>
      </c>
      <c r="AF34" s="23">
        <f>AF31/$B$32</f>
        <v>0.582313996702025</v>
      </c>
      <c r="AG34" s="22">
        <f>$AF$34+($AP$34-$AF$34)*(AG26-$AF$26)/($AP$26-$AF$26)</f>
        <v>0.624082597031823</v>
      </c>
      <c r="AH34" s="22">
        <f t="shared" ref="AH34:AO34" si="9">$AF$34+($AP$34-$AF$34)*(AH26-$AF$26)/($AP$26-$AF$26)</f>
        <v>0.66585119736162</v>
      </c>
      <c r="AI34" s="22">
        <f t="shared" si="9"/>
        <v>0.707619797691418</v>
      </c>
      <c r="AJ34" s="22">
        <f t="shared" si="9"/>
        <v>0.749388398021215</v>
      </c>
      <c r="AK34" s="22">
        <f t="shared" si="9"/>
        <v>0.791156998351012</v>
      </c>
      <c r="AL34" s="22">
        <f t="shared" si="9"/>
        <v>0.83292559868081</v>
      </c>
      <c r="AM34" s="22">
        <f t="shared" si="9"/>
        <v>0.874694199010608</v>
      </c>
      <c r="AN34" s="22">
        <f t="shared" si="9"/>
        <v>0.916462799340405</v>
      </c>
      <c r="AO34" s="22">
        <f t="shared" si="9"/>
        <v>0.958231399670203</v>
      </c>
      <c r="AP34" s="23">
        <f>AP31/$B$32</f>
        <v>1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workbookViewId="0">
      <selection activeCell="K18" sqref="K18"/>
    </sheetView>
  </sheetViews>
  <sheetFormatPr defaultColWidth="8.66666666666667" defaultRowHeight="14"/>
  <cols>
    <col min="11" max="11" width="9.41666666666667"/>
  </cols>
  <sheetData>
    <row r="1" spans="1:1">
      <c r="A1" s="11" t="s">
        <v>291</v>
      </c>
    </row>
    <row r="2" spans="1:1">
      <c r="A2" s="15" t="s">
        <v>292</v>
      </c>
    </row>
    <row r="4" spans="1:10">
      <c r="A4" s="16" t="s">
        <v>169</v>
      </c>
      <c r="B4" s="16"/>
      <c r="C4" s="16"/>
      <c r="D4" s="16"/>
      <c r="E4" s="16"/>
      <c r="F4" s="16"/>
      <c r="G4" s="16"/>
      <c r="H4" s="16"/>
      <c r="I4" s="16"/>
      <c r="J4" s="16"/>
    </row>
    <row r="5" spans="1:1">
      <c r="A5" t="s">
        <v>293</v>
      </c>
    </row>
    <row r="6" ht="28" spans="9:11">
      <c r="I6" s="17" t="s">
        <v>183</v>
      </c>
      <c r="J6" s="12">
        <v>2023.85</v>
      </c>
      <c r="K6" s="12">
        <v>7090.14</v>
      </c>
    </row>
    <row r="7" spans="9:11">
      <c r="I7" t="s">
        <v>179</v>
      </c>
      <c r="J7" s="12">
        <v>1364.53</v>
      </c>
      <c r="K7" s="12">
        <v>2722.66</v>
      </c>
    </row>
    <row r="8" spans="9:11">
      <c r="I8" t="s">
        <v>191</v>
      </c>
      <c r="J8" s="12">
        <v>1038.88</v>
      </c>
      <c r="K8" s="12">
        <v>2048.6</v>
      </c>
    </row>
    <row r="9" ht="28" spans="9:11">
      <c r="I9" s="17" t="s">
        <v>178</v>
      </c>
      <c r="J9" s="12">
        <v>736.75</v>
      </c>
      <c r="K9" s="12">
        <v>1791</v>
      </c>
    </row>
    <row r="10" spans="9:11">
      <c r="I10" t="s">
        <v>189</v>
      </c>
      <c r="J10" s="12">
        <v>633.04</v>
      </c>
      <c r="K10" s="12">
        <v>1186.96</v>
      </c>
    </row>
    <row r="11" spans="9:11">
      <c r="I11" t="s">
        <v>182</v>
      </c>
      <c r="J11" s="12">
        <v>606</v>
      </c>
      <c r="K11" s="12">
        <v>1200</v>
      </c>
    </row>
    <row r="12" ht="28" spans="9:11">
      <c r="I12" s="17" t="s">
        <v>294</v>
      </c>
      <c r="J12" s="12">
        <v>596</v>
      </c>
      <c r="K12" s="12">
        <v>1182.7</v>
      </c>
    </row>
    <row r="13" spans="9:11">
      <c r="I13" s="17" t="s">
        <v>187</v>
      </c>
      <c r="J13" s="12">
        <v>571.1</v>
      </c>
      <c r="K13" s="12">
        <v>917.25</v>
      </c>
    </row>
    <row r="14" spans="9:11">
      <c r="I14" t="s">
        <v>180</v>
      </c>
      <c r="J14" s="12">
        <v>497</v>
      </c>
      <c r="K14" s="12">
        <v>1400.8</v>
      </c>
    </row>
    <row r="15" spans="9:11">
      <c r="I15" t="s">
        <v>295</v>
      </c>
      <c r="J15" s="12">
        <v>355</v>
      </c>
      <c r="K15" s="12">
        <v>759.56</v>
      </c>
    </row>
    <row r="19" spans="1:1">
      <c r="A19" t="s">
        <v>296</v>
      </c>
    </row>
    <row r="20" spans="9:11">
      <c r="I20" t="s">
        <v>179</v>
      </c>
      <c r="J20" s="12">
        <v>4479.91</v>
      </c>
      <c r="K20" s="12">
        <v>8919.62</v>
      </c>
    </row>
    <row r="21" ht="28" spans="9:11">
      <c r="I21" s="17" t="s">
        <v>183</v>
      </c>
      <c r="J21" s="12">
        <v>3899.85</v>
      </c>
      <c r="K21" s="12">
        <v>11855.14</v>
      </c>
    </row>
    <row r="22" ht="28" spans="9:11">
      <c r="I22" s="17" t="s">
        <v>178</v>
      </c>
      <c r="J22" s="12">
        <v>3491.12</v>
      </c>
      <c r="K22" s="12">
        <v>6982.74</v>
      </c>
    </row>
    <row r="23" ht="28" spans="9:11">
      <c r="I23" s="17" t="s">
        <v>177</v>
      </c>
      <c r="J23" s="12">
        <v>2984.05</v>
      </c>
      <c r="K23" s="12">
        <v>5868.87</v>
      </c>
    </row>
    <row r="24" spans="9:11">
      <c r="I24" t="s">
        <v>182</v>
      </c>
      <c r="J24" s="12">
        <v>2963.45</v>
      </c>
      <c r="K24" s="12">
        <v>6187.9</v>
      </c>
    </row>
    <row r="25" spans="9:11">
      <c r="I25" t="s">
        <v>180</v>
      </c>
      <c r="J25" s="12">
        <v>2804.1</v>
      </c>
      <c r="K25" s="12">
        <v>6216</v>
      </c>
    </row>
    <row r="26" spans="9:11">
      <c r="I26" t="s">
        <v>187</v>
      </c>
      <c r="J26" s="12">
        <v>1985.6</v>
      </c>
      <c r="K26" s="12">
        <v>3099.48</v>
      </c>
    </row>
    <row r="27" spans="9:11">
      <c r="I27" t="s">
        <v>191</v>
      </c>
      <c r="J27" s="12">
        <v>1634.2</v>
      </c>
      <c r="K27" s="12">
        <v>3947.07</v>
      </c>
    </row>
    <row r="28" spans="9:11">
      <c r="I28" t="s">
        <v>190</v>
      </c>
      <c r="J28" s="12">
        <v>1376.36</v>
      </c>
      <c r="K28" s="12">
        <v>2757.81</v>
      </c>
    </row>
    <row r="29" spans="9:11">
      <c r="I29" t="s">
        <v>185</v>
      </c>
      <c r="J29" s="12">
        <v>1303.3</v>
      </c>
      <c r="K29" s="12">
        <v>2596.6</v>
      </c>
    </row>
  </sheetData>
  <hyperlinks>
    <hyperlink ref="A2" r:id="rId2" display="https://cpnn.com.cn/news/xwtt/202409/t20240910_1735441.html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0"/>
  <sheetViews>
    <sheetView topLeftCell="A7" workbookViewId="0">
      <selection activeCell="H38" sqref="H38"/>
    </sheetView>
  </sheetViews>
  <sheetFormatPr defaultColWidth="8.66666666666667" defaultRowHeight="14"/>
  <cols>
    <col min="1" max="1" width="42.9166666666667" customWidth="1"/>
    <col min="2" max="4" width="9"/>
    <col min="5" max="5" width="10.5"/>
  </cols>
  <sheetData>
    <row r="1" spans="1:1">
      <c r="A1" t="s">
        <v>297</v>
      </c>
    </row>
    <row r="2" spans="1:42">
      <c r="A2" t="s">
        <v>298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  <c r="AG2">
        <v>2051</v>
      </c>
      <c r="AH2">
        <v>2052</v>
      </c>
      <c r="AI2">
        <v>2053</v>
      </c>
      <c r="AJ2">
        <v>2054</v>
      </c>
      <c r="AK2">
        <v>2055</v>
      </c>
      <c r="AL2">
        <v>2056</v>
      </c>
      <c r="AM2">
        <v>2057</v>
      </c>
      <c r="AN2">
        <v>2058</v>
      </c>
      <c r="AO2">
        <v>2059</v>
      </c>
      <c r="AP2">
        <v>2060</v>
      </c>
    </row>
    <row r="3" spans="1:42">
      <c r="A3" t="s">
        <v>299</v>
      </c>
      <c r="C3" s="8">
        <v>7852330000</v>
      </c>
      <c r="D3" s="8">
        <v>8000170000</v>
      </c>
      <c r="E3" s="8">
        <v>8436160000</v>
      </c>
      <c r="F3" s="8">
        <v>8698240000</v>
      </c>
      <c r="G3" s="8">
        <v>8909220000</v>
      </c>
      <c r="H3" s="8">
        <v>9132050000</v>
      </c>
      <c r="I3" s="8">
        <v>9370580000</v>
      </c>
      <c r="J3" s="8">
        <v>9602110000</v>
      </c>
      <c r="K3" s="8">
        <v>9825850000</v>
      </c>
      <c r="L3" s="8">
        <v>10077600000</v>
      </c>
      <c r="M3" s="8">
        <v>10331600000</v>
      </c>
      <c r="N3" s="8">
        <v>10565400000</v>
      </c>
      <c r="O3" s="8">
        <v>10805400000</v>
      </c>
      <c r="P3" s="8">
        <v>11031500000</v>
      </c>
      <c r="Q3" s="8">
        <v>11257600000</v>
      </c>
      <c r="R3" s="8">
        <v>11470800000</v>
      </c>
      <c r="S3" s="8">
        <v>11674200000</v>
      </c>
      <c r="T3" s="8">
        <v>11874500000</v>
      </c>
      <c r="U3" s="8">
        <v>12064500000</v>
      </c>
      <c r="V3" s="8">
        <v>12256600000</v>
      </c>
      <c r="W3" s="8">
        <v>12426900000</v>
      </c>
      <c r="X3" s="8">
        <v>12594600000</v>
      </c>
      <c r="Y3" s="8">
        <v>12763300000</v>
      </c>
      <c r="Z3" s="8">
        <v>12924200000</v>
      </c>
      <c r="AA3" s="8">
        <v>13073000000</v>
      </c>
      <c r="AB3" s="8">
        <v>13219900000</v>
      </c>
      <c r="AC3" s="8">
        <v>13365300000</v>
      </c>
      <c r="AD3" s="8">
        <v>13506300000</v>
      </c>
      <c r="AE3" s="8">
        <v>13644800000</v>
      </c>
      <c r="AF3" s="8">
        <v>13773500000</v>
      </c>
      <c r="AG3" s="8">
        <v>13896200000</v>
      </c>
      <c r="AH3" s="8">
        <v>14014800000</v>
      </c>
      <c r="AI3" s="8">
        <v>14137300000</v>
      </c>
      <c r="AJ3" s="8">
        <v>14252800000</v>
      </c>
      <c r="AK3" s="8">
        <v>14362900000</v>
      </c>
      <c r="AL3" s="8">
        <v>14469000000</v>
      </c>
      <c r="AM3" s="8">
        <v>14574300000</v>
      </c>
      <c r="AN3" s="8">
        <v>14680700000</v>
      </c>
      <c r="AO3" s="8">
        <v>14789400000</v>
      </c>
      <c r="AP3" s="8">
        <v>14887800000</v>
      </c>
    </row>
    <row r="5" spans="1:1">
      <c r="A5" t="s">
        <v>300</v>
      </c>
    </row>
    <row r="6" spans="1:42">
      <c r="A6" t="s">
        <v>298</v>
      </c>
      <c r="B6">
        <v>2020</v>
      </c>
      <c r="C6">
        <v>2021</v>
      </c>
      <c r="D6">
        <v>2022</v>
      </c>
      <c r="E6">
        <v>2023</v>
      </c>
      <c r="F6">
        <v>2024</v>
      </c>
      <c r="G6">
        <v>2025</v>
      </c>
      <c r="H6">
        <v>2026</v>
      </c>
      <c r="I6">
        <v>2027</v>
      </c>
      <c r="J6">
        <v>2028</v>
      </c>
      <c r="K6">
        <v>2029</v>
      </c>
      <c r="L6">
        <v>2030</v>
      </c>
      <c r="M6">
        <v>2031</v>
      </c>
      <c r="N6">
        <v>2032</v>
      </c>
      <c r="O6">
        <v>2033</v>
      </c>
      <c r="P6">
        <v>2034</v>
      </c>
      <c r="Q6">
        <v>2035</v>
      </c>
      <c r="R6">
        <v>2036</v>
      </c>
      <c r="S6">
        <v>2037</v>
      </c>
      <c r="T6">
        <v>2038</v>
      </c>
      <c r="U6">
        <v>2039</v>
      </c>
      <c r="V6">
        <v>2040</v>
      </c>
      <c r="W6">
        <v>2041</v>
      </c>
      <c r="X6">
        <v>2042</v>
      </c>
      <c r="Y6">
        <v>2043</v>
      </c>
      <c r="Z6">
        <v>2044</v>
      </c>
      <c r="AA6">
        <v>2045</v>
      </c>
      <c r="AB6">
        <v>2046</v>
      </c>
      <c r="AC6">
        <v>2047</v>
      </c>
      <c r="AD6">
        <v>2048</v>
      </c>
      <c r="AE6">
        <v>2049</v>
      </c>
      <c r="AF6">
        <v>2050</v>
      </c>
      <c r="AG6">
        <v>2051</v>
      </c>
      <c r="AH6">
        <v>2052</v>
      </c>
      <c r="AI6">
        <v>2053</v>
      </c>
      <c r="AJ6">
        <v>2054</v>
      </c>
      <c r="AK6">
        <v>2055</v>
      </c>
      <c r="AL6">
        <v>2056</v>
      </c>
      <c r="AM6">
        <v>2057</v>
      </c>
      <c r="AN6">
        <v>2058</v>
      </c>
      <c r="AO6">
        <v>2059</v>
      </c>
      <c r="AP6">
        <v>2060</v>
      </c>
    </row>
    <row r="7" spans="1:42">
      <c r="A7" t="s">
        <v>299</v>
      </c>
      <c r="B7" s="9">
        <f>863.74*10^8/1000</f>
        <v>86374000</v>
      </c>
      <c r="C7" s="9">
        <f>1006.75*10^8/1000</f>
        <v>100675000</v>
      </c>
      <c r="D7" s="9">
        <f>963.45*10^8/1000</f>
        <v>96345000</v>
      </c>
      <c r="E7" s="9">
        <f>1015*10^8/1000</f>
        <v>101500000</v>
      </c>
      <c r="F7" s="8">
        <f t="shared" ref="B7:AP7" si="0">SUM(F12:F27)</f>
        <v>763373588.3762</v>
      </c>
      <c r="G7" s="8">
        <f t="shared" si="0"/>
        <v>782573049.3993</v>
      </c>
      <c r="H7" s="8">
        <f t="shared" si="0"/>
        <v>795617952.62137</v>
      </c>
      <c r="I7" s="8">
        <f t="shared" si="0"/>
        <v>808720153.3856</v>
      </c>
      <c r="J7" s="8">
        <f t="shared" si="0"/>
        <v>822351085.4191</v>
      </c>
      <c r="K7" s="8">
        <f t="shared" si="0"/>
        <v>836891318.3917</v>
      </c>
      <c r="L7" s="8">
        <f t="shared" si="0"/>
        <v>851987627.3717</v>
      </c>
      <c r="M7" s="8">
        <f t="shared" si="0"/>
        <v>868256490.0268</v>
      </c>
      <c r="N7" s="8">
        <f t="shared" si="0"/>
        <v>884555003.1765</v>
      </c>
      <c r="O7" s="8">
        <f t="shared" si="0"/>
        <v>901555158.34512</v>
      </c>
      <c r="P7" s="8">
        <f t="shared" si="0"/>
        <v>919230807.4541</v>
      </c>
      <c r="Q7" s="8">
        <f t="shared" si="0"/>
        <v>937639168.24763</v>
      </c>
      <c r="R7" s="8">
        <f t="shared" si="0"/>
        <v>958569460.50414</v>
      </c>
      <c r="S7" s="8">
        <f t="shared" si="0"/>
        <v>979145873.93917</v>
      </c>
      <c r="T7" s="8">
        <f t="shared" si="0"/>
        <v>1000397664.45163</v>
      </c>
      <c r="U7" s="8">
        <f t="shared" si="0"/>
        <v>1022352431.18178</v>
      </c>
      <c r="V7" s="8">
        <f t="shared" si="0"/>
        <v>1044951727.7567</v>
      </c>
      <c r="W7" s="8">
        <f t="shared" si="0"/>
        <v>1068900986.3409</v>
      </c>
      <c r="X7" s="8">
        <f t="shared" si="0"/>
        <v>1092995189.6433</v>
      </c>
      <c r="Y7" s="8">
        <f t="shared" si="0"/>
        <v>1117880117.4664</v>
      </c>
      <c r="Z7" s="8">
        <f t="shared" si="0"/>
        <v>1143440662.1456</v>
      </c>
      <c r="AA7" s="8">
        <f t="shared" si="0"/>
        <v>1169762772.8788</v>
      </c>
      <c r="AB7" s="8">
        <f t="shared" si="0"/>
        <v>1197519687.8993</v>
      </c>
      <c r="AC7" s="8">
        <f t="shared" si="0"/>
        <v>1225601269.2301</v>
      </c>
      <c r="AD7" s="8">
        <f t="shared" si="0"/>
        <v>1254415029.8638</v>
      </c>
      <c r="AE7" s="8">
        <f t="shared" si="0"/>
        <v>1284135811.1313</v>
      </c>
      <c r="AF7" s="8">
        <f t="shared" si="0"/>
        <v>1315529322.0598</v>
      </c>
      <c r="AG7" s="8">
        <f t="shared" si="0"/>
        <v>1342730865.5674</v>
      </c>
      <c r="AH7" s="8">
        <f t="shared" si="0"/>
        <v>1369492559.0187</v>
      </c>
      <c r="AI7" s="8">
        <f t="shared" si="0"/>
        <v>1397954471.1065</v>
      </c>
      <c r="AJ7" s="8">
        <f t="shared" si="0"/>
        <v>1427325121.4145</v>
      </c>
      <c r="AK7" s="8">
        <f t="shared" si="0"/>
        <v>1457635812.226</v>
      </c>
      <c r="AL7" s="8">
        <f t="shared" si="0"/>
        <v>1488881564.751</v>
      </c>
      <c r="AM7" s="8">
        <f t="shared" si="0"/>
        <v>1521090115.267</v>
      </c>
      <c r="AN7" s="8">
        <f t="shared" si="0"/>
        <v>1554363379.068</v>
      </c>
      <c r="AO7" s="8">
        <f t="shared" si="0"/>
        <v>1588650707.153</v>
      </c>
      <c r="AP7" s="8">
        <f t="shared" si="0"/>
        <v>1624389080.495</v>
      </c>
    </row>
    <row r="8" spans="5:5">
      <c r="E8" s="8"/>
    </row>
    <row r="9" spans="1:42">
      <c r="A9" s="10"/>
      <c r="B9" s="10">
        <f>C9</f>
        <v>0.0128210352850683</v>
      </c>
      <c r="C9" s="10">
        <f>C7/C3</f>
        <v>0.0128210352850683</v>
      </c>
      <c r="D9" s="10">
        <f t="shared" ref="C9:AP9" si="1">D7/D3</f>
        <v>0.0120428690890319</v>
      </c>
      <c r="E9" s="10">
        <f t="shared" si="1"/>
        <v>0.0120315404164928</v>
      </c>
      <c r="F9" s="10">
        <f t="shared" si="1"/>
        <v>0.0877618447382689</v>
      </c>
      <c r="G9" s="10">
        <f t="shared" si="1"/>
        <v>0.0878385593126334</v>
      </c>
      <c r="H9" s="10">
        <f t="shared" si="1"/>
        <v>0.0871236964998407</v>
      </c>
      <c r="I9" s="10">
        <f t="shared" si="1"/>
        <v>0.0863041725683576</v>
      </c>
      <c r="J9" s="10">
        <f t="shared" si="1"/>
        <v>0.0856427478355382</v>
      </c>
      <c r="K9" s="10">
        <f t="shared" si="1"/>
        <v>0.0851724093479648</v>
      </c>
      <c r="L9" s="10">
        <f t="shared" si="1"/>
        <v>0.0845427112975014</v>
      </c>
      <c r="M9" s="10">
        <f t="shared" si="1"/>
        <v>0.0840389184663363</v>
      </c>
      <c r="N9" s="10">
        <f t="shared" si="1"/>
        <v>0.0837218660132603</v>
      </c>
      <c r="O9" s="10">
        <f t="shared" si="1"/>
        <v>0.0834356116705647</v>
      </c>
      <c r="P9" s="10">
        <f t="shared" si="1"/>
        <v>0.083327816475919</v>
      </c>
      <c r="Q9" s="10">
        <f t="shared" si="1"/>
        <v>0.0832894372022127</v>
      </c>
      <c r="R9" s="10">
        <f t="shared" si="1"/>
        <v>0.0835660512347997</v>
      </c>
      <c r="S9" s="10">
        <f t="shared" si="1"/>
        <v>0.0838726314384857</v>
      </c>
      <c r="T9" s="10">
        <f t="shared" si="1"/>
        <v>0.0842475611142894</v>
      </c>
      <c r="U9" s="10">
        <f t="shared" si="1"/>
        <v>0.0847405554462912</v>
      </c>
      <c r="V9" s="10">
        <f t="shared" si="1"/>
        <v>0.0852562478792406</v>
      </c>
      <c r="W9" s="10">
        <f t="shared" si="1"/>
        <v>0.0860150951839075</v>
      </c>
      <c r="X9" s="10">
        <f t="shared" si="1"/>
        <v>0.086782842618527</v>
      </c>
      <c r="Y9" s="10">
        <f t="shared" si="1"/>
        <v>0.0875855082515024</v>
      </c>
      <c r="Z9" s="10">
        <f t="shared" si="1"/>
        <v>0.0884728387169496</v>
      </c>
      <c r="AA9" s="10">
        <f t="shared" si="1"/>
        <v>0.0894792911251281</v>
      </c>
      <c r="AB9" s="10">
        <f t="shared" si="1"/>
        <v>0.0905846252921202</v>
      </c>
      <c r="AC9" s="10">
        <f t="shared" si="1"/>
        <v>0.0917002438576089</v>
      </c>
      <c r="AD9" s="10">
        <f t="shared" si="1"/>
        <v>0.0928762895732954</v>
      </c>
      <c r="AE9" s="10">
        <f t="shared" si="1"/>
        <v>0.094111735689149</v>
      </c>
      <c r="AF9" s="10">
        <f t="shared" si="1"/>
        <v>0.0955116217417359</v>
      </c>
      <c r="AG9" s="10">
        <f t="shared" si="1"/>
        <v>0.096625758521567</v>
      </c>
      <c r="AH9" s="10">
        <f t="shared" si="1"/>
        <v>0.0977175956145432</v>
      </c>
      <c r="AI9" s="10">
        <f t="shared" si="1"/>
        <v>0.0988841201011862</v>
      </c>
      <c r="AJ9" s="10">
        <f t="shared" si="1"/>
        <v>0.100143489097897</v>
      </c>
      <c r="AK9" s="10">
        <f t="shared" si="1"/>
        <v>0.101486177041266</v>
      </c>
      <c r="AL9" s="10">
        <f t="shared" si="1"/>
        <v>0.102901483499274</v>
      </c>
      <c r="AM9" s="10">
        <f t="shared" si="1"/>
        <v>0.104367970692726</v>
      </c>
      <c r="AN9" s="10">
        <f t="shared" si="1"/>
        <v>0.105878015290007</v>
      </c>
      <c r="AO9" s="10">
        <f t="shared" si="1"/>
        <v>0.107418198652616</v>
      </c>
      <c r="AP9" s="10">
        <f t="shared" si="1"/>
        <v>0.109108738732049</v>
      </c>
    </row>
    <row r="11" spans="1:42">
      <c r="A11" t="s">
        <v>298</v>
      </c>
      <c r="B11">
        <v>2020</v>
      </c>
      <c r="C11">
        <v>2021</v>
      </c>
      <c r="D11">
        <v>2022</v>
      </c>
      <c r="E11">
        <v>2023</v>
      </c>
      <c r="F11">
        <v>2024</v>
      </c>
      <c r="G11">
        <v>2025</v>
      </c>
      <c r="H11">
        <v>2026</v>
      </c>
      <c r="I11">
        <v>2027</v>
      </c>
      <c r="J11">
        <v>2028</v>
      </c>
      <c r="K11">
        <v>2029</v>
      </c>
      <c r="L11">
        <v>2030</v>
      </c>
      <c r="M11">
        <v>2031</v>
      </c>
      <c r="N11">
        <v>2032</v>
      </c>
      <c r="O11">
        <v>2033</v>
      </c>
      <c r="P11">
        <v>2034</v>
      </c>
      <c r="Q11">
        <v>2035</v>
      </c>
      <c r="R11">
        <v>2036</v>
      </c>
      <c r="S11">
        <v>2037</v>
      </c>
      <c r="T11">
        <v>2038</v>
      </c>
      <c r="U11">
        <v>2039</v>
      </c>
      <c r="V11">
        <v>2040</v>
      </c>
      <c r="W11">
        <v>2041</v>
      </c>
      <c r="X11">
        <v>2042</v>
      </c>
      <c r="Y11">
        <v>2043</v>
      </c>
      <c r="Z11">
        <v>2044</v>
      </c>
      <c r="AA11">
        <v>2045</v>
      </c>
      <c r="AB11">
        <v>2046</v>
      </c>
      <c r="AC11">
        <v>2047</v>
      </c>
      <c r="AD11">
        <v>2048</v>
      </c>
      <c r="AE11">
        <v>2049</v>
      </c>
      <c r="AF11">
        <v>2050</v>
      </c>
      <c r="AG11">
        <v>2051</v>
      </c>
      <c r="AH11">
        <v>2052</v>
      </c>
      <c r="AI11">
        <v>2053</v>
      </c>
      <c r="AJ11">
        <v>2054</v>
      </c>
      <c r="AK11">
        <v>2055</v>
      </c>
      <c r="AL11">
        <v>2056</v>
      </c>
      <c r="AM11">
        <v>2057</v>
      </c>
      <c r="AN11">
        <v>2058</v>
      </c>
      <c r="AO11">
        <v>2059</v>
      </c>
      <c r="AP11">
        <v>2060</v>
      </c>
    </row>
    <row r="12" spans="1:42">
      <c r="A12" t="s">
        <v>301</v>
      </c>
      <c r="B12" s="8">
        <v>408358000</v>
      </c>
      <c r="C12" s="8">
        <v>468609000</v>
      </c>
      <c r="D12" s="8">
        <v>458558000</v>
      </c>
      <c r="E12" s="8">
        <v>470487000</v>
      </c>
      <c r="F12" s="8">
        <v>467170000</v>
      </c>
      <c r="G12" s="8">
        <v>463654000</v>
      </c>
      <c r="H12" s="8">
        <v>459543000</v>
      </c>
      <c r="I12" s="8">
        <v>454657000</v>
      </c>
      <c r="J12" s="8">
        <v>449424000</v>
      </c>
      <c r="K12" s="8">
        <v>443756000</v>
      </c>
      <c r="L12" s="8">
        <v>437491000</v>
      </c>
      <c r="M12" s="8">
        <v>430696000</v>
      </c>
      <c r="N12" s="8">
        <v>423062000</v>
      </c>
      <c r="O12" s="8">
        <v>414983000</v>
      </c>
      <c r="P12" s="8">
        <v>406586000</v>
      </c>
      <c r="Q12" s="8">
        <v>397562000</v>
      </c>
      <c r="R12" s="8">
        <v>388019000</v>
      </c>
      <c r="S12" s="8">
        <v>377663000</v>
      </c>
      <c r="T12" s="8">
        <v>366948000</v>
      </c>
      <c r="U12" s="8">
        <v>355830000</v>
      </c>
      <c r="V12" s="8">
        <v>344257000</v>
      </c>
      <c r="W12" s="8">
        <v>332161000</v>
      </c>
      <c r="X12" s="8">
        <v>319694000</v>
      </c>
      <c r="Y12" s="8">
        <v>307232000</v>
      </c>
      <c r="Z12" s="8">
        <v>294654000</v>
      </c>
      <c r="AA12" s="8">
        <v>282048000</v>
      </c>
      <c r="AB12" s="8">
        <v>269234000</v>
      </c>
      <c r="AC12" s="8">
        <v>256541000</v>
      </c>
      <c r="AD12" s="8">
        <v>242704000</v>
      </c>
      <c r="AE12" s="8">
        <v>230185000</v>
      </c>
      <c r="AF12" s="8">
        <v>217178000</v>
      </c>
      <c r="AG12" s="8">
        <v>205301000</v>
      </c>
      <c r="AH12" s="8">
        <v>192599000</v>
      </c>
      <c r="AI12" s="8">
        <v>180999000</v>
      </c>
      <c r="AJ12" s="8">
        <v>170010000</v>
      </c>
      <c r="AK12" s="8">
        <v>159536000</v>
      </c>
      <c r="AL12" s="8">
        <v>149855000</v>
      </c>
      <c r="AM12" s="8">
        <v>140720000</v>
      </c>
      <c r="AN12" s="8">
        <v>132036000</v>
      </c>
      <c r="AO12" s="8">
        <v>124546000</v>
      </c>
      <c r="AP12" s="8">
        <v>116919000</v>
      </c>
    </row>
    <row r="13" spans="1:42">
      <c r="A13" t="s">
        <v>302</v>
      </c>
      <c r="B13">
        <v>24.7337</v>
      </c>
      <c r="C13">
        <v>34.8379</v>
      </c>
      <c r="D13">
        <v>2.46952</v>
      </c>
      <c r="E13">
        <v>7.88829</v>
      </c>
      <c r="F13">
        <v>10.2762</v>
      </c>
      <c r="G13">
        <v>10.4393</v>
      </c>
      <c r="H13">
        <v>8.32137</v>
      </c>
      <c r="I13">
        <v>12.5856</v>
      </c>
      <c r="J13">
        <v>20.6791</v>
      </c>
      <c r="K13">
        <v>16.6817</v>
      </c>
      <c r="L13">
        <v>14.2817</v>
      </c>
      <c r="M13">
        <v>11.3968</v>
      </c>
      <c r="N13">
        <v>10.1965</v>
      </c>
      <c r="O13">
        <v>8.71512</v>
      </c>
      <c r="P13">
        <v>7.2741</v>
      </c>
      <c r="Q13">
        <v>7.52763</v>
      </c>
      <c r="R13">
        <v>7.59414</v>
      </c>
      <c r="S13">
        <v>7.32917</v>
      </c>
      <c r="T13">
        <v>7.69163</v>
      </c>
      <c r="U13">
        <v>8.63178</v>
      </c>
      <c r="V13">
        <v>12.4667</v>
      </c>
      <c r="W13">
        <v>16.2009</v>
      </c>
      <c r="X13">
        <v>19.1033</v>
      </c>
      <c r="Y13">
        <v>20.5464</v>
      </c>
      <c r="Z13">
        <v>24.9756</v>
      </c>
      <c r="AA13">
        <v>26.0788</v>
      </c>
      <c r="AB13">
        <v>32.5993</v>
      </c>
      <c r="AC13">
        <v>36.1901</v>
      </c>
      <c r="AD13">
        <v>39.2738</v>
      </c>
      <c r="AE13">
        <v>48.0213</v>
      </c>
      <c r="AF13">
        <v>60.3498</v>
      </c>
      <c r="AG13">
        <v>62.0274</v>
      </c>
      <c r="AH13">
        <v>66.7587</v>
      </c>
      <c r="AI13">
        <v>78.1965</v>
      </c>
      <c r="AJ13">
        <v>91.7045</v>
      </c>
      <c r="AK13">
        <v>107.826</v>
      </c>
      <c r="AL13">
        <v>120.061</v>
      </c>
      <c r="AM13">
        <v>142.897</v>
      </c>
      <c r="AN13">
        <v>169.848</v>
      </c>
      <c r="AO13">
        <v>165.783</v>
      </c>
      <c r="AP13">
        <v>186.895</v>
      </c>
    </row>
    <row r="14" spans="1:42">
      <c r="A14" t="s">
        <v>303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>
      <c r="A15" t="s">
        <v>304</v>
      </c>
      <c r="B15" s="8">
        <v>2825010</v>
      </c>
      <c r="C15" s="8">
        <v>7753940</v>
      </c>
      <c r="D15" s="8">
        <v>8413310</v>
      </c>
      <c r="E15" s="8">
        <v>9082770</v>
      </c>
      <c r="F15" s="8">
        <v>9816330</v>
      </c>
      <c r="G15" s="8">
        <v>10500000</v>
      </c>
      <c r="H15" s="8">
        <v>11243100</v>
      </c>
      <c r="I15" s="8">
        <v>11774800</v>
      </c>
      <c r="J15" s="8">
        <v>12166500</v>
      </c>
      <c r="K15" s="8">
        <v>12458500</v>
      </c>
      <c r="L15" s="8">
        <v>12681700</v>
      </c>
      <c r="M15" s="8">
        <v>12855000</v>
      </c>
      <c r="N15" s="8">
        <v>12992700</v>
      </c>
      <c r="O15" s="8">
        <v>13101900</v>
      </c>
      <c r="P15" s="8">
        <v>13192100</v>
      </c>
      <c r="Q15" s="8">
        <v>13265700</v>
      </c>
      <c r="R15" s="8">
        <v>13327400</v>
      </c>
      <c r="S15" s="8">
        <v>13377300</v>
      </c>
      <c r="T15" s="8">
        <v>13420000</v>
      </c>
      <c r="U15" s="8">
        <v>13455600</v>
      </c>
      <c r="V15" s="8">
        <v>13486500</v>
      </c>
      <c r="W15" s="8">
        <v>13512600</v>
      </c>
      <c r="X15" s="8">
        <v>13536300</v>
      </c>
      <c r="Y15" s="8">
        <v>13557700</v>
      </c>
      <c r="Z15" s="8">
        <v>13576700</v>
      </c>
      <c r="AA15" s="8">
        <v>13593300</v>
      </c>
      <c r="AB15" s="8">
        <v>13607500</v>
      </c>
      <c r="AC15" s="8">
        <v>13619400</v>
      </c>
      <c r="AD15" s="8">
        <v>13631300</v>
      </c>
      <c r="AE15" s="8">
        <v>13640800</v>
      </c>
      <c r="AF15" s="8">
        <v>13650300</v>
      </c>
      <c r="AG15" s="8">
        <v>13657400</v>
      </c>
      <c r="AH15" s="8">
        <v>13664500</v>
      </c>
      <c r="AI15" s="8">
        <v>13671600</v>
      </c>
      <c r="AJ15" s="8">
        <v>13678800</v>
      </c>
      <c r="AK15" s="8">
        <v>13683500</v>
      </c>
      <c r="AL15" s="8">
        <v>13688300</v>
      </c>
      <c r="AM15" s="8">
        <v>13693000</v>
      </c>
      <c r="AN15" s="8">
        <v>13522100</v>
      </c>
      <c r="AO15" s="8">
        <v>13315500</v>
      </c>
      <c r="AP15" s="8">
        <v>13044900</v>
      </c>
    </row>
    <row r="16" spans="1:42">
      <c r="A16" t="s">
        <v>305</v>
      </c>
      <c r="B16" s="8">
        <v>74682400</v>
      </c>
      <c r="C16" s="8">
        <v>88572200</v>
      </c>
      <c r="D16" s="8">
        <v>107861000</v>
      </c>
      <c r="E16" s="8">
        <v>108358000</v>
      </c>
      <c r="F16" s="8">
        <v>111408000</v>
      </c>
      <c r="G16" s="8">
        <v>114441000</v>
      </c>
      <c r="H16" s="8">
        <v>117825000</v>
      </c>
      <c r="I16" s="8">
        <v>121357000</v>
      </c>
      <c r="J16" s="8">
        <v>125071000</v>
      </c>
      <c r="K16" s="8">
        <v>129066000</v>
      </c>
      <c r="L16" s="8">
        <v>132958000</v>
      </c>
      <c r="M16" s="8">
        <v>136511000</v>
      </c>
      <c r="N16" s="8">
        <v>138786000</v>
      </c>
      <c r="O16" s="8">
        <v>139675000</v>
      </c>
      <c r="P16" s="8">
        <v>139401000</v>
      </c>
      <c r="Q16" s="8">
        <v>139148000</v>
      </c>
      <c r="R16" s="8">
        <v>139366000</v>
      </c>
      <c r="S16" s="8">
        <v>140484000</v>
      </c>
      <c r="T16" s="8">
        <v>142242000</v>
      </c>
      <c r="U16" s="8">
        <v>145366000</v>
      </c>
      <c r="V16" s="8">
        <v>149071000</v>
      </c>
      <c r="W16" s="8">
        <v>153228000</v>
      </c>
      <c r="X16" s="8">
        <v>157775000</v>
      </c>
      <c r="Y16" s="8">
        <v>160803000</v>
      </c>
      <c r="Z16" s="8">
        <v>163932000</v>
      </c>
      <c r="AA16" s="8">
        <v>166454000</v>
      </c>
      <c r="AB16" s="8">
        <v>170162000</v>
      </c>
      <c r="AC16" s="8">
        <v>174559000</v>
      </c>
      <c r="AD16" s="8">
        <v>182279000</v>
      </c>
      <c r="AE16" s="8">
        <v>190679000</v>
      </c>
      <c r="AF16" s="8">
        <v>200940000</v>
      </c>
      <c r="AG16" s="8">
        <v>210564000</v>
      </c>
      <c r="AH16" s="8">
        <v>220512000</v>
      </c>
      <c r="AI16" s="8">
        <v>230996000</v>
      </c>
      <c r="AJ16" s="8">
        <v>241943000</v>
      </c>
      <c r="AK16" s="8">
        <v>253416000</v>
      </c>
      <c r="AL16" s="8">
        <v>265426000</v>
      </c>
      <c r="AM16" s="8">
        <v>277991000</v>
      </c>
      <c r="AN16" s="8">
        <v>291129000</v>
      </c>
      <c r="AO16" s="8">
        <v>304786000</v>
      </c>
      <c r="AP16" s="8">
        <v>319117000</v>
      </c>
    </row>
    <row r="17" spans="1:42">
      <c r="A17" t="s">
        <v>306</v>
      </c>
      <c r="B17" s="8">
        <v>19972800</v>
      </c>
      <c r="C17" s="8">
        <v>119538000</v>
      </c>
      <c r="D17" s="8">
        <v>137300000</v>
      </c>
      <c r="E17" s="8">
        <v>140302000</v>
      </c>
      <c r="F17" s="8">
        <v>157345000</v>
      </c>
      <c r="G17" s="8">
        <v>176548000</v>
      </c>
      <c r="H17" s="8">
        <v>189821000</v>
      </c>
      <c r="I17" s="8">
        <v>203953000</v>
      </c>
      <c r="J17" s="8">
        <v>218909000</v>
      </c>
      <c r="K17" s="8">
        <v>235097000</v>
      </c>
      <c r="L17" s="8">
        <v>252585000</v>
      </c>
      <c r="M17" s="8">
        <v>272117000</v>
      </c>
      <c r="N17" s="8">
        <v>293630000</v>
      </c>
      <c r="O17" s="8">
        <v>317667000</v>
      </c>
      <c r="P17" s="8">
        <v>343891000</v>
      </c>
      <c r="Q17" s="8">
        <v>371535000</v>
      </c>
      <c r="R17" s="8">
        <v>401738000</v>
      </c>
      <c r="S17" s="8">
        <v>431566000</v>
      </c>
      <c r="T17" s="8">
        <v>461737000</v>
      </c>
      <c r="U17" s="8">
        <v>491731000</v>
      </c>
      <c r="V17" s="8">
        <v>522325000</v>
      </c>
      <c r="W17" s="8">
        <v>554235000</v>
      </c>
      <c r="X17" s="8">
        <v>586414000</v>
      </c>
      <c r="Y17" s="8">
        <v>620921000</v>
      </c>
      <c r="Z17" s="8">
        <v>656076000</v>
      </c>
      <c r="AA17" s="8">
        <v>692655000</v>
      </c>
      <c r="AB17" s="8">
        <v>729719000</v>
      </c>
      <c r="AC17" s="8">
        <v>766255000</v>
      </c>
      <c r="AD17" s="8">
        <v>801630000</v>
      </c>
      <c r="AE17" s="8">
        <v>835636000</v>
      </c>
      <c r="AF17" s="8">
        <v>870194000</v>
      </c>
      <c r="AG17" s="8">
        <v>899804000</v>
      </c>
      <c r="AH17" s="8">
        <v>929452000</v>
      </c>
      <c r="AI17" s="8">
        <v>959450000</v>
      </c>
      <c r="AJ17" s="8">
        <v>989209000</v>
      </c>
      <c r="AK17" s="8">
        <v>1018840000</v>
      </c>
      <c r="AL17" s="8">
        <v>1048100000</v>
      </c>
      <c r="AM17" s="8">
        <v>1077200000</v>
      </c>
      <c r="AN17" s="8">
        <v>1106400000</v>
      </c>
      <c r="AO17" s="8">
        <v>1134910000</v>
      </c>
      <c r="AP17" s="8">
        <v>1164070000</v>
      </c>
    </row>
    <row r="18" spans="1:42">
      <c r="A18" t="s">
        <v>307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242652</v>
      </c>
      <c r="O18">
        <v>485304</v>
      </c>
      <c r="P18">
        <v>727956</v>
      </c>
      <c r="Q18">
        <v>970608</v>
      </c>
      <c r="R18" s="8">
        <v>1213260</v>
      </c>
      <c r="S18" s="8">
        <v>1455910</v>
      </c>
      <c r="T18" s="8">
        <v>1698560</v>
      </c>
      <c r="U18" s="8">
        <v>1941220</v>
      </c>
      <c r="V18" s="8">
        <v>2183870</v>
      </c>
      <c r="W18" s="8">
        <v>2426520</v>
      </c>
      <c r="X18" s="8">
        <v>2669170</v>
      </c>
      <c r="Y18" s="8">
        <v>2911820</v>
      </c>
      <c r="Z18" s="8">
        <v>3154480</v>
      </c>
      <c r="AA18" s="8">
        <v>3397130</v>
      </c>
      <c r="AB18" s="8">
        <v>3639780</v>
      </c>
      <c r="AC18" s="8">
        <v>3882430</v>
      </c>
      <c r="AD18" s="8">
        <v>3882430</v>
      </c>
      <c r="AE18" s="8">
        <v>4125080</v>
      </c>
      <c r="AF18" s="8">
        <v>4125080</v>
      </c>
      <c r="AG18" s="8">
        <v>4367740</v>
      </c>
      <c r="AH18" s="8">
        <v>4610390</v>
      </c>
      <c r="AI18" s="8">
        <v>4610390</v>
      </c>
      <c r="AJ18" s="8">
        <v>4610390</v>
      </c>
      <c r="AK18" s="8">
        <v>4610390</v>
      </c>
      <c r="AL18" s="8">
        <v>4610390</v>
      </c>
      <c r="AM18" s="8">
        <v>4610390</v>
      </c>
      <c r="AN18" s="8">
        <v>4610390</v>
      </c>
      <c r="AO18" s="8">
        <v>4610390</v>
      </c>
      <c r="AP18" s="8">
        <v>4853040</v>
      </c>
    </row>
    <row r="19" spans="1:42">
      <c r="A19" t="s">
        <v>308</v>
      </c>
      <c r="B19" s="8">
        <v>1447280</v>
      </c>
      <c r="C19" s="8">
        <v>2265640</v>
      </c>
      <c r="D19" s="8">
        <v>2265640</v>
      </c>
      <c r="E19" s="8">
        <v>2265640</v>
      </c>
      <c r="F19" s="8">
        <v>2265640</v>
      </c>
      <c r="G19" s="8">
        <v>2265640</v>
      </c>
      <c r="H19" s="8">
        <v>2265640</v>
      </c>
      <c r="I19" s="8">
        <v>2265640</v>
      </c>
      <c r="J19" s="8">
        <v>2265640</v>
      </c>
      <c r="K19" s="8">
        <v>2265640</v>
      </c>
      <c r="L19" s="8">
        <v>2265640</v>
      </c>
      <c r="M19" s="8">
        <v>2265640</v>
      </c>
      <c r="N19" s="8">
        <v>2265640</v>
      </c>
      <c r="O19" s="8">
        <v>2265640</v>
      </c>
      <c r="P19" s="8">
        <v>2265640</v>
      </c>
      <c r="Q19" s="8">
        <v>2265640</v>
      </c>
      <c r="R19" s="8">
        <v>2265640</v>
      </c>
      <c r="S19" s="8">
        <v>2220180</v>
      </c>
      <c r="T19" s="8">
        <v>2220180</v>
      </c>
      <c r="U19" s="8">
        <v>2174710</v>
      </c>
      <c r="V19" s="8">
        <v>2129250</v>
      </c>
      <c r="W19" s="8">
        <v>2083790</v>
      </c>
      <c r="X19" s="8">
        <v>2038320</v>
      </c>
      <c r="Y19" s="8">
        <v>1992860</v>
      </c>
      <c r="Z19" s="8">
        <v>1947390</v>
      </c>
      <c r="AA19" s="8">
        <v>1901930</v>
      </c>
      <c r="AB19" s="8">
        <v>1856460</v>
      </c>
      <c r="AC19" s="8">
        <v>1811000</v>
      </c>
      <c r="AD19" s="8">
        <v>1765530</v>
      </c>
      <c r="AE19" s="8">
        <v>1720070</v>
      </c>
      <c r="AF19" s="8">
        <v>1674610</v>
      </c>
      <c r="AG19" s="8">
        <v>1629140</v>
      </c>
      <c r="AH19" s="8">
        <v>1583680</v>
      </c>
      <c r="AI19" s="8">
        <v>1538210</v>
      </c>
      <c r="AJ19" s="8">
        <v>1492750</v>
      </c>
      <c r="AK19" s="8">
        <v>1447280</v>
      </c>
      <c r="AL19" s="8">
        <v>1356350</v>
      </c>
      <c r="AM19" s="8">
        <v>1310890</v>
      </c>
      <c r="AN19" s="8">
        <v>1265430</v>
      </c>
      <c r="AO19" s="8">
        <v>1219960</v>
      </c>
      <c r="AP19" s="8">
        <v>1174500</v>
      </c>
    </row>
    <row r="20" spans="1:42">
      <c r="A20" t="s">
        <v>309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>
      <c r="A21" t="s">
        <v>310</v>
      </c>
      <c r="B21">
        <v>0</v>
      </c>
      <c r="C21">
        <v>10109.7</v>
      </c>
      <c r="D21">
        <v>8957.68</v>
      </c>
      <c r="E21">
        <v>8930.03</v>
      </c>
      <c r="F21">
        <v>8891.1</v>
      </c>
      <c r="G21">
        <v>8836.96</v>
      </c>
      <c r="H21">
        <v>8843.3</v>
      </c>
      <c r="I21">
        <v>8846.8</v>
      </c>
      <c r="J21">
        <v>8848.74</v>
      </c>
      <c r="K21">
        <v>8849.71</v>
      </c>
      <c r="L21">
        <v>8850.09</v>
      </c>
      <c r="M21">
        <v>8849.63</v>
      </c>
      <c r="N21">
        <v>8848.98</v>
      </c>
      <c r="O21">
        <v>8848.63</v>
      </c>
      <c r="P21">
        <v>8848.18</v>
      </c>
      <c r="Q21">
        <v>8847.72</v>
      </c>
      <c r="R21">
        <v>8847.91</v>
      </c>
      <c r="S21">
        <v>8847.61</v>
      </c>
      <c r="T21">
        <v>8847.76</v>
      </c>
      <c r="U21">
        <v>8847.55</v>
      </c>
      <c r="V21">
        <v>8847.29</v>
      </c>
      <c r="W21">
        <v>8847.14</v>
      </c>
      <c r="X21">
        <v>8846.54</v>
      </c>
      <c r="Y21">
        <v>8845.92</v>
      </c>
      <c r="Z21">
        <v>8845.17</v>
      </c>
      <c r="AA21">
        <v>8844.8</v>
      </c>
      <c r="AB21">
        <v>8844.3</v>
      </c>
      <c r="AC21">
        <v>8844.04</v>
      </c>
      <c r="AD21">
        <v>8843.59</v>
      </c>
      <c r="AE21">
        <v>8843.11</v>
      </c>
      <c r="AF21">
        <v>8842.71</v>
      </c>
      <c r="AG21">
        <v>8842.54</v>
      </c>
      <c r="AH21">
        <v>8842.26</v>
      </c>
      <c r="AI21">
        <v>8841.91</v>
      </c>
      <c r="AJ21">
        <v>8841.71</v>
      </c>
      <c r="AK21">
        <v>8841.4</v>
      </c>
      <c r="AL21">
        <v>8840.69</v>
      </c>
      <c r="AM21">
        <v>8840.37</v>
      </c>
      <c r="AN21">
        <v>8838.22</v>
      </c>
      <c r="AO21">
        <v>8836.37</v>
      </c>
      <c r="AP21">
        <v>8833.6</v>
      </c>
    </row>
    <row r="22" spans="1:42">
      <c r="A22" t="s">
        <v>311</v>
      </c>
      <c r="B22">
        <v>494484</v>
      </c>
      <c r="C22">
        <v>406545</v>
      </c>
      <c r="D22">
        <v>458101</v>
      </c>
      <c r="E22">
        <v>456761</v>
      </c>
      <c r="F22">
        <v>454857</v>
      </c>
      <c r="G22">
        <v>452202</v>
      </c>
      <c r="H22">
        <v>452501</v>
      </c>
      <c r="I22">
        <v>452694</v>
      </c>
      <c r="J22">
        <v>452816</v>
      </c>
      <c r="K22">
        <v>452852</v>
      </c>
      <c r="L22">
        <v>452863</v>
      </c>
      <c r="M22">
        <v>452829</v>
      </c>
      <c r="N22">
        <v>452792</v>
      </c>
      <c r="O22">
        <v>452767</v>
      </c>
      <c r="P22">
        <v>452736</v>
      </c>
      <c r="Q22">
        <v>452715</v>
      </c>
      <c r="R22">
        <v>452725</v>
      </c>
      <c r="S22">
        <v>452709</v>
      </c>
      <c r="T22">
        <v>452719</v>
      </c>
      <c r="U22">
        <v>452715</v>
      </c>
      <c r="V22">
        <v>452708</v>
      </c>
      <c r="W22">
        <v>452703</v>
      </c>
      <c r="X22">
        <v>452674</v>
      </c>
      <c r="Y22">
        <v>452641</v>
      </c>
      <c r="Z22">
        <v>435332</v>
      </c>
      <c r="AA22">
        <v>435312</v>
      </c>
      <c r="AB22">
        <v>418021</v>
      </c>
      <c r="AC22">
        <v>418009</v>
      </c>
      <c r="AD22">
        <v>400717</v>
      </c>
      <c r="AE22">
        <v>383430</v>
      </c>
      <c r="AF22">
        <v>366149</v>
      </c>
      <c r="AG22">
        <v>366141</v>
      </c>
      <c r="AH22">
        <v>348860</v>
      </c>
      <c r="AI22">
        <v>331581</v>
      </c>
      <c r="AJ22">
        <v>314308</v>
      </c>
      <c r="AK22">
        <v>297033</v>
      </c>
      <c r="AL22">
        <v>279744</v>
      </c>
      <c r="AM22">
        <v>262472</v>
      </c>
      <c r="AN22">
        <v>245151</v>
      </c>
      <c r="AO22">
        <v>245105</v>
      </c>
      <c r="AP22">
        <v>227780</v>
      </c>
    </row>
    <row r="23" spans="1:42">
      <c r="A23" t="s">
        <v>312</v>
      </c>
      <c r="B23" s="8">
        <v>19628400</v>
      </c>
      <c r="C23" s="8">
        <v>14178800</v>
      </c>
      <c r="D23" s="8">
        <v>13895100</v>
      </c>
      <c r="E23" s="8">
        <v>13973600</v>
      </c>
      <c r="F23" s="8">
        <v>13673200</v>
      </c>
      <c r="G23" s="8">
        <v>13471700</v>
      </c>
      <c r="H23" s="8">
        <v>13227200</v>
      </c>
      <c r="I23" s="8">
        <v>13019500</v>
      </c>
      <c r="J23" s="8">
        <v>12821600</v>
      </c>
      <c r="K23" s="8">
        <v>12554800</v>
      </c>
      <c r="L23" s="8">
        <v>12312900</v>
      </c>
      <c r="M23" s="8">
        <v>12118500</v>
      </c>
      <c r="N23" s="8">
        <v>11882700</v>
      </c>
      <c r="O23" s="8">
        <v>11634100</v>
      </c>
      <c r="P23" s="8">
        <v>11374000</v>
      </c>
      <c r="Q23" s="8">
        <v>11049200</v>
      </c>
      <c r="R23" s="8">
        <v>10747200</v>
      </c>
      <c r="S23" s="8">
        <v>10436600</v>
      </c>
      <c r="T23" s="8">
        <v>10139100</v>
      </c>
      <c r="U23" s="8">
        <v>9811150</v>
      </c>
      <c r="V23" s="8">
        <v>9406430</v>
      </c>
      <c r="W23" s="8">
        <v>9111470</v>
      </c>
      <c r="X23" s="8">
        <v>8725820</v>
      </c>
      <c r="Y23" s="8">
        <v>8319190</v>
      </c>
      <c r="Z23" s="8">
        <v>7974850</v>
      </c>
      <c r="AA23" s="8">
        <v>7588190</v>
      </c>
      <c r="AB23" s="8">
        <v>7193010</v>
      </c>
      <c r="AC23" s="8">
        <v>6825510</v>
      </c>
      <c r="AD23" s="8">
        <v>6432130</v>
      </c>
      <c r="AE23" s="8">
        <v>6076500</v>
      </c>
      <c r="AF23" s="8">
        <v>5711240</v>
      </c>
      <c r="AG23" s="8">
        <v>5351500</v>
      </c>
      <c r="AH23" s="8">
        <v>5032180</v>
      </c>
      <c r="AI23" s="8">
        <v>4667730</v>
      </c>
      <c r="AJ23" s="8">
        <v>4376900</v>
      </c>
      <c r="AK23" s="8">
        <v>4115620</v>
      </c>
      <c r="AL23" s="8">
        <v>3875780</v>
      </c>
      <c r="AM23" s="8">
        <v>3612340</v>
      </c>
      <c r="AN23" s="8">
        <v>3465260</v>
      </c>
      <c r="AO23" s="8">
        <v>3277770</v>
      </c>
      <c r="AP23" s="8">
        <v>3192930</v>
      </c>
    </row>
    <row r="24" spans="1:42">
      <c r="A24" t="s">
        <v>313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>
      <c r="A25" t="s">
        <v>314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>
      <c r="A26" t="s">
        <v>315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>
      <c r="A27" t="s">
        <v>316</v>
      </c>
      <c r="B27">
        <v>682404</v>
      </c>
      <c r="C27" s="8">
        <v>1231660</v>
      </c>
      <c r="D27" s="8">
        <v>1231660</v>
      </c>
      <c r="E27" s="8">
        <v>1231660</v>
      </c>
      <c r="F27" s="8">
        <v>1231660</v>
      </c>
      <c r="G27" s="8">
        <v>1231660</v>
      </c>
      <c r="H27" s="8">
        <v>1231660</v>
      </c>
      <c r="I27" s="8">
        <v>1231660</v>
      </c>
      <c r="J27" s="8">
        <v>1231660</v>
      </c>
      <c r="K27" s="8">
        <v>1231660</v>
      </c>
      <c r="L27" s="8">
        <v>1231660</v>
      </c>
      <c r="M27" s="8">
        <v>1231660</v>
      </c>
      <c r="N27" s="8">
        <v>1231660</v>
      </c>
      <c r="O27" s="8">
        <v>1281590</v>
      </c>
      <c r="P27" s="8">
        <v>1331520</v>
      </c>
      <c r="Q27" s="8">
        <v>1381450</v>
      </c>
      <c r="R27" s="8">
        <v>1431380</v>
      </c>
      <c r="S27" s="8">
        <v>1481320</v>
      </c>
      <c r="T27" s="8">
        <v>1531250</v>
      </c>
      <c r="U27" s="8">
        <v>1581180</v>
      </c>
      <c r="V27" s="8">
        <v>1631110</v>
      </c>
      <c r="W27" s="8">
        <v>1681040</v>
      </c>
      <c r="X27" s="8">
        <v>1681040</v>
      </c>
      <c r="Y27" s="8">
        <v>1681040</v>
      </c>
      <c r="Z27" s="8">
        <v>1681040</v>
      </c>
      <c r="AA27" s="8">
        <v>1681040</v>
      </c>
      <c r="AB27" s="8">
        <v>1681040</v>
      </c>
      <c r="AC27" s="8">
        <v>1681040</v>
      </c>
      <c r="AD27" s="8">
        <v>1681040</v>
      </c>
      <c r="AE27" s="8">
        <v>1681040</v>
      </c>
      <c r="AF27" s="8">
        <v>1681040</v>
      </c>
      <c r="AG27" s="8">
        <v>1681040</v>
      </c>
      <c r="AH27" s="8">
        <v>1681040</v>
      </c>
      <c r="AI27" s="8">
        <v>1681040</v>
      </c>
      <c r="AJ27" s="8">
        <v>1681040</v>
      </c>
      <c r="AK27" s="8">
        <v>1681040</v>
      </c>
      <c r="AL27" s="8">
        <v>1681040</v>
      </c>
      <c r="AM27" s="8">
        <v>1681040</v>
      </c>
      <c r="AN27" s="8">
        <v>1681040</v>
      </c>
      <c r="AO27" s="8">
        <v>1730980</v>
      </c>
      <c r="AP27" s="8">
        <v>1780910</v>
      </c>
    </row>
    <row r="29" spans="1:1">
      <c r="A29" s="11" t="s">
        <v>317</v>
      </c>
    </row>
    <row r="30" spans="2:42">
      <c r="B30">
        <v>2020</v>
      </c>
      <c r="C30">
        <v>2021</v>
      </c>
      <c r="D30">
        <v>2022</v>
      </c>
      <c r="E30">
        <v>2023</v>
      </c>
      <c r="F30">
        <v>2024</v>
      </c>
      <c r="G30">
        <v>2025</v>
      </c>
      <c r="H30">
        <v>2026</v>
      </c>
      <c r="I30">
        <v>2027</v>
      </c>
      <c r="J30">
        <v>2028</v>
      </c>
      <c r="K30">
        <v>2029</v>
      </c>
      <c r="L30">
        <v>2030</v>
      </c>
      <c r="M30">
        <v>2031</v>
      </c>
      <c r="N30">
        <v>2032</v>
      </c>
      <c r="O30">
        <v>2033</v>
      </c>
      <c r="P30">
        <v>2034</v>
      </c>
      <c r="Q30">
        <v>2035</v>
      </c>
      <c r="R30">
        <v>2036</v>
      </c>
      <c r="S30">
        <v>2037</v>
      </c>
      <c r="T30">
        <v>2038</v>
      </c>
      <c r="U30">
        <v>2039</v>
      </c>
      <c r="V30">
        <v>2040</v>
      </c>
      <c r="W30">
        <v>2041</v>
      </c>
      <c r="X30">
        <v>2042</v>
      </c>
      <c r="Y30">
        <v>2043</v>
      </c>
      <c r="Z30">
        <v>2044</v>
      </c>
      <c r="AA30">
        <v>2045</v>
      </c>
      <c r="AB30">
        <v>2046</v>
      </c>
      <c r="AC30">
        <v>2047</v>
      </c>
      <c r="AD30">
        <v>2048</v>
      </c>
      <c r="AE30">
        <v>2049</v>
      </c>
      <c r="AF30">
        <v>2050</v>
      </c>
      <c r="AG30">
        <v>2051</v>
      </c>
      <c r="AH30">
        <v>2052</v>
      </c>
      <c r="AI30">
        <v>2053</v>
      </c>
      <c r="AJ30">
        <v>2054</v>
      </c>
      <c r="AK30">
        <v>2055</v>
      </c>
      <c r="AL30">
        <v>2056</v>
      </c>
      <c r="AM30">
        <v>2057</v>
      </c>
      <c r="AN30">
        <v>2058</v>
      </c>
      <c r="AO30">
        <v>2059</v>
      </c>
      <c r="AP30">
        <v>2060</v>
      </c>
    </row>
    <row r="31" spans="1:42">
      <c r="A31" s="12" t="s">
        <v>284</v>
      </c>
      <c r="B31" s="12">
        <v>3269.2</v>
      </c>
      <c r="C31" s="12">
        <v>5729.7</v>
      </c>
      <c r="D31" s="12">
        <v>9531.7</v>
      </c>
      <c r="E31" s="12">
        <v>15260</v>
      </c>
      <c r="F31" s="12">
        <v>23750</v>
      </c>
      <c r="G31" s="12">
        <v>35440</v>
      </c>
      <c r="H31" s="12">
        <v>48510.3</v>
      </c>
      <c r="I31" s="12">
        <v>55673.7615384615</v>
      </c>
      <c r="J31" s="12">
        <v>62837.2230769231</v>
      </c>
      <c r="K31" s="12">
        <v>70000.6846153846</v>
      </c>
      <c r="L31" s="12">
        <v>77164.1461538461</v>
      </c>
      <c r="M31" s="12">
        <v>84327.6076923077</v>
      </c>
      <c r="N31" s="12">
        <v>91491.0692307692</v>
      </c>
      <c r="O31" s="12">
        <v>98654.5307692307</v>
      </c>
      <c r="P31" s="12">
        <v>105817.992307692</v>
      </c>
      <c r="Q31" s="12">
        <v>112981.453846154</v>
      </c>
      <c r="R31" s="12">
        <v>120144.915384615</v>
      </c>
      <c r="S31" s="12">
        <v>127308.376923077</v>
      </c>
      <c r="T31" s="12">
        <v>134471.838461538</v>
      </c>
      <c r="U31" s="12">
        <v>141635.3</v>
      </c>
      <c r="V31" s="12">
        <v>148798.761538461</v>
      </c>
      <c r="W31" s="12">
        <v>155962.223076923</v>
      </c>
      <c r="X31" s="12">
        <v>163125.684615385</v>
      </c>
      <c r="Y31" s="12">
        <v>170289.146153846</v>
      </c>
      <c r="Z31" s="12">
        <v>177452.607692308</v>
      </c>
      <c r="AA31" s="12">
        <v>184616.069230769</v>
      </c>
      <c r="AB31" s="12">
        <v>191779.530769231</v>
      </c>
      <c r="AC31" s="12">
        <v>198942.992307692</v>
      </c>
      <c r="AD31" s="12">
        <v>206106.453846154</v>
      </c>
      <c r="AE31" s="12">
        <v>213269.915384615</v>
      </c>
      <c r="AF31" s="12">
        <v>210000</v>
      </c>
      <c r="AG31" s="12">
        <v>217163.461538462</v>
      </c>
      <c r="AH31" s="12">
        <v>224326.923076923</v>
      </c>
      <c r="AI31" s="12">
        <v>231490.384615385</v>
      </c>
      <c r="AJ31" s="12">
        <v>238653.846153846</v>
      </c>
      <c r="AK31" s="12">
        <v>245817.307692308</v>
      </c>
      <c r="AL31" s="12">
        <v>252980.769230769</v>
      </c>
      <c r="AM31" s="12">
        <v>260144.230769231</v>
      </c>
      <c r="AN31" s="12">
        <v>267307.692307692</v>
      </c>
      <c r="AO31" s="12">
        <v>274471.153846154</v>
      </c>
      <c r="AP31" s="12">
        <v>281634.615384615</v>
      </c>
    </row>
    <row r="32" spans="1:42">
      <c r="A32" s="12" t="s">
        <v>285</v>
      </c>
      <c r="B32" s="12">
        <v>4903.8</v>
      </c>
      <c r="C32" s="12">
        <v>9922.2</v>
      </c>
      <c r="D32" s="12">
        <v>19615.2</v>
      </c>
      <c r="E32" s="12">
        <v>51763.65</v>
      </c>
      <c r="F32" s="12">
        <v>75710</v>
      </c>
      <c r="G32" s="12">
        <v>98949.559143541</v>
      </c>
      <c r="H32" s="12">
        <v>129322.615964881</v>
      </c>
      <c r="I32" s="12">
        <v>169018.832875636</v>
      </c>
      <c r="J32" s="12">
        <v>220900</v>
      </c>
      <c r="K32" s="12">
        <v>263309.084537545</v>
      </c>
      <c r="L32" s="12">
        <v>313860</v>
      </c>
      <c r="M32" s="12">
        <v>331269.11245362</v>
      </c>
      <c r="N32" s="12">
        <v>349643.86945074</v>
      </c>
      <c r="O32" s="12">
        <v>369037.833135144</v>
      </c>
      <c r="P32" s="12">
        <v>389507.536622973</v>
      </c>
      <c r="Q32" s="12">
        <v>411112.648795923</v>
      </c>
      <c r="R32" s="12">
        <v>433916.148235144</v>
      </c>
      <c r="S32" s="12">
        <v>457984.506802873</v>
      </c>
      <c r="T32" s="12">
        <v>483387.883406923</v>
      </c>
      <c r="U32" s="12">
        <v>510200.328512858</v>
      </c>
      <c r="V32" s="12">
        <v>538500</v>
      </c>
      <c r="W32" s="12">
        <v>572741.202902248</v>
      </c>
      <c r="X32" s="12">
        <v>609159.675955273</v>
      </c>
      <c r="Y32" s="12">
        <v>647893.863632621</v>
      </c>
      <c r="Z32" s="12">
        <v>689091.01357462</v>
      </c>
      <c r="AA32" s="12">
        <v>732907.736348853</v>
      </c>
      <c r="AB32" s="12">
        <v>779510.600803725</v>
      </c>
      <c r="AC32" s="12">
        <v>829076.767278328</v>
      </c>
      <c r="AD32" s="12">
        <v>881794.66107576</v>
      </c>
      <c r="AE32" s="12">
        <v>937864.688760095</v>
      </c>
      <c r="AF32" s="12">
        <v>997500</v>
      </c>
      <c r="AG32" s="12">
        <v>1045403.78043856</v>
      </c>
      <c r="AH32" s="12">
        <v>1095608.08436616</v>
      </c>
      <c r="AI32" s="12">
        <v>1148223.39175482</v>
      </c>
      <c r="AJ32" s="12">
        <v>1203365.48824911</v>
      </c>
      <c r="AK32" s="12">
        <v>1261155.71996483</v>
      </c>
      <c r="AL32" s="12">
        <v>1321721.26052426</v>
      </c>
      <c r="AM32" s="12">
        <v>1385195.39091538</v>
      </c>
      <c r="AN32" s="12">
        <v>1451717.79279099</v>
      </c>
      <c r="AO32" s="12">
        <v>1521434.85585326</v>
      </c>
      <c r="AP32" s="12">
        <v>1594500</v>
      </c>
    </row>
    <row r="33" spans="1:4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>
      <c r="A34" s="13" t="s">
        <v>318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>
      <c r="A35" s="12" t="s">
        <v>298</v>
      </c>
      <c r="B35" s="12">
        <v>2020</v>
      </c>
      <c r="C35" s="12">
        <v>2021</v>
      </c>
      <c r="D35" s="12">
        <v>2022</v>
      </c>
      <c r="E35" s="12">
        <v>2023</v>
      </c>
      <c r="F35" s="12">
        <v>2024</v>
      </c>
      <c r="G35" s="12">
        <v>2025</v>
      </c>
      <c r="H35" s="12">
        <v>2026</v>
      </c>
      <c r="I35" s="12">
        <v>2027</v>
      </c>
      <c r="J35" s="12">
        <v>2028</v>
      </c>
      <c r="K35" s="12">
        <v>2029</v>
      </c>
      <c r="L35" s="12">
        <v>2030</v>
      </c>
      <c r="M35" s="12">
        <v>2031</v>
      </c>
      <c r="N35" s="12">
        <v>2032</v>
      </c>
      <c r="O35" s="12">
        <v>2033</v>
      </c>
      <c r="P35" s="12">
        <v>2034</v>
      </c>
      <c r="Q35" s="12">
        <v>2035</v>
      </c>
      <c r="R35" s="12">
        <v>2036</v>
      </c>
      <c r="S35" s="12">
        <v>2037</v>
      </c>
      <c r="T35" s="12">
        <v>2038</v>
      </c>
      <c r="U35" s="12">
        <v>2039</v>
      </c>
      <c r="V35" s="12">
        <v>2040</v>
      </c>
      <c r="W35" s="12">
        <v>2041</v>
      </c>
      <c r="X35" s="12">
        <v>2042</v>
      </c>
      <c r="Y35" s="12">
        <v>2043</v>
      </c>
      <c r="Z35" s="12">
        <v>2044</v>
      </c>
      <c r="AA35" s="12">
        <v>2045</v>
      </c>
      <c r="AB35" s="12">
        <v>2046</v>
      </c>
      <c r="AC35" s="12">
        <v>2047</v>
      </c>
      <c r="AD35" s="12">
        <v>2048</v>
      </c>
      <c r="AE35" s="12">
        <v>2049</v>
      </c>
      <c r="AF35" s="12">
        <v>2050</v>
      </c>
      <c r="AG35" s="12">
        <v>2051</v>
      </c>
      <c r="AH35" s="12">
        <v>2052</v>
      </c>
      <c r="AI35" s="12">
        <v>2053</v>
      </c>
      <c r="AJ35" s="12">
        <v>2054</v>
      </c>
      <c r="AK35" s="12">
        <v>2055</v>
      </c>
      <c r="AL35" s="12">
        <v>2056</v>
      </c>
      <c r="AM35" s="12">
        <v>2057</v>
      </c>
      <c r="AN35" s="12">
        <v>2058</v>
      </c>
      <c r="AO35" s="12">
        <v>2059</v>
      </c>
      <c r="AP35" s="12">
        <v>2060</v>
      </c>
    </row>
    <row r="36" spans="1:42">
      <c r="A36" s="12" t="s">
        <v>319</v>
      </c>
      <c r="B36" s="12">
        <v>0</v>
      </c>
      <c r="C36" s="12">
        <v>0</v>
      </c>
      <c r="D36" s="12">
        <v>0</v>
      </c>
      <c r="E36" s="12">
        <v>0</v>
      </c>
      <c r="F36" s="12">
        <f t="shared" ref="F36:AP36" si="2">F31*AVERAGE($B$9:$E$9)</f>
        <v>295.191600449238</v>
      </c>
      <c r="G36" s="12">
        <f t="shared" si="2"/>
        <v>440.488013470358</v>
      </c>
      <c r="H36" s="12">
        <f t="shared" si="2"/>
        <v>602.940340853587</v>
      </c>
      <c r="I36" s="12">
        <f t="shared" si="2"/>
        <v>691.975864066008</v>
      </c>
      <c r="J36" s="12">
        <f t="shared" si="2"/>
        <v>781.011387278431</v>
      </c>
      <c r="K36" s="12">
        <f t="shared" si="2"/>
        <v>870.046910490853</v>
      </c>
      <c r="L36" s="12">
        <f t="shared" si="2"/>
        <v>959.082433703274</v>
      </c>
      <c r="M36" s="12">
        <f t="shared" si="2"/>
        <v>1048.1179569157</v>
      </c>
      <c r="N36" s="12">
        <f t="shared" si="2"/>
        <v>1137.15348012812</v>
      </c>
      <c r="O36" s="12">
        <f t="shared" si="2"/>
        <v>1226.18900334054</v>
      </c>
      <c r="P36" s="12">
        <f t="shared" si="2"/>
        <v>1315.22452655296</v>
      </c>
      <c r="Q36" s="12">
        <f t="shared" si="2"/>
        <v>1404.26004976539</v>
      </c>
      <c r="R36" s="12">
        <f t="shared" si="2"/>
        <v>1493.2955729778</v>
      </c>
      <c r="S36" s="12">
        <f t="shared" si="2"/>
        <v>1582.33109619023</v>
      </c>
      <c r="T36" s="12">
        <f t="shared" si="2"/>
        <v>1671.36661940265</v>
      </c>
      <c r="U36" s="12">
        <f t="shared" si="2"/>
        <v>1760.40214261507</v>
      </c>
      <c r="V36" s="12">
        <f t="shared" si="2"/>
        <v>1849.43766582749</v>
      </c>
      <c r="W36" s="12">
        <f t="shared" si="2"/>
        <v>1938.47318903992</v>
      </c>
      <c r="X36" s="12">
        <f t="shared" si="2"/>
        <v>2027.50871225234</v>
      </c>
      <c r="Y36" s="12">
        <f t="shared" si="2"/>
        <v>2116.54423546476</v>
      </c>
      <c r="Z36" s="12">
        <f t="shared" si="2"/>
        <v>2205.57975867719</v>
      </c>
      <c r="AA36" s="12">
        <f t="shared" si="2"/>
        <v>2294.6152818896</v>
      </c>
      <c r="AB36" s="12">
        <f t="shared" si="2"/>
        <v>2383.65080510203</v>
      </c>
      <c r="AC36" s="12">
        <f t="shared" si="2"/>
        <v>2472.68632831445</v>
      </c>
      <c r="AD36" s="12">
        <f t="shared" si="2"/>
        <v>2561.72185152687</v>
      </c>
      <c r="AE36" s="12">
        <f t="shared" si="2"/>
        <v>2650.75737473929</v>
      </c>
      <c r="AF36" s="12">
        <f t="shared" si="2"/>
        <v>2610.11520397221</v>
      </c>
      <c r="AG36" s="12">
        <f t="shared" si="2"/>
        <v>2699.15072718464</v>
      </c>
      <c r="AH36" s="12">
        <f t="shared" si="2"/>
        <v>2788.18625039706</v>
      </c>
      <c r="AI36" s="12">
        <f t="shared" si="2"/>
        <v>2877.22177360948</v>
      </c>
      <c r="AJ36" s="12">
        <f t="shared" si="2"/>
        <v>2966.2572968219</v>
      </c>
      <c r="AK36" s="12">
        <f t="shared" si="2"/>
        <v>3055.29282003433</v>
      </c>
      <c r="AL36" s="12">
        <f t="shared" si="2"/>
        <v>3144.32834324674</v>
      </c>
      <c r="AM36" s="12">
        <f t="shared" si="2"/>
        <v>3233.36386645917</v>
      </c>
      <c r="AN36" s="12">
        <f t="shared" si="2"/>
        <v>3322.39938967158</v>
      </c>
      <c r="AO36" s="12">
        <f t="shared" si="2"/>
        <v>3411.43491288401</v>
      </c>
      <c r="AP36" s="12">
        <f t="shared" si="2"/>
        <v>3500.47043609643</v>
      </c>
    </row>
    <row r="37" spans="1:42">
      <c r="A37" s="12" t="s">
        <v>320</v>
      </c>
      <c r="B37" s="12">
        <f>B32*AVERAGE($B$9:$E$9)</f>
        <v>60.9499187487568</v>
      </c>
      <c r="C37" s="12">
        <f>C32*AVERAGE($B$9:$E$9)</f>
        <v>123.324214651681</v>
      </c>
      <c r="D37" s="12">
        <f>D32*AVERAGE($B$9:$E$9)</f>
        <v>243.799674995027</v>
      </c>
      <c r="E37" s="12">
        <f>E32*AVERAGE($B$9:$E$9)</f>
        <v>643.376618467125</v>
      </c>
      <c r="F37" s="12">
        <f>F32*AVERAGE($B$9:$E$9)</f>
        <v>941.008676632077</v>
      </c>
      <c r="G37" s="12">
        <f>G32*AVERAGE($B$9:$E$9)</f>
        <v>1229.85594641383</v>
      </c>
      <c r="H37" s="12">
        <f>H32*AVERAGE($B$9:$E$9)</f>
        <v>1607.3663149876</v>
      </c>
      <c r="I37" s="12">
        <f>I32*AVERAGE($B$9:$E$9)</f>
        <v>2100.75535926827</v>
      </c>
      <c r="J37" s="12">
        <f>J32*AVERAGE($B$9:$E$9)</f>
        <v>2745.59261217839</v>
      </c>
      <c r="K37" s="12">
        <f>K32*AVERAGE($B$9:$E$9)</f>
        <v>3272.70021378786</v>
      </c>
      <c r="L37" s="12">
        <f>L32*AVERAGE($B$9:$E$9)</f>
        <v>3901.00360913675</v>
      </c>
      <c r="M37" s="12">
        <f>M32*AVERAGE($B$9:$E$9)</f>
        <v>4117.38355724559</v>
      </c>
      <c r="N37" s="12">
        <f>N32*AVERAGE($B$9:$E$9)</f>
        <v>4345.7656172812</v>
      </c>
      <c r="O37" s="12">
        <f>O32*AVERAGE($B$9:$E$9)</f>
        <v>4586.81551955714</v>
      </c>
      <c r="P37" s="12">
        <f>P32*AVERAGE($B$9:$E$9)</f>
        <v>4841.23592095898</v>
      </c>
      <c r="Q37" s="12">
        <f>Q32*AVERAGE($B$9:$E$9)</f>
        <v>5109.7684531787</v>
      </c>
      <c r="R37" s="12">
        <f>R32*AVERAGE($B$9:$E$9)</f>
        <v>5393.19588456004</v>
      </c>
      <c r="S37" s="12">
        <f>S32*AVERAGE($B$9:$E$9)</f>
        <v>5692.34440185664</v>
      </c>
      <c r="T37" s="12">
        <f>T32*AVERAGE($B$9:$E$9)</f>
        <v>6008.08601855408</v>
      </c>
      <c r="U37" s="12">
        <f>U32*AVERAGE($B$9:$E$9)</f>
        <v>6341.34111677632</v>
      </c>
      <c r="V37" s="12">
        <f>V32*AVERAGE($B$9:$E$9)</f>
        <v>6693.08113018589</v>
      </c>
      <c r="W37" s="12">
        <f>W32*AVERAGE($B$9:$E$9)</f>
        <v>7118.66915064996</v>
      </c>
      <c r="X37" s="12">
        <f>X32*AVERAGE($B$9:$E$9)</f>
        <v>7571.31872313164</v>
      </c>
      <c r="Y37" s="12">
        <f>Y32*AVERAGE($B$9:$E$9)</f>
        <v>8052.75059060859</v>
      </c>
      <c r="Z37" s="12">
        <f>Z32*AVERAGE($B$9:$E$9)</f>
        <v>8564.79491167494</v>
      </c>
      <c r="AA37" s="12">
        <f>AA32*AVERAGE($B$9:$E$9)</f>
        <v>9109.39821787142</v>
      </c>
      <c r="AB37" s="12">
        <f>AB32*AVERAGE($B$9:$E$9)</f>
        <v>9688.63081340627</v>
      </c>
      <c r="AC37" s="12">
        <f>AC32*AVERAGE($B$9:$E$9)</f>
        <v>10304.6946453966</v>
      </c>
      <c r="AD37" s="12">
        <f>AD32*AVERAGE($B$9:$E$9)</f>
        <v>10959.9316745494</v>
      </c>
      <c r="AE37" s="12">
        <f>AE32*AVERAGE($B$9:$E$9)</f>
        <v>11656.8327781019</v>
      </c>
      <c r="AF37" s="12">
        <f>AF32*AVERAGE($B$9:$E$9)</f>
        <v>12398.047218868</v>
      </c>
      <c r="AG37" s="12">
        <f>AG32*AVERAGE($B$9:$E$9)</f>
        <v>12993.4490552986</v>
      </c>
      <c r="AH37" s="12">
        <f>AH32*AVERAGE($B$9:$E$9)</f>
        <v>13617.4443742809</v>
      </c>
      <c r="AI37" s="12">
        <f>AI32*AVERAGE($B$9:$E$9)</f>
        <v>14271.4063446467</v>
      </c>
      <c r="AJ37" s="12">
        <f>AJ32*AVERAGE($B$9:$E$9)</f>
        <v>14956.7740800688</v>
      </c>
      <c r="AK37" s="12">
        <f>AK32*AVERAGE($B$9:$E$9)</f>
        <v>15675.0558059844</v>
      </c>
      <c r="AL37" s="12">
        <f>AL32*AVERAGE($B$9:$E$9)</f>
        <v>16427.832178608</v>
      </c>
      <c r="AM37" s="12">
        <f>AM32*AVERAGE($B$9:$E$9)</f>
        <v>17216.7597633355</v>
      </c>
      <c r="AN37" s="12">
        <f>AN32*AVERAGE($B$9:$E$9)</f>
        <v>18043.574680194</v>
      </c>
      <c r="AO37" s="12">
        <f>AO32*AVERAGE($B$9:$E$9)</f>
        <v>18910.0964243613</v>
      </c>
      <c r="AP37" s="12">
        <f>AP32*AVERAGE($B$9:$E$9)</f>
        <v>19818.2318701604</v>
      </c>
    </row>
    <row r="40" spans="1:1">
      <c r="A40" s="14" t="s">
        <v>321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About</vt:lpstr>
      <vt:lpstr>Grid Side Projects</vt:lpstr>
      <vt:lpstr>CEC Annual</vt:lpstr>
      <vt:lpstr>CNESA</vt:lpstr>
      <vt:lpstr>Past</vt:lpstr>
      <vt:lpstr>CN ST Forecast</vt:lpstr>
      <vt:lpstr>CN LT Forecast</vt:lpstr>
      <vt:lpstr>2024 Stats</vt:lpstr>
      <vt:lpstr>Extrapolation</vt:lpstr>
      <vt:lpstr>BGBSC</vt:lpstr>
      <vt:lpstr>PAGBSC</vt:lpstr>
      <vt:lpstr>SYGBSC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仰望星空✨✨</cp:lastModifiedBy>
  <dcterms:created xsi:type="dcterms:W3CDTF">2023-02-17T06:36:00Z</dcterms:created>
  <dcterms:modified xsi:type="dcterms:W3CDTF">2025-01-22T07:05:28Z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3B541443F59646C3902CB1050694345B_13</vt:lpwstr>
  </property>
</Properties>
</file>