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eps\全国模型更新  Calculating Cargo Distance Transported 7.9 WJ\BBSoEVP\"/>
    </mc:Choice>
  </mc:AlternateContent>
  <xr:revisionPtr revIDLastSave="0" documentId="13_ncr:1_{A934AB68-741F-4598-9C21-B4AEE0168833}" xr6:coauthVersionLast="47" xr6:coauthVersionMax="47" xr10:uidLastSave="{00000000-0000-0000-0000-000000000000}"/>
  <bookViews>
    <workbookView xWindow="0" yWindow="0" windowWidth="10800" windowHeight="13800" tabRatio="875" firstSheet="4" activeTab="7" xr2:uid="{00000000-000D-0000-FFFF-FFFF00000000}"/>
  </bookViews>
  <sheets>
    <sheet name="About" sheetId="1" r:id="rId1"/>
    <sheet name="LDV-psgr" sheetId="2" r:id="rId2"/>
    <sheet name="HDV-psgr" sheetId="3" r:id="rId3"/>
    <sheet name="LDV-frgt" sheetId="4" r:id="rId4"/>
    <sheet name="HDV-frgt" sheetId="5" r:id="rId5"/>
    <sheet name="price change" sheetId="8" r:id="rId6"/>
    <sheet name="BBSoEVP-passenger" sheetId="6" r:id="rId7"/>
    <sheet name="BBSoEVP-freight" sheetId="7" r:id="rId8"/>
  </sheets>
  <calcPr calcId="191029"/>
</workbook>
</file>

<file path=xl/calcChain.xml><?xml version="1.0" encoding="utf-8"?>
<calcChain xmlns="http://schemas.openxmlformats.org/spreadsheetml/2006/main">
  <c r="D3" i="7" l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C3" i="7"/>
  <c r="B3" i="7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C2" i="7"/>
  <c r="B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B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B2" i="6"/>
  <c r="D2" i="8"/>
  <c r="C4" i="8"/>
  <c r="C3" i="8"/>
  <c r="B4" i="8"/>
  <c r="B2" i="8" s="1"/>
  <c r="B3" i="8"/>
  <c r="E6" i="5"/>
  <c r="E5" i="5"/>
  <c r="D5" i="5"/>
  <c r="C5" i="5"/>
  <c r="E4" i="5"/>
  <c r="D4" i="5"/>
  <c r="C4" i="5"/>
  <c r="E3" i="5"/>
  <c r="E2" i="5"/>
  <c r="D2" i="5"/>
  <c r="E7" i="4"/>
  <c r="E6" i="4"/>
  <c r="C6" i="4"/>
  <c r="E5" i="4"/>
  <c r="C5" i="4"/>
  <c r="E4" i="4"/>
  <c r="C4" i="4"/>
  <c r="E3" i="4"/>
  <c r="C3" i="4"/>
  <c r="E2" i="4"/>
  <c r="E6" i="3"/>
  <c r="E5" i="3"/>
  <c r="E4" i="3"/>
  <c r="E3" i="3"/>
  <c r="E2" i="3"/>
  <c r="D2" i="3"/>
  <c r="E28" i="2"/>
  <c r="E27" i="2"/>
  <c r="C27" i="2"/>
  <c r="E26" i="2"/>
  <c r="D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D19" i="2"/>
  <c r="C19" i="2"/>
  <c r="E18" i="2"/>
  <c r="D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D10" i="2"/>
  <c r="C10" i="2"/>
  <c r="E9" i="2"/>
  <c r="C9" i="2"/>
  <c r="E8" i="2"/>
  <c r="C8" i="2"/>
  <c r="E7" i="2"/>
  <c r="C7" i="2"/>
  <c r="E6" i="2"/>
  <c r="D6" i="2"/>
  <c r="C6" i="2"/>
  <c r="E5" i="2"/>
  <c r="C5" i="2"/>
  <c r="E4" i="2"/>
  <c r="D4" i="2"/>
  <c r="C4" i="2"/>
  <c r="E3" i="2"/>
  <c r="D3" i="2"/>
  <c r="C3" i="2"/>
  <c r="E2" i="2"/>
  <c r="D2" i="2"/>
  <c r="C2" i="2"/>
  <c r="C2" i="8" l="1"/>
</calcChain>
</file>

<file path=xl/sharedStrings.xml><?xml version="1.0" encoding="utf-8"?>
<sst xmlns="http://schemas.openxmlformats.org/spreadsheetml/2006/main" count="140" uniqueCount="79">
  <si>
    <t>BBSoEVP BAU Battery Share of Electric Vehicle Price</t>
  </si>
  <si>
    <t>Sources:</t>
  </si>
  <si>
    <t>Vehicle Cost</t>
  </si>
  <si>
    <t>Notes</t>
  </si>
  <si>
    <t xml:space="preserve">For this variable, we conducted internet research to find the sales price and battery manufacturing cost for each type of vehicle. </t>
  </si>
  <si>
    <t xml:space="preserve">We then calculated the proportion of battery manufacturing cost by dividing it by the sales price. </t>
  </si>
  <si>
    <t xml:space="preserve">This provided us with the percentage of the battery manufacturing cost in relation to the overall vehicle cost. </t>
  </si>
  <si>
    <t>Finally, we took the average of these percentages.</t>
  </si>
  <si>
    <t>The battery is a significant part of the price of an electric vehicle. The battery cost after the start</t>
  </si>
  <si>
    <t>year is handled through endogenous learning.</t>
  </si>
  <si>
    <t>For China, we use this value as a calibrating parameter for passenger LDVs and choose values that align our EV cost declines</t>
  </si>
  <si>
    <t>for passenger LDVs with the values calculated in trans/BNVP.</t>
  </si>
  <si>
    <t>For other vehicle types, we use the LDV-freight calculations</t>
  </si>
  <si>
    <t>轿车</t>
  </si>
  <si>
    <t>能源类型</t>
  </si>
  <si>
    <t>售价（万元）</t>
  </si>
  <si>
    <t>电池造价（万元）</t>
  </si>
  <si>
    <t>电池造价占比</t>
  </si>
  <si>
    <t>比亚迪</t>
  </si>
  <si>
    <t>纯电</t>
  </si>
  <si>
    <t>上汽通用五菱</t>
  </si>
  <si>
    <t>广汽埃安新能源</t>
  </si>
  <si>
    <t>奇瑞</t>
  </si>
  <si>
    <t>上汽大众</t>
  </si>
  <si>
    <t>荣威</t>
  </si>
  <si>
    <t>长安</t>
  </si>
  <si>
    <t>欧拉</t>
  </si>
  <si>
    <t>零跑汽车</t>
  </si>
  <si>
    <t>小鹏</t>
  </si>
  <si>
    <t>北京汽车</t>
  </si>
  <si>
    <t>长安欧尚</t>
  </si>
  <si>
    <t>长安启源</t>
  </si>
  <si>
    <t>哪吒汽车</t>
  </si>
  <si>
    <t>东风风神</t>
  </si>
  <si>
    <t>江淮钇为</t>
  </si>
  <si>
    <t>飞凡汽车</t>
  </si>
  <si>
    <t>宝骏</t>
  </si>
  <si>
    <t>MG名爵</t>
  </si>
  <si>
    <t>睿蓝汽车</t>
  </si>
  <si>
    <t>凌宝汽车</t>
  </si>
  <si>
    <t>东风富康</t>
  </si>
  <si>
    <t>东风风行</t>
  </si>
  <si>
    <t>启辰</t>
  </si>
  <si>
    <t>雪佛兰</t>
  </si>
  <si>
    <t>曹操汽车</t>
  </si>
  <si>
    <t>均值</t>
  </si>
  <si>
    <t>客车</t>
  </si>
  <si>
    <t>电池造价</t>
  </si>
  <si>
    <t>中通</t>
  </si>
  <si>
    <t>宇通</t>
  </si>
  <si>
    <t>申沃</t>
  </si>
  <si>
    <t>轻卡</t>
  </si>
  <si>
    <t>远程星智E200</t>
  </si>
  <si>
    <t>福田智蓝轻卡</t>
  </si>
  <si>
    <t>江铃顺达EV</t>
  </si>
  <si>
    <t>陕汽德龙E3000</t>
  </si>
  <si>
    <t>乘龙L2</t>
  </si>
  <si>
    <t>重卡</t>
  </si>
  <si>
    <t>三一汽车</t>
  </si>
  <si>
    <t>智蓝重卡</t>
  </si>
  <si>
    <t>上汽红岩</t>
  </si>
  <si>
    <t>中国一汽</t>
  </si>
  <si>
    <t>Non-Battery Price ($)</t>
  </si>
  <si>
    <t>LDVs</t>
  </si>
  <si>
    <t>HDVs</t>
  </si>
  <si>
    <t>aircraft</t>
  </si>
  <si>
    <t>rail</t>
  </si>
  <si>
    <t>ships</t>
  </si>
  <si>
    <t>motorbikes</t>
  </si>
  <si>
    <t>From online sources, such as 360che.com</t>
    <phoneticPr fontId="6" type="noConversion"/>
  </si>
  <si>
    <t>2020-2021</t>
    <phoneticPr fontId="6" type="noConversion"/>
  </si>
  <si>
    <t>2021-2022</t>
    <phoneticPr fontId="6" type="noConversion"/>
  </si>
  <si>
    <t>2022-2023</t>
    <phoneticPr fontId="6" type="noConversion"/>
  </si>
  <si>
    <t>former</t>
    <phoneticPr fontId="6" type="noConversion"/>
  </si>
  <si>
    <t>latter</t>
    <phoneticPr fontId="6" type="noConversion"/>
  </si>
  <si>
    <t>三元电池占比</t>
    <phoneticPr fontId="6" type="noConversion"/>
  </si>
  <si>
    <t>磷酸铁锂占比</t>
    <phoneticPr fontId="6" type="noConversion"/>
  </si>
  <si>
    <t>2021~2022年中国新能源汽车动力电池产业发展报告</t>
  </si>
  <si>
    <t>2024年中国动力锂电池价格变化趋势观察 三大因素驱动动力锂电池价格下降【组图】|锂电池_新浪财经_新浪网 (sina.com.cn)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</si>
</sst>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7">
    <font>
      <sz val="10"/>
      <color theme="1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Microsoft YaHei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2" fontId="2" fillId="0" borderId="0" xfId="0" applyNumberFormat="1" applyFont="1" applyAlignment="1"/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/>
    <xf numFmtId="0" fontId="1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4" fillId="0" borderId="0" xfId="1" applyFont="1" applyFill="1" applyAlignment="1"/>
    <xf numFmtId="0" fontId="4" fillId="0" borderId="0" xfId="1" applyFont="1" applyAlignment="1"/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sina.com.cn/roll/2024-02-18/doc-inaimsqp382146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B4" sqref="B4"/>
    </sheetView>
  </sheetViews>
  <sheetFormatPr defaultColWidth="8.83203125" defaultRowHeight="14.5"/>
  <cols>
    <col min="2" max="2" width="70.5" customWidth="1"/>
  </cols>
  <sheetData>
    <row r="1" spans="1:6">
      <c r="A1" s="2" t="s">
        <v>0</v>
      </c>
      <c r="B1" s="6"/>
      <c r="C1" s="6"/>
      <c r="D1" s="6"/>
      <c r="E1" s="6"/>
      <c r="F1" s="6"/>
    </row>
    <row r="2" spans="1:6">
      <c r="A2" s="6"/>
      <c r="B2" s="6"/>
      <c r="C2" s="6"/>
      <c r="D2" s="6"/>
      <c r="E2" s="6"/>
      <c r="F2" s="6"/>
    </row>
    <row r="3" spans="1:6">
      <c r="A3" s="2" t="s">
        <v>1</v>
      </c>
      <c r="B3" s="7" t="s">
        <v>2</v>
      </c>
      <c r="C3" s="6"/>
      <c r="D3" s="6"/>
      <c r="E3" s="6"/>
      <c r="F3" s="6"/>
    </row>
    <row r="4" spans="1:6">
      <c r="A4" s="6"/>
      <c r="B4" s="6" t="s">
        <v>69</v>
      </c>
      <c r="C4" s="6"/>
      <c r="D4" s="6"/>
      <c r="E4" s="6"/>
      <c r="F4" s="6"/>
    </row>
    <row r="10" spans="1:6">
      <c r="A10" s="8" t="s">
        <v>3</v>
      </c>
    </row>
    <row r="11" spans="1:6">
      <c r="A11" s="6" t="s">
        <v>4</v>
      </c>
    </row>
    <row r="12" spans="1:6">
      <c r="A12" s="6" t="s">
        <v>5</v>
      </c>
    </row>
    <row r="13" spans="1:6">
      <c r="A13" s="6" t="s">
        <v>6</v>
      </c>
    </row>
    <row r="14" spans="1:6">
      <c r="A14" s="6" t="s">
        <v>7</v>
      </c>
    </row>
    <row r="18" spans="1:6">
      <c r="A18" s="6"/>
      <c r="B18" s="6"/>
      <c r="C18" s="6"/>
      <c r="D18" s="6"/>
      <c r="E18" s="6"/>
      <c r="F18" s="6"/>
    </row>
    <row r="19" spans="1:6">
      <c r="A19" s="6"/>
      <c r="B19" s="9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10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9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11"/>
      <c r="C27" s="6"/>
      <c r="D27" s="6"/>
      <c r="E27" s="6"/>
      <c r="F27" s="6"/>
    </row>
    <row r="28" spans="1:6">
      <c r="A28" s="6"/>
      <c r="B28" s="6"/>
      <c r="C28" s="6"/>
      <c r="D28" s="6"/>
      <c r="E28" s="6"/>
      <c r="F28" s="6"/>
    </row>
    <row r="29" spans="1:6">
      <c r="A29" s="6"/>
      <c r="B29" s="6"/>
      <c r="C29" s="6"/>
      <c r="D29" s="6"/>
      <c r="E29" s="6"/>
      <c r="F29" s="6"/>
    </row>
    <row r="30" spans="1:6">
      <c r="A30" s="6" t="s">
        <v>3</v>
      </c>
      <c r="B30" s="6"/>
      <c r="C30" s="6"/>
      <c r="D30" s="6"/>
      <c r="E30" s="6"/>
      <c r="F30" s="6"/>
    </row>
    <row r="31" spans="1:6">
      <c r="A31" s="6" t="s">
        <v>8</v>
      </c>
      <c r="B31" s="6"/>
      <c r="C31" s="6"/>
      <c r="D31" s="6"/>
      <c r="E31" s="6"/>
      <c r="F31" s="6"/>
    </row>
    <row r="32" spans="1:6">
      <c r="A32" s="6" t="s">
        <v>9</v>
      </c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 t="s">
        <v>10</v>
      </c>
      <c r="B34" s="6"/>
      <c r="C34" s="6"/>
      <c r="D34" s="6"/>
      <c r="E34" s="6"/>
      <c r="F34" s="6"/>
    </row>
    <row r="35" spans="1:6">
      <c r="A35" s="6" t="s">
        <v>11</v>
      </c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 t="s">
        <v>12</v>
      </c>
      <c r="B37" s="6"/>
      <c r="C37" s="6"/>
      <c r="D37" s="6"/>
      <c r="E37" s="6"/>
      <c r="F37" s="6"/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opLeftCell="A7" workbookViewId="0">
      <selection activeCell="E28" sqref="E28"/>
    </sheetView>
  </sheetViews>
  <sheetFormatPr defaultColWidth="8.83203125" defaultRowHeight="14.5"/>
  <cols>
    <col min="1" max="1" width="13.83203125" customWidth="1"/>
    <col min="2" max="2" width="8.33203125" customWidth="1"/>
    <col min="3" max="3" width="11.9140625" customWidth="1"/>
    <col min="4" max="4" width="15.6640625" customWidth="1"/>
    <col min="5" max="5" width="11.9140625" customWidth="1"/>
    <col min="7" max="7" width="9.5"/>
  </cols>
  <sheetData>
    <row r="1" spans="1: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</row>
    <row r="2" spans="1:5">
      <c r="A2" t="s">
        <v>18</v>
      </c>
      <c r="B2" t="s">
        <v>19</v>
      </c>
      <c r="C2">
        <f>(20.98+15.7)/2</f>
        <v>18.34</v>
      </c>
      <c r="D2">
        <f>2700*10/10000</f>
        <v>2.7</v>
      </c>
      <c r="E2">
        <f>D2/C2</f>
        <v>0.14721919302072001</v>
      </c>
    </row>
    <row r="3" spans="1:5">
      <c r="A3" t="s">
        <v>20</v>
      </c>
      <c r="B3" t="s">
        <v>19</v>
      </c>
      <c r="C3">
        <f>(3.28+5.98)/2</f>
        <v>4.63</v>
      </c>
      <c r="D3">
        <f>AVERAGE(0.9,1.2)</f>
        <v>1.05</v>
      </c>
      <c r="E3">
        <f>D3/C3</f>
        <v>0.226781857451404</v>
      </c>
    </row>
    <row r="4" spans="1:5">
      <c r="A4" t="s">
        <v>21</v>
      </c>
      <c r="B4" t="s">
        <v>19</v>
      </c>
      <c r="C4">
        <f>(18.98+26.98)/2</f>
        <v>22.98</v>
      </c>
      <c r="D4">
        <f>AVERAGE(3,5.5)</f>
        <v>4.25</v>
      </c>
      <c r="E4">
        <f>D4/C4</f>
        <v>0.18494342906875499</v>
      </c>
    </row>
    <row r="5" spans="1:5">
      <c r="A5" t="s">
        <v>22</v>
      </c>
      <c r="B5" t="s">
        <v>19</v>
      </c>
      <c r="C5">
        <f>(5.39+20.29)/2</f>
        <v>12.84</v>
      </c>
      <c r="D5">
        <v>3.54</v>
      </c>
      <c r="E5">
        <f>D5/C5</f>
        <v>0.27570093457943901</v>
      </c>
    </row>
    <row r="6" spans="1:5">
      <c r="A6" t="s">
        <v>23</v>
      </c>
      <c r="B6" t="s">
        <v>19</v>
      </c>
      <c r="C6">
        <f>AVERAGE(14.89,33.89)</f>
        <v>24.39</v>
      </c>
      <c r="D6">
        <f>12*0.2</f>
        <v>2.4</v>
      </c>
      <c r="E6">
        <f t="shared" ref="E6:E27" si="0">D6/C6</f>
        <v>9.8400984009840098E-2</v>
      </c>
    </row>
    <row r="7" spans="1:5">
      <c r="A7" t="s">
        <v>24</v>
      </c>
      <c r="B7" t="s">
        <v>19</v>
      </c>
      <c r="C7">
        <f>AVERAGE(13.68,18.88)</f>
        <v>16.28</v>
      </c>
      <c r="D7">
        <v>4.2</v>
      </c>
      <c r="E7">
        <f t="shared" si="0"/>
        <v>0.25798525798525801</v>
      </c>
    </row>
    <row r="8" spans="1:5">
      <c r="A8" t="s">
        <v>25</v>
      </c>
      <c r="B8" t="s">
        <v>19</v>
      </c>
      <c r="C8">
        <f>AVERAGE(14.99,15.99)</f>
        <v>15.49</v>
      </c>
      <c r="D8">
        <v>3.75</v>
      </c>
      <c r="E8">
        <f t="shared" si="0"/>
        <v>0.24209167204648199</v>
      </c>
    </row>
    <row r="9" spans="1:5">
      <c r="A9" t="s">
        <v>26</v>
      </c>
      <c r="B9" t="s">
        <v>19</v>
      </c>
      <c r="C9">
        <f>AVERAGE(12.98,26.98)</f>
        <v>19.98</v>
      </c>
      <c r="D9">
        <v>6.88</v>
      </c>
      <c r="E9">
        <f t="shared" si="0"/>
        <v>0.34434434434434402</v>
      </c>
    </row>
    <row r="10" spans="1:5">
      <c r="A10" t="s">
        <v>27</v>
      </c>
      <c r="B10" t="s">
        <v>19</v>
      </c>
      <c r="C10" s="5">
        <f>AVERAGE(5.99,20.88)</f>
        <v>13.435</v>
      </c>
      <c r="D10">
        <f>0.3*10</f>
        <v>3</v>
      </c>
      <c r="E10">
        <f t="shared" si="0"/>
        <v>0.22329735764793501</v>
      </c>
    </row>
    <row r="11" spans="1:5">
      <c r="A11" t="s">
        <v>28</v>
      </c>
      <c r="B11" t="s">
        <v>19</v>
      </c>
      <c r="C11">
        <f>AVERAGE(15.69,33.99)</f>
        <v>24.84</v>
      </c>
      <c r="D11">
        <v>4</v>
      </c>
      <c r="E11">
        <f t="shared" si="0"/>
        <v>0.161030595813205</v>
      </c>
    </row>
    <row r="12" spans="1:5">
      <c r="A12" t="s">
        <v>29</v>
      </c>
      <c r="B12" t="s">
        <v>19</v>
      </c>
      <c r="C12">
        <f>AVERAGE(12.99,17.19)</f>
        <v>15.09</v>
      </c>
      <c r="D12">
        <v>10</v>
      </c>
      <c r="E12">
        <f t="shared" si="0"/>
        <v>0.66269052352551405</v>
      </c>
    </row>
    <row r="13" spans="1:5">
      <c r="A13" t="s">
        <v>30</v>
      </c>
      <c r="B13" t="s">
        <v>19</v>
      </c>
      <c r="C13">
        <f>AVERAGE(7.99)</f>
        <v>7.99</v>
      </c>
      <c r="D13">
        <v>3</v>
      </c>
      <c r="E13">
        <f t="shared" si="0"/>
        <v>0.37546933667083898</v>
      </c>
    </row>
    <row r="14" spans="1:5">
      <c r="A14" t="s">
        <v>31</v>
      </c>
      <c r="B14" t="s">
        <v>19</v>
      </c>
      <c r="C14">
        <f>AVERAGE(8.99,17.69)</f>
        <v>13.34</v>
      </c>
      <c r="D14">
        <v>3.5</v>
      </c>
      <c r="E14">
        <f t="shared" si="0"/>
        <v>0.26236881559220399</v>
      </c>
    </row>
    <row r="15" spans="1:5">
      <c r="A15" t="s">
        <v>32</v>
      </c>
      <c r="B15" t="s">
        <v>19</v>
      </c>
      <c r="C15">
        <f>AVERAGE(15.98,34.18)</f>
        <v>25.08</v>
      </c>
      <c r="D15">
        <v>10</v>
      </c>
      <c r="E15">
        <f t="shared" si="0"/>
        <v>0.39872408293460898</v>
      </c>
    </row>
    <row r="16" spans="1:5">
      <c r="A16" t="s">
        <v>33</v>
      </c>
      <c r="B16" t="s">
        <v>19</v>
      </c>
      <c r="C16">
        <f>AVERAGE(14.28,15.38)</f>
        <v>14.83</v>
      </c>
      <c r="D16">
        <v>3.78</v>
      </c>
      <c r="E16">
        <f t="shared" si="0"/>
        <v>0.25488873904248099</v>
      </c>
    </row>
    <row r="17" spans="1:5">
      <c r="A17" t="s">
        <v>34</v>
      </c>
      <c r="B17" t="s">
        <v>19</v>
      </c>
      <c r="C17">
        <f>AVERAGE(8.99,12.79)</f>
        <v>10.89</v>
      </c>
      <c r="D17">
        <v>2.57</v>
      </c>
      <c r="E17">
        <f t="shared" si="0"/>
        <v>0.235996326905418</v>
      </c>
    </row>
    <row r="18" spans="1:5">
      <c r="A18" t="s">
        <v>35</v>
      </c>
      <c r="B18" t="s">
        <v>19</v>
      </c>
      <c r="C18">
        <f>AVERAGE(22.99,30.19)</f>
        <v>26.59</v>
      </c>
      <c r="D18">
        <f>AVERAGE(8.4,10)</f>
        <v>9.1999999999999993</v>
      </c>
      <c r="E18">
        <f t="shared" si="0"/>
        <v>0.34599473486273002</v>
      </c>
    </row>
    <row r="19" spans="1:5">
      <c r="A19" t="s">
        <v>36</v>
      </c>
      <c r="B19" t="s">
        <v>19</v>
      </c>
      <c r="C19">
        <f>AVERAGE(7.78,13.38)</f>
        <v>10.58</v>
      </c>
      <c r="D19">
        <f>0.25*10</f>
        <v>2.5</v>
      </c>
      <c r="E19">
        <f t="shared" si="0"/>
        <v>0.236294896030246</v>
      </c>
    </row>
    <row r="20" spans="1:5">
      <c r="A20" t="s">
        <v>37</v>
      </c>
      <c r="B20" t="s">
        <v>19</v>
      </c>
      <c r="C20">
        <f>AVERAGE(13.98,19.98)</f>
        <v>16.98</v>
      </c>
      <c r="D20">
        <v>3.78</v>
      </c>
      <c r="E20">
        <f t="shared" si="0"/>
        <v>0.22261484098939899</v>
      </c>
    </row>
    <row r="21" spans="1:5">
      <c r="A21" t="s">
        <v>38</v>
      </c>
      <c r="B21" t="s">
        <v>19</v>
      </c>
      <c r="C21">
        <f>AVERAGE(8.98,16.38)</f>
        <v>12.68</v>
      </c>
      <c r="D21">
        <v>6.5</v>
      </c>
      <c r="E21">
        <f t="shared" si="0"/>
        <v>0.51261829652996804</v>
      </c>
    </row>
    <row r="22" spans="1:5">
      <c r="A22" t="s">
        <v>39</v>
      </c>
      <c r="B22" t="s">
        <v>19</v>
      </c>
      <c r="C22">
        <f>AVERAGE(2.98,6.88)</f>
        <v>4.93</v>
      </c>
      <c r="D22">
        <v>3.98</v>
      </c>
      <c r="E22">
        <f t="shared" si="0"/>
        <v>0.80730223123732303</v>
      </c>
    </row>
    <row r="23" spans="1:5">
      <c r="A23" t="s">
        <v>40</v>
      </c>
      <c r="B23" t="s">
        <v>19</v>
      </c>
      <c r="C23">
        <f>AVERAGE(12.98,16.38)</f>
        <v>14.68</v>
      </c>
      <c r="D23">
        <v>5.7</v>
      </c>
      <c r="E23">
        <f t="shared" si="0"/>
        <v>0.38828337874659402</v>
      </c>
    </row>
    <row r="24" spans="1:5">
      <c r="A24" t="s">
        <v>41</v>
      </c>
      <c r="B24" t="s">
        <v>19</v>
      </c>
      <c r="C24">
        <f>AVERAGE(15.09,16.99)</f>
        <v>16.04</v>
      </c>
      <c r="D24">
        <v>4.08</v>
      </c>
      <c r="E24">
        <f t="shared" si="0"/>
        <v>0.25436408977556102</v>
      </c>
    </row>
    <row r="25" spans="1:5">
      <c r="A25" t="s">
        <v>42</v>
      </c>
      <c r="B25" t="s">
        <v>19</v>
      </c>
      <c r="C25">
        <f>AVERAGE(13.98,15.8)</f>
        <v>14.89</v>
      </c>
      <c r="D25">
        <v>3.79</v>
      </c>
      <c r="E25">
        <f t="shared" si="0"/>
        <v>0.25453324378777697</v>
      </c>
    </row>
    <row r="26" spans="1:5">
      <c r="A26" t="s">
        <v>43</v>
      </c>
      <c r="B26" t="s">
        <v>19</v>
      </c>
      <c r="C26">
        <f>AVERAGE(18.29,19.79)</f>
        <v>19.04</v>
      </c>
      <c r="D26">
        <f>0.5*12</f>
        <v>6</v>
      </c>
      <c r="E26">
        <f t="shared" si="0"/>
        <v>0.315126050420168</v>
      </c>
    </row>
    <row r="27" spans="1:5">
      <c r="A27" t="s">
        <v>44</v>
      </c>
      <c r="B27" t="s">
        <v>19</v>
      </c>
      <c r="C27">
        <f>AVERAGE(11.98,15.58)</f>
        <v>13.78</v>
      </c>
      <c r="D27">
        <v>4.79</v>
      </c>
      <c r="E27">
        <f t="shared" si="0"/>
        <v>0.34760522496371499</v>
      </c>
    </row>
    <row r="28" spans="1:5">
      <c r="A28" s="4" t="s">
        <v>45</v>
      </c>
      <c r="B28" s="4"/>
      <c r="C28" s="4"/>
      <c r="D28" s="4"/>
      <c r="E28" s="4">
        <f>AVERAGE(E2:E27)</f>
        <v>0.30910270915315102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activeCell="E6" sqref="E6"/>
    </sheetView>
  </sheetViews>
  <sheetFormatPr defaultColWidth="8.83203125" defaultRowHeight="14.5"/>
  <cols>
    <col min="1" max="1" width="11.9140625" customWidth="1"/>
    <col min="2" max="2" width="8.33203125" customWidth="1"/>
    <col min="3" max="3" width="11.9140625" customWidth="1"/>
    <col min="4" max="4" width="8.33203125" customWidth="1"/>
    <col min="5" max="5" width="11.9140625" customWidth="1"/>
  </cols>
  <sheetData>
    <row r="1" spans="1:5">
      <c r="A1" s="4" t="s">
        <v>46</v>
      </c>
      <c r="B1" s="4" t="s">
        <v>14</v>
      </c>
      <c r="C1" s="4" t="s">
        <v>15</v>
      </c>
      <c r="D1" s="4" t="s">
        <v>47</v>
      </c>
      <c r="E1" s="4" t="s">
        <v>17</v>
      </c>
    </row>
    <row r="2" spans="1:5">
      <c r="A2" t="s">
        <v>18</v>
      </c>
      <c r="B2" t="s">
        <v>19</v>
      </c>
      <c r="C2">
        <v>125</v>
      </c>
      <c r="D2">
        <f>2.1*10</f>
        <v>21</v>
      </c>
      <c r="E2">
        <f>D2/C2</f>
        <v>0.16800000000000001</v>
      </c>
    </row>
    <row r="3" spans="1:5">
      <c r="A3" t="s">
        <v>48</v>
      </c>
      <c r="B3" t="s">
        <v>19</v>
      </c>
      <c r="C3">
        <v>45</v>
      </c>
      <c r="D3">
        <v>9</v>
      </c>
      <c r="E3">
        <f>D3/C3</f>
        <v>0.2</v>
      </c>
    </row>
    <row r="4" spans="1:5">
      <c r="A4" t="s">
        <v>49</v>
      </c>
      <c r="B4" t="s">
        <v>19</v>
      </c>
      <c r="C4">
        <v>105</v>
      </c>
      <c r="D4">
        <v>17</v>
      </c>
      <c r="E4">
        <f>D4/C4</f>
        <v>0.161904761904762</v>
      </c>
    </row>
    <row r="5" spans="1:5">
      <c r="A5" t="s">
        <v>50</v>
      </c>
      <c r="B5" t="s">
        <v>19</v>
      </c>
      <c r="C5">
        <v>99.85</v>
      </c>
      <c r="D5">
        <v>14</v>
      </c>
      <c r="E5">
        <f>D5/C5</f>
        <v>0.14021031547321</v>
      </c>
    </row>
    <row r="6" spans="1:5">
      <c r="A6" s="4" t="s">
        <v>45</v>
      </c>
      <c r="B6" s="4"/>
      <c r="C6" s="4"/>
      <c r="D6" s="4"/>
      <c r="E6" s="4">
        <f>AVERAGE(E2:E5)</f>
        <v>0.16752876934449301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2" sqref="E2"/>
    </sheetView>
  </sheetViews>
  <sheetFormatPr defaultColWidth="8.83203125" defaultRowHeight="14.5"/>
  <cols>
    <col min="1" max="1" width="13.58203125" customWidth="1"/>
    <col min="2" max="2" width="8.33203125" customWidth="1"/>
    <col min="3" max="3" width="11.9140625" customWidth="1"/>
    <col min="4" max="4" width="15.6640625" customWidth="1"/>
    <col min="5" max="5" width="12.83203125" customWidth="1"/>
  </cols>
  <sheetData>
    <row r="1" spans="1:5">
      <c r="A1" s="4" t="s">
        <v>51</v>
      </c>
      <c r="B1" s="4" t="s">
        <v>14</v>
      </c>
      <c r="C1" s="4" t="s">
        <v>15</v>
      </c>
      <c r="D1" s="4" t="s">
        <v>16</v>
      </c>
      <c r="E1" s="4" t="s">
        <v>17</v>
      </c>
    </row>
    <row r="2" spans="1:5">
      <c r="A2" t="s">
        <v>52</v>
      </c>
      <c r="B2" t="s">
        <v>19</v>
      </c>
      <c r="C2">
        <v>22.88</v>
      </c>
      <c r="D2">
        <v>8.3699999999999992</v>
      </c>
      <c r="E2">
        <f>D2/C2</f>
        <v>0.365821678321678</v>
      </c>
    </row>
    <row r="3" spans="1:5">
      <c r="A3" t="s">
        <v>53</v>
      </c>
      <c r="B3" t="s">
        <v>19</v>
      </c>
      <c r="C3">
        <f>AVERAGE(19.18,37.48)</f>
        <v>28.33</v>
      </c>
      <c r="D3">
        <v>10</v>
      </c>
      <c r="E3">
        <f>D3/C3</f>
        <v>0.35298270384751201</v>
      </c>
    </row>
    <row r="4" spans="1:5">
      <c r="A4" t="s">
        <v>54</v>
      </c>
      <c r="B4" t="s">
        <v>19</v>
      </c>
      <c r="C4">
        <f>AVERAGE(22.1,26.98)</f>
        <v>24.54</v>
      </c>
      <c r="D4">
        <v>7</v>
      </c>
      <c r="E4">
        <f>D4/C4</f>
        <v>0.28524857375713097</v>
      </c>
    </row>
    <row r="5" spans="1:5">
      <c r="A5" t="s">
        <v>55</v>
      </c>
      <c r="B5" t="s">
        <v>19</v>
      </c>
      <c r="C5">
        <f>AVERAGE(19.7,25)</f>
        <v>22.35</v>
      </c>
      <c r="D5">
        <v>7</v>
      </c>
      <c r="E5">
        <f>D5/C5</f>
        <v>0.31319910514541399</v>
      </c>
    </row>
    <row r="6" spans="1:5">
      <c r="A6" t="s">
        <v>56</v>
      </c>
      <c r="B6" t="s">
        <v>19</v>
      </c>
      <c r="C6">
        <f>AVERAGE(19,28.3)</f>
        <v>23.65</v>
      </c>
      <c r="D6">
        <v>8</v>
      </c>
      <c r="E6">
        <f>D6/C6</f>
        <v>0.33826638477801302</v>
      </c>
    </row>
    <row r="7" spans="1:5">
      <c r="A7" s="4" t="s">
        <v>45</v>
      </c>
      <c r="B7" s="4"/>
      <c r="C7" s="4"/>
      <c r="D7" s="4"/>
      <c r="E7" s="4">
        <f>AVERAGE(E2:E6)</f>
        <v>0.33110368916994998</v>
      </c>
    </row>
  </sheetData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D6" sqref="D6"/>
    </sheetView>
  </sheetViews>
  <sheetFormatPr defaultColWidth="8.83203125" defaultRowHeight="14.5"/>
  <cols>
    <col min="1" max="2" width="8.33203125" customWidth="1"/>
    <col min="3" max="3" width="11.9140625" customWidth="1"/>
    <col min="4" max="4" width="8.33203125" customWidth="1"/>
    <col min="5" max="5" width="11.9140625" customWidth="1"/>
  </cols>
  <sheetData>
    <row r="1" spans="1:5">
      <c r="A1" s="4" t="s">
        <v>57</v>
      </c>
      <c r="B1" s="4" t="s">
        <v>14</v>
      </c>
      <c r="C1" s="4" t="s">
        <v>15</v>
      </c>
      <c r="D1" s="4" t="s">
        <v>47</v>
      </c>
      <c r="E1" s="4" t="s">
        <v>17</v>
      </c>
    </row>
    <row r="2" spans="1:5">
      <c r="A2" t="s">
        <v>58</v>
      </c>
      <c r="B2" t="s">
        <v>19</v>
      </c>
      <c r="C2">
        <v>50</v>
      </c>
      <c r="D2">
        <f>AVERAGE(9,12)</f>
        <v>10.5</v>
      </c>
      <c r="E2">
        <f>D2/C2</f>
        <v>0.21</v>
      </c>
    </row>
    <row r="3" spans="1:5">
      <c r="A3" t="s">
        <v>59</v>
      </c>
      <c r="B3" t="s">
        <v>19</v>
      </c>
      <c r="C3">
        <v>98.9</v>
      </c>
      <c r="D3">
        <v>32</v>
      </c>
      <c r="E3">
        <f>D3/C3</f>
        <v>0.32355915065723001</v>
      </c>
    </row>
    <row r="4" spans="1:5">
      <c r="A4" t="s">
        <v>60</v>
      </c>
      <c r="B4" t="s">
        <v>19</v>
      </c>
      <c r="C4">
        <f>AVERAGE(79.94,100.3)</f>
        <v>90.12</v>
      </c>
      <c r="D4">
        <f>AVERAGE(30,32)</f>
        <v>31</v>
      </c>
      <c r="E4">
        <f>D4/C4</f>
        <v>0.34398579671549001</v>
      </c>
    </row>
    <row r="5" spans="1:5">
      <c r="A5" t="s">
        <v>61</v>
      </c>
      <c r="B5" t="s">
        <v>19</v>
      </c>
      <c r="C5">
        <f>AVERAGE(73.7,82.57)</f>
        <v>78.135000000000005</v>
      </c>
      <c r="D5">
        <f>2.78*10</f>
        <v>27.8</v>
      </c>
      <c r="E5">
        <f>D5/C5</f>
        <v>0.35579445830933598</v>
      </c>
    </row>
    <row r="6" spans="1:5">
      <c r="A6" s="4" t="s">
        <v>45</v>
      </c>
      <c r="B6" s="4"/>
      <c r="C6" s="4"/>
      <c r="D6" s="4"/>
      <c r="E6" s="4">
        <f>AVERAGE(E2:E5)</f>
        <v>0.30833485142051398</v>
      </c>
    </row>
  </sheetData>
  <phoneticPr fontId="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1F04-A309-4E85-A61E-F69F250EBFC0}">
  <sheetPr>
    <tabColor rgb="FF0070C0"/>
  </sheetPr>
  <dimension ref="A1:D10"/>
  <sheetViews>
    <sheetView workbookViewId="0">
      <selection activeCell="D2" sqref="D2"/>
    </sheetView>
  </sheetViews>
  <sheetFormatPr defaultRowHeight="14.5"/>
  <cols>
    <col min="2" max="4" width="12.4140625" customWidth="1"/>
  </cols>
  <sheetData>
    <row r="1" spans="1:4">
      <c r="B1" t="s">
        <v>70</v>
      </c>
      <c r="C1" t="s">
        <v>71</v>
      </c>
      <c r="D1" t="s">
        <v>72</v>
      </c>
    </row>
    <row r="2" spans="1:4">
      <c r="B2">
        <f>1+(B4-B3)/B3</f>
        <v>0.67469879518072284</v>
      </c>
      <c r="C2">
        <f>1+(C4-C3)/C3</f>
        <v>1.8392857142857144</v>
      </c>
      <c r="D2">
        <f>0.53*C6+0.57*C5</f>
        <v>0.54200000000000004</v>
      </c>
    </row>
    <row r="3" spans="1:4">
      <c r="A3" t="s">
        <v>73</v>
      </c>
      <c r="B3">
        <f>0.9*C5+0.8*C6</f>
        <v>0.83</v>
      </c>
      <c r="C3">
        <f>B4</f>
        <v>0.55999999999999994</v>
      </c>
    </row>
    <row r="4" spans="1:4">
      <c r="A4" t="s">
        <v>74</v>
      </c>
      <c r="B4">
        <f>0.7*C5+0.5*C6</f>
        <v>0.55999999999999994</v>
      </c>
      <c r="C4">
        <f>1.1*0.3+1*0.7</f>
        <v>1.03</v>
      </c>
    </row>
    <row r="5" spans="1:4">
      <c r="B5" t="s">
        <v>75</v>
      </c>
      <c r="C5">
        <v>0.3</v>
      </c>
    </row>
    <row r="6" spans="1:4">
      <c r="B6" t="s">
        <v>76</v>
      </c>
      <c r="C6">
        <v>0.7</v>
      </c>
    </row>
    <row r="9" spans="1:4">
      <c r="B9" s="12" t="s">
        <v>77</v>
      </c>
    </row>
    <row r="10" spans="1:4">
      <c r="B10" s="12" t="s">
        <v>78</v>
      </c>
    </row>
  </sheetData>
  <phoneticPr fontId="6" type="noConversion"/>
  <hyperlinks>
    <hyperlink ref="B10" r:id="rId1" display="https://finance.sina.com.cn/roll/2024-02-18/doc-inaimsqp3821463.shtml" xr:uid="{C73E8F78-B151-4915-B0C9-5E70CFF118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AP7"/>
  <sheetViews>
    <sheetView workbookViewId="0">
      <selection activeCell="AO6" sqref="AO6"/>
    </sheetView>
  </sheetViews>
  <sheetFormatPr defaultColWidth="8.83203125" defaultRowHeight="14.5"/>
  <cols>
    <col min="1" max="1" width="11.6640625" customWidth="1"/>
  </cols>
  <sheetData>
    <row r="1" spans="1:42" ht="28">
      <c r="A1" s="1" t="s">
        <v>62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>
      <c r="A2" s="2" t="s">
        <v>63</v>
      </c>
      <c r="B2" s="3">
        <f>'LDV-psgr'!$E$28*'price change'!$B$2*'price change'!$C$2*'price change'!$D$2</f>
        <v>0.20790322700221456</v>
      </c>
      <c r="C2" s="3">
        <f>'LDV-psgr'!$E$28*'price change'!$B$2*'price change'!$C$2*'price change'!$D$2</f>
        <v>0.20790322700221456</v>
      </c>
      <c r="D2" s="3">
        <f>'LDV-psgr'!$E$28*'price change'!$B$2*'price change'!$C$2*'price change'!$D$2</f>
        <v>0.20790322700221456</v>
      </c>
      <c r="E2" s="3">
        <f>'LDV-psgr'!$E$28*'price change'!$B$2*'price change'!$C$2*'price change'!$D$2</f>
        <v>0.20790322700221456</v>
      </c>
      <c r="F2" s="3">
        <f>'LDV-psgr'!$E$28*'price change'!$B$2*'price change'!$C$2*'price change'!$D$2</f>
        <v>0.20790322700221456</v>
      </c>
      <c r="G2" s="3">
        <f>'LDV-psgr'!$E$28*'price change'!$B$2*'price change'!$C$2*'price change'!$D$2</f>
        <v>0.20790322700221456</v>
      </c>
      <c r="H2" s="3">
        <f>'LDV-psgr'!$E$28*'price change'!$B$2*'price change'!$C$2*'price change'!$D$2</f>
        <v>0.20790322700221456</v>
      </c>
      <c r="I2" s="3">
        <f>'LDV-psgr'!$E$28*'price change'!$B$2*'price change'!$C$2*'price change'!$D$2</f>
        <v>0.20790322700221456</v>
      </c>
      <c r="J2" s="3">
        <f>'LDV-psgr'!$E$28*'price change'!$B$2*'price change'!$C$2*'price change'!$D$2</f>
        <v>0.20790322700221456</v>
      </c>
      <c r="K2" s="3">
        <f>'LDV-psgr'!$E$28*'price change'!$B$2*'price change'!$C$2*'price change'!$D$2</f>
        <v>0.20790322700221456</v>
      </c>
      <c r="L2" s="3">
        <f>'LDV-psgr'!$E$28*'price change'!$B$2*'price change'!$C$2*'price change'!$D$2</f>
        <v>0.20790322700221456</v>
      </c>
      <c r="M2" s="3">
        <f>'LDV-psgr'!$E$28*'price change'!$B$2*'price change'!$C$2*'price change'!$D$2</f>
        <v>0.20790322700221456</v>
      </c>
      <c r="N2" s="3">
        <f>'LDV-psgr'!$E$28*'price change'!$B$2*'price change'!$C$2*'price change'!$D$2</f>
        <v>0.20790322700221456</v>
      </c>
      <c r="O2" s="3">
        <f>'LDV-psgr'!$E$28*'price change'!$B$2*'price change'!$C$2*'price change'!$D$2</f>
        <v>0.20790322700221456</v>
      </c>
      <c r="P2" s="3">
        <f>'LDV-psgr'!$E$28*'price change'!$B$2*'price change'!$C$2*'price change'!$D$2</f>
        <v>0.20790322700221456</v>
      </c>
      <c r="Q2" s="3">
        <f>'LDV-psgr'!$E$28*'price change'!$B$2*'price change'!$C$2*'price change'!$D$2</f>
        <v>0.20790322700221456</v>
      </c>
      <c r="R2" s="3">
        <f>'LDV-psgr'!$E$28*'price change'!$B$2*'price change'!$C$2*'price change'!$D$2</f>
        <v>0.20790322700221456</v>
      </c>
      <c r="S2" s="3">
        <f>'LDV-psgr'!$E$28*'price change'!$B$2*'price change'!$C$2*'price change'!$D$2</f>
        <v>0.20790322700221456</v>
      </c>
      <c r="T2" s="3">
        <f>'LDV-psgr'!$E$28*'price change'!$B$2*'price change'!$C$2*'price change'!$D$2</f>
        <v>0.20790322700221456</v>
      </c>
      <c r="U2" s="3">
        <f>'LDV-psgr'!$E$28*'price change'!$B$2*'price change'!$C$2*'price change'!$D$2</f>
        <v>0.20790322700221456</v>
      </c>
      <c r="V2" s="3">
        <f>'LDV-psgr'!$E$28*'price change'!$B$2*'price change'!$C$2*'price change'!$D$2</f>
        <v>0.20790322700221456</v>
      </c>
      <c r="W2" s="3">
        <f>'LDV-psgr'!$E$28*'price change'!$B$2*'price change'!$C$2*'price change'!$D$2</f>
        <v>0.20790322700221456</v>
      </c>
      <c r="X2" s="3">
        <f>'LDV-psgr'!$E$28*'price change'!$B$2*'price change'!$C$2*'price change'!$D$2</f>
        <v>0.20790322700221456</v>
      </c>
      <c r="Y2" s="3">
        <f>'LDV-psgr'!$E$28*'price change'!$B$2*'price change'!$C$2*'price change'!$D$2</f>
        <v>0.20790322700221456</v>
      </c>
      <c r="Z2" s="3">
        <f>'LDV-psgr'!$E$28*'price change'!$B$2*'price change'!$C$2*'price change'!$D$2</f>
        <v>0.20790322700221456</v>
      </c>
      <c r="AA2" s="3">
        <f>'LDV-psgr'!$E$28*'price change'!$B$2*'price change'!$C$2*'price change'!$D$2</f>
        <v>0.20790322700221456</v>
      </c>
      <c r="AB2" s="3">
        <f>'LDV-psgr'!$E$28*'price change'!$B$2*'price change'!$C$2*'price change'!$D$2</f>
        <v>0.20790322700221456</v>
      </c>
      <c r="AC2" s="3">
        <f>'LDV-psgr'!$E$28*'price change'!$B$2*'price change'!$C$2*'price change'!$D$2</f>
        <v>0.20790322700221456</v>
      </c>
      <c r="AD2" s="3">
        <f>'LDV-psgr'!$E$28*'price change'!$B$2*'price change'!$C$2*'price change'!$D$2</f>
        <v>0.20790322700221456</v>
      </c>
      <c r="AE2" s="3">
        <f>'LDV-psgr'!$E$28*'price change'!$B$2*'price change'!$C$2*'price change'!$D$2</f>
        <v>0.20790322700221456</v>
      </c>
      <c r="AF2" s="3">
        <f>'LDV-psgr'!$E$28*'price change'!$B$2*'price change'!$C$2*'price change'!$D$2</f>
        <v>0.20790322700221456</v>
      </c>
      <c r="AG2" s="3">
        <f>'LDV-psgr'!$E$28*'price change'!$B$2*'price change'!$C$2*'price change'!$D$2</f>
        <v>0.20790322700221456</v>
      </c>
      <c r="AH2" s="3">
        <f>'LDV-psgr'!$E$28*'price change'!$B$2*'price change'!$C$2*'price change'!$D$2</f>
        <v>0.20790322700221456</v>
      </c>
      <c r="AI2" s="3">
        <f>'LDV-psgr'!$E$28*'price change'!$B$2*'price change'!$C$2*'price change'!$D$2</f>
        <v>0.20790322700221456</v>
      </c>
      <c r="AJ2" s="3">
        <f>'LDV-psgr'!$E$28*'price change'!$B$2*'price change'!$C$2*'price change'!$D$2</f>
        <v>0.20790322700221456</v>
      </c>
      <c r="AK2" s="3">
        <f>'LDV-psgr'!$E$28*'price change'!$B$2*'price change'!$C$2*'price change'!$D$2</f>
        <v>0.20790322700221456</v>
      </c>
      <c r="AL2" s="3">
        <f>'LDV-psgr'!$E$28*'price change'!$B$2*'price change'!$C$2*'price change'!$D$2</f>
        <v>0.20790322700221456</v>
      </c>
      <c r="AM2" s="3">
        <f>'LDV-psgr'!$E$28*'price change'!$B$2*'price change'!$C$2*'price change'!$D$2</f>
        <v>0.20790322700221456</v>
      </c>
      <c r="AN2" s="3">
        <f>'LDV-psgr'!$E$28*'price change'!$B$2*'price change'!$C$2*'price change'!$D$2</f>
        <v>0.20790322700221456</v>
      </c>
      <c r="AO2" s="3">
        <f>'LDV-psgr'!$E$28*'price change'!$B$2*'price change'!$C$2*'price change'!$D$2</f>
        <v>0.20790322700221456</v>
      </c>
      <c r="AP2" s="3">
        <f>'LDV-psgr'!$E$28*'price change'!$B$2*'price change'!$C$2*'price change'!$D$2</f>
        <v>0.20790322700221456</v>
      </c>
    </row>
    <row r="3" spans="1:42">
      <c r="A3" s="2" t="s">
        <v>64</v>
      </c>
      <c r="B3" s="3">
        <f>'HDV-psgr'!$E$6*'price change'!$B$2*'price change'!$C$2*'price change'!$D$2</f>
        <v>0.11268025394488755</v>
      </c>
      <c r="C3" s="3">
        <f>'HDV-psgr'!$E$6*'price change'!$B$2*'price change'!$C$2*'price change'!$D$2</f>
        <v>0.11268025394488755</v>
      </c>
      <c r="D3" s="3">
        <f>'HDV-psgr'!$E$6*'price change'!$B$2*'price change'!$C$2*'price change'!$D$2</f>
        <v>0.11268025394488755</v>
      </c>
      <c r="E3" s="3">
        <f>'HDV-psgr'!$E$6*'price change'!$B$2*'price change'!$C$2*'price change'!$D$2</f>
        <v>0.11268025394488755</v>
      </c>
      <c r="F3" s="3">
        <f>'HDV-psgr'!$E$6*'price change'!$B$2*'price change'!$C$2*'price change'!$D$2</f>
        <v>0.11268025394488755</v>
      </c>
      <c r="G3" s="3">
        <f>'HDV-psgr'!$E$6*'price change'!$B$2*'price change'!$C$2*'price change'!$D$2</f>
        <v>0.11268025394488755</v>
      </c>
      <c r="H3" s="3">
        <f>'HDV-psgr'!$E$6*'price change'!$B$2*'price change'!$C$2*'price change'!$D$2</f>
        <v>0.11268025394488755</v>
      </c>
      <c r="I3" s="3">
        <f>'HDV-psgr'!$E$6*'price change'!$B$2*'price change'!$C$2*'price change'!$D$2</f>
        <v>0.11268025394488755</v>
      </c>
      <c r="J3" s="3">
        <f>'HDV-psgr'!$E$6*'price change'!$B$2*'price change'!$C$2*'price change'!$D$2</f>
        <v>0.11268025394488755</v>
      </c>
      <c r="K3" s="3">
        <f>'HDV-psgr'!$E$6*'price change'!$B$2*'price change'!$C$2*'price change'!$D$2</f>
        <v>0.11268025394488755</v>
      </c>
      <c r="L3" s="3">
        <f>'HDV-psgr'!$E$6*'price change'!$B$2*'price change'!$C$2*'price change'!$D$2</f>
        <v>0.11268025394488755</v>
      </c>
      <c r="M3" s="3">
        <f>'HDV-psgr'!$E$6*'price change'!$B$2*'price change'!$C$2*'price change'!$D$2</f>
        <v>0.11268025394488755</v>
      </c>
      <c r="N3" s="3">
        <f>'HDV-psgr'!$E$6*'price change'!$B$2*'price change'!$C$2*'price change'!$D$2</f>
        <v>0.11268025394488755</v>
      </c>
      <c r="O3" s="3">
        <f>'HDV-psgr'!$E$6*'price change'!$B$2*'price change'!$C$2*'price change'!$D$2</f>
        <v>0.11268025394488755</v>
      </c>
      <c r="P3" s="3">
        <f>'HDV-psgr'!$E$6*'price change'!$B$2*'price change'!$C$2*'price change'!$D$2</f>
        <v>0.11268025394488755</v>
      </c>
      <c r="Q3" s="3">
        <f>'HDV-psgr'!$E$6*'price change'!$B$2*'price change'!$C$2*'price change'!$D$2</f>
        <v>0.11268025394488755</v>
      </c>
      <c r="R3" s="3">
        <f>'HDV-psgr'!$E$6*'price change'!$B$2*'price change'!$C$2*'price change'!$D$2</f>
        <v>0.11268025394488755</v>
      </c>
      <c r="S3" s="3">
        <f>'HDV-psgr'!$E$6*'price change'!$B$2*'price change'!$C$2*'price change'!$D$2</f>
        <v>0.11268025394488755</v>
      </c>
      <c r="T3" s="3">
        <f>'HDV-psgr'!$E$6*'price change'!$B$2*'price change'!$C$2*'price change'!$D$2</f>
        <v>0.11268025394488755</v>
      </c>
      <c r="U3" s="3">
        <f>'HDV-psgr'!$E$6*'price change'!$B$2*'price change'!$C$2*'price change'!$D$2</f>
        <v>0.11268025394488755</v>
      </c>
      <c r="V3" s="3">
        <f>'HDV-psgr'!$E$6*'price change'!$B$2*'price change'!$C$2*'price change'!$D$2</f>
        <v>0.11268025394488755</v>
      </c>
      <c r="W3" s="3">
        <f>'HDV-psgr'!$E$6*'price change'!$B$2*'price change'!$C$2*'price change'!$D$2</f>
        <v>0.11268025394488755</v>
      </c>
      <c r="X3" s="3">
        <f>'HDV-psgr'!$E$6*'price change'!$B$2*'price change'!$C$2*'price change'!$D$2</f>
        <v>0.11268025394488755</v>
      </c>
      <c r="Y3" s="3">
        <f>'HDV-psgr'!$E$6*'price change'!$B$2*'price change'!$C$2*'price change'!$D$2</f>
        <v>0.11268025394488755</v>
      </c>
      <c r="Z3" s="3">
        <f>'HDV-psgr'!$E$6*'price change'!$B$2*'price change'!$C$2*'price change'!$D$2</f>
        <v>0.11268025394488755</v>
      </c>
      <c r="AA3" s="3">
        <f>'HDV-psgr'!$E$6*'price change'!$B$2*'price change'!$C$2*'price change'!$D$2</f>
        <v>0.11268025394488755</v>
      </c>
      <c r="AB3" s="3">
        <f>'HDV-psgr'!$E$6*'price change'!$B$2*'price change'!$C$2*'price change'!$D$2</f>
        <v>0.11268025394488755</v>
      </c>
      <c r="AC3" s="3">
        <f>'HDV-psgr'!$E$6*'price change'!$B$2*'price change'!$C$2*'price change'!$D$2</f>
        <v>0.11268025394488755</v>
      </c>
      <c r="AD3" s="3">
        <f>'HDV-psgr'!$E$6*'price change'!$B$2*'price change'!$C$2*'price change'!$D$2</f>
        <v>0.11268025394488755</v>
      </c>
      <c r="AE3" s="3">
        <f>'HDV-psgr'!$E$6*'price change'!$B$2*'price change'!$C$2*'price change'!$D$2</f>
        <v>0.11268025394488755</v>
      </c>
      <c r="AF3" s="3">
        <f>'HDV-psgr'!$E$6*'price change'!$B$2*'price change'!$C$2*'price change'!$D$2</f>
        <v>0.11268025394488755</v>
      </c>
      <c r="AG3" s="3">
        <f>'HDV-psgr'!$E$6*'price change'!$B$2*'price change'!$C$2*'price change'!$D$2</f>
        <v>0.11268025394488755</v>
      </c>
      <c r="AH3" s="3">
        <f>'HDV-psgr'!$E$6*'price change'!$B$2*'price change'!$C$2*'price change'!$D$2</f>
        <v>0.11268025394488755</v>
      </c>
      <c r="AI3" s="3">
        <f>'HDV-psgr'!$E$6*'price change'!$B$2*'price change'!$C$2*'price change'!$D$2</f>
        <v>0.11268025394488755</v>
      </c>
      <c r="AJ3" s="3">
        <f>'HDV-psgr'!$E$6*'price change'!$B$2*'price change'!$C$2*'price change'!$D$2</f>
        <v>0.11268025394488755</v>
      </c>
      <c r="AK3" s="3">
        <f>'HDV-psgr'!$E$6*'price change'!$B$2*'price change'!$C$2*'price change'!$D$2</f>
        <v>0.11268025394488755</v>
      </c>
      <c r="AL3" s="3">
        <f>'HDV-psgr'!$E$6*'price change'!$B$2*'price change'!$C$2*'price change'!$D$2</f>
        <v>0.11268025394488755</v>
      </c>
      <c r="AM3" s="3">
        <f>'HDV-psgr'!$E$6*'price change'!$B$2*'price change'!$C$2*'price change'!$D$2</f>
        <v>0.11268025394488755</v>
      </c>
      <c r="AN3" s="3">
        <f>'HDV-psgr'!$E$6*'price change'!$B$2*'price change'!$C$2*'price change'!$D$2</f>
        <v>0.11268025394488755</v>
      </c>
      <c r="AO3" s="3">
        <f>'HDV-psgr'!$E$6*'price change'!$B$2*'price change'!$C$2*'price change'!$D$2</f>
        <v>0.11268025394488755</v>
      </c>
      <c r="AP3" s="3">
        <f>'HDV-psgr'!$E$6*'price change'!$B$2*'price change'!$C$2*'price change'!$D$2</f>
        <v>0.11268025394488755</v>
      </c>
    </row>
    <row r="4" spans="1:42">
      <c r="A4" s="2" t="s">
        <v>65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</row>
    <row r="5" spans="1:42">
      <c r="A5" s="2" t="s">
        <v>66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</row>
    <row r="6" spans="1:42">
      <c r="A6" s="2" t="s">
        <v>67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>
      <c r="A7" s="2" t="s">
        <v>68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</row>
  </sheetData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AP7"/>
  <sheetViews>
    <sheetView tabSelected="1" workbookViewId="0">
      <selection activeCell="AN7" sqref="AN7"/>
    </sheetView>
  </sheetViews>
  <sheetFormatPr defaultColWidth="8.83203125" defaultRowHeight="14.5"/>
  <cols>
    <col min="1" max="1" width="11.6640625" customWidth="1"/>
    <col min="2" max="42" width="5.5" customWidth="1"/>
  </cols>
  <sheetData>
    <row r="1" spans="1:42" ht="28">
      <c r="A1" s="1" t="s">
        <v>62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</row>
    <row r="2" spans="1:42">
      <c r="A2" s="2" t="s">
        <v>63</v>
      </c>
      <c r="B2" s="3">
        <f>'LDV-frgt'!$E$7*'price change'!B2*'price change'!C2*'price change'!D2</f>
        <v>0.22270113917592321</v>
      </c>
      <c r="C2" s="3">
        <f>B2</f>
        <v>0.22270113917592321</v>
      </c>
      <c r="D2" s="3">
        <f t="shared" ref="D2:AP2" si="0">C2</f>
        <v>0.22270113917592321</v>
      </c>
      <c r="E2" s="3">
        <f t="shared" si="0"/>
        <v>0.22270113917592321</v>
      </c>
      <c r="F2" s="3">
        <f t="shared" si="0"/>
        <v>0.22270113917592321</v>
      </c>
      <c r="G2" s="3">
        <f t="shared" si="0"/>
        <v>0.22270113917592321</v>
      </c>
      <c r="H2" s="3">
        <f t="shared" si="0"/>
        <v>0.22270113917592321</v>
      </c>
      <c r="I2" s="3">
        <f t="shared" si="0"/>
        <v>0.22270113917592321</v>
      </c>
      <c r="J2" s="3">
        <f t="shared" si="0"/>
        <v>0.22270113917592321</v>
      </c>
      <c r="K2" s="3">
        <f t="shared" si="0"/>
        <v>0.22270113917592321</v>
      </c>
      <c r="L2" s="3">
        <f t="shared" si="0"/>
        <v>0.22270113917592321</v>
      </c>
      <c r="M2" s="3">
        <f t="shared" si="0"/>
        <v>0.22270113917592321</v>
      </c>
      <c r="N2" s="3">
        <f t="shared" si="0"/>
        <v>0.22270113917592321</v>
      </c>
      <c r="O2" s="3">
        <f t="shared" si="0"/>
        <v>0.22270113917592321</v>
      </c>
      <c r="P2" s="3">
        <f t="shared" si="0"/>
        <v>0.22270113917592321</v>
      </c>
      <c r="Q2" s="3">
        <f t="shared" si="0"/>
        <v>0.22270113917592321</v>
      </c>
      <c r="R2" s="3">
        <f t="shared" si="0"/>
        <v>0.22270113917592321</v>
      </c>
      <c r="S2" s="3">
        <f t="shared" si="0"/>
        <v>0.22270113917592321</v>
      </c>
      <c r="T2" s="3">
        <f t="shared" si="0"/>
        <v>0.22270113917592321</v>
      </c>
      <c r="U2" s="3">
        <f t="shared" si="0"/>
        <v>0.22270113917592321</v>
      </c>
      <c r="V2" s="3">
        <f t="shared" si="0"/>
        <v>0.22270113917592321</v>
      </c>
      <c r="W2" s="3">
        <f t="shared" si="0"/>
        <v>0.22270113917592321</v>
      </c>
      <c r="X2" s="3">
        <f t="shared" si="0"/>
        <v>0.22270113917592321</v>
      </c>
      <c r="Y2" s="3">
        <f t="shared" si="0"/>
        <v>0.22270113917592321</v>
      </c>
      <c r="Z2" s="3">
        <f t="shared" si="0"/>
        <v>0.22270113917592321</v>
      </c>
      <c r="AA2" s="3">
        <f t="shared" si="0"/>
        <v>0.22270113917592321</v>
      </c>
      <c r="AB2" s="3">
        <f t="shared" si="0"/>
        <v>0.22270113917592321</v>
      </c>
      <c r="AC2" s="3">
        <f t="shared" si="0"/>
        <v>0.22270113917592321</v>
      </c>
      <c r="AD2" s="3">
        <f t="shared" si="0"/>
        <v>0.22270113917592321</v>
      </c>
      <c r="AE2" s="3">
        <f t="shared" si="0"/>
        <v>0.22270113917592321</v>
      </c>
      <c r="AF2" s="3">
        <f t="shared" si="0"/>
        <v>0.22270113917592321</v>
      </c>
      <c r="AG2" s="3">
        <f t="shared" si="0"/>
        <v>0.22270113917592321</v>
      </c>
      <c r="AH2" s="3">
        <f t="shared" si="0"/>
        <v>0.22270113917592321</v>
      </c>
      <c r="AI2" s="3">
        <f t="shared" si="0"/>
        <v>0.22270113917592321</v>
      </c>
      <c r="AJ2" s="3">
        <f t="shared" si="0"/>
        <v>0.22270113917592321</v>
      </c>
      <c r="AK2" s="3">
        <f t="shared" si="0"/>
        <v>0.22270113917592321</v>
      </c>
      <c r="AL2" s="3">
        <f t="shared" si="0"/>
        <v>0.22270113917592321</v>
      </c>
      <c r="AM2" s="3">
        <f t="shared" si="0"/>
        <v>0.22270113917592321</v>
      </c>
      <c r="AN2" s="3">
        <f t="shared" si="0"/>
        <v>0.22270113917592321</v>
      </c>
      <c r="AO2" s="3">
        <f t="shared" si="0"/>
        <v>0.22270113917592321</v>
      </c>
      <c r="AP2" s="3">
        <f t="shared" si="0"/>
        <v>0.22270113917592321</v>
      </c>
    </row>
    <row r="3" spans="1:42">
      <c r="A3" s="2" t="s">
        <v>64</v>
      </c>
      <c r="B3" s="3">
        <f>'HDV-frgt'!$E$6*'price change'!B2*'price change'!C2*'price change'!D2</f>
        <v>0.2073867640409833</v>
      </c>
      <c r="C3" s="3">
        <f>B3</f>
        <v>0.2073867640409833</v>
      </c>
      <c r="D3" s="3">
        <f t="shared" ref="D3:AP3" si="1">C3</f>
        <v>0.2073867640409833</v>
      </c>
      <c r="E3" s="3">
        <f t="shared" si="1"/>
        <v>0.2073867640409833</v>
      </c>
      <c r="F3" s="3">
        <f t="shared" si="1"/>
        <v>0.2073867640409833</v>
      </c>
      <c r="G3" s="3">
        <f t="shared" si="1"/>
        <v>0.2073867640409833</v>
      </c>
      <c r="H3" s="3">
        <f t="shared" si="1"/>
        <v>0.2073867640409833</v>
      </c>
      <c r="I3" s="3">
        <f t="shared" si="1"/>
        <v>0.2073867640409833</v>
      </c>
      <c r="J3" s="3">
        <f t="shared" si="1"/>
        <v>0.2073867640409833</v>
      </c>
      <c r="K3" s="3">
        <f t="shared" si="1"/>
        <v>0.2073867640409833</v>
      </c>
      <c r="L3" s="3">
        <f t="shared" si="1"/>
        <v>0.2073867640409833</v>
      </c>
      <c r="M3" s="3">
        <f t="shared" si="1"/>
        <v>0.2073867640409833</v>
      </c>
      <c r="N3" s="3">
        <f t="shared" si="1"/>
        <v>0.2073867640409833</v>
      </c>
      <c r="O3" s="3">
        <f t="shared" si="1"/>
        <v>0.2073867640409833</v>
      </c>
      <c r="P3" s="3">
        <f t="shared" si="1"/>
        <v>0.2073867640409833</v>
      </c>
      <c r="Q3" s="3">
        <f t="shared" si="1"/>
        <v>0.2073867640409833</v>
      </c>
      <c r="R3" s="3">
        <f t="shared" si="1"/>
        <v>0.2073867640409833</v>
      </c>
      <c r="S3" s="3">
        <f t="shared" si="1"/>
        <v>0.2073867640409833</v>
      </c>
      <c r="T3" s="3">
        <f t="shared" si="1"/>
        <v>0.2073867640409833</v>
      </c>
      <c r="U3" s="3">
        <f t="shared" si="1"/>
        <v>0.2073867640409833</v>
      </c>
      <c r="V3" s="3">
        <f t="shared" si="1"/>
        <v>0.2073867640409833</v>
      </c>
      <c r="W3" s="3">
        <f t="shared" si="1"/>
        <v>0.2073867640409833</v>
      </c>
      <c r="X3" s="3">
        <f t="shared" si="1"/>
        <v>0.2073867640409833</v>
      </c>
      <c r="Y3" s="3">
        <f t="shared" si="1"/>
        <v>0.2073867640409833</v>
      </c>
      <c r="Z3" s="3">
        <f t="shared" si="1"/>
        <v>0.2073867640409833</v>
      </c>
      <c r="AA3" s="3">
        <f t="shared" si="1"/>
        <v>0.2073867640409833</v>
      </c>
      <c r="AB3" s="3">
        <f t="shared" si="1"/>
        <v>0.2073867640409833</v>
      </c>
      <c r="AC3" s="3">
        <f t="shared" si="1"/>
        <v>0.2073867640409833</v>
      </c>
      <c r="AD3" s="3">
        <f t="shared" si="1"/>
        <v>0.2073867640409833</v>
      </c>
      <c r="AE3" s="3">
        <f t="shared" si="1"/>
        <v>0.2073867640409833</v>
      </c>
      <c r="AF3" s="3">
        <f t="shared" si="1"/>
        <v>0.2073867640409833</v>
      </c>
      <c r="AG3" s="3">
        <f t="shared" si="1"/>
        <v>0.2073867640409833</v>
      </c>
      <c r="AH3" s="3">
        <f t="shared" si="1"/>
        <v>0.2073867640409833</v>
      </c>
      <c r="AI3" s="3">
        <f t="shared" si="1"/>
        <v>0.2073867640409833</v>
      </c>
      <c r="AJ3" s="3">
        <f t="shared" si="1"/>
        <v>0.2073867640409833</v>
      </c>
      <c r="AK3" s="3">
        <f t="shared" si="1"/>
        <v>0.2073867640409833</v>
      </c>
      <c r="AL3" s="3">
        <f t="shared" si="1"/>
        <v>0.2073867640409833</v>
      </c>
      <c r="AM3" s="3">
        <f t="shared" si="1"/>
        <v>0.2073867640409833</v>
      </c>
      <c r="AN3" s="3">
        <f t="shared" si="1"/>
        <v>0.2073867640409833</v>
      </c>
      <c r="AO3" s="3">
        <f t="shared" si="1"/>
        <v>0.2073867640409833</v>
      </c>
      <c r="AP3" s="3">
        <f t="shared" si="1"/>
        <v>0.2073867640409833</v>
      </c>
    </row>
    <row r="4" spans="1:42">
      <c r="A4" s="2" t="s">
        <v>65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</row>
    <row r="5" spans="1:42">
      <c r="A5" s="2" t="s">
        <v>66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</row>
    <row r="6" spans="1:42">
      <c r="A6" s="2" t="s">
        <v>67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</row>
    <row r="7" spans="1:42">
      <c r="A7" s="2" t="s">
        <v>68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About</vt:lpstr>
      <vt:lpstr>LDV-psgr</vt:lpstr>
      <vt:lpstr>HDV-psgr</vt:lpstr>
      <vt:lpstr>LDV-frgt</vt:lpstr>
      <vt:lpstr>HDV-frgt</vt:lpstr>
      <vt:lpstr>price change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杰 吴</cp:lastModifiedBy>
  <dcterms:created xsi:type="dcterms:W3CDTF">2023-11-23T07:21:00Z</dcterms:created>
  <dcterms:modified xsi:type="dcterms:W3CDTF">2024-07-19T06:28:10Z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F45E33A720C54E99BD8F12224631193E_11</vt:lpwstr>
  </property>
  <property fmtid="{D5CDD505-2E9C-101B-9397-08002B2CF9AE}" pid="3" name="KSOProductBuildVer">
    <vt:lpwstr>2052-12.1.0.15990</vt:lpwstr>
  </property>
</Properties>
</file>