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zhlxl\Desktop\EPS\eps-hubei-smart-trans\InputData\trans\BESP\"/>
    </mc:Choice>
  </mc:AlternateContent>
  <xr:revisionPtr revIDLastSave="0" documentId="13_ncr:1_{30E8AE90-DCE8-47CA-88D8-8264DBF43651}" xr6:coauthVersionLast="47" xr6:coauthVersionMax="47" xr10:uidLastSave="{00000000-0000-0000-0000-000000000000}"/>
  <bookViews>
    <workbookView xWindow="-109" yWindow="-109" windowWidth="26301" windowHeight="14169" tabRatio="839" activeTab="8" xr2:uid="{00000000-000D-0000-FFFF-FFFF00000000}"/>
  </bookViews>
  <sheets>
    <sheet name="About" sheetId="1" r:id="rId1"/>
    <sheet name="Ancillary data" sheetId="4" r:id="rId2"/>
    <sheet name="Data" sheetId="3" r:id="rId3"/>
    <sheet name="Passenger vehicle sales" sheetId="7" r:id="rId4"/>
    <sheet name="Passenger vehicle prices" sheetId="6" r:id="rId5"/>
    <sheet name="Freight vehicle sales" sheetId="10" r:id="rId6"/>
    <sheet name="货车价格" sheetId="11" r:id="rId7"/>
    <sheet name="BESP-passengers" sheetId="2" r:id="rId8"/>
    <sheet name="BESP-freight" sheetId="5" r:id="rId9"/>
  </sheets>
  <definedNames>
    <definedName name="_xlnm._FilterDatabase" localSheetId="4" hidden="1">'Passenger vehicle prices'!$A$1:$G$41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E3" i="5"/>
  <c r="D3" i="5"/>
  <c r="C3" i="5"/>
  <c r="E2" i="5"/>
  <c r="D2" i="5"/>
  <c r="C2" i="5"/>
  <c r="F2" i="2"/>
  <c r="E2" i="2"/>
  <c r="D2" i="2"/>
  <c r="C2" i="2"/>
  <c r="M16" i="11"/>
  <c r="K16" i="11"/>
  <c r="I16" i="11"/>
  <c r="M15" i="11"/>
  <c r="L15" i="11"/>
  <c r="K15" i="11"/>
  <c r="J15" i="11"/>
  <c r="I15" i="11"/>
  <c r="H15" i="11"/>
  <c r="G15" i="11"/>
  <c r="F15" i="11"/>
  <c r="E15" i="11"/>
  <c r="D15" i="11"/>
  <c r="B15" i="11"/>
  <c r="M14" i="11"/>
  <c r="L14" i="11"/>
  <c r="K14" i="11"/>
  <c r="J14" i="11"/>
  <c r="I14" i="11"/>
  <c r="H14" i="11"/>
  <c r="G14" i="11"/>
  <c r="F14" i="11"/>
  <c r="E14" i="11"/>
  <c r="D14" i="11"/>
  <c r="B14" i="11"/>
  <c r="M13" i="11"/>
  <c r="L13" i="11"/>
  <c r="K13" i="11"/>
  <c r="J13" i="11"/>
  <c r="I13" i="11"/>
  <c r="H13" i="11"/>
  <c r="G13" i="11"/>
  <c r="F13" i="11"/>
  <c r="E13" i="11"/>
  <c r="D13" i="11"/>
  <c r="M12" i="11"/>
  <c r="L12" i="11"/>
  <c r="K12" i="11"/>
  <c r="J12" i="11"/>
  <c r="I12" i="11"/>
  <c r="H12" i="11"/>
  <c r="G12" i="11"/>
  <c r="F12" i="11"/>
  <c r="E12" i="11"/>
  <c r="D12" i="11"/>
  <c r="M8" i="11"/>
  <c r="K8" i="11"/>
  <c r="I8" i="11"/>
  <c r="M7" i="11"/>
  <c r="L7" i="11"/>
  <c r="K7" i="11"/>
  <c r="J7" i="11"/>
  <c r="I7" i="11"/>
  <c r="H7" i="11"/>
  <c r="G7" i="11"/>
  <c r="F7" i="11"/>
  <c r="E7" i="11"/>
  <c r="D7" i="11"/>
  <c r="B7" i="11"/>
  <c r="M6" i="11"/>
  <c r="L6" i="11"/>
  <c r="K6" i="11"/>
  <c r="J6" i="11"/>
  <c r="I6" i="11"/>
  <c r="H6" i="11"/>
  <c r="G6" i="11"/>
  <c r="F6" i="11"/>
  <c r="E6" i="11"/>
  <c r="D6" i="11"/>
  <c r="B6" i="11"/>
  <c r="M5" i="11"/>
  <c r="L5" i="11"/>
  <c r="K5" i="11"/>
  <c r="J5" i="11"/>
  <c r="I5" i="11"/>
  <c r="H5" i="11"/>
  <c r="G5" i="11"/>
  <c r="F5" i="11"/>
  <c r="E5" i="11"/>
  <c r="D5" i="11"/>
  <c r="B5" i="11"/>
  <c r="M4" i="11"/>
  <c r="L4" i="11"/>
  <c r="K4" i="11"/>
  <c r="J4" i="11"/>
  <c r="I4" i="11"/>
  <c r="H4" i="11"/>
  <c r="G4" i="11"/>
  <c r="F4" i="11"/>
  <c r="E4" i="11"/>
  <c r="D4" i="11"/>
  <c r="B4" i="11"/>
  <c r="M3" i="11"/>
  <c r="L3" i="11"/>
  <c r="K3" i="11"/>
  <c r="J3" i="11"/>
  <c r="I3" i="11"/>
  <c r="H3" i="11"/>
  <c r="G3" i="11"/>
  <c r="F3" i="11"/>
  <c r="E3" i="11"/>
  <c r="D3" i="11"/>
  <c r="B3" i="11"/>
  <c r="M2" i="11"/>
  <c r="L2" i="11"/>
  <c r="K2" i="11"/>
  <c r="J2" i="11"/>
  <c r="I2" i="11"/>
  <c r="H2" i="11"/>
  <c r="G2" i="11"/>
  <c r="F2" i="11"/>
  <c r="E2" i="11"/>
  <c r="D2" i="11"/>
  <c r="C16" i="10"/>
  <c r="B16" i="10"/>
  <c r="D15" i="10"/>
  <c r="C15" i="10"/>
  <c r="C14" i="10"/>
  <c r="C13" i="10"/>
  <c r="C12" i="10"/>
  <c r="C8" i="10"/>
  <c r="B8" i="10"/>
  <c r="D7" i="10"/>
  <c r="C7" i="10"/>
  <c r="D6" i="10"/>
  <c r="C6" i="10"/>
  <c r="D5" i="10"/>
  <c r="C5" i="10"/>
  <c r="D4" i="10"/>
  <c r="C4" i="10"/>
  <c r="D3" i="10"/>
  <c r="C3" i="10"/>
  <c r="D2" i="10"/>
  <c r="C2" i="10"/>
  <c r="B49" i="6"/>
  <c r="B46" i="6"/>
  <c r="O42" i="6"/>
  <c r="M42" i="6"/>
  <c r="K42" i="6"/>
  <c r="I42" i="6"/>
  <c r="O41" i="6"/>
  <c r="N41" i="6"/>
  <c r="M41" i="6"/>
  <c r="L41" i="6"/>
  <c r="K41" i="6"/>
  <c r="J41" i="6"/>
  <c r="I41" i="6"/>
  <c r="H41" i="6"/>
  <c r="G41" i="6"/>
  <c r="F41" i="6"/>
  <c r="E41" i="6"/>
  <c r="D41" i="6"/>
  <c r="B41" i="6"/>
  <c r="O40" i="6"/>
  <c r="N40" i="6"/>
  <c r="M40" i="6"/>
  <c r="L40" i="6"/>
  <c r="K40" i="6"/>
  <c r="J40" i="6"/>
  <c r="I40" i="6"/>
  <c r="H40" i="6"/>
  <c r="G40" i="6"/>
  <c r="F40" i="6"/>
  <c r="E40" i="6"/>
  <c r="D40" i="6"/>
  <c r="B40" i="6"/>
  <c r="O39" i="6"/>
  <c r="N39" i="6"/>
  <c r="M39" i="6"/>
  <c r="L39" i="6"/>
  <c r="K39" i="6"/>
  <c r="J39" i="6"/>
  <c r="I39" i="6"/>
  <c r="H39" i="6"/>
  <c r="G39" i="6"/>
  <c r="F39" i="6"/>
  <c r="E39" i="6"/>
  <c r="D39" i="6"/>
  <c r="B39" i="6"/>
  <c r="O38" i="6"/>
  <c r="N38" i="6"/>
  <c r="M38" i="6"/>
  <c r="L38" i="6"/>
  <c r="K38" i="6"/>
  <c r="J38" i="6"/>
  <c r="I38" i="6"/>
  <c r="H38" i="6"/>
  <c r="G38" i="6"/>
  <c r="F38" i="6"/>
  <c r="E38" i="6"/>
  <c r="D38" i="6"/>
  <c r="B38" i="6"/>
  <c r="O37" i="6"/>
  <c r="N37" i="6"/>
  <c r="M37" i="6"/>
  <c r="L37" i="6"/>
  <c r="K37" i="6"/>
  <c r="J37" i="6"/>
  <c r="I37" i="6"/>
  <c r="H37" i="6"/>
  <c r="G37" i="6"/>
  <c r="F37" i="6"/>
  <c r="E37" i="6"/>
  <c r="D37" i="6"/>
  <c r="B37" i="6"/>
  <c r="O36" i="6"/>
  <c r="N36" i="6"/>
  <c r="M36" i="6"/>
  <c r="L36" i="6"/>
  <c r="K36" i="6"/>
  <c r="J36" i="6"/>
  <c r="I36" i="6"/>
  <c r="H36" i="6"/>
  <c r="G36" i="6"/>
  <c r="F36" i="6"/>
  <c r="E36" i="6"/>
  <c r="D36" i="6"/>
  <c r="B36" i="6"/>
  <c r="O35" i="6"/>
  <c r="N35" i="6"/>
  <c r="M35" i="6"/>
  <c r="L35" i="6"/>
  <c r="K35" i="6"/>
  <c r="J35" i="6"/>
  <c r="I35" i="6"/>
  <c r="H35" i="6"/>
  <c r="G35" i="6"/>
  <c r="F35" i="6"/>
  <c r="E35" i="6"/>
  <c r="D35" i="6"/>
  <c r="B35" i="6"/>
  <c r="O34" i="6"/>
  <c r="N34" i="6"/>
  <c r="M34" i="6"/>
  <c r="L34" i="6"/>
  <c r="K34" i="6"/>
  <c r="J34" i="6"/>
  <c r="I34" i="6"/>
  <c r="H34" i="6"/>
  <c r="G34" i="6"/>
  <c r="F34" i="6"/>
  <c r="E34" i="6"/>
  <c r="D34" i="6"/>
  <c r="B34" i="6"/>
  <c r="O33" i="6"/>
  <c r="N33" i="6"/>
  <c r="M33" i="6"/>
  <c r="L33" i="6"/>
  <c r="K33" i="6"/>
  <c r="J33" i="6"/>
  <c r="I33" i="6"/>
  <c r="H33" i="6"/>
  <c r="G33" i="6"/>
  <c r="F33" i="6"/>
  <c r="E33" i="6"/>
  <c r="D33" i="6"/>
  <c r="B33" i="6"/>
  <c r="O32" i="6"/>
  <c r="N32" i="6"/>
  <c r="M32" i="6"/>
  <c r="L32" i="6"/>
  <c r="K32" i="6"/>
  <c r="J32" i="6"/>
  <c r="I32" i="6"/>
  <c r="H32" i="6"/>
  <c r="G32" i="6"/>
  <c r="F32" i="6"/>
  <c r="E32" i="6"/>
  <c r="D32" i="6"/>
  <c r="B32" i="6"/>
  <c r="O31" i="6"/>
  <c r="N31" i="6"/>
  <c r="M31" i="6"/>
  <c r="L31" i="6"/>
  <c r="K31" i="6"/>
  <c r="J31" i="6"/>
  <c r="I31" i="6"/>
  <c r="H31" i="6"/>
  <c r="G31" i="6"/>
  <c r="F31" i="6"/>
  <c r="E31" i="6"/>
  <c r="D31" i="6"/>
  <c r="B31" i="6"/>
  <c r="O30" i="6"/>
  <c r="N30" i="6"/>
  <c r="M30" i="6"/>
  <c r="L30" i="6"/>
  <c r="K30" i="6"/>
  <c r="J30" i="6"/>
  <c r="I30" i="6"/>
  <c r="H30" i="6"/>
  <c r="G30" i="6"/>
  <c r="F30" i="6"/>
  <c r="E30" i="6"/>
  <c r="D30" i="6"/>
  <c r="B30" i="6"/>
  <c r="O29" i="6"/>
  <c r="N29" i="6"/>
  <c r="M29" i="6"/>
  <c r="L29" i="6"/>
  <c r="K29" i="6"/>
  <c r="J29" i="6"/>
  <c r="I29" i="6"/>
  <c r="H29" i="6"/>
  <c r="G29" i="6"/>
  <c r="F29" i="6"/>
  <c r="E29" i="6"/>
  <c r="D29" i="6"/>
  <c r="B29" i="6"/>
  <c r="O28" i="6"/>
  <c r="N28" i="6"/>
  <c r="M28" i="6"/>
  <c r="L28" i="6"/>
  <c r="K28" i="6"/>
  <c r="J28" i="6"/>
  <c r="I28" i="6"/>
  <c r="H28" i="6"/>
  <c r="G28" i="6"/>
  <c r="F28" i="6"/>
  <c r="E28" i="6"/>
  <c r="D28" i="6"/>
  <c r="B28" i="6"/>
  <c r="O27" i="6"/>
  <c r="N27" i="6"/>
  <c r="M27" i="6"/>
  <c r="L27" i="6"/>
  <c r="K27" i="6"/>
  <c r="J27" i="6"/>
  <c r="I27" i="6"/>
  <c r="H27" i="6"/>
  <c r="G27" i="6"/>
  <c r="F27" i="6"/>
  <c r="E27" i="6"/>
  <c r="D27" i="6"/>
  <c r="B27" i="6"/>
  <c r="O26" i="6"/>
  <c r="N26" i="6"/>
  <c r="M26" i="6"/>
  <c r="L26" i="6"/>
  <c r="K26" i="6"/>
  <c r="J26" i="6"/>
  <c r="I26" i="6"/>
  <c r="H26" i="6"/>
  <c r="G26" i="6"/>
  <c r="F26" i="6"/>
  <c r="E26" i="6"/>
  <c r="D26" i="6"/>
  <c r="B26" i="6"/>
  <c r="O25" i="6"/>
  <c r="N25" i="6"/>
  <c r="M25" i="6"/>
  <c r="L25" i="6"/>
  <c r="K25" i="6"/>
  <c r="J25" i="6"/>
  <c r="I25" i="6"/>
  <c r="H25" i="6"/>
  <c r="G25" i="6"/>
  <c r="F25" i="6"/>
  <c r="E25" i="6"/>
  <c r="D25" i="6"/>
  <c r="B25" i="6"/>
  <c r="O24" i="6"/>
  <c r="N24" i="6"/>
  <c r="M24" i="6"/>
  <c r="L24" i="6"/>
  <c r="K24" i="6"/>
  <c r="J24" i="6"/>
  <c r="I24" i="6"/>
  <c r="H24" i="6"/>
  <c r="G24" i="6"/>
  <c r="F24" i="6"/>
  <c r="E24" i="6"/>
  <c r="D24" i="6"/>
  <c r="B24" i="6"/>
  <c r="O23" i="6"/>
  <c r="N23" i="6"/>
  <c r="M23" i="6"/>
  <c r="L23" i="6"/>
  <c r="K23" i="6"/>
  <c r="J23" i="6"/>
  <c r="I23" i="6"/>
  <c r="H23" i="6"/>
  <c r="G23" i="6"/>
  <c r="F23" i="6"/>
  <c r="E23" i="6"/>
  <c r="D23" i="6"/>
  <c r="B23" i="6"/>
  <c r="O22" i="6"/>
  <c r="N22" i="6"/>
  <c r="M22" i="6"/>
  <c r="L22" i="6"/>
  <c r="K22" i="6"/>
  <c r="J22" i="6"/>
  <c r="I22" i="6"/>
  <c r="H22" i="6"/>
  <c r="G22" i="6"/>
  <c r="F22" i="6"/>
  <c r="E22" i="6"/>
  <c r="D22" i="6"/>
  <c r="B22" i="6"/>
  <c r="O21" i="6"/>
  <c r="N21" i="6"/>
  <c r="M21" i="6"/>
  <c r="L21" i="6"/>
  <c r="K21" i="6"/>
  <c r="J21" i="6"/>
  <c r="I21" i="6"/>
  <c r="H21" i="6"/>
  <c r="G21" i="6"/>
  <c r="F21" i="6"/>
  <c r="E21" i="6"/>
  <c r="D21" i="6"/>
  <c r="B21" i="6"/>
  <c r="O20" i="6"/>
  <c r="N20" i="6"/>
  <c r="M20" i="6"/>
  <c r="L20" i="6"/>
  <c r="K20" i="6"/>
  <c r="J20" i="6"/>
  <c r="I20" i="6"/>
  <c r="H20" i="6"/>
  <c r="G20" i="6"/>
  <c r="F20" i="6"/>
  <c r="E20" i="6"/>
  <c r="D20" i="6"/>
  <c r="B20" i="6"/>
  <c r="O19" i="6"/>
  <c r="N19" i="6"/>
  <c r="M19" i="6"/>
  <c r="L19" i="6"/>
  <c r="K19" i="6"/>
  <c r="J19" i="6"/>
  <c r="I19" i="6"/>
  <c r="H19" i="6"/>
  <c r="G19" i="6"/>
  <c r="F19" i="6"/>
  <c r="E19" i="6"/>
  <c r="D19" i="6"/>
  <c r="B19" i="6"/>
  <c r="O18" i="6"/>
  <c r="N18" i="6"/>
  <c r="M18" i="6"/>
  <c r="L18" i="6"/>
  <c r="K18" i="6"/>
  <c r="J18" i="6"/>
  <c r="I18" i="6"/>
  <c r="H18" i="6"/>
  <c r="G18" i="6"/>
  <c r="F18" i="6"/>
  <c r="E18" i="6"/>
  <c r="D18" i="6"/>
  <c r="B18" i="6"/>
  <c r="O17" i="6"/>
  <c r="N17" i="6"/>
  <c r="M17" i="6"/>
  <c r="L17" i="6"/>
  <c r="K17" i="6"/>
  <c r="J17" i="6"/>
  <c r="I17" i="6"/>
  <c r="H17" i="6"/>
  <c r="G17" i="6"/>
  <c r="F17" i="6"/>
  <c r="E17" i="6"/>
  <c r="D17" i="6"/>
  <c r="B17" i="6"/>
  <c r="O16" i="6"/>
  <c r="N16" i="6"/>
  <c r="M16" i="6"/>
  <c r="L16" i="6"/>
  <c r="K16" i="6"/>
  <c r="J16" i="6"/>
  <c r="I16" i="6"/>
  <c r="H16" i="6"/>
  <c r="G16" i="6"/>
  <c r="F16" i="6"/>
  <c r="E16" i="6"/>
  <c r="D16" i="6"/>
  <c r="B16" i="6"/>
  <c r="O15" i="6"/>
  <c r="N15" i="6"/>
  <c r="M15" i="6"/>
  <c r="L15" i="6"/>
  <c r="K15" i="6"/>
  <c r="J15" i="6"/>
  <c r="I15" i="6"/>
  <c r="H15" i="6"/>
  <c r="G15" i="6"/>
  <c r="F15" i="6"/>
  <c r="E15" i="6"/>
  <c r="D15" i="6"/>
  <c r="B15" i="6"/>
  <c r="O14" i="6"/>
  <c r="N14" i="6"/>
  <c r="M14" i="6"/>
  <c r="L14" i="6"/>
  <c r="K14" i="6"/>
  <c r="J14" i="6"/>
  <c r="I14" i="6"/>
  <c r="H14" i="6"/>
  <c r="G14" i="6"/>
  <c r="F14" i="6"/>
  <c r="E14" i="6"/>
  <c r="D14" i="6"/>
  <c r="B14" i="6"/>
  <c r="O13" i="6"/>
  <c r="N13" i="6"/>
  <c r="M13" i="6"/>
  <c r="L13" i="6"/>
  <c r="K13" i="6"/>
  <c r="J13" i="6"/>
  <c r="I13" i="6"/>
  <c r="H13" i="6"/>
  <c r="G13" i="6"/>
  <c r="F13" i="6"/>
  <c r="E13" i="6"/>
  <c r="D13" i="6"/>
  <c r="B13" i="6"/>
  <c r="O12" i="6"/>
  <c r="N12" i="6"/>
  <c r="M12" i="6"/>
  <c r="L12" i="6"/>
  <c r="K12" i="6"/>
  <c r="J12" i="6"/>
  <c r="I12" i="6"/>
  <c r="H12" i="6"/>
  <c r="G12" i="6"/>
  <c r="F12" i="6"/>
  <c r="E12" i="6"/>
  <c r="D12" i="6"/>
  <c r="B12" i="6"/>
  <c r="O11" i="6"/>
  <c r="N11" i="6"/>
  <c r="M11" i="6"/>
  <c r="L11" i="6"/>
  <c r="K11" i="6"/>
  <c r="J11" i="6"/>
  <c r="I11" i="6"/>
  <c r="H11" i="6"/>
  <c r="G11" i="6"/>
  <c r="F11" i="6"/>
  <c r="E11" i="6"/>
  <c r="D11" i="6"/>
  <c r="B11" i="6"/>
  <c r="O10" i="6"/>
  <c r="N10" i="6"/>
  <c r="M10" i="6"/>
  <c r="L10" i="6"/>
  <c r="K10" i="6"/>
  <c r="J10" i="6"/>
  <c r="I10" i="6"/>
  <c r="H10" i="6"/>
  <c r="G10" i="6"/>
  <c r="F10" i="6"/>
  <c r="E10" i="6"/>
  <c r="D10" i="6"/>
  <c r="B10" i="6"/>
  <c r="O9" i="6"/>
  <c r="N9" i="6"/>
  <c r="M9" i="6"/>
  <c r="L9" i="6"/>
  <c r="K9" i="6"/>
  <c r="J9" i="6"/>
  <c r="I9" i="6"/>
  <c r="H9" i="6"/>
  <c r="G9" i="6"/>
  <c r="F9" i="6"/>
  <c r="E9" i="6"/>
  <c r="D9" i="6"/>
  <c r="B9" i="6"/>
  <c r="O8" i="6"/>
  <c r="N8" i="6"/>
  <c r="M8" i="6"/>
  <c r="L8" i="6"/>
  <c r="K8" i="6"/>
  <c r="J8" i="6"/>
  <c r="I8" i="6"/>
  <c r="H8" i="6"/>
  <c r="G8" i="6"/>
  <c r="F8" i="6"/>
  <c r="E8" i="6"/>
  <c r="D8" i="6"/>
  <c r="O7" i="6"/>
  <c r="N7" i="6"/>
  <c r="M7" i="6"/>
  <c r="L7" i="6"/>
  <c r="K7" i="6"/>
  <c r="J7" i="6"/>
  <c r="I7" i="6"/>
  <c r="H7" i="6"/>
  <c r="G7" i="6"/>
  <c r="F7" i="6"/>
  <c r="E7" i="6"/>
  <c r="D7" i="6"/>
  <c r="B7" i="6"/>
  <c r="O6" i="6"/>
  <c r="N6" i="6"/>
  <c r="M6" i="6"/>
  <c r="L6" i="6"/>
  <c r="K6" i="6"/>
  <c r="J6" i="6"/>
  <c r="I6" i="6"/>
  <c r="H6" i="6"/>
  <c r="G6" i="6"/>
  <c r="F6" i="6"/>
  <c r="E6" i="6"/>
  <c r="D6" i="6"/>
  <c r="B6" i="6"/>
  <c r="O5" i="6"/>
  <c r="N5" i="6"/>
  <c r="M5" i="6"/>
  <c r="L5" i="6"/>
  <c r="K5" i="6"/>
  <c r="J5" i="6"/>
  <c r="I5" i="6"/>
  <c r="H5" i="6"/>
  <c r="G5" i="6"/>
  <c r="F5" i="6"/>
  <c r="E5" i="6"/>
  <c r="D5" i="6"/>
  <c r="B5" i="6"/>
  <c r="O4" i="6"/>
  <c r="N4" i="6"/>
  <c r="M4" i="6"/>
  <c r="L4" i="6"/>
  <c r="K4" i="6"/>
  <c r="J4" i="6"/>
  <c r="I4" i="6"/>
  <c r="H4" i="6"/>
  <c r="G4" i="6"/>
  <c r="F4" i="6"/>
  <c r="E4" i="6"/>
  <c r="D4" i="6"/>
  <c r="B4" i="6"/>
  <c r="O3" i="6"/>
  <c r="N3" i="6"/>
  <c r="M3" i="6"/>
  <c r="L3" i="6"/>
  <c r="K3" i="6"/>
  <c r="J3" i="6"/>
  <c r="I3" i="6"/>
  <c r="H3" i="6"/>
  <c r="G3" i="6"/>
  <c r="F3" i="6"/>
  <c r="E3" i="6"/>
  <c r="D3" i="6"/>
  <c r="B3" i="6"/>
  <c r="O2" i="6"/>
  <c r="N2" i="6"/>
  <c r="M2" i="6"/>
  <c r="L2" i="6"/>
  <c r="K2" i="6"/>
  <c r="J2" i="6"/>
  <c r="I2" i="6"/>
  <c r="H2" i="6"/>
  <c r="G2" i="6"/>
  <c r="F2" i="6"/>
  <c r="E2" i="6"/>
  <c r="D2" i="6"/>
  <c r="B2" i="6"/>
  <c r="E61" i="7"/>
  <c r="D61" i="7"/>
  <c r="C61" i="7"/>
  <c r="B61" i="7"/>
  <c r="E60" i="7"/>
  <c r="C60" i="7"/>
  <c r="B60" i="7"/>
  <c r="E59" i="7"/>
  <c r="C59" i="7"/>
  <c r="B59" i="7"/>
  <c r="E58" i="7"/>
  <c r="C58" i="7"/>
  <c r="B58" i="7"/>
  <c r="E57" i="7"/>
  <c r="C57" i="7"/>
  <c r="B57" i="7"/>
  <c r="E56" i="7"/>
  <c r="C56" i="7"/>
  <c r="B56" i="7"/>
  <c r="E55" i="7"/>
  <c r="C55" i="7"/>
  <c r="B55" i="7"/>
  <c r="E54" i="7"/>
  <c r="C54" i="7"/>
  <c r="B54" i="7"/>
  <c r="E53" i="7"/>
  <c r="C53" i="7"/>
  <c r="B53" i="7"/>
  <c r="E52" i="7"/>
  <c r="C52" i="7"/>
  <c r="B52" i="7"/>
  <c r="E51" i="7"/>
  <c r="C51" i="7"/>
  <c r="B51" i="7"/>
  <c r="E50" i="7"/>
  <c r="C50" i="7"/>
  <c r="B50" i="7"/>
  <c r="E49" i="7"/>
  <c r="C49" i="7"/>
  <c r="B49" i="7"/>
  <c r="E48" i="7"/>
  <c r="C48" i="7"/>
  <c r="B48" i="7"/>
  <c r="E47" i="7"/>
  <c r="C47" i="7"/>
  <c r="B47" i="7"/>
  <c r="E46" i="7"/>
  <c r="C46" i="7"/>
  <c r="B46" i="7"/>
  <c r="I42" i="7"/>
  <c r="H42" i="7"/>
  <c r="G42" i="7"/>
  <c r="F42" i="7"/>
  <c r="E42" i="7"/>
  <c r="D42" i="7"/>
  <c r="C42" i="7"/>
  <c r="B42" i="7"/>
  <c r="I41" i="7"/>
  <c r="H41" i="7"/>
  <c r="G41" i="7"/>
  <c r="F41" i="7"/>
  <c r="E41" i="7"/>
  <c r="D41" i="7"/>
  <c r="C41" i="7"/>
  <c r="B41" i="7"/>
  <c r="I40" i="7"/>
  <c r="H40" i="7"/>
  <c r="G40" i="7"/>
  <c r="F40" i="7"/>
  <c r="E40" i="7"/>
  <c r="C40" i="7"/>
  <c r="I39" i="7"/>
  <c r="H39" i="7"/>
  <c r="G39" i="7"/>
  <c r="F39" i="7"/>
  <c r="E39" i="7"/>
  <c r="D39" i="7"/>
  <c r="C39" i="7"/>
  <c r="I38" i="7"/>
  <c r="H38" i="7"/>
  <c r="G38" i="7"/>
  <c r="F38" i="7"/>
  <c r="E38" i="7"/>
  <c r="D38" i="7"/>
  <c r="C38" i="7"/>
  <c r="I37" i="7"/>
  <c r="H37" i="7"/>
  <c r="G37" i="7"/>
  <c r="E37" i="7"/>
  <c r="C37" i="7"/>
  <c r="I36" i="7"/>
  <c r="H36" i="7"/>
  <c r="G36" i="7"/>
  <c r="F36" i="7"/>
  <c r="E36" i="7"/>
  <c r="C36" i="7"/>
  <c r="B36" i="7"/>
  <c r="I35" i="7"/>
  <c r="H35" i="7"/>
  <c r="G35" i="7"/>
  <c r="F35" i="7"/>
  <c r="E35" i="7"/>
  <c r="D35" i="7"/>
  <c r="C35" i="7"/>
  <c r="B35" i="7"/>
  <c r="I34" i="7"/>
  <c r="H34" i="7"/>
  <c r="G34" i="7"/>
  <c r="F34" i="7"/>
  <c r="E34" i="7"/>
  <c r="D34" i="7"/>
  <c r="C34" i="7"/>
  <c r="B34" i="7"/>
  <c r="I33" i="7"/>
  <c r="H33" i="7"/>
  <c r="G33" i="7"/>
  <c r="F33" i="7"/>
  <c r="E33" i="7"/>
  <c r="D33" i="7"/>
  <c r="C33" i="7"/>
  <c r="B33" i="7"/>
  <c r="I32" i="7"/>
  <c r="H32" i="7"/>
  <c r="G32" i="7"/>
  <c r="F32" i="7"/>
  <c r="E32" i="7"/>
  <c r="D32" i="7"/>
  <c r="C32" i="7"/>
  <c r="B32" i="7"/>
  <c r="I31" i="7"/>
  <c r="H31" i="7"/>
  <c r="G31" i="7"/>
  <c r="F31" i="7"/>
  <c r="E31" i="7"/>
  <c r="D31" i="7"/>
  <c r="C31" i="7"/>
  <c r="B31" i="7"/>
  <c r="I30" i="7"/>
  <c r="H30" i="7"/>
  <c r="G30" i="7"/>
  <c r="F30" i="7"/>
  <c r="E30" i="7"/>
  <c r="C30" i="7"/>
  <c r="I29" i="7"/>
  <c r="H29" i="7"/>
  <c r="G29" i="7"/>
  <c r="F29" i="7"/>
  <c r="E29" i="7"/>
  <c r="D29" i="7"/>
  <c r="C29" i="7"/>
  <c r="B29" i="7"/>
  <c r="I28" i="7"/>
  <c r="H28" i="7"/>
  <c r="G28" i="7"/>
  <c r="E28" i="7"/>
  <c r="D28" i="7"/>
  <c r="C28" i="7"/>
  <c r="I27" i="7"/>
  <c r="H27" i="7"/>
  <c r="G27" i="7"/>
  <c r="F27" i="7"/>
  <c r="E27" i="7"/>
  <c r="D27" i="7"/>
  <c r="C27" i="7"/>
  <c r="I26" i="7"/>
  <c r="H26" i="7"/>
  <c r="G26" i="7"/>
  <c r="F26" i="7"/>
  <c r="E26" i="7"/>
  <c r="D26" i="7"/>
  <c r="C26" i="7"/>
  <c r="B26" i="7"/>
  <c r="I25" i="7"/>
  <c r="H25" i="7"/>
  <c r="G25" i="7"/>
  <c r="E25" i="7"/>
  <c r="C25" i="7"/>
  <c r="I24" i="7"/>
  <c r="H24" i="7"/>
  <c r="G24" i="7"/>
  <c r="F24" i="7"/>
  <c r="E24" i="7"/>
  <c r="D24" i="7"/>
  <c r="C24" i="7"/>
  <c r="B24" i="7"/>
  <c r="I23" i="7"/>
  <c r="H23" i="7"/>
  <c r="G23" i="7"/>
  <c r="F23" i="7"/>
  <c r="E23" i="7"/>
  <c r="C23" i="7"/>
  <c r="I22" i="7"/>
  <c r="H22" i="7"/>
  <c r="G22" i="7"/>
  <c r="E22" i="7"/>
  <c r="C22" i="7"/>
  <c r="I21" i="7"/>
  <c r="H21" i="7"/>
  <c r="G21" i="7"/>
  <c r="F21" i="7"/>
  <c r="E21" i="7"/>
  <c r="D21" i="7"/>
  <c r="C21" i="7"/>
  <c r="I20" i="7"/>
  <c r="H20" i="7"/>
  <c r="G20" i="7"/>
  <c r="F20" i="7"/>
  <c r="E20" i="7"/>
  <c r="D20" i="7"/>
  <c r="C20" i="7"/>
  <c r="B20" i="7"/>
  <c r="I19" i="7"/>
  <c r="H19" i="7"/>
  <c r="G19" i="7"/>
  <c r="F19" i="7"/>
  <c r="E19" i="7"/>
  <c r="D19" i="7"/>
  <c r="C19" i="7"/>
  <c r="I18" i="7"/>
  <c r="H18" i="7"/>
  <c r="G18" i="7"/>
  <c r="F18" i="7"/>
  <c r="E18" i="7"/>
  <c r="D18" i="7"/>
  <c r="C18" i="7"/>
  <c r="B18" i="7"/>
  <c r="I17" i="7"/>
  <c r="H17" i="7"/>
  <c r="G17" i="7"/>
  <c r="F17" i="7"/>
  <c r="E17" i="7"/>
  <c r="D17" i="7"/>
  <c r="C17" i="7"/>
  <c r="B17" i="7"/>
  <c r="I16" i="7"/>
  <c r="H16" i="7"/>
  <c r="G16" i="7"/>
  <c r="F16" i="7"/>
  <c r="E16" i="7"/>
  <c r="D16" i="7"/>
  <c r="C16" i="7"/>
  <c r="B16" i="7"/>
  <c r="I15" i="7"/>
  <c r="H15" i="7"/>
  <c r="G15" i="7"/>
  <c r="F15" i="7"/>
  <c r="E15" i="7"/>
  <c r="D15" i="7"/>
  <c r="C15" i="7"/>
  <c r="B15" i="7"/>
  <c r="I14" i="7"/>
  <c r="H14" i="7"/>
  <c r="G14" i="7"/>
  <c r="F14" i="7"/>
  <c r="E14" i="7"/>
  <c r="D14" i="7"/>
  <c r="C14" i="7"/>
  <c r="I13" i="7"/>
  <c r="H13" i="7"/>
  <c r="G13" i="7"/>
  <c r="F13" i="7"/>
  <c r="E13" i="7"/>
  <c r="D13" i="7"/>
  <c r="C13" i="7"/>
  <c r="B13" i="7"/>
  <c r="I12" i="7"/>
  <c r="H12" i="7"/>
  <c r="G12" i="7"/>
  <c r="F12" i="7"/>
  <c r="E12" i="7"/>
  <c r="D12" i="7"/>
  <c r="C12" i="7"/>
  <c r="B12" i="7"/>
  <c r="I11" i="7"/>
  <c r="H11" i="7"/>
  <c r="G11" i="7"/>
  <c r="F11" i="7"/>
  <c r="E11" i="7"/>
  <c r="C11" i="7"/>
  <c r="I10" i="7"/>
  <c r="H10" i="7"/>
  <c r="G10" i="7"/>
  <c r="F10" i="7"/>
  <c r="E10" i="7"/>
  <c r="C10" i="7"/>
  <c r="B10" i="7"/>
  <c r="I9" i="7"/>
  <c r="H9" i="7"/>
  <c r="G9" i="7"/>
  <c r="F9" i="7"/>
  <c r="E9" i="7"/>
  <c r="D9" i="7"/>
  <c r="C9" i="7"/>
  <c r="B9" i="7"/>
  <c r="I8" i="7"/>
  <c r="H8" i="7"/>
  <c r="G8" i="7"/>
  <c r="F8" i="7"/>
  <c r="E8" i="7"/>
  <c r="D8" i="7"/>
  <c r="C8" i="7"/>
  <c r="B8" i="7"/>
  <c r="I7" i="7"/>
  <c r="H7" i="7"/>
  <c r="G7" i="7"/>
  <c r="F7" i="7"/>
  <c r="E7" i="7"/>
  <c r="D7" i="7"/>
  <c r="C7" i="7"/>
  <c r="B7" i="7"/>
  <c r="I6" i="7"/>
  <c r="H6" i="7"/>
  <c r="G6" i="7"/>
  <c r="F6" i="7"/>
  <c r="E6" i="7"/>
  <c r="D6" i="7"/>
  <c r="C6" i="7"/>
  <c r="B6" i="7"/>
  <c r="I5" i="7"/>
  <c r="H5" i="7"/>
  <c r="G5" i="7"/>
  <c r="E5" i="7"/>
  <c r="D5" i="7"/>
  <c r="C5" i="7"/>
  <c r="B5" i="7"/>
  <c r="I4" i="7"/>
  <c r="H4" i="7"/>
  <c r="G4" i="7"/>
  <c r="F4" i="7"/>
  <c r="E4" i="7"/>
  <c r="D4" i="7"/>
  <c r="C4" i="7"/>
  <c r="B4" i="7"/>
  <c r="I3" i="7"/>
  <c r="H3" i="7"/>
  <c r="G3" i="7"/>
  <c r="F3" i="7"/>
  <c r="E3" i="7"/>
  <c r="D3" i="7"/>
  <c r="C3" i="7"/>
  <c r="B3" i="7"/>
  <c r="I2" i="7"/>
  <c r="H2" i="7"/>
  <c r="G2" i="7"/>
  <c r="F2" i="7"/>
  <c r="E2" i="7"/>
  <c r="D2" i="7"/>
  <c r="C2" i="7"/>
  <c r="B2" i="7"/>
  <c r="I32" i="3"/>
  <c r="H32" i="3"/>
  <c r="G32" i="3"/>
  <c r="I31" i="3"/>
  <c r="H31" i="3"/>
  <c r="G31" i="3"/>
  <c r="H29" i="3"/>
  <c r="G29" i="3"/>
  <c r="H27" i="3"/>
  <c r="G27" i="3"/>
  <c r="I26" i="3"/>
  <c r="H26" i="3"/>
  <c r="G26" i="3"/>
  <c r="I25" i="3"/>
  <c r="H25" i="3"/>
  <c r="G25" i="3"/>
  <c r="H24" i="3"/>
  <c r="G24" i="3"/>
  <c r="H22" i="3"/>
  <c r="G22" i="3"/>
  <c r="I21" i="3"/>
  <c r="H21" i="3"/>
  <c r="G21" i="3"/>
  <c r="I20" i="3"/>
  <c r="H20" i="3"/>
  <c r="G20" i="3"/>
  <c r="I19" i="3"/>
  <c r="H19" i="3"/>
  <c r="G19" i="3"/>
  <c r="H17" i="3"/>
  <c r="G17" i="3"/>
  <c r="H15" i="3"/>
  <c r="G15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G4" i="3"/>
  <c r="G3" i="3"/>
  <c r="G2" i="3"/>
</calcChain>
</file>

<file path=xl/sharedStrings.xml><?xml version="1.0" encoding="utf-8"?>
<sst xmlns="http://schemas.openxmlformats.org/spreadsheetml/2006/main" count="350" uniqueCount="141">
  <si>
    <t>BESP BAU EV Subsidy Percentage</t>
  </si>
  <si>
    <t>Sources:</t>
  </si>
  <si>
    <t>Subsidy</t>
  </si>
  <si>
    <t>https://www.logclub.com/articleInfo/NDM2NzU=</t>
  </si>
  <si>
    <t>Notes</t>
  </si>
  <si>
    <t xml:space="preserve">For this variable, we first identified the national unified subsidies and then researched the subsidy policies of each province. </t>
  </si>
  <si>
    <t>We calculated the total subsidy as a percentage of the vehicle's sales price.</t>
  </si>
  <si>
    <t>注：左边为国家补贴政策，右边为省补贴政策</t>
  </si>
  <si>
    <t>上图为2023年之前</t>
  </si>
  <si>
    <t>下图为2023年开始</t>
  </si>
  <si>
    <t>客运</t>
  </si>
  <si>
    <t>LDV</t>
  </si>
  <si>
    <t>国家补贴（万元）</t>
  </si>
  <si>
    <r>
      <rPr>
        <sz val="10"/>
        <color theme="1"/>
        <rFont val="Microsoft YaHei"/>
        <charset val="134"/>
      </rPr>
      <t>300</t>
    </r>
    <r>
      <rPr>
        <sz val="10"/>
        <color theme="1"/>
        <rFont val="Arial"/>
        <family val="2"/>
      </rPr>
      <t>≤</t>
    </r>
    <r>
      <rPr>
        <sz val="10"/>
        <color theme="1"/>
        <rFont val="Microsoft YaHei"/>
        <charset val="134"/>
      </rPr>
      <t>R&lt;400</t>
    </r>
  </si>
  <si>
    <r>
      <rPr>
        <sz val="10"/>
        <color theme="1"/>
        <rFont val="Microsoft YaHei"/>
        <charset val="134"/>
      </rPr>
      <t>R</t>
    </r>
    <r>
      <rPr>
        <sz val="10"/>
        <color theme="1"/>
        <rFont val="Arial"/>
        <family val="2"/>
      </rPr>
      <t>≥</t>
    </r>
    <r>
      <rPr>
        <sz val="10"/>
        <color theme="1"/>
        <rFont val="Microsoft YaHei"/>
        <charset val="134"/>
      </rPr>
      <t>400</t>
    </r>
  </si>
  <si>
    <t>插电式混合</t>
  </si>
  <si>
    <t>省补贴（万元）</t>
  </si>
  <si>
    <t>个人补贴</t>
  </si>
  <si>
    <t>纯电动车</t>
  </si>
  <si>
    <t>插电混合</t>
  </si>
  <si>
    <t>混合动力</t>
  </si>
  <si>
    <t>公司补贴</t>
  </si>
  <si>
    <t>HDV</t>
  </si>
  <si>
    <t>国家补贴（元/kWh）</t>
  </si>
  <si>
    <t>纯电</t>
  </si>
  <si>
    <t>非快充</t>
  </si>
  <si>
    <t>补贴上限（万元）</t>
  </si>
  <si>
    <t>快充</t>
  </si>
  <si>
    <t>插电混合（含增程式）</t>
  </si>
  <si>
    <t>省补贴（元/kWh）</t>
  </si>
  <si>
    <t>货运</t>
  </si>
  <si>
    <t>国家补助只限于售价小于30万元以及续航能力在300以上的车</t>
  </si>
  <si>
    <t>私家车国家补助和省补助总和不超过车售价的60%</t>
  </si>
  <si>
    <t>标红单元格单位为万元</t>
  </si>
  <si>
    <t>轿车</t>
  </si>
  <si>
    <t>销售占比</t>
  </si>
  <si>
    <t>比亚迪</t>
  </si>
  <si>
    <t>轿车类型标黄色底色的是续航里程大于300小于400的</t>
  </si>
  <si>
    <t>上汽通用五菱</t>
  </si>
  <si>
    <t>广汽埃安新能源</t>
  </si>
  <si>
    <t>奇瑞</t>
  </si>
  <si>
    <t>吉利</t>
  </si>
  <si>
    <t>上汽大众</t>
  </si>
  <si>
    <t>别克</t>
  </si>
  <si>
    <t>荣威</t>
  </si>
  <si>
    <t>长安</t>
  </si>
  <si>
    <t>东风风光</t>
  </si>
  <si>
    <t>丰田</t>
  </si>
  <si>
    <t>本田</t>
  </si>
  <si>
    <t>红旗</t>
  </si>
  <si>
    <t>欧拉</t>
  </si>
  <si>
    <t>领克</t>
  </si>
  <si>
    <t>零跑汽车</t>
  </si>
  <si>
    <t>小鹏</t>
  </si>
  <si>
    <t>广汽传祺</t>
  </si>
  <si>
    <t>北京汽车</t>
  </si>
  <si>
    <t>长安欧尚</t>
  </si>
  <si>
    <t>长安启源</t>
  </si>
  <si>
    <t>哪吒汽车</t>
  </si>
  <si>
    <t>东风风神</t>
  </si>
  <si>
    <t>江淮钇为</t>
  </si>
  <si>
    <t>飞凡汽车</t>
  </si>
  <si>
    <t>宝骏</t>
  </si>
  <si>
    <t>ARFOX极狐</t>
  </si>
  <si>
    <t>MG名爵</t>
  </si>
  <si>
    <t>睿蓝汽车</t>
  </si>
  <si>
    <t>凌宝汽车</t>
  </si>
  <si>
    <t>江铃集团新能源</t>
  </si>
  <si>
    <t>东风富康</t>
  </si>
  <si>
    <t>东风风行</t>
  </si>
  <si>
    <t>启辰</t>
  </si>
  <si>
    <t>雪佛兰</t>
  </si>
  <si>
    <t>曹操汽车</t>
  </si>
  <si>
    <t>思皓</t>
  </si>
  <si>
    <t>电动屋</t>
  </si>
  <si>
    <t>合创汽车</t>
  </si>
  <si>
    <t>现代</t>
  </si>
  <si>
    <t>总计</t>
  </si>
  <si>
    <t>客车</t>
  </si>
  <si>
    <t>宇通客车</t>
  </si>
  <si>
    <t>苏州金龙</t>
  </si>
  <si>
    <t>中通客车</t>
  </si>
  <si>
    <t>中车电动</t>
  </si>
  <si>
    <t>金旅客车</t>
  </si>
  <si>
    <t>福田欧辉</t>
  </si>
  <si>
    <t>金龙客车</t>
  </si>
  <si>
    <t>开沃汽车</t>
  </si>
  <si>
    <t>申沃客车</t>
  </si>
  <si>
    <t>吉利商用车</t>
  </si>
  <si>
    <t>格力钛新能源</t>
  </si>
  <si>
    <t>奇瑞万达</t>
  </si>
  <si>
    <t>安凯客车</t>
  </si>
  <si>
    <t>亚星客车</t>
  </si>
  <si>
    <t>售价（万元）</t>
  </si>
  <si>
    <t>能源类型</t>
  </si>
  <si>
    <t>2020预计（万元）</t>
  </si>
  <si>
    <t>2021预计（万元）</t>
  </si>
  <si>
    <t>2022预计（万元）</t>
  </si>
  <si>
    <t>售价60%（万元）</t>
  </si>
  <si>
    <t>2020实际（万元）</t>
  </si>
  <si>
    <t>补贴占比</t>
  </si>
  <si>
    <t>2021实际（万元）</t>
  </si>
  <si>
    <t>2022实际（万元）</t>
  </si>
  <si>
    <t>2023实际（万元）</t>
  </si>
  <si>
    <t>新能源乘用车价格普遍高于30万，不符合补贴要求；价格低于30万的续航普遍不符合补贴要求</t>
  </si>
  <si>
    <t>插电混动</t>
  </si>
  <si>
    <t>油电混合</t>
  </si>
  <si>
    <t>subsidy ratio</t>
  </si>
  <si>
    <t>轻卡</t>
  </si>
  <si>
    <t>2022上半年</t>
  </si>
  <si>
    <t>电池容量kWh</t>
  </si>
  <si>
    <t>远程星智E200</t>
  </si>
  <si>
    <t>福田智蓝轻卡</t>
  </si>
  <si>
    <t>江铃顺达EV</t>
  </si>
  <si>
    <t>远程星智GLR</t>
  </si>
  <si>
    <t>陕汽德龙E3000</t>
  </si>
  <si>
    <t>乘龙L2</t>
  </si>
  <si>
    <t>重卡</t>
  </si>
  <si>
    <t>三一汽车</t>
  </si>
  <si>
    <t>智蓝重卡</t>
  </si>
  <si>
    <t>上汽红岩</t>
  </si>
  <si>
    <t>中国一汽</t>
  </si>
  <si>
    <t>国家补助20%（万元）</t>
  </si>
  <si>
    <t>Subsidy Percentage (dimensionless)</t>
  </si>
  <si>
    <t>LDVs</t>
  </si>
  <si>
    <t>HDVs</t>
  </si>
  <si>
    <t>aircraft</t>
  </si>
  <si>
    <t>rail</t>
  </si>
  <si>
    <t>ships</t>
  </si>
  <si>
    <t>motorbikes</t>
  </si>
  <si>
    <t>From online sources.</t>
    <phoneticPr fontId="6" type="noConversion"/>
  </si>
  <si>
    <t>Zhongtong Research Institute</t>
  </si>
  <si>
    <t>广西壮族自治区财政厅</t>
  </si>
  <si>
    <t>中通研究院</t>
    <phoneticPr fontId="6" type="noConversion"/>
  </si>
  <si>
    <t>Department of Finance of Guangxi Zhuang Autonomous Region</t>
  </si>
  <si>
    <t>http://www.china-nengyuan.com/exhibition/china-nengyuan_exhibition_news_129173.pdf</t>
  </si>
  <si>
    <t>https://www.pcauto.com.cn/wd/3666254.html</t>
  </si>
  <si>
    <t>(2020 policies)</t>
    <phoneticPr fontId="6" type="noConversion"/>
  </si>
  <si>
    <t>https://czt.gxzf.gov.cn/xwdt/tjgdt/t11604168.shtml</t>
  </si>
  <si>
    <t>(bus policies)</t>
    <phoneticPr fontId="6" type="noConversion"/>
  </si>
  <si>
    <t>https://news.bjx.com.cn/html/20200423/1066106.shtml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</si>
</sst>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0.00000_ "/>
    <numFmt numFmtId="177" formatCode="0.0000_ "/>
    <numFmt numFmtId="178" formatCode="0.000_ "/>
    <numFmt numFmtId="179" formatCode="0.00_ "/>
    <numFmt numFmtId="180" formatCode="0_ "/>
  </numFmts>
  <fonts count="7">
    <font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0"/>
      <color theme="1"/>
      <name val="Arial"/>
      <family val="2"/>
    </font>
    <font>
      <sz val="9"/>
      <name val="Microsoft YaHei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3" borderId="0" xfId="0" applyFill="1">
      <alignment vertical="center"/>
    </xf>
    <xf numFmtId="180" fontId="0" fillId="0" borderId="0" xfId="0" applyNumberFormat="1">
      <alignment vertical="center"/>
    </xf>
    <xf numFmtId="180" fontId="0" fillId="2" borderId="0" xfId="0" applyNumberFormat="1" applyFill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/>
    <xf numFmtId="0" fontId="2" fillId="6" borderId="0" xfId="0" applyFont="1" applyFill="1" applyAlignment="1">
      <alignment horizontal="left"/>
    </xf>
    <xf numFmtId="0" fontId="4" fillId="0" borderId="0" xfId="1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19">
    <dxf>
      <numFmt numFmtId="180" formatCode="0_ "/>
    </dxf>
    <dxf>
      <numFmt numFmtId="180" formatCode="0_ "/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10</xdr:col>
      <xdr:colOff>244475</xdr:colOff>
      <xdr:row>9</xdr:row>
      <xdr:rowOff>15875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635"/>
          <a:ext cx="6949440" cy="2491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9</xdr:row>
      <xdr:rowOff>7620</xdr:rowOff>
    </xdr:from>
    <xdr:to>
      <xdr:col>7</xdr:col>
      <xdr:colOff>480695</xdr:colOff>
      <xdr:row>21</xdr:row>
      <xdr:rowOff>7620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" y="2484120"/>
          <a:ext cx="5173980" cy="2286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34</xdr:row>
      <xdr:rowOff>175260</xdr:rowOff>
    </xdr:from>
    <xdr:to>
      <xdr:col>7</xdr:col>
      <xdr:colOff>427355</xdr:colOff>
      <xdr:row>40</xdr:row>
      <xdr:rowOff>152400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" y="7414260"/>
          <a:ext cx="512064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20</xdr:row>
      <xdr:rowOff>99060</xdr:rowOff>
    </xdr:from>
    <xdr:to>
      <xdr:col>8</xdr:col>
      <xdr:colOff>130175</xdr:colOff>
      <xdr:row>35</xdr:row>
      <xdr:rowOff>22860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4671060"/>
          <a:ext cx="5494020" cy="2781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15240</xdr:colOff>
      <xdr:row>0</xdr:row>
      <xdr:rowOff>635</xdr:rowOff>
    </xdr:from>
    <xdr:to>
      <xdr:col>21</xdr:col>
      <xdr:colOff>510540</xdr:colOff>
      <xdr:row>5</xdr:row>
      <xdr:rowOff>84455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61960" y="635"/>
          <a:ext cx="6530340" cy="1798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99060</xdr:colOff>
      <xdr:row>10</xdr:row>
      <xdr:rowOff>45720</xdr:rowOff>
    </xdr:from>
    <xdr:to>
      <xdr:col>17</xdr:col>
      <xdr:colOff>556260</xdr:colOff>
      <xdr:row>16</xdr:row>
      <xdr:rowOff>129540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45780" y="2712720"/>
          <a:ext cx="3810000" cy="12268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ews.bjx.com.cn/html/20200423/1066106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B6" activeCellId="1" sqref="B5 B6"/>
    </sheetView>
  </sheetViews>
  <sheetFormatPr defaultColWidth="8.77734375" defaultRowHeight="14.95"/>
  <cols>
    <col min="1" max="1" width="9.33203125" customWidth="1"/>
    <col min="2" max="2" width="52.88671875" customWidth="1"/>
    <col min="3" max="6" width="37.77734375" customWidth="1"/>
  </cols>
  <sheetData>
    <row r="1" spans="1:6">
      <c r="A1" s="17" t="s">
        <v>0</v>
      </c>
      <c r="B1" s="18"/>
    </row>
    <row r="2" spans="1:6">
      <c r="A2" s="19"/>
      <c r="B2" s="18"/>
    </row>
    <row r="3" spans="1:6">
      <c r="A3" s="17" t="s">
        <v>1</v>
      </c>
      <c r="B3" s="20" t="s">
        <v>2</v>
      </c>
      <c r="C3" s="20"/>
      <c r="D3" s="20"/>
      <c r="E3" s="20"/>
      <c r="F3" s="20"/>
    </row>
    <row r="4" spans="1:6">
      <c r="A4" s="19"/>
      <c r="B4" t="s">
        <v>130</v>
      </c>
      <c r="C4" t="s">
        <v>131</v>
      </c>
      <c r="D4" t="s">
        <v>130</v>
      </c>
      <c r="E4" t="s">
        <v>132</v>
      </c>
      <c r="F4" t="s">
        <v>130</v>
      </c>
    </row>
    <row r="5" spans="1:6">
      <c r="A5" s="19"/>
      <c r="B5" s="22">
        <v>2020</v>
      </c>
      <c r="C5" t="s">
        <v>133</v>
      </c>
      <c r="D5" s="22">
        <v>2018</v>
      </c>
      <c r="E5" t="s">
        <v>134</v>
      </c>
      <c r="F5" s="22">
        <v>2023</v>
      </c>
    </row>
    <row r="6" spans="1:6">
      <c r="A6" s="19"/>
      <c r="B6" s="21" t="s">
        <v>140</v>
      </c>
      <c r="C6" s="22">
        <v>2022</v>
      </c>
      <c r="D6" s="19" t="s">
        <v>135</v>
      </c>
      <c r="E6" s="22">
        <v>2022</v>
      </c>
      <c r="F6" t="s">
        <v>136</v>
      </c>
    </row>
    <row r="7" spans="1:6">
      <c r="A7" s="19"/>
      <c r="B7" s="21"/>
      <c r="C7" s="21" t="s">
        <v>3</v>
      </c>
      <c r="D7" t="s">
        <v>137</v>
      </c>
      <c r="E7" s="19" t="s">
        <v>138</v>
      </c>
    </row>
    <row r="8" spans="1:6">
      <c r="A8" s="19"/>
      <c r="E8" t="s">
        <v>139</v>
      </c>
    </row>
    <row r="9" spans="1:6">
      <c r="A9" s="19"/>
      <c r="B9" s="19"/>
    </row>
    <row r="10" spans="1:6">
      <c r="A10" s="19"/>
      <c r="B10" s="19"/>
    </row>
    <row r="11" spans="1:6">
      <c r="A11" s="19"/>
      <c r="B11" s="19"/>
    </row>
    <row r="12" spans="1:6">
      <c r="A12" s="19"/>
    </row>
    <row r="13" spans="1:6">
      <c r="A13" s="17" t="s">
        <v>4</v>
      </c>
      <c r="B13" s="18"/>
    </row>
    <row r="14" spans="1:6">
      <c r="A14" s="19" t="s">
        <v>5</v>
      </c>
      <c r="B14" s="18"/>
    </row>
    <row r="15" spans="1:6">
      <c r="A15" s="19" t="s">
        <v>6</v>
      </c>
      <c r="B15" s="18"/>
    </row>
    <row r="16" spans="1:6">
      <c r="A16" s="19"/>
      <c r="B16" s="18"/>
    </row>
    <row r="17" spans="2:2">
      <c r="B17" s="18"/>
    </row>
  </sheetData>
  <phoneticPr fontId="6" type="noConversion"/>
  <hyperlinks>
    <hyperlink ref="B6" r:id="rId1" xr:uid="{FCE69090-5E2E-4C78-8243-3076F7867A7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L1:M9"/>
  <sheetViews>
    <sheetView workbookViewId="0">
      <selection activeCell="M8" sqref="M8:M9"/>
    </sheetView>
  </sheetViews>
  <sheetFormatPr defaultColWidth="8.77734375" defaultRowHeight="14.95"/>
  <cols>
    <col min="12" max="12" width="8.77734375" style="15"/>
  </cols>
  <sheetData>
    <row r="1" spans="12:13" ht="74.75">
      <c r="L1" s="16" t="s">
        <v>7</v>
      </c>
    </row>
    <row r="8" spans="12:13">
      <c r="M8" t="s">
        <v>8</v>
      </c>
    </row>
    <row r="9" spans="12:13">
      <c r="M9" t="s">
        <v>9</v>
      </c>
    </row>
  </sheetData>
  <phoneticPr fontId="6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37"/>
  <sheetViews>
    <sheetView workbookViewId="0">
      <pane xSplit="6" ySplit="1" topLeftCell="G5" activePane="bottomRight" state="frozen"/>
      <selection pane="topRight"/>
      <selection pane="bottomLeft"/>
      <selection pane="bottomRight" activeCell="H18" sqref="H18"/>
    </sheetView>
  </sheetViews>
  <sheetFormatPr defaultColWidth="8.77734375" defaultRowHeight="14.95"/>
  <cols>
    <col min="1" max="1" width="10" customWidth="1"/>
    <col min="2" max="2" width="5.33203125" customWidth="1"/>
    <col min="3" max="3" width="17.109375" customWidth="1"/>
    <col min="4" max="4" width="8.33203125" customWidth="1"/>
    <col min="5" max="5" width="9.6640625" customWidth="1"/>
    <col min="6" max="6" width="13.44140625" customWidth="1"/>
    <col min="7" max="7" width="7.88671875" customWidth="1"/>
    <col min="8" max="9" width="6.44140625" customWidth="1"/>
    <col min="10" max="47" width="5.44140625" customWidth="1"/>
  </cols>
  <sheetData>
    <row r="1" spans="1:47"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  <c r="AL1" s="2">
        <v>2051</v>
      </c>
      <c r="AM1" s="2">
        <v>2052</v>
      </c>
      <c r="AN1" s="2">
        <v>2053</v>
      </c>
      <c r="AO1" s="2">
        <v>2054</v>
      </c>
      <c r="AP1" s="2">
        <v>2055</v>
      </c>
      <c r="AQ1" s="2">
        <v>2056</v>
      </c>
      <c r="AR1" s="2">
        <v>2057</v>
      </c>
      <c r="AS1" s="2">
        <v>2058</v>
      </c>
      <c r="AT1" s="2">
        <v>2059</v>
      </c>
      <c r="AU1" s="2">
        <v>2060</v>
      </c>
    </row>
    <row r="2" spans="1:47">
      <c r="A2" s="27" t="s">
        <v>10</v>
      </c>
      <c r="B2" s="23" t="s">
        <v>11</v>
      </c>
      <c r="C2" s="23" t="s">
        <v>12</v>
      </c>
      <c r="D2" s="23" t="s">
        <v>13</v>
      </c>
      <c r="E2" s="23"/>
      <c r="F2" s="24"/>
      <c r="G2">
        <f>H2/0.8</f>
        <v>1.625</v>
      </c>
      <c r="H2">
        <v>1.3</v>
      </c>
      <c r="I2">
        <v>0.91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</row>
    <row r="3" spans="1:47">
      <c r="A3" s="28"/>
      <c r="B3" s="25"/>
      <c r="C3" s="25"/>
      <c r="D3" s="25" t="s">
        <v>14</v>
      </c>
      <c r="E3" s="25"/>
      <c r="F3" s="26"/>
      <c r="G3">
        <f>H3/0.8</f>
        <v>2.25</v>
      </c>
      <c r="H3">
        <v>1.8</v>
      </c>
      <c r="I3">
        <v>1.26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7">
      <c r="A4" s="28"/>
      <c r="B4" s="25"/>
      <c r="C4" s="25"/>
      <c r="D4" s="25" t="s">
        <v>15</v>
      </c>
      <c r="E4" s="25"/>
      <c r="F4" s="26"/>
      <c r="G4">
        <f>H4/0.8</f>
        <v>0.85</v>
      </c>
      <c r="H4">
        <v>0.68</v>
      </c>
      <c r="I4">
        <v>0.48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5" spans="1:47">
      <c r="A5" s="28"/>
      <c r="B5" s="25"/>
      <c r="C5" s="25" t="s">
        <v>16</v>
      </c>
      <c r="D5" s="25" t="s">
        <v>17</v>
      </c>
      <c r="E5" s="25" t="s">
        <v>18</v>
      </c>
      <c r="F5" s="13" t="s">
        <v>13</v>
      </c>
      <c r="G5">
        <f t="shared" ref="G5:I7" si="0">G2*0.5</f>
        <v>0.8125</v>
      </c>
      <c r="H5">
        <f t="shared" si="0"/>
        <v>0.65</v>
      </c>
      <c r="I5">
        <f t="shared" si="0"/>
        <v>0.45500000000000002</v>
      </c>
      <c r="J5">
        <v>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</row>
    <row r="6" spans="1:47">
      <c r="A6" s="28"/>
      <c r="B6" s="25"/>
      <c r="C6" s="25"/>
      <c r="D6" s="25"/>
      <c r="E6" s="25"/>
      <c r="F6" s="13" t="s">
        <v>14</v>
      </c>
      <c r="G6">
        <f t="shared" si="0"/>
        <v>1.125</v>
      </c>
      <c r="H6">
        <f t="shared" si="0"/>
        <v>0.9</v>
      </c>
      <c r="I6">
        <f t="shared" si="0"/>
        <v>0.63</v>
      </c>
      <c r="J6">
        <v>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47">
      <c r="A7" s="28"/>
      <c r="B7" s="25"/>
      <c r="C7" s="25"/>
      <c r="D7" s="25"/>
      <c r="E7" s="25" t="s">
        <v>19</v>
      </c>
      <c r="F7" s="26"/>
      <c r="G7">
        <f t="shared" si="0"/>
        <v>0.42499999999999999</v>
      </c>
      <c r="H7">
        <f t="shared" si="0"/>
        <v>0.34</v>
      </c>
      <c r="I7">
        <f t="shared" si="0"/>
        <v>0.24</v>
      </c>
      <c r="J7">
        <v>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>
      <c r="A8" s="28"/>
      <c r="B8" s="25"/>
      <c r="C8" s="25"/>
      <c r="D8" s="25"/>
      <c r="E8" s="25" t="s">
        <v>20</v>
      </c>
      <c r="F8" s="26"/>
      <c r="G8">
        <f>G4*0.5</f>
        <v>0.42499999999999999</v>
      </c>
      <c r="H8">
        <f>H4*0.5</f>
        <v>0.34</v>
      </c>
      <c r="I8">
        <f>I4*0.5</f>
        <v>0.24</v>
      </c>
      <c r="J8">
        <v>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1:47">
      <c r="A9" s="28"/>
      <c r="B9" s="25"/>
      <c r="C9" s="25"/>
      <c r="D9" s="25" t="s">
        <v>21</v>
      </c>
      <c r="E9" s="25" t="s">
        <v>18</v>
      </c>
      <c r="F9" s="13" t="s">
        <v>13</v>
      </c>
      <c r="G9">
        <f t="shared" ref="G9:I11" si="1">G2*0.5</f>
        <v>0.8125</v>
      </c>
      <c r="H9">
        <f t="shared" si="1"/>
        <v>0.65</v>
      </c>
      <c r="I9">
        <f t="shared" si="1"/>
        <v>0.45500000000000002</v>
      </c>
      <c r="J9">
        <v>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47">
      <c r="A10" s="28"/>
      <c r="B10" s="25"/>
      <c r="C10" s="25"/>
      <c r="D10" s="25"/>
      <c r="E10" s="25"/>
      <c r="F10" s="13" t="s">
        <v>14</v>
      </c>
      <c r="G10">
        <f t="shared" si="1"/>
        <v>1.125</v>
      </c>
      <c r="H10">
        <f t="shared" si="1"/>
        <v>0.9</v>
      </c>
      <c r="I10">
        <f t="shared" si="1"/>
        <v>0.63</v>
      </c>
      <c r="J10">
        <v>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1:47">
      <c r="A11" s="28"/>
      <c r="B11" s="25"/>
      <c r="C11" s="25"/>
      <c r="D11" s="25"/>
      <c r="E11" s="25" t="s">
        <v>19</v>
      </c>
      <c r="F11" s="26"/>
      <c r="G11">
        <f t="shared" si="1"/>
        <v>0.42499999999999999</v>
      </c>
      <c r="H11">
        <f t="shared" si="1"/>
        <v>0.34</v>
      </c>
      <c r="I11">
        <f t="shared" si="1"/>
        <v>0.24</v>
      </c>
      <c r="J11">
        <v>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</row>
    <row r="12" spans="1:47">
      <c r="A12" s="28"/>
      <c r="B12" s="25"/>
      <c r="C12" s="25"/>
      <c r="D12" s="25"/>
      <c r="E12" s="25" t="s">
        <v>20</v>
      </c>
      <c r="F12" s="26"/>
      <c r="G12">
        <f>G4*0.5</f>
        <v>0.42499999999999999</v>
      </c>
      <c r="H12">
        <f>H4*0.5</f>
        <v>0.34</v>
      </c>
      <c r="I12">
        <f>I4*0.5</f>
        <v>0.24</v>
      </c>
      <c r="J12">
        <v>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</row>
    <row r="13" spans="1:47">
      <c r="A13" s="28"/>
      <c r="B13" s="25" t="s">
        <v>22</v>
      </c>
      <c r="C13" s="25" t="s">
        <v>23</v>
      </c>
      <c r="D13" s="25" t="s">
        <v>24</v>
      </c>
      <c r="E13" s="25" t="s">
        <v>25</v>
      </c>
      <c r="F13" s="13"/>
      <c r="G13">
        <f>H13/0.9</f>
        <v>500</v>
      </c>
      <c r="H13">
        <f>I13/0.8</f>
        <v>450</v>
      </c>
      <c r="I13">
        <v>360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</row>
    <row r="14" spans="1:47">
      <c r="A14" s="28"/>
      <c r="B14" s="25"/>
      <c r="C14" s="25"/>
      <c r="D14" s="25"/>
      <c r="E14" s="25"/>
      <c r="F14" s="13" t="s">
        <v>26</v>
      </c>
      <c r="G14">
        <v>6.48</v>
      </c>
      <c r="H14">
        <v>6.48</v>
      </c>
      <c r="I14">
        <v>6.48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>
      <c r="A15" s="28"/>
      <c r="B15" s="25"/>
      <c r="C15" s="25"/>
      <c r="D15" s="25"/>
      <c r="E15" s="25" t="s">
        <v>27</v>
      </c>
      <c r="F15" s="12"/>
      <c r="G15">
        <f>H15/0.9</f>
        <v>900</v>
      </c>
      <c r="H15">
        <f>I15/0.8</f>
        <v>810</v>
      </c>
      <c r="I15">
        <v>648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</row>
    <row r="16" spans="1:47">
      <c r="A16" s="28"/>
      <c r="B16" s="25"/>
      <c r="C16" s="25"/>
      <c r="D16" s="25"/>
      <c r="E16" s="25"/>
      <c r="F16" s="13" t="s">
        <v>26</v>
      </c>
      <c r="G16">
        <v>4.68</v>
      </c>
      <c r="H16">
        <v>4.68</v>
      </c>
      <c r="I16">
        <v>4.68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</row>
    <row r="17" spans="1:47">
      <c r="A17" s="28"/>
      <c r="B17" s="25"/>
      <c r="C17" s="25"/>
      <c r="D17" s="25" t="s">
        <v>28</v>
      </c>
      <c r="E17" s="25"/>
      <c r="F17" s="13"/>
      <c r="G17">
        <f>H17/0.9</f>
        <v>600</v>
      </c>
      <c r="H17">
        <f>I17/0.8</f>
        <v>540</v>
      </c>
      <c r="I17">
        <v>432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</row>
    <row r="18" spans="1:47">
      <c r="A18" s="28"/>
      <c r="B18" s="25"/>
      <c r="C18" s="25"/>
      <c r="D18" s="25"/>
      <c r="E18" s="25"/>
      <c r="F18" s="13" t="s">
        <v>26</v>
      </c>
      <c r="G18">
        <v>2.74</v>
      </c>
      <c r="H18">
        <v>2.74</v>
      </c>
      <c r="I18">
        <v>2.74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</row>
    <row r="19" spans="1:47">
      <c r="A19" s="28"/>
      <c r="B19" s="25"/>
      <c r="C19" s="25" t="s">
        <v>29</v>
      </c>
      <c r="D19" s="25" t="s">
        <v>24</v>
      </c>
      <c r="E19" s="25" t="s">
        <v>25</v>
      </c>
      <c r="F19" s="26"/>
      <c r="G19">
        <f>G13*0.5</f>
        <v>250</v>
      </c>
      <c r="H19">
        <f>H13*0.5</f>
        <v>225</v>
      </c>
      <c r="I19">
        <f>I13*0.5</f>
        <v>180</v>
      </c>
      <c r="J19" s="14">
        <v>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</row>
    <row r="20" spans="1:47">
      <c r="A20" s="28"/>
      <c r="B20" s="25"/>
      <c r="C20" s="25"/>
      <c r="D20" s="25"/>
      <c r="E20" s="25" t="s">
        <v>27</v>
      </c>
      <c r="F20" s="26"/>
      <c r="G20">
        <f>G15*0.5</f>
        <v>450</v>
      </c>
      <c r="H20">
        <f>H15*0.5</f>
        <v>405</v>
      </c>
      <c r="I20">
        <f>I15*0.5</f>
        <v>324</v>
      </c>
      <c r="J20" s="14">
        <v>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>
      <c r="A21" s="28"/>
      <c r="B21" s="25"/>
      <c r="C21" s="25"/>
      <c r="D21" s="25" t="s">
        <v>28</v>
      </c>
      <c r="E21" s="25"/>
      <c r="F21" s="26"/>
      <c r="G21">
        <f>G17*0.5</f>
        <v>300</v>
      </c>
      <c r="H21">
        <f>H17*0.5</f>
        <v>270</v>
      </c>
      <c r="I21">
        <f>I17*0.5</f>
        <v>216</v>
      </c>
      <c r="J21" s="14">
        <v>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>
      <c r="A22" s="28" t="s">
        <v>30</v>
      </c>
      <c r="B22" s="25" t="s">
        <v>11</v>
      </c>
      <c r="C22" s="25" t="s">
        <v>23</v>
      </c>
      <c r="D22" s="25" t="s">
        <v>24</v>
      </c>
      <c r="E22" s="25"/>
      <c r="F22" s="13"/>
      <c r="G22">
        <f>H22/0.9</f>
        <v>244.444444444444</v>
      </c>
      <c r="H22">
        <f>I22/0.8</f>
        <v>220</v>
      </c>
      <c r="I22">
        <v>176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47">
      <c r="A23" s="28"/>
      <c r="B23" s="25"/>
      <c r="C23" s="25"/>
      <c r="D23" s="25"/>
      <c r="E23" s="25"/>
      <c r="F23" s="13" t="s">
        <v>26</v>
      </c>
      <c r="G23">
        <v>1.01</v>
      </c>
      <c r="H23">
        <v>1.01</v>
      </c>
      <c r="I23">
        <v>1.01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</row>
    <row r="24" spans="1:47">
      <c r="A24" s="28"/>
      <c r="B24" s="25"/>
      <c r="C24" s="25"/>
      <c r="D24" s="25" t="s">
        <v>28</v>
      </c>
      <c r="E24" s="25"/>
      <c r="F24" s="26"/>
      <c r="G24">
        <f>H24/0.9</f>
        <v>350</v>
      </c>
      <c r="H24">
        <f>I24/0.8</f>
        <v>315</v>
      </c>
      <c r="I24">
        <v>252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</row>
    <row r="25" spans="1:47">
      <c r="A25" s="28"/>
      <c r="B25" s="25"/>
      <c r="C25" s="25" t="s">
        <v>29</v>
      </c>
      <c r="D25" s="25" t="s">
        <v>24</v>
      </c>
      <c r="E25" s="25"/>
      <c r="F25" s="26"/>
      <c r="G25">
        <f>G22*0.5</f>
        <v>122.222222222222</v>
      </c>
      <c r="H25">
        <f>H22*0.5</f>
        <v>110</v>
      </c>
      <c r="I25">
        <f>I22*0.5</f>
        <v>88</v>
      </c>
      <c r="J25" s="14">
        <v>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>
      <c r="A26" s="28"/>
      <c r="B26" s="25"/>
      <c r="C26" s="25"/>
      <c r="D26" s="25" t="s">
        <v>28</v>
      </c>
      <c r="E26" s="25"/>
      <c r="F26" s="26"/>
      <c r="G26">
        <f>G25*0.5</f>
        <v>61.1111111111111</v>
      </c>
      <c r="H26">
        <f>H25*0.5</f>
        <v>55</v>
      </c>
      <c r="I26">
        <f>I25*0.5</f>
        <v>44</v>
      </c>
      <c r="J26" s="14">
        <v>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</row>
    <row r="27" spans="1:47">
      <c r="A27" s="28"/>
      <c r="B27" s="25" t="s">
        <v>22</v>
      </c>
      <c r="C27" s="25" t="s">
        <v>23</v>
      </c>
      <c r="D27" s="25" t="s">
        <v>24</v>
      </c>
      <c r="E27" s="25"/>
      <c r="F27" s="13"/>
      <c r="G27">
        <f>H27/0.9</f>
        <v>244.444444444444</v>
      </c>
      <c r="H27">
        <f>I27/0.8</f>
        <v>220</v>
      </c>
      <c r="I27">
        <v>176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47">
      <c r="A28" s="28"/>
      <c r="B28" s="25"/>
      <c r="C28" s="25"/>
      <c r="D28" s="25"/>
      <c r="E28" s="25"/>
      <c r="F28" s="13" t="s">
        <v>26</v>
      </c>
      <c r="G28">
        <v>2.8</v>
      </c>
      <c r="H28">
        <v>2.8</v>
      </c>
      <c r="I28">
        <v>2.8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>
      <c r="A29" s="28"/>
      <c r="B29" s="25"/>
      <c r="C29" s="25"/>
      <c r="D29" s="25" t="s">
        <v>28</v>
      </c>
      <c r="E29" s="25"/>
      <c r="F29" s="13"/>
      <c r="G29">
        <f>H29/0.9</f>
        <v>350</v>
      </c>
      <c r="H29">
        <f>I29/0.8</f>
        <v>315</v>
      </c>
      <c r="I29">
        <v>252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</row>
    <row r="30" spans="1:47">
      <c r="A30" s="28"/>
      <c r="B30" s="25"/>
      <c r="C30" s="25"/>
      <c r="D30" s="25"/>
      <c r="E30" s="25"/>
      <c r="F30" s="13" t="s">
        <v>26</v>
      </c>
      <c r="G30">
        <v>1.76</v>
      </c>
      <c r="H30">
        <v>1.76</v>
      </c>
      <c r="I30">
        <v>1.76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</row>
    <row r="31" spans="1:47">
      <c r="A31" s="28"/>
      <c r="B31" s="25"/>
      <c r="C31" s="25" t="s">
        <v>29</v>
      </c>
      <c r="D31" s="25" t="s">
        <v>24</v>
      </c>
      <c r="E31" s="25"/>
      <c r="F31" s="26"/>
      <c r="G31">
        <f>G27*0.5</f>
        <v>122.222222222222</v>
      </c>
      <c r="H31">
        <f>H27*0.5</f>
        <v>110</v>
      </c>
      <c r="I31">
        <f>I27*0.5</f>
        <v>88</v>
      </c>
      <c r="J31" s="14">
        <v>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</row>
    <row r="32" spans="1:47">
      <c r="A32" s="29"/>
      <c r="B32" s="30"/>
      <c r="C32" s="30"/>
      <c r="D32" s="30" t="s">
        <v>28</v>
      </c>
      <c r="E32" s="30"/>
      <c r="F32" s="31"/>
      <c r="G32">
        <f>G29*0.5</f>
        <v>175</v>
      </c>
      <c r="H32">
        <f>H29*0.5</f>
        <v>157.5</v>
      </c>
      <c r="I32">
        <f>I29*0.5</f>
        <v>126</v>
      </c>
      <c r="J32" s="14">
        <v>4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</row>
    <row r="35" spans="1:1">
      <c r="A35" t="s">
        <v>31</v>
      </c>
    </row>
    <row r="36" spans="1:1">
      <c r="A36" t="s">
        <v>32</v>
      </c>
    </row>
    <row r="37" spans="1:1">
      <c r="A37" t="s">
        <v>33</v>
      </c>
    </row>
  </sheetData>
  <mergeCells count="41">
    <mergeCell ref="E9:E10"/>
    <mergeCell ref="E13:E14"/>
    <mergeCell ref="E15:E16"/>
    <mergeCell ref="D17:E18"/>
    <mergeCell ref="D22:E23"/>
    <mergeCell ref="E19:F19"/>
    <mergeCell ref="E20:F20"/>
    <mergeCell ref="D21:F21"/>
    <mergeCell ref="C25:C26"/>
    <mergeCell ref="C27:C30"/>
    <mergeCell ref="C31:C32"/>
    <mergeCell ref="D5:D8"/>
    <mergeCell ref="D9:D12"/>
    <mergeCell ref="D13:D16"/>
    <mergeCell ref="D19:D20"/>
    <mergeCell ref="D27:E28"/>
    <mergeCell ref="D29:E30"/>
    <mergeCell ref="D24:F24"/>
    <mergeCell ref="D25:F25"/>
    <mergeCell ref="D26:F26"/>
    <mergeCell ref="D31:F31"/>
    <mergeCell ref="D32:F32"/>
    <mergeCell ref="E11:F11"/>
    <mergeCell ref="E12:F12"/>
    <mergeCell ref="C2:C4"/>
    <mergeCell ref="C5:C12"/>
    <mergeCell ref="C13:C18"/>
    <mergeCell ref="C19:C21"/>
    <mergeCell ref="C22:C24"/>
    <mergeCell ref="A2:A21"/>
    <mergeCell ref="A22:A32"/>
    <mergeCell ref="B2:B12"/>
    <mergeCell ref="B13:B21"/>
    <mergeCell ref="B22:B26"/>
    <mergeCell ref="B27:B32"/>
    <mergeCell ref="D2:F2"/>
    <mergeCell ref="D3:F3"/>
    <mergeCell ref="D4:F4"/>
    <mergeCell ref="E7:F7"/>
    <mergeCell ref="E8:F8"/>
    <mergeCell ref="E5:E6"/>
  </mergeCells>
  <phoneticPr fontId="6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1"/>
  <sheetViews>
    <sheetView workbookViewId="0">
      <selection activeCell="A46" sqref="A46:A60"/>
    </sheetView>
  </sheetViews>
  <sheetFormatPr defaultColWidth="8.77734375" defaultRowHeight="14.95"/>
  <cols>
    <col min="1" max="1" width="13.77734375" customWidth="1"/>
    <col min="2" max="2" width="8.44140625" customWidth="1"/>
    <col min="3" max="3" width="12.77734375" customWidth="1"/>
    <col min="4" max="4" width="8.44140625" customWidth="1"/>
    <col min="5" max="5" width="12.77734375" customWidth="1"/>
    <col min="6" max="6" width="8.44140625" customWidth="1"/>
    <col min="7" max="7" width="12.77734375" customWidth="1"/>
    <col min="8" max="8" width="8.44140625" customWidth="1"/>
    <col min="9" max="9" width="12.77734375" customWidth="1"/>
  </cols>
  <sheetData>
    <row r="1" spans="1:11">
      <c r="A1" s="2" t="s">
        <v>34</v>
      </c>
      <c r="B1" s="2">
        <v>2020</v>
      </c>
      <c r="C1" s="2" t="s">
        <v>35</v>
      </c>
      <c r="D1" s="2">
        <v>2021</v>
      </c>
      <c r="E1" s="2" t="s">
        <v>35</v>
      </c>
      <c r="F1" s="2">
        <v>2022</v>
      </c>
      <c r="G1" s="2" t="s">
        <v>35</v>
      </c>
      <c r="H1" s="2">
        <v>2023</v>
      </c>
      <c r="I1" s="2" t="s">
        <v>35</v>
      </c>
    </row>
    <row r="2" spans="1:11">
      <c r="A2" t="s">
        <v>36</v>
      </c>
      <c r="B2">
        <f>40556+41621+19616+2820</f>
        <v>104613</v>
      </c>
      <c r="C2">
        <f>$B2/$B$42</f>
        <v>4.6210033398723198E-2</v>
      </c>
      <c r="D2">
        <f>169807+117665+29598+34265+19477+3842</f>
        <v>374654</v>
      </c>
      <c r="E2">
        <f>$D2/$D$42</f>
        <v>0.115872669774922</v>
      </c>
      <c r="F2">
        <f>33665+61949+51200+308277+204226+272419</f>
        <v>931736</v>
      </c>
      <c r="G2">
        <f>$F2/$F$42</f>
        <v>0.23109036109915099</v>
      </c>
      <c r="H2">
        <f>355017+157664+246314+187099+11967+70798+25119+55051+15835+1310</f>
        <v>1126174</v>
      </c>
      <c r="I2">
        <f>$H2/$H$42</f>
        <v>0.29749754985484</v>
      </c>
      <c r="K2" t="s">
        <v>37</v>
      </c>
    </row>
    <row r="3" spans="1:11">
      <c r="A3" t="s">
        <v>38</v>
      </c>
      <c r="B3">
        <f>119255</f>
        <v>119255</v>
      </c>
      <c r="C3">
        <f t="shared" ref="C3:C42" si="0">$B3/$B$42</f>
        <v>5.2677750690303601E-2</v>
      </c>
      <c r="D3">
        <f>426484</f>
        <v>426484</v>
      </c>
      <c r="E3">
        <f t="shared" ref="E3:E42" si="1">$D3/$D$42</f>
        <v>0.13190260799641201</v>
      </c>
      <c r="F3">
        <f>404823+2220</f>
        <v>407043</v>
      </c>
      <c r="G3">
        <f t="shared" ref="G3:G42" si="2">$F3/$F$42</f>
        <v>0.100955328390104</v>
      </c>
      <c r="H3">
        <f>116282+189863+7088</f>
        <v>313233</v>
      </c>
      <c r="I3">
        <f t="shared" ref="I3:I42" si="3">$H3/$H$42</f>
        <v>8.2745694744933901E-2</v>
      </c>
    </row>
    <row r="4" spans="1:11">
      <c r="A4" t="s">
        <v>39</v>
      </c>
      <c r="B4">
        <f>45626</f>
        <v>45626</v>
      </c>
      <c r="C4">
        <f t="shared" si="0"/>
        <v>2.0154082034261001E-2</v>
      </c>
      <c r="D4">
        <f>69219</f>
        <v>69219</v>
      </c>
      <c r="E4">
        <f t="shared" si="1"/>
        <v>2.1407993319570402E-2</v>
      </c>
      <c r="F4">
        <f>116332</f>
        <v>116332</v>
      </c>
      <c r="G4">
        <f t="shared" si="2"/>
        <v>2.88528122637597E-2</v>
      </c>
      <c r="H4">
        <f>193960</f>
        <v>193960</v>
      </c>
      <c r="I4">
        <f t="shared" si="3"/>
        <v>5.1237752576284698E-2</v>
      </c>
    </row>
    <row r="5" spans="1:11">
      <c r="A5" t="s">
        <v>40</v>
      </c>
      <c r="B5">
        <f>38249</f>
        <v>38249</v>
      </c>
      <c r="C5">
        <f t="shared" si="0"/>
        <v>1.6895486865568899E-2</v>
      </c>
      <c r="D5">
        <f>12679+77003</f>
        <v>89682</v>
      </c>
      <c r="E5">
        <f t="shared" si="1"/>
        <v>2.7736772517454902E-2</v>
      </c>
      <c r="F5">
        <v>0</v>
      </c>
      <c r="G5">
        <f t="shared" si="2"/>
        <v>0</v>
      </c>
      <c r="H5">
        <f>51310+19997+884</f>
        <v>72191</v>
      </c>
      <c r="I5">
        <f t="shared" si="3"/>
        <v>1.9070450588959401E-2</v>
      </c>
    </row>
    <row r="6" spans="1:11">
      <c r="A6" t="s">
        <v>41</v>
      </c>
      <c r="B6">
        <f>9838+223369</f>
        <v>233207</v>
      </c>
      <c r="C6">
        <f t="shared" si="0"/>
        <v>0.103013041006529</v>
      </c>
      <c r="D6">
        <f>183491+25980</f>
        <v>209471</v>
      </c>
      <c r="E6">
        <f t="shared" si="1"/>
        <v>6.4785012332505998E-2</v>
      </c>
      <c r="F6">
        <f>136773+28101</f>
        <v>164874</v>
      </c>
      <c r="G6">
        <f t="shared" si="2"/>
        <v>4.0892261537454198E-2</v>
      </c>
      <c r="H6">
        <f>11051+2273+813+114402+81914</f>
        <v>210453</v>
      </c>
      <c r="I6">
        <f t="shared" si="3"/>
        <v>5.5594652211470599E-2</v>
      </c>
    </row>
    <row r="7" spans="1:11">
      <c r="A7" t="s">
        <v>42</v>
      </c>
      <c r="B7">
        <f>16790+5617</f>
        <v>22407</v>
      </c>
      <c r="C7">
        <f t="shared" si="0"/>
        <v>9.8977012260922596E-3</v>
      </c>
      <c r="D7">
        <f>9888+10276+6737</f>
        <v>26901</v>
      </c>
      <c r="E7">
        <f t="shared" si="1"/>
        <v>8.3199183503050306E-3</v>
      </c>
      <c r="F7">
        <f>11502+13089+24274</f>
        <v>48865</v>
      </c>
      <c r="G7">
        <f t="shared" si="2"/>
        <v>1.2119560149130199E-2</v>
      </c>
      <c r="H7">
        <f>50490+11575+9544</f>
        <v>71609</v>
      </c>
      <c r="I7">
        <f t="shared" si="3"/>
        <v>1.8916705631239299E-2</v>
      </c>
    </row>
    <row r="8" spans="1:11">
      <c r="A8" t="s">
        <v>43</v>
      </c>
      <c r="B8">
        <f>15186</f>
        <v>15186</v>
      </c>
      <c r="C8">
        <f t="shared" si="0"/>
        <v>6.7080149426267301E-3</v>
      </c>
      <c r="D8">
        <f>22843</f>
        <v>22843</v>
      </c>
      <c r="E8">
        <f t="shared" si="1"/>
        <v>7.0648635692359997E-3</v>
      </c>
      <c r="F8">
        <f>39315</f>
        <v>39315</v>
      </c>
      <c r="G8">
        <f t="shared" si="2"/>
        <v>9.7509568661220802E-3</v>
      </c>
      <c r="H8">
        <f>28688</f>
        <v>28688</v>
      </c>
      <c r="I8">
        <f t="shared" si="3"/>
        <v>7.57841124927024E-3</v>
      </c>
    </row>
    <row r="9" spans="1:11">
      <c r="A9" t="s">
        <v>44</v>
      </c>
      <c r="B9">
        <f>13517+11671</f>
        <v>25188</v>
      </c>
      <c r="C9">
        <f t="shared" si="0"/>
        <v>1.1126134622341801E-2</v>
      </c>
      <c r="D9">
        <f>47338+23997+4057</f>
        <v>75392</v>
      </c>
      <c r="E9">
        <f t="shared" si="1"/>
        <v>2.3317173497869801E-2</v>
      </c>
      <c r="F9">
        <f>11119+17465+42598</f>
        <v>71182</v>
      </c>
      <c r="G9">
        <f t="shared" si="2"/>
        <v>1.7654651192784001E-2</v>
      </c>
      <c r="H9">
        <f>18609+9922+6284</f>
        <v>34815</v>
      </c>
      <c r="I9">
        <f t="shared" si="3"/>
        <v>9.1969599708360099E-3</v>
      </c>
    </row>
    <row r="10" spans="1:11">
      <c r="A10" t="s">
        <v>45</v>
      </c>
      <c r="B10">
        <f>6824</f>
        <v>6824</v>
      </c>
      <c r="C10">
        <f t="shared" si="0"/>
        <v>3.0143220050365301E-3</v>
      </c>
      <c r="D10">
        <v>0</v>
      </c>
      <c r="E10">
        <f t="shared" si="1"/>
        <v>0</v>
      </c>
      <c r="F10">
        <f>59679+17163+59</f>
        <v>76901</v>
      </c>
      <c r="G10">
        <f t="shared" si="2"/>
        <v>1.9073084928440901E-2</v>
      </c>
      <c r="H10">
        <f>7686+20325+107613</f>
        <v>135624</v>
      </c>
      <c r="I10">
        <f t="shared" si="3"/>
        <v>3.5827330147484203E-2</v>
      </c>
    </row>
    <row r="11" spans="1:11">
      <c r="A11" t="s">
        <v>46</v>
      </c>
      <c r="B11">
        <v>0</v>
      </c>
      <c r="C11">
        <f t="shared" si="0"/>
        <v>0</v>
      </c>
      <c r="D11">
        <v>0</v>
      </c>
      <c r="E11">
        <f t="shared" si="1"/>
        <v>0</v>
      </c>
      <c r="F11">
        <f>10115</f>
        <v>10115</v>
      </c>
      <c r="G11">
        <f t="shared" si="2"/>
        <v>2.50873530969922E-3</v>
      </c>
      <c r="H11">
        <f>3137</f>
        <v>3137</v>
      </c>
      <c r="I11">
        <f t="shared" si="3"/>
        <v>8.2869060544341695E-4</v>
      </c>
    </row>
    <row r="12" spans="1:11">
      <c r="A12" t="s">
        <v>47</v>
      </c>
      <c r="B12">
        <f>111515+185140+222361+343418</f>
        <v>862434</v>
      </c>
      <c r="C12">
        <f t="shared" si="0"/>
        <v>0.38095747129127699</v>
      </c>
      <c r="D12">
        <f>316973+216764+220549+117188+32050+6297</f>
        <v>909821</v>
      </c>
      <c r="E12">
        <f t="shared" si="1"/>
        <v>0.28138866337284402</v>
      </c>
      <c r="F12">
        <f>249870+242225+191785+111468+23668+17341</f>
        <v>836357</v>
      </c>
      <c r="G12">
        <f t="shared" si="2"/>
        <v>0.207434338844697</v>
      </c>
      <c r="H12">
        <f>8777+8213+21555+99791+76951+156077+183032</f>
        <v>554396</v>
      </c>
      <c r="I12">
        <f t="shared" si="3"/>
        <v>0.146452903058785</v>
      </c>
    </row>
    <row r="13" spans="1:11">
      <c r="A13" t="s">
        <v>48</v>
      </c>
      <c r="B13">
        <f>245126+210574+113379+55170+44751</f>
        <v>669000</v>
      </c>
      <c r="C13">
        <f t="shared" si="0"/>
        <v>0.29551310395214497</v>
      </c>
      <c r="D13">
        <f>44216+35155+4103+56353+159026+201329</f>
        <v>500182</v>
      </c>
      <c r="E13">
        <f t="shared" si="1"/>
        <v>0.15469586261820301</v>
      </c>
      <c r="F13">
        <f>27042+11386+78736+77266+150822+220771</f>
        <v>566023</v>
      </c>
      <c r="G13">
        <f t="shared" si="2"/>
        <v>0.14038575246682</v>
      </c>
      <c r="H13">
        <f>140642+136937+91446+39596+10620+2735+802+8144</f>
        <v>430922</v>
      </c>
      <c r="I13">
        <f t="shared" si="3"/>
        <v>0.11383519702865399</v>
      </c>
    </row>
    <row r="14" spans="1:11">
      <c r="A14" t="s">
        <v>49</v>
      </c>
      <c r="B14">
        <v>0</v>
      </c>
      <c r="C14">
        <f t="shared" si="0"/>
        <v>0</v>
      </c>
      <c r="D14">
        <f>16641</f>
        <v>16641</v>
      </c>
      <c r="E14">
        <f t="shared" si="1"/>
        <v>5.1467142956553996E-3</v>
      </c>
      <c r="F14">
        <f>17175+31603</f>
        <v>48778</v>
      </c>
      <c r="G14">
        <f t="shared" si="2"/>
        <v>1.20979822972327E-2</v>
      </c>
      <c r="H14">
        <f>58746+73310</f>
        <v>132056</v>
      </c>
      <c r="I14">
        <f t="shared" si="3"/>
        <v>3.48847837400178E-2</v>
      </c>
    </row>
    <row r="15" spans="1:11">
      <c r="A15" t="s">
        <v>50</v>
      </c>
      <c r="B15">
        <f>2016</f>
        <v>2016</v>
      </c>
      <c r="C15">
        <f t="shared" si="0"/>
        <v>8.9051482446565798E-4</v>
      </c>
      <c r="D15">
        <f>50931</f>
        <v>50931</v>
      </c>
      <c r="E15">
        <f t="shared" si="1"/>
        <v>1.5751896267773902E-2</v>
      </c>
      <c r="F15">
        <f>3816+6042</f>
        <v>9858</v>
      </c>
      <c r="G15">
        <f t="shared" si="2"/>
        <v>2.4449938391512501E-3</v>
      </c>
      <c r="H15">
        <f>60037+9774+2143</f>
        <v>71954</v>
      </c>
      <c r="I15">
        <f t="shared" si="3"/>
        <v>1.9007843106176502E-2</v>
      </c>
    </row>
    <row r="16" spans="1:11">
      <c r="A16" t="s">
        <v>51</v>
      </c>
      <c r="B16">
        <f>69963</f>
        <v>69963</v>
      </c>
      <c r="C16">
        <f t="shared" si="0"/>
        <v>3.0904309853219701E-2</v>
      </c>
      <c r="D16">
        <f>76461</f>
        <v>76461</v>
      </c>
      <c r="E16">
        <f t="shared" si="1"/>
        <v>2.3647792906682799E-2</v>
      </c>
      <c r="F16">
        <f>53852</f>
        <v>53852</v>
      </c>
      <c r="G16">
        <f t="shared" si="2"/>
        <v>1.3356442303304201E-2</v>
      </c>
      <c r="H16">
        <f>54544</f>
        <v>54544</v>
      </c>
      <c r="I16">
        <f t="shared" si="3"/>
        <v>1.4408702704273401E-2</v>
      </c>
    </row>
    <row r="17" spans="1:9">
      <c r="A17" t="s">
        <v>52</v>
      </c>
      <c r="B17">
        <f>9831</f>
        <v>9831</v>
      </c>
      <c r="C17">
        <f t="shared" si="0"/>
        <v>4.3425849401398202E-3</v>
      </c>
      <c r="D17">
        <f>40245</f>
        <v>40245</v>
      </c>
      <c r="E17">
        <f t="shared" si="1"/>
        <v>1.2446939296235301E-2</v>
      </c>
      <c r="F17">
        <f>4815+61919</f>
        <v>66734</v>
      </c>
      <c r="G17">
        <f t="shared" si="2"/>
        <v>1.6551452511860399E-2</v>
      </c>
      <c r="H17">
        <f>23978+19412</f>
        <v>43390</v>
      </c>
      <c r="I17">
        <f t="shared" si="3"/>
        <v>1.14621885145648E-2</v>
      </c>
    </row>
    <row r="18" spans="1:9">
      <c r="A18" t="s">
        <v>53</v>
      </c>
      <c r="B18">
        <f>15315</f>
        <v>15315</v>
      </c>
      <c r="C18">
        <f t="shared" si="0"/>
        <v>6.7649972900255704E-3</v>
      </c>
      <c r="D18">
        <f>7865+60569</f>
        <v>68434</v>
      </c>
      <c r="E18">
        <f t="shared" si="1"/>
        <v>2.11652091886835E-2</v>
      </c>
      <c r="F18">
        <f>59066+37982</f>
        <v>97048</v>
      </c>
      <c r="G18">
        <f t="shared" si="2"/>
        <v>2.4069969781086501E-2</v>
      </c>
      <c r="H18">
        <f>15728+38110</f>
        <v>53838</v>
      </c>
      <c r="I18">
        <f t="shared" si="3"/>
        <v>1.4222201088894699E-2</v>
      </c>
    </row>
    <row r="19" spans="1:9">
      <c r="A19" t="s">
        <v>54</v>
      </c>
      <c r="B19">
        <v>0</v>
      </c>
      <c r="C19">
        <f t="shared" si="0"/>
        <v>0</v>
      </c>
      <c r="D19">
        <f>43772</f>
        <v>43772</v>
      </c>
      <c r="E19">
        <f t="shared" si="1"/>
        <v>1.35377668499146E-2</v>
      </c>
      <c r="F19">
        <f>45740</f>
        <v>45740</v>
      </c>
      <c r="G19">
        <f t="shared" si="2"/>
        <v>1.13444936298213E-2</v>
      </c>
      <c r="H19">
        <f>34252</f>
        <v>34252</v>
      </c>
      <c r="I19">
        <f t="shared" si="3"/>
        <v>9.0482341784022691E-3</v>
      </c>
    </row>
    <row r="20" spans="1:9">
      <c r="A20" t="s">
        <v>55</v>
      </c>
      <c r="B20">
        <f>270</f>
        <v>270</v>
      </c>
      <c r="C20">
        <f t="shared" si="0"/>
        <v>1.19265378276651E-4</v>
      </c>
      <c r="D20">
        <f>15265</f>
        <v>15265</v>
      </c>
      <c r="E20">
        <f t="shared" si="1"/>
        <v>4.7211461885210996E-3</v>
      </c>
      <c r="F20">
        <f>37532</f>
        <v>37532</v>
      </c>
      <c r="G20">
        <f t="shared" si="2"/>
        <v>9.3087349128651593E-3</v>
      </c>
      <c r="H20">
        <f>43602</f>
        <v>43602</v>
      </c>
      <c r="I20">
        <f t="shared" si="3"/>
        <v>1.15181918324972E-2</v>
      </c>
    </row>
    <row r="21" spans="1:9">
      <c r="A21" t="s">
        <v>56</v>
      </c>
      <c r="B21">
        <v>0</v>
      </c>
      <c r="C21">
        <f t="shared" si="0"/>
        <v>0</v>
      </c>
      <c r="D21">
        <f>62016</f>
        <v>62016</v>
      </c>
      <c r="E21">
        <f t="shared" si="1"/>
        <v>1.9180255619215499E-2</v>
      </c>
      <c r="F21">
        <f>92053</f>
        <v>92053</v>
      </c>
      <c r="G21">
        <f t="shared" si="2"/>
        <v>2.2831103456623099E-2</v>
      </c>
      <c r="H21">
        <f>12953</f>
        <v>12953</v>
      </c>
      <c r="I21">
        <f t="shared" si="3"/>
        <v>3.4217498923521101E-3</v>
      </c>
    </row>
    <row r="22" spans="1:9">
      <c r="A22" t="s">
        <v>57</v>
      </c>
      <c r="B22">
        <v>0</v>
      </c>
      <c r="C22">
        <f t="shared" si="0"/>
        <v>0</v>
      </c>
      <c r="D22">
        <v>0</v>
      </c>
      <c r="E22">
        <f t="shared" si="1"/>
        <v>0</v>
      </c>
      <c r="F22">
        <v>0</v>
      </c>
      <c r="G22">
        <f t="shared" si="2"/>
        <v>0</v>
      </c>
      <c r="H22">
        <f>884+661+2718</f>
        <v>4263</v>
      </c>
      <c r="I22">
        <f t="shared" si="3"/>
        <v>1.1261421903109E-3</v>
      </c>
    </row>
    <row r="23" spans="1:9">
      <c r="A23" t="s">
        <v>58</v>
      </c>
      <c r="B23">
        <v>0</v>
      </c>
      <c r="C23">
        <f t="shared" si="0"/>
        <v>0</v>
      </c>
      <c r="D23">
        <v>0</v>
      </c>
      <c r="E23">
        <f t="shared" si="1"/>
        <v>0</v>
      </c>
      <c r="F23">
        <f>2205</f>
        <v>2205</v>
      </c>
      <c r="G23">
        <f t="shared" si="2"/>
        <v>5.46886936024397E-4</v>
      </c>
      <c r="H23">
        <f>19891</f>
        <v>19891</v>
      </c>
      <c r="I23">
        <f t="shared" si="3"/>
        <v>5.2545377216687899E-3</v>
      </c>
    </row>
    <row r="24" spans="1:9">
      <c r="A24" t="s">
        <v>59</v>
      </c>
      <c r="B24">
        <f>4713</f>
        <v>4713</v>
      </c>
      <c r="C24">
        <f t="shared" si="0"/>
        <v>2.08184343636242E-3</v>
      </c>
      <c r="D24">
        <f>30411</f>
        <v>30411</v>
      </c>
      <c r="E24">
        <f t="shared" si="1"/>
        <v>9.4054881584746293E-3</v>
      </c>
      <c r="F24">
        <f>73447</f>
        <v>73447</v>
      </c>
      <c r="G24">
        <f t="shared" si="2"/>
        <v>1.8216419405979099E-2</v>
      </c>
      <c r="H24">
        <f>24288</f>
        <v>24288</v>
      </c>
      <c r="I24">
        <f t="shared" si="3"/>
        <v>6.4160782355784903E-3</v>
      </c>
    </row>
    <row r="25" spans="1:9">
      <c r="A25" t="s">
        <v>60</v>
      </c>
      <c r="B25">
        <v>0</v>
      </c>
      <c r="C25">
        <f t="shared" si="0"/>
        <v>0</v>
      </c>
      <c r="D25">
        <v>0</v>
      </c>
      <c r="E25">
        <f t="shared" si="1"/>
        <v>0</v>
      </c>
      <c r="F25">
        <v>0</v>
      </c>
      <c r="G25">
        <f t="shared" si="2"/>
        <v>0</v>
      </c>
      <c r="H25">
        <f>9556</f>
        <v>9556</v>
      </c>
      <c r="I25">
        <f t="shared" si="3"/>
        <v>2.5243759724632702E-3</v>
      </c>
    </row>
    <row r="26" spans="1:9">
      <c r="A26" t="s">
        <v>61</v>
      </c>
      <c r="B26">
        <f>2820</f>
        <v>2820</v>
      </c>
      <c r="C26">
        <f t="shared" si="0"/>
        <v>1.2456606175561299E-3</v>
      </c>
      <c r="D26">
        <f>11372</f>
        <v>11372</v>
      </c>
      <c r="E26">
        <f t="shared" si="1"/>
        <v>3.5171224668104802E-3</v>
      </c>
      <c r="F26">
        <f>9363</f>
        <v>9363</v>
      </c>
      <c r="G26">
        <f t="shared" si="2"/>
        <v>2.3222233024927101E-3</v>
      </c>
      <c r="H26">
        <f>11036</f>
        <v>11036</v>
      </c>
      <c r="I26">
        <f t="shared" si="3"/>
        <v>2.9153425316141399E-3</v>
      </c>
    </row>
    <row r="27" spans="1:9">
      <c r="A27" t="s">
        <v>62</v>
      </c>
      <c r="B27">
        <v>0</v>
      </c>
      <c r="C27">
        <f t="shared" si="0"/>
        <v>0</v>
      </c>
      <c r="D27">
        <f>7322</f>
        <v>7322</v>
      </c>
      <c r="E27">
        <f t="shared" si="1"/>
        <v>2.2645419189224699E-3</v>
      </c>
      <c r="F27">
        <f>24886</f>
        <v>24886</v>
      </c>
      <c r="G27">
        <f t="shared" si="2"/>
        <v>6.1722577278472404E-3</v>
      </c>
      <c r="H27">
        <f>5078+4285</f>
        <v>9363</v>
      </c>
      <c r="I27">
        <f t="shared" si="3"/>
        <v>2.4733918198172498E-3</v>
      </c>
    </row>
    <row r="28" spans="1:9">
      <c r="A28" t="s">
        <v>63</v>
      </c>
      <c r="B28">
        <v>0</v>
      </c>
      <c r="C28">
        <f t="shared" si="0"/>
        <v>0</v>
      </c>
      <c r="D28">
        <f>2816</f>
        <v>2816</v>
      </c>
      <c r="E28">
        <f t="shared" si="1"/>
        <v>8.7093007971670005E-4</v>
      </c>
      <c r="F28">
        <v>0</v>
      </c>
      <c r="G28">
        <f t="shared" si="2"/>
        <v>0</v>
      </c>
      <c r="H28">
        <f>10607</f>
        <v>10607</v>
      </c>
      <c r="I28">
        <f t="shared" si="3"/>
        <v>2.80201506277919E-3</v>
      </c>
    </row>
    <row r="29" spans="1:9">
      <c r="A29" t="s">
        <v>64</v>
      </c>
      <c r="B29">
        <f>997</f>
        <v>997</v>
      </c>
      <c r="C29">
        <f t="shared" si="0"/>
        <v>4.4039845237711401E-4</v>
      </c>
      <c r="D29">
        <f>1287</f>
        <v>1287</v>
      </c>
      <c r="E29">
        <f t="shared" si="1"/>
        <v>3.9804226299552302E-4</v>
      </c>
      <c r="F29">
        <f>2685+506</f>
        <v>3191</v>
      </c>
      <c r="G29">
        <f t="shared" si="2"/>
        <v>7.9143592419675802E-4</v>
      </c>
      <c r="H29">
        <f>8222+87</f>
        <v>8309</v>
      </c>
      <c r="I29">
        <f t="shared" si="3"/>
        <v>2.1949602297192698E-3</v>
      </c>
    </row>
    <row r="30" spans="1:9">
      <c r="A30" t="s">
        <v>65</v>
      </c>
      <c r="B30">
        <v>0</v>
      </c>
      <c r="C30">
        <f t="shared" si="0"/>
        <v>0</v>
      </c>
      <c r="D30">
        <v>0</v>
      </c>
      <c r="E30">
        <f t="shared" si="1"/>
        <v>0</v>
      </c>
      <c r="F30">
        <f>20331</f>
        <v>20331</v>
      </c>
      <c r="G30">
        <f t="shared" si="2"/>
        <v>5.0425207693025002E-3</v>
      </c>
      <c r="H30">
        <f>4372</f>
        <v>4372</v>
      </c>
      <c r="I30">
        <f t="shared" si="3"/>
        <v>1.1549363490591701E-3</v>
      </c>
    </row>
    <row r="31" spans="1:9">
      <c r="A31" s="9" t="s">
        <v>66</v>
      </c>
      <c r="B31" s="9">
        <f>851</f>
        <v>851</v>
      </c>
      <c r="C31">
        <f t="shared" si="0"/>
        <v>3.7590680338307297E-4</v>
      </c>
      <c r="D31" s="9">
        <f>24977</f>
        <v>24977</v>
      </c>
      <c r="E31">
        <f t="shared" si="1"/>
        <v>7.7248652702713097E-3</v>
      </c>
      <c r="F31" s="9">
        <f>28842</f>
        <v>28842</v>
      </c>
      <c r="G31">
        <f t="shared" si="2"/>
        <v>7.1534299359708202E-3</v>
      </c>
      <c r="H31" s="9">
        <f>8593+3424</f>
        <v>12017</v>
      </c>
      <c r="I31">
        <f t="shared" si="3"/>
        <v>3.1744899603485901E-3</v>
      </c>
    </row>
    <row r="32" spans="1:9">
      <c r="A32" t="s">
        <v>67</v>
      </c>
      <c r="B32">
        <f>3361</f>
        <v>3361</v>
      </c>
      <c r="C32">
        <f t="shared" si="0"/>
        <v>1.48463309773268E-3</v>
      </c>
      <c r="D32">
        <f>827+3623</f>
        <v>4450</v>
      </c>
      <c r="E32">
        <f t="shared" si="1"/>
        <v>1.37629220693868E-3</v>
      </c>
      <c r="F32">
        <f>160+3184+4741</f>
        <v>8085</v>
      </c>
      <c r="G32">
        <f t="shared" si="2"/>
        <v>2.0052520987561199E-3</v>
      </c>
      <c r="H32">
        <f>502+1656+2477</f>
        <v>4635</v>
      </c>
      <c r="I32">
        <f t="shared" si="3"/>
        <v>1.22441216328666E-3</v>
      </c>
    </row>
    <row r="33" spans="1:9">
      <c r="A33" s="9" t="s">
        <v>68</v>
      </c>
      <c r="B33" s="9">
        <f>506+306</f>
        <v>812</v>
      </c>
      <c r="C33">
        <f t="shared" si="0"/>
        <v>3.58679582076446E-4</v>
      </c>
      <c r="D33" s="9">
        <f>5081</f>
        <v>5081</v>
      </c>
      <c r="E33">
        <f t="shared" si="1"/>
        <v>1.5714473490911101E-3</v>
      </c>
      <c r="F33" s="9">
        <f>9430+3808</f>
        <v>13238</v>
      </c>
      <c r="G33">
        <f t="shared" si="2"/>
        <v>3.2833057864358199E-3</v>
      </c>
      <c r="H33" s="9">
        <f>2049+2502</f>
        <v>4551</v>
      </c>
      <c r="I33">
        <f t="shared" si="3"/>
        <v>1.2022221693889E-3</v>
      </c>
    </row>
    <row r="34" spans="1:9">
      <c r="A34" t="s">
        <v>69</v>
      </c>
      <c r="B34">
        <f>1402</f>
        <v>1402</v>
      </c>
      <c r="C34">
        <f t="shared" si="0"/>
        <v>6.1929651979208999E-4</v>
      </c>
      <c r="D34">
        <f>11174</f>
        <v>11174</v>
      </c>
      <c r="E34">
        <f t="shared" si="1"/>
        <v>3.4558851955804001E-3</v>
      </c>
      <c r="F34">
        <f>22794</f>
        <v>22794</v>
      </c>
      <c r="G34">
        <f t="shared" si="2"/>
        <v>5.6533971971610497E-3</v>
      </c>
      <c r="H34">
        <f>2465</f>
        <v>2465</v>
      </c>
      <c r="I34">
        <f t="shared" si="3"/>
        <v>6.5117065426140304E-4</v>
      </c>
    </row>
    <row r="35" spans="1:9">
      <c r="A35" t="s">
        <v>70</v>
      </c>
      <c r="B35">
        <f>6608</f>
        <v>6608</v>
      </c>
      <c r="C35">
        <f t="shared" si="0"/>
        <v>2.9189097024152101E-3</v>
      </c>
      <c r="D35">
        <f>13274</f>
        <v>13274</v>
      </c>
      <c r="E35">
        <f t="shared" si="1"/>
        <v>4.1053714055964098E-3</v>
      </c>
      <c r="F35">
        <f>41214</f>
        <v>41214</v>
      </c>
      <c r="G35">
        <f t="shared" si="2"/>
        <v>1.0221949288575701E-2</v>
      </c>
      <c r="H35">
        <f>13593</f>
        <v>13593</v>
      </c>
      <c r="I35">
        <f t="shared" si="3"/>
        <v>3.5908165125254602E-3</v>
      </c>
    </row>
    <row r="36" spans="1:9">
      <c r="A36" t="s">
        <v>71</v>
      </c>
      <c r="B36">
        <f>1578</f>
        <v>1578</v>
      </c>
      <c r="C36">
        <f t="shared" si="0"/>
        <v>6.9703987748353602E-4</v>
      </c>
      <c r="D36">
        <v>0</v>
      </c>
      <c r="E36">
        <f t="shared" si="1"/>
        <v>0</v>
      </c>
      <c r="F36">
        <f>7329</f>
        <v>7329</v>
      </c>
      <c r="G36">
        <f t="shared" si="2"/>
        <v>1.8177480064048999E-3</v>
      </c>
      <c r="H36">
        <f>5665</f>
        <v>5665</v>
      </c>
      <c r="I36">
        <f t="shared" si="3"/>
        <v>1.4965037551281301E-3</v>
      </c>
    </row>
    <row r="37" spans="1:9">
      <c r="A37" t="s">
        <v>72</v>
      </c>
      <c r="B37">
        <v>0</v>
      </c>
      <c r="C37">
        <f t="shared" si="0"/>
        <v>0</v>
      </c>
      <c r="D37">
        <v>0</v>
      </c>
      <c r="E37">
        <f t="shared" si="1"/>
        <v>0</v>
      </c>
      <c r="F37">
        <v>0</v>
      </c>
      <c r="G37">
        <f t="shared" si="2"/>
        <v>0</v>
      </c>
      <c r="H37">
        <f>11152</f>
        <v>11152</v>
      </c>
      <c r="I37">
        <f t="shared" si="3"/>
        <v>2.9459858565205601E-3</v>
      </c>
    </row>
    <row r="38" spans="1:9">
      <c r="A38" t="s">
        <v>73</v>
      </c>
      <c r="B38">
        <v>0</v>
      </c>
      <c r="C38">
        <f t="shared" si="0"/>
        <v>0</v>
      </c>
      <c r="D38">
        <f>4310+36173</f>
        <v>40483</v>
      </c>
      <c r="E38">
        <f t="shared" si="1"/>
        <v>1.2520547733370401E-2</v>
      </c>
      <c r="F38">
        <f>44387+4687</f>
        <v>49074</v>
      </c>
      <c r="G38">
        <f t="shared" si="2"/>
        <v>1.21713965979416E-2</v>
      </c>
      <c r="H38">
        <f>2014+2979</f>
        <v>4993</v>
      </c>
      <c r="I38">
        <f t="shared" si="3"/>
        <v>1.3189838039461201E-3</v>
      </c>
    </row>
    <row r="39" spans="1:9">
      <c r="A39" t="s">
        <v>74</v>
      </c>
      <c r="B39">
        <v>0</v>
      </c>
      <c r="C39">
        <f t="shared" si="0"/>
        <v>0</v>
      </c>
      <c r="D39">
        <f>905</f>
        <v>905</v>
      </c>
      <c r="E39">
        <f t="shared" si="1"/>
        <v>2.7989762860213598E-4</v>
      </c>
      <c r="F39">
        <f>6886</f>
        <v>6886</v>
      </c>
      <c r="G39">
        <f t="shared" si="2"/>
        <v>1.70787457662766E-3</v>
      </c>
      <c r="H39">
        <f>1866</f>
        <v>1866</v>
      </c>
      <c r="I39">
        <f t="shared" si="3"/>
        <v>4.9293486444291199E-4</v>
      </c>
    </row>
    <row r="40" spans="1:9">
      <c r="A40" t="s">
        <v>75</v>
      </c>
      <c r="B40">
        <v>0</v>
      </c>
      <c r="C40">
        <f t="shared" si="0"/>
        <v>0</v>
      </c>
      <c r="D40">
        <v>0</v>
      </c>
      <c r="E40">
        <f t="shared" si="1"/>
        <v>0</v>
      </c>
      <c r="F40">
        <f>466</f>
        <v>466</v>
      </c>
      <c r="G40">
        <f t="shared" si="2"/>
        <v>1.15577919359351E-4</v>
      </c>
      <c r="H40">
        <f>1071</f>
        <v>1071</v>
      </c>
      <c r="I40">
        <f t="shared" si="3"/>
        <v>2.82922422196334E-4</v>
      </c>
    </row>
    <row r="41" spans="1:9">
      <c r="A41" t="s">
        <v>76</v>
      </c>
      <c r="B41">
        <f>1333</f>
        <v>1333</v>
      </c>
      <c r="C41">
        <f t="shared" si="0"/>
        <v>5.8881758978805699E-4</v>
      </c>
      <c r="D41">
        <f>1241+118</f>
        <v>1359</v>
      </c>
      <c r="E41">
        <f t="shared" si="1"/>
        <v>4.2031036162464301E-4</v>
      </c>
      <c r="F41">
        <f>223</f>
        <v>223</v>
      </c>
      <c r="G41">
        <f t="shared" si="2"/>
        <v>5.5308746817886903E-5</v>
      </c>
      <c r="H41">
        <f>6</f>
        <v>6</v>
      </c>
      <c r="I41">
        <f t="shared" si="3"/>
        <v>1.5849995641251201E-6</v>
      </c>
    </row>
    <row r="42" spans="1:9">
      <c r="A42" s="2" t="s">
        <v>77</v>
      </c>
      <c r="B42" s="2">
        <f>SUM(B2:B41)</f>
        <v>2263859</v>
      </c>
      <c r="C42" s="2">
        <f t="shared" si="0"/>
        <v>1</v>
      </c>
      <c r="D42" s="2">
        <f>SUM(D2:D41)</f>
        <v>3233325</v>
      </c>
      <c r="E42" s="2">
        <f t="shared" si="1"/>
        <v>1</v>
      </c>
      <c r="F42" s="2">
        <f>SUM(F2:F41)</f>
        <v>4031912</v>
      </c>
      <c r="G42" s="2">
        <f t="shared" si="2"/>
        <v>1</v>
      </c>
      <c r="H42" s="2">
        <f>SUM(H2:H41)</f>
        <v>3785490</v>
      </c>
      <c r="I42" s="2">
        <f t="shared" si="3"/>
        <v>1</v>
      </c>
    </row>
    <row r="45" spans="1:9">
      <c r="A45" s="2" t="s">
        <v>78</v>
      </c>
      <c r="B45" s="2">
        <v>2021</v>
      </c>
      <c r="C45" s="2" t="s">
        <v>35</v>
      </c>
      <c r="D45" s="2">
        <v>2022</v>
      </c>
      <c r="E45" s="2" t="s">
        <v>35</v>
      </c>
    </row>
    <row r="46" spans="1:9">
      <c r="A46" t="s">
        <v>79</v>
      </c>
      <c r="B46" s="10">
        <f>D46/0.748</f>
        <v>15394.385026738</v>
      </c>
      <c r="C46">
        <f>$B46/$B$61</f>
        <v>0.30810150595389402</v>
      </c>
      <c r="D46">
        <v>11515</v>
      </c>
      <c r="E46">
        <f>$D46/$D$61</f>
        <v>0.20159666660830899</v>
      </c>
    </row>
    <row r="47" spans="1:9">
      <c r="A47" t="s">
        <v>80</v>
      </c>
      <c r="B47" s="10">
        <f>D47/1.5698</f>
        <v>3380.0484138106799</v>
      </c>
      <c r="C47">
        <f t="shared" ref="C47:C60" si="4">$B47/$B$61</f>
        <v>6.7647912188981404E-2</v>
      </c>
      <c r="D47">
        <v>5306</v>
      </c>
      <c r="E47">
        <f t="shared" ref="E47:E60" si="5">$D47/$D$61</f>
        <v>9.2893783154467002E-2</v>
      </c>
    </row>
    <row r="48" spans="1:9">
      <c r="A48" t="s">
        <v>81</v>
      </c>
      <c r="B48" s="10">
        <f>D48/0.8685</f>
        <v>5793.8975244674702</v>
      </c>
      <c r="C48">
        <f t="shared" si="4"/>
        <v>0.11595841922431301</v>
      </c>
      <c r="D48">
        <v>5032</v>
      </c>
      <c r="E48">
        <f t="shared" si="5"/>
        <v>8.8096780405819405E-2</v>
      </c>
    </row>
    <row r="49" spans="1:5">
      <c r="A49" t="s">
        <v>36</v>
      </c>
      <c r="B49" s="10">
        <f>D49/0.8437</f>
        <v>5772.1939077871302</v>
      </c>
      <c r="C49">
        <f t="shared" si="4"/>
        <v>0.11552404545931701</v>
      </c>
      <c r="D49">
        <v>4870</v>
      </c>
      <c r="E49">
        <f t="shared" si="5"/>
        <v>8.5260596298954799E-2</v>
      </c>
    </row>
    <row r="50" spans="1:5">
      <c r="A50" t="s">
        <v>82</v>
      </c>
      <c r="B50" s="10">
        <f>D50/1.0712</f>
        <v>4215.8327109783404</v>
      </c>
      <c r="C50">
        <f t="shared" si="4"/>
        <v>8.43752059498378E-2</v>
      </c>
      <c r="D50">
        <v>4516</v>
      </c>
      <c r="E50">
        <f t="shared" si="5"/>
        <v>7.9063008806176602E-2</v>
      </c>
    </row>
    <row r="51" spans="1:5">
      <c r="A51" t="s">
        <v>83</v>
      </c>
      <c r="B51" s="10">
        <f>D51/2.0581</f>
        <v>2099.0233710704001</v>
      </c>
      <c r="C51">
        <f t="shared" si="4"/>
        <v>4.2009619776039099E-2</v>
      </c>
      <c r="D51">
        <v>4320</v>
      </c>
      <c r="E51">
        <f t="shared" si="5"/>
        <v>7.5631576183056395E-2</v>
      </c>
    </row>
    <row r="52" spans="1:5">
      <c r="A52" t="s">
        <v>84</v>
      </c>
      <c r="B52" s="10">
        <f>D52/3.0381</f>
        <v>1391.00095454396</v>
      </c>
      <c r="C52">
        <f t="shared" si="4"/>
        <v>2.7839338053058299E-2</v>
      </c>
      <c r="D52">
        <v>4226</v>
      </c>
      <c r="E52">
        <f t="shared" si="5"/>
        <v>7.3985889108702907E-2</v>
      </c>
    </row>
    <row r="53" spans="1:5">
      <c r="A53" t="s">
        <v>85</v>
      </c>
      <c r="B53" s="10">
        <f>D53/1.2843</f>
        <v>2835.0073970256199</v>
      </c>
      <c r="C53">
        <f t="shared" si="4"/>
        <v>5.6739522033320798E-2</v>
      </c>
      <c r="D53">
        <v>3641</v>
      </c>
      <c r="E53">
        <f t="shared" si="5"/>
        <v>6.3744113167247304E-2</v>
      </c>
    </row>
    <row r="54" spans="1:5">
      <c r="A54" t="s">
        <v>86</v>
      </c>
      <c r="B54" s="10">
        <f>D54/1.7937</f>
        <v>1876.01048112839</v>
      </c>
      <c r="C54">
        <f t="shared" si="4"/>
        <v>3.7546264655394603E-2</v>
      </c>
      <c r="D54">
        <v>3365</v>
      </c>
      <c r="E54">
        <f t="shared" si="5"/>
        <v>5.8912095799996497E-2</v>
      </c>
    </row>
    <row r="55" spans="1:5">
      <c r="A55" t="s">
        <v>87</v>
      </c>
      <c r="B55" s="10">
        <f>D55/2.4741</f>
        <v>812.01244897134302</v>
      </c>
      <c r="C55">
        <f t="shared" si="4"/>
        <v>1.6251526640840001E-2</v>
      </c>
      <c r="D55">
        <v>2009</v>
      </c>
      <c r="E55">
        <f t="shared" si="5"/>
        <v>3.5172184386981602E-2</v>
      </c>
    </row>
    <row r="56" spans="1:5">
      <c r="A56" t="s">
        <v>88</v>
      </c>
      <c r="B56" s="10">
        <f>D56/2.0706</f>
        <v>920.98908528928803</v>
      </c>
      <c r="C56">
        <f t="shared" si="4"/>
        <v>1.84325728927709E-2</v>
      </c>
      <c r="D56">
        <v>1907</v>
      </c>
      <c r="E56">
        <f t="shared" si="5"/>
        <v>3.3386438838215002E-2</v>
      </c>
    </row>
    <row r="57" spans="1:5">
      <c r="A57" t="s">
        <v>89</v>
      </c>
      <c r="B57" s="10">
        <f>D57/0.8573</f>
        <v>2024.9620902834499</v>
      </c>
      <c r="C57">
        <f t="shared" si="4"/>
        <v>4.0527365557783301E-2</v>
      </c>
      <c r="D57">
        <v>1736</v>
      </c>
      <c r="E57">
        <f t="shared" si="5"/>
        <v>3.03926889476356E-2</v>
      </c>
    </row>
    <row r="58" spans="1:5">
      <c r="A58" t="s">
        <v>90</v>
      </c>
      <c r="B58" s="10">
        <f>D58/2.6873</f>
        <v>613.99918133442497</v>
      </c>
      <c r="C58">
        <f t="shared" si="4"/>
        <v>1.22885111743681E-2</v>
      </c>
      <c r="D58">
        <v>1650</v>
      </c>
      <c r="E58">
        <f t="shared" si="5"/>
        <v>2.8887060347695202E-2</v>
      </c>
    </row>
    <row r="59" spans="1:5">
      <c r="A59" t="s">
        <v>91</v>
      </c>
      <c r="B59" s="10">
        <f>D59/0.9044</f>
        <v>1714.9491375497601</v>
      </c>
      <c r="C59">
        <f t="shared" si="4"/>
        <v>3.4322800878092301E-2</v>
      </c>
      <c r="D59">
        <v>1551</v>
      </c>
      <c r="E59">
        <f t="shared" si="5"/>
        <v>2.71538367268335E-2</v>
      </c>
    </row>
    <row r="60" spans="1:5">
      <c r="A60" t="s">
        <v>92</v>
      </c>
      <c r="B60" s="10">
        <f>D60/1.3158</f>
        <v>1120.9910320717399</v>
      </c>
      <c r="C60">
        <f t="shared" si="4"/>
        <v>2.2435389561988799E-2</v>
      </c>
      <c r="D60">
        <v>1475</v>
      </c>
      <c r="E60">
        <f t="shared" si="5"/>
        <v>2.5823281219909299E-2</v>
      </c>
    </row>
    <row r="61" spans="1:5">
      <c r="A61" s="2" t="s">
        <v>77</v>
      </c>
      <c r="B61" s="11">
        <f>SUM(B46:B60)</f>
        <v>49965.30276305</v>
      </c>
      <c r="C61" s="2">
        <f>SUM(C46:C60)</f>
        <v>1</v>
      </c>
      <c r="D61" s="2">
        <f>SUM(D46:D60)</f>
        <v>57119</v>
      </c>
      <c r="E61" s="2">
        <f>SUM(E46:E60)</f>
        <v>1</v>
      </c>
    </row>
  </sheetData>
  <phoneticPr fontId="6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1"/>
  <sheetViews>
    <sheetView topLeftCell="A7" workbookViewId="0">
      <selection activeCell="I42" sqref="I42"/>
    </sheetView>
  </sheetViews>
  <sheetFormatPr defaultColWidth="8.77734375" defaultRowHeight="14.95"/>
  <cols>
    <col min="1" max="1" width="13.21875" customWidth="1"/>
    <col min="2" max="2" width="10" customWidth="1"/>
    <col min="3" max="3" width="8.33203125" customWidth="1"/>
    <col min="4" max="5" width="13.77734375" customWidth="1"/>
    <col min="6" max="6" width="13.88671875" customWidth="1"/>
    <col min="7" max="7" width="13.44140625" customWidth="1"/>
    <col min="8" max="8" width="13.88671875" customWidth="1"/>
    <col min="9" max="9" width="12.77734375" customWidth="1"/>
    <col min="10" max="10" width="13.88671875" customWidth="1"/>
    <col min="11" max="11" width="12.77734375" customWidth="1"/>
    <col min="12" max="12" width="14" customWidth="1"/>
    <col min="13" max="13" width="12.77734375" customWidth="1"/>
    <col min="14" max="14" width="13.88671875" customWidth="1"/>
    <col min="15" max="15" width="12.77734375"/>
  </cols>
  <sheetData>
    <row r="1" spans="1:17">
      <c r="A1" s="2" t="s">
        <v>34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97</v>
      </c>
      <c r="G1" s="7" t="s">
        <v>98</v>
      </c>
      <c r="H1" s="7" t="s">
        <v>99</v>
      </c>
      <c r="I1" s="7" t="s">
        <v>100</v>
      </c>
      <c r="J1" s="7" t="s">
        <v>101</v>
      </c>
      <c r="K1" s="7" t="s">
        <v>100</v>
      </c>
      <c r="L1" s="7" t="s">
        <v>102</v>
      </c>
      <c r="M1" s="7" t="s">
        <v>100</v>
      </c>
      <c r="N1" s="2" t="s">
        <v>103</v>
      </c>
      <c r="O1" s="2" t="s">
        <v>100</v>
      </c>
    </row>
    <row r="2" spans="1:17">
      <c r="A2" t="s">
        <v>36</v>
      </c>
      <c r="B2">
        <f>(20.98+15.7)/2</f>
        <v>18.34</v>
      </c>
      <c r="C2" t="s">
        <v>24</v>
      </c>
      <c r="D2">
        <f>Data!$G$3+Data!$G$6</f>
        <v>3.375</v>
      </c>
      <c r="E2">
        <f>Data!$H$3+Data!$H$6</f>
        <v>2.7</v>
      </c>
      <c r="F2">
        <f>Data!$I$3+Data!$I$6</f>
        <v>1.89</v>
      </c>
      <c r="G2">
        <f>0.6*B2</f>
        <v>11.004</v>
      </c>
      <c r="H2">
        <f t="shared" ref="H2:H8" si="0">MIN($D2,$G2)</f>
        <v>3.375</v>
      </c>
      <c r="I2">
        <f>$H2/$B2</f>
        <v>0.1840239912759</v>
      </c>
      <c r="J2">
        <f t="shared" ref="J2:J8" si="1">MIN($E2,$G2)</f>
        <v>2.7</v>
      </c>
      <c r="K2">
        <f>$J2/$B2</f>
        <v>0.14721919302072001</v>
      </c>
      <c r="L2">
        <f t="shared" ref="L2:L8" si="2">MIN($F2:$G2)</f>
        <v>1.89</v>
      </c>
      <c r="M2">
        <f>$L2/$B2</f>
        <v>0.103053435114504</v>
      </c>
      <c r="N2">
        <f>Data!$J$6</f>
        <v>4</v>
      </c>
      <c r="O2">
        <f>$N2/$B2</f>
        <v>0.218102508178844</v>
      </c>
      <c r="Q2" t="s">
        <v>37</v>
      </c>
    </row>
    <row r="3" spans="1:17">
      <c r="A3" t="s">
        <v>38</v>
      </c>
      <c r="B3">
        <f>(3.28+5.98)/2</f>
        <v>4.63</v>
      </c>
      <c r="C3" t="s">
        <v>24</v>
      </c>
      <c r="D3">
        <f>Data!$G$3+Data!$G$6</f>
        <v>3.375</v>
      </c>
      <c r="E3">
        <f>Data!$H$3+Data!$H$6</f>
        <v>2.7</v>
      </c>
      <c r="F3">
        <f>Data!$I$3+Data!$I$6</f>
        <v>1.89</v>
      </c>
      <c r="G3">
        <f t="shared" ref="G3:G30" si="3">B3*0.6</f>
        <v>2.778</v>
      </c>
      <c r="H3">
        <f t="shared" si="0"/>
        <v>2.778</v>
      </c>
      <c r="I3">
        <f t="shared" ref="I3:I41" si="4">$H3/$B3</f>
        <v>0.6</v>
      </c>
      <c r="J3">
        <f t="shared" si="1"/>
        <v>2.7</v>
      </c>
      <c r="K3">
        <f t="shared" ref="K3:K41" si="5">$J3/$B3</f>
        <v>0.58315334773218197</v>
      </c>
      <c r="L3">
        <f t="shared" si="2"/>
        <v>1.89</v>
      </c>
      <c r="M3">
        <f t="shared" ref="M3:M41" si="6">$L3/$B3</f>
        <v>0.40820734341252701</v>
      </c>
      <c r="N3">
        <f>Data!$J$6</f>
        <v>4</v>
      </c>
      <c r="O3">
        <f t="shared" ref="O3:O41" si="7">$N3/$B3</f>
        <v>0.86393088552915798</v>
      </c>
      <c r="Q3" t="s">
        <v>104</v>
      </c>
    </row>
    <row r="4" spans="1:17">
      <c r="A4" t="s">
        <v>39</v>
      </c>
      <c r="B4">
        <f>(18.98+26.98)/2</f>
        <v>22.98</v>
      </c>
      <c r="C4" t="s">
        <v>24</v>
      </c>
      <c r="D4">
        <f>Data!$G$3+Data!$G$6</f>
        <v>3.375</v>
      </c>
      <c r="E4">
        <f>Data!$H$3+Data!$H$6</f>
        <v>2.7</v>
      </c>
      <c r="F4">
        <f>Data!$I$3+Data!$I$6</f>
        <v>1.89</v>
      </c>
      <c r="G4">
        <f t="shared" si="3"/>
        <v>13.788</v>
      </c>
      <c r="H4">
        <f t="shared" si="0"/>
        <v>3.375</v>
      </c>
      <c r="I4">
        <f t="shared" si="4"/>
        <v>0.14686684073107001</v>
      </c>
      <c r="J4">
        <f t="shared" si="1"/>
        <v>2.7</v>
      </c>
      <c r="K4">
        <f t="shared" si="5"/>
        <v>0.117493472584856</v>
      </c>
      <c r="L4">
        <f t="shared" si="2"/>
        <v>1.89</v>
      </c>
      <c r="M4">
        <f t="shared" si="6"/>
        <v>8.22454308093995E-2</v>
      </c>
      <c r="N4">
        <f>Data!$J$6</f>
        <v>4</v>
      </c>
      <c r="O4">
        <f t="shared" si="7"/>
        <v>0.17406440382941701</v>
      </c>
    </row>
    <row r="5" spans="1:17">
      <c r="A5" t="s">
        <v>40</v>
      </c>
      <c r="B5">
        <f>(5.39+20.29)/2</f>
        <v>12.84</v>
      </c>
      <c r="C5" t="s">
        <v>24</v>
      </c>
      <c r="D5">
        <f>Data!$G$3+Data!$G$6</f>
        <v>3.375</v>
      </c>
      <c r="E5">
        <f>Data!$H$3+Data!$H$6</f>
        <v>2.7</v>
      </c>
      <c r="F5">
        <f>Data!$I$3+Data!$I$6</f>
        <v>1.89</v>
      </c>
      <c r="G5">
        <f t="shared" si="3"/>
        <v>7.7039999999999997</v>
      </c>
      <c r="H5">
        <f t="shared" si="0"/>
        <v>3.375</v>
      </c>
      <c r="I5">
        <f t="shared" si="4"/>
        <v>0.26285046728972</v>
      </c>
      <c r="J5">
        <f t="shared" si="1"/>
        <v>2.7</v>
      </c>
      <c r="K5">
        <f t="shared" si="5"/>
        <v>0.210280373831776</v>
      </c>
      <c r="L5">
        <f t="shared" si="2"/>
        <v>1.89</v>
      </c>
      <c r="M5">
        <f t="shared" si="6"/>
        <v>0.14719626168224301</v>
      </c>
      <c r="N5">
        <f>Data!$J$6</f>
        <v>4</v>
      </c>
      <c r="O5">
        <f t="shared" si="7"/>
        <v>0.31152647975077902</v>
      </c>
    </row>
    <row r="6" spans="1:17">
      <c r="A6" t="s">
        <v>41</v>
      </c>
      <c r="B6">
        <f>AVERAGE(2.99,25.85)</f>
        <v>14.42</v>
      </c>
      <c r="C6" t="s">
        <v>24</v>
      </c>
      <c r="D6">
        <f>Data!$G$3+Data!$G$6</f>
        <v>3.375</v>
      </c>
      <c r="E6">
        <f>Data!$H$3+Data!$H$6</f>
        <v>2.7</v>
      </c>
      <c r="F6">
        <f>Data!$I$3+Data!$I$6</f>
        <v>1.89</v>
      </c>
      <c r="G6">
        <f t="shared" si="3"/>
        <v>8.6519999999999992</v>
      </c>
      <c r="H6">
        <f t="shared" si="0"/>
        <v>3.375</v>
      </c>
      <c r="I6">
        <f t="shared" si="4"/>
        <v>0.23404993065187199</v>
      </c>
      <c r="J6">
        <f t="shared" si="1"/>
        <v>2.7</v>
      </c>
      <c r="K6">
        <f t="shared" si="5"/>
        <v>0.187239944521498</v>
      </c>
      <c r="L6">
        <f t="shared" si="2"/>
        <v>1.89</v>
      </c>
      <c r="M6">
        <f t="shared" si="6"/>
        <v>0.13106796116504901</v>
      </c>
      <c r="N6">
        <f>Data!$J$6</f>
        <v>4</v>
      </c>
      <c r="O6">
        <f t="shared" si="7"/>
        <v>0.27739251040221902</v>
      </c>
    </row>
    <row r="7" spans="1:17">
      <c r="A7" t="s">
        <v>42</v>
      </c>
      <c r="B7">
        <f>AVERAGE(14.89,33.89)</f>
        <v>24.39</v>
      </c>
      <c r="C7" t="s">
        <v>24</v>
      </c>
      <c r="D7">
        <f>Data!$G$3+Data!$G$6</f>
        <v>3.375</v>
      </c>
      <c r="E7">
        <f>Data!$H$3+Data!$H$6</f>
        <v>2.7</v>
      </c>
      <c r="F7">
        <f>Data!$I$3+Data!$I$6</f>
        <v>1.89</v>
      </c>
      <c r="G7">
        <f t="shared" si="3"/>
        <v>14.634</v>
      </c>
      <c r="H7">
        <f t="shared" si="0"/>
        <v>3.375</v>
      </c>
      <c r="I7">
        <f t="shared" si="4"/>
        <v>0.13837638376383801</v>
      </c>
      <c r="J7">
        <f t="shared" si="1"/>
        <v>2.7</v>
      </c>
      <c r="K7">
        <f t="shared" si="5"/>
        <v>0.11070110701107</v>
      </c>
      <c r="L7">
        <f t="shared" si="2"/>
        <v>1.89</v>
      </c>
      <c r="M7">
        <f t="shared" si="6"/>
        <v>7.7490774907749096E-2</v>
      </c>
      <c r="N7">
        <f>Data!$J$6</f>
        <v>4</v>
      </c>
      <c r="O7">
        <f t="shared" si="7"/>
        <v>0.1640016400164</v>
      </c>
    </row>
    <row r="8" spans="1:17">
      <c r="A8" t="s">
        <v>43</v>
      </c>
      <c r="B8">
        <v>16.89</v>
      </c>
      <c r="C8" t="s">
        <v>105</v>
      </c>
      <c r="D8">
        <f>Data!$G$4+Data!$G$7</f>
        <v>1.2749999999999999</v>
      </c>
      <c r="E8">
        <f>Data!$H$4+Data!$H$7</f>
        <v>1.02</v>
      </c>
      <c r="F8">
        <f>Data!$I$4+Data!$I$7</f>
        <v>0.72</v>
      </c>
      <c r="G8">
        <f t="shared" si="3"/>
        <v>10.134</v>
      </c>
      <c r="H8">
        <f t="shared" si="0"/>
        <v>1.2749999999999999</v>
      </c>
      <c r="I8">
        <f t="shared" si="4"/>
        <v>7.5488454706927194E-2</v>
      </c>
      <c r="J8">
        <f t="shared" si="1"/>
        <v>1.02</v>
      </c>
      <c r="K8">
        <f t="shared" si="5"/>
        <v>6.03907637655417E-2</v>
      </c>
      <c r="L8">
        <f t="shared" si="2"/>
        <v>0.72</v>
      </c>
      <c r="M8">
        <f t="shared" si="6"/>
        <v>4.2628774422735299E-2</v>
      </c>
      <c r="N8">
        <f>Data!$J$7</f>
        <v>4</v>
      </c>
      <c r="O8">
        <f t="shared" si="7"/>
        <v>0.23682652457075201</v>
      </c>
    </row>
    <row r="9" spans="1:17">
      <c r="A9" t="s">
        <v>44</v>
      </c>
      <c r="B9">
        <f>AVERAGE(13.68,18.88)</f>
        <v>16.28</v>
      </c>
      <c r="C9" t="s">
        <v>24</v>
      </c>
      <c r="D9">
        <f>Data!$G$3+Data!$G$6</f>
        <v>3.375</v>
      </c>
      <c r="E9">
        <f>Data!$H$3+Data!$H$6</f>
        <v>2.7</v>
      </c>
      <c r="F9">
        <f>Data!$I$3+Data!$I$6</f>
        <v>1.89</v>
      </c>
      <c r="G9">
        <f t="shared" si="3"/>
        <v>9.7680000000000007</v>
      </c>
      <c r="H9">
        <f t="shared" ref="H9:H41" si="8">MIN($D9,$G9)</f>
        <v>3.375</v>
      </c>
      <c r="I9">
        <f t="shared" si="4"/>
        <v>0.20730958230958199</v>
      </c>
      <c r="J9">
        <f t="shared" ref="J9:J41" si="9">MIN($E9,$G9)</f>
        <v>2.7</v>
      </c>
      <c r="K9">
        <f t="shared" si="5"/>
        <v>0.165847665847666</v>
      </c>
      <c r="L9">
        <f t="shared" ref="L9:L41" si="10">MIN($F9:$G9)</f>
        <v>1.89</v>
      </c>
      <c r="M9">
        <f t="shared" si="6"/>
        <v>0.116093366093366</v>
      </c>
      <c r="N9">
        <f>Data!$J$6</f>
        <v>4</v>
      </c>
      <c r="O9">
        <f t="shared" si="7"/>
        <v>0.24570024570024601</v>
      </c>
    </row>
    <row r="10" spans="1:17">
      <c r="A10" t="s">
        <v>45</v>
      </c>
      <c r="B10">
        <f>AVERAGE(14.99,15.99)</f>
        <v>15.49</v>
      </c>
      <c r="C10" t="s">
        <v>24</v>
      </c>
      <c r="D10">
        <f>Data!$G$3+Data!$G$6</f>
        <v>3.375</v>
      </c>
      <c r="E10">
        <f>Data!$H$3+Data!$H$6</f>
        <v>2.7</v>
      </c>
      <c r="F10">
        <f>Data!$I$3+Data!$I$6</f>
        <v>1.89</v>
      </c>
      <c r="G10">
        <f t="shared" si="3"/>
        <v>9.2940000000000005</v>
      </c>
      <c r="H10">
        <f t="shared" si="8"/>
        <v>3.375</v>
      </c>
      <c r="I10">
        <f t="shared" si="4"/>
        <v>0.217882504841833</v>
      </c>
      <c r="J10">
        <f t="shared" si="9"/>
        <v>2.7</v>
      </c>
      <c r="K10">
        <f t="shared" si="5"/>
        <v>0.17430600387346701</v>
      </c>
      <c r="L10">
        <f t="shared" si="10"/>
        <v>1.89</v>
      </c>
      <c r="M10">
        <f t="shared" si="6"/>
        <v>0.122014202711427</v>
      </c>
      <c r="N10">
        <f>Data!$J$6</f>
        <v>4</v>
      </c>
      <c r="O10">
        <f t="shared" si="7"/>
        <v>0.25823111684958</v>
      </c>
    </row>
    <row r="11" spans="1:17">
      <c r="A11" t="s">
        <v>46</v>
      </c>
      <c r="B11">
        <f>AVERAGE(12.98,5.98)</f>
        <v>9.48</v>
      </c>
      <c r="C11" t="s">
        <v>105</v>
      </c>
      <c r="D11">
        <f>Data!$G$4+Data!$G$7</f>
        <v>1.2749999999999999</v>
      </c>
      <c r="E11">
        <f>Data!$H$4+Data!$H$7</f>
        <v>1.02</v>
      </c>
      <c r="F11">
        <f>Data!$I$4+Data!$I$7</f>
        <v>0.72</v>
      </c>
      <c r="G11">
        <f t="shared" si="3"/>
        <v>5.6879999999999997</v>
      </c>
      <c r="H11">
        <f t="shared" si="8"/>
        <v>1.2749999999999999</v>
      </c>
      <c r="I11">
        <f t="shared" si="4"/>
        <v>0.134493670886076</v>
      </c>
      <c r="J11">
        <f t="shared" si="9"/>
        <v>1.02</v>
      </c>
      <c r="K11">
        <f t="shared" si="5"/>
        <v>0.107594936708861</v>
      </c>
      <c r="L11">
        <f t="shared" si="10"/>
        <v>0.72</v>
      </c>
      <c r="M11">
        <f t="shared" si="6"/>
        <v>7.5949367088607597E-2</v>
      </c>
      <c r="N11">
        <f>Data!$J$7</f>
        <v>4</v>
      </c>
      <c r="O11">
        <f t="shared" si="7"/>
        <v>0.42194092827004198</v>
      </c>
    </row>
    <row r="12" spans="1:17">
      <c r="A12" t="s">
        <v>47</v>
      </c>
      <c r="B12">
        <f>AVERAGE(11.38,27.98)</f>
        <v>19.68</v>
      </c>
      <c r="C12" t="s">
        <v>106</v>
      </c>
      <c r="D12">
        <f>Data!$G$4+Data!$G$8</f>
        <v>1.2749999999999999</v>
      </c>
      <c r="E12">
        <f>Data!$H$4+Data!$H$7</f>
        <v>1.02</v>
      </c>
      <c r="F12">
        <f>Data!$I$4+Data!$I$7</f>
        <v>0.72</v>
      </c>
      <c r="G12">
        <f t="shared" si="3"/>
        <v>11.808</v>
      </c>
      <c r="H12">
        <f t="shared" si="8"/>
        <v>1.2749999999999999</v>
      </c>
      <c r="I12">
        <f t="shared" si="4"/>
        <v>6.4786585365853702E-2</v>
      </c>
      <c r="J12">
        <f t="shared" si="9"/>
        <v>1.02</v>
      </c>
      <c r="K12">
        <f t="shared" si="5"/>
        <v>5.1829268292682897E-2</v>
      </c>
      <c r="L12">
        <f t="shared" si="10"/>
        <v>0.72</v>
      </c>
      <c r="M12">
        <f t="shared" si="6"/>
        <v>3.65853658536585E-2</v>
      </c>
      <c r="N12">
        <f>Data!$J$8</f>
        <v>4</v>
      </c>
      <c r="O12">
        <f t="shared" si="7"/>
        <v>0.203252032520325</v>
      </c>
    </row>
    <row r="13" spans="1:17">
      <c r="A13" t="s">
        <v>48</v>
      </c>
      <c r="B13">
        <f>AVERAGE(10.98,25.88)</f>
        <v>18.43</v>
      </c>
      <c r="C13" t="s">
        <v>106</v>
      </c>
      <c r="D13">
        <f>Data!$G$4+Data!$G$8</f>
        <v>1.2749999999999999</v>
      </c>
      <c r="E13">
        <f>Data!$H$4+Data!$H$7</f>
        <v>1.02</v>
      </c>
      <c r="F13">
        <f>Data!$I$4+Data!$I$7</f>
        <v>0.72</v>
      </c>
      <c r="G13">
        <f t="shared" si="3"/>
        <v>11.058</v>
      </c>
      <c r="H13">
        <f t="shared" si="8"/>
        <v>1.2749999999999999</v>
      </c>
      <c r="I13">
        <f t="shared" si="4"/>
        <v>6.9180683667932702E-2</v>
      </c>
      <c r="J13">
        <f t="shared" si="9"/>
        <v>1.02</v>
      </c>
      <c r="K13">
        <f t="shared" si="5"/>
        <v>5.5344546934346199E-2</v>
      </c>
      <c r="L13">
        <f t="shared" si="10"/>
        <v>0.72</v>
      </c>
      <c r="M13">
        <f t="shared" si="6"/>
        <v>3.9066739012479701E-2</v>
      </c>
      <c r="N13">
        <f>Data!$J$8</f>
        <v>4</v>
      </c>
      <c r="O13">
        <f t="shared" si="7"/>
        <v>0.21703743895822</v>
      </c>
    </row>
    <row r="14" spans="1:17">
      <c r="A14" t="s">
        <v>49</v>
      </c>
      <c r="B14">
        <f>AVERAGE(12.28,23.98)</f>
        <v>18.13</v>
      </c>
      <c r="C14" t="s">
        <v>106</v>
      </c>
      <c r="D14">
        <f>Data!$G$4+Data!$G$8</f>
        <v>1.2749999999999999</v>
      </c>
      <c r="E14">
        <f>Data!$H$4+Data!$H$7</f>
        <v>1.02</v>
      </c>
      <c r="F14">
        <f>Data!$I$4+Data!$I$7</f>
        <v>0.72</v>
      </c>
      <c r="G14">
        <f t="shared" si="3"/>
        <v>10.878</v>
      </c>
      <c r="H14">
        <f t="shared" si="8"/>
        <v>1.2749999999999999</v>
      </c>
      <c r="I14">
        <f t="shared" si="4"/>
        <v>7.0325427468284601E-2</v>
      </c>
      <c r="J14">
        <f t="shared" si="9"/>
        <v>1.02</v>
      </c>
      <c r="K14">
        <f t="shared" si="5"/>
        <v>5.6260341974627703E-2</v>
      </c>
      <c r="L14">
        <f t="shared" si="10"/>
        <v>0.72</v>
      </c>
      <c r="M14">
        <f t="shared" si="6"/>
        <v>3.9713182570325398E-2</v>
      </c>
      <c r="N14">
        <f>Data!$J$8</f>
        <v>4</v>
      </c>
      <c r="O14">
        <f t="shared" si="7"/>
        <v>0.22062879205736299</v>
      </c>
    </row>
    <row r="15" spans="1:17">
      <c r="A15" t="s">
        <v>50</v>
      </c>
      <c r="B15">
        <f>AVERAGE(12.98,26.98)</f>
        <v>19.98</v>
      </c>
      <c r="C15" t="s">
        <v>24</v>
      </c>
      <c r="D15">
        <f>Data!$G$3+Data!$G$6</f>
        <v>3.375</v>
      </c>
      <c r="E15">
        <f>Data!$H$3+Data!$H$6</f>
        <v>2.7</v>
      </c>
      <c r="F15">
        <f>Data!$I$3+Data!$I$6</f>
        <v>1.89</v>
      </c>
      <c r="G15">
        <f t="shared" si="3"/>
        <v>11.988</v>
      </c>
      <c r="H15">
        <f t="shared" si="8"/>
        <v>3.375</v>
      </c>
      <c r="I15">
        <f t="shared" si="4"/>
        <v>0.168918918918919</v>
      </c>
      <c r="J15">
        <f t="shared" si="9"/>
        <v>2.7</v>
      </c>
      <c r="K15">
        <f t="shared" si="5"/>
        <v>0.135135135135135</v>
      </c>
      <c r="L15">
        <f t="shared" si="10"/>
        <v>1.89</v>
      </c>
      <c r="M15">
        <f t="shared" si="6"/>
        <v>9.45945945945946E-2</v>
      </c>
      <c r="N15">
        <f>Data!$J$6</f>
        <v>4</v>
      </c>
      <c r="O15">
        <f t="shared" si="7"/>
        <v>0.20020020020019999</v>
      </c>
    </row>
    <row r="16" spans="1:17">
      <c r="A16" t="s">
        <v>51</v>
      </c>
      <c r="B16" s="8">
        <f>AVERAGE(13.78,42.03)</f>
        <v>27.905000000000001</v>
      </c>
      <c r="C16" t="s">
        <v>106</v>
      </c>
      <c r="D16">
        <f>Data!$G$4+Data!$G$8</f>
        <v>1.2749999999999999</v>
      </c>
      <c r="E16">
        <f>Data!$H$4+Data!$H$8</f>
        <v>1.02</v>
      </c>
      <c r="F16">
        <f>Data!$I$4+Data!$I$8</f>
        <v>0.72</v>
      </c>
      <c r="G16">
        <f t="shared" si="3"/>
        <v>16.742999999999999</v>
      </c>
      <c r="H16">
        <f t="shared" si="8"/>
        <v>1.2749999999999999</v>
      </c>
      <c r="I16">
        <f t="shared" si="4"/>
        <v>4.5690736427163599E-2</v>
      </c>
      <c r="J16">
        <f t="shared" si="9"/>
        <v>1.02</v>
      </c>
      <c r="K16">
        <f t="shared" si="5"/>
        <v>3.6552589141730901E-2</v>
      </c>
      <c r="L16">
        <f t="shared" si="10"/>
        <v>0.72</v>
      </c>
      <c r="M16">
        <f t="shared" si="6"/>
        <v>2.58018276294571E-2</v>
      </c>
      <c r="N16">
        <f>Data!$J$8</f>
        <v>4</v>
      </c>
      <c r="O16">
        <f t="shared" si="7"/>
        <v>0.143343486830317</v>
      </c>
    </row>
    <row r="17" spans="1:15">
      <c r="A17" t="s">
        <v>52</v>
      </c>
      <c r="B17" s="8">
        <f>AVERAGE(5.99,20.88)</f>
        <v>13.435</v>
      </c>
      <c r="C17" t="s">
        <v>24</v>
      </c>
      <c r="D17">
        <f>Data!$G$3+Data!$G$6</f>
        <v>3.375</v>
      </c>
      <c r="E17">
        <f>Data!$H$3+Data!$H$6</f>
        <v>2.7</v>
      </c>
      <c r="F17">
        <f>Data!$I$3+Data!$I$6</f>
        <v>1.89</v>
      </c>
      <c r="G17">
        <f t="shared" si="3"/>
        <v>8.0609999999999999</v>
      </c>
      <c r="H17">
        <f t="shared" si="8"/>
        <v>3.375</v>
      </c>
      <c r="I17">
        <f t="shared" si="4"/>
        <v>0.25120952735392599</v>
      </c>
      <c r="J17">
        <f t="shared" si="9"/>
        <v>2.7</v>
      </c>
      <c r="K17">
        <f t="shared" si="5"/>
        <v>0.20096762188314099</v>
      </c>
      <c r="L17">
        <f t="shared" si="10"/>
        <v>1.89</v>
      </c>
      <c r="M17">
        <f t="shared" si="6"/>
        <v>0.14067733531819901</v>
      </c>
      <c r="N17">
        <f>Data!$J$6</f>
        <v>4</v>
      </c>
      <c r="O17">
        <f t="shared" si="7"/>
        <v>0.29772981019724598</v>
      </c>
    </row>
    <row r="18" spans="1:15">
      <c r="A18" t="s">
        <v>53</v>
      </c>
      <c r="B18">
        <f>AVERAGE(15.69,33.99)</f>
        <v>24.84</v>
      </c>
      <c r="C18" t="s">
        <v>24</v>
      </c>
      <c r="D18">
        <f>Data!$G$3+Data!$G$6</f>
        <v>3.375</v>
      </c>
      <c r="E18">
        <f>Data!$H$3+Data!$H$6</f>
        <v>2.7</v>
      </c>
      <c r="F18">
        <f>Data!$I$3+Data!$I$6</f>
        <v>1.89</v>
      </c>
      <c r="G18">
        <f t="shared" si="3"/>
        <v>14.904</v>
      </c>
      <c r="H18">
        <f t="shared" si="8"/>
        <v>3.375</v>
      </c>
      <c r="I18">
        <f t="shared" si="4"/>
        <v>0.13586956521739099</v>
      </c>
      <c r="J18">
        <f t="shared" si="9"/>
        <v>2.7</v>
      </c>
      <c r="K18">
        <f t="shared" si="5"/>
        <v>0.108695652173913</v>
      </c>
      <c r="L18">
        <f t="shared" si="10"/>
        <v>1.89</v>
      </c>
      <c r="M18">
        <f t="shared" si="6"/>
        <v>7.6086956521739094E-2</v>
      </c>
      <c r="N18">
        <f>Data!$J$6</f>
        <v>4</v>
      </c>
      <c r="O18">
        <f t="shared" si="7"/>
        <v>0.161030595813205</v>
      </c>
    </row>
    <row r="19" spans="1:15">
      <c r="A19" t="s">
        <v>54</v>
      </c>
      <c r="B19">
        <f>AVERAGE(10.8,15.8)</f>
        <v>13.3</v>
      </c>
      <c r="C19" t="s">
        <v>106</v>
      </c>
      <c r="D19">
        <f>Data!$G$4+Data!$G$8</f>
        <v>1.2749999999999999</v>
      </c>
      <c r="E19">
        <f>Data!$H$4+Data!$H$8</f>
        <v>1.02</v>
      </c>
      <c r="F19">
        <f>Data!$I$4+Data!$I$8</f>
        <v>0.72</v>
      </c>
      <c r="G19">
        <f t="shared" si="3"/>
        <v>7.98</v>
      </c>
      <c r="H19">
        <f t="shared" si="8"/>
        <v>1.2749999999999999</v>
      </c>
      <c r="I19">
        <f t="shared" si="4"/>
        <v>9.5864661654135305E-2</v>
      </c>
      <c r="J19">
        <f t="shared" si="9"/>
        <v>1.02</v>
      </c>
      <c r="K19">
        <f t="shared" si="5"/>
        <v>7.6691729323308297E-2</v>
      </c>
      <c r="L19">
        <f t="shared" si="10"/>
        <v>0.72</v>
      </c>
      <c r="M19">
        <f t="shared" si="6"/>
        <v>5.4135338345864703E-2</v>
      </c>
      <c r="N19">
        <f>Data!$J$8</f>
        <v>4</v>
      </c>
      <c r="O19">
        <f t="shared" si="7"/>
        <v>0.30075187969924799</v>
      </c>
    </row>
    <row r="20" spans="1:15">
      <c r="A20" t="s">
        <v>55</v>
      </c>
      <c r="B20">
        <f>AVERAGE(12.99,17.19)</f>
        <v>15.09</v>
      </c>
      <c r="C20" t="s">
        <v>24</v>
      </c>
      <c r="D20">
        <f>Data!$G$3+Data!$G$6</f>
        <v>3.375</v>
      </c>
      <c r="E20">
        <f>Data!$H$3+Data!$H$6</f>
        <v>2.7</v>
      </c>
      <c r="F20">
        <f>Data!$I$3+Data!$I$6</f>
        <v>1.89</v>
      </c>
      <c r="G20">
        <f t="shared" si="3"/>
        <v>9.0540000000000003</v>
      </c>
      <c r="H20">
        <f t="shared" si="8"/>
        <v>3.375</v>
      </c>
      <c r="I20">
        <f t="shared" si="4"/>
        <v>0.223658051689861</v>
      </c>
      <c r="J20">
        <f t="shared" si="9"/>
        <v>2.7</v>
      </c>
      <c r="K20">
        <f t="shared" si="5"/>
        <v>0.17892644135188901</v>
      </c>
      <c r="L20">
        <f t="shared" si="10"/>
        <v>1.89</v>
      </c>
      <c r="M20">
        <f t="shared" si="6"/>
        <v>0.125248508946322</v>
      </c>
      <c r="N20">
        <f>Data!$J$6</f>
        <v>4</v>
      </c>
      <c r="O20">
        <f t="shared" si="7"/>
        <v>0.26507620941020499</v>
      </c>
    </row>
    <row r="21" spans="1:15">
      <c r="A21" t="s">
        <v>56</v>
      </c>
      <c r="B21">
        <f>AVERAGE(7.99)</f>
        <v>7.99</v>
      </c>
      <c r="C21" t="s">
        <v>24</v>
      </c>
      <c r="D21">
        <f>Data!$G$3+Data!$G$6</f>
        <v>3.375</v>
      </c>
      <c r="E21">
        <f>Data!$H$3+Data!$H$6</f>
        <v>2.7</v>
      </c>
      <c r="F21">
        <f>Data!$I$3+Data!$I$6</f>
        <v>1.89</v>
      </c>
      <c r="G21">
        <f t="shared" si="3"/>
        <v>4.7939999999999996</v>
      </c>
      <c r="H21">
        <f t="shared" si="8"/>
        <v>3.375</v>
      </c>
      <c r="I21">
        <f t="shared" si="4"/>
        <v>0.42240300375469297</v>
      </c>
      <c r="J21">
        <f t="shared" si="9"/>
        <v>2.7</v>
      </c>
      <c r="K21">
        <f t="shared" si="5"/>
        <v>0.33792240300375498</v>
      </c>
      <c r="L21">
        <f t="shared" si="10"/>
        <v>1.89</v>
      </c>
      <c r="M21">
        <f t="shared" si="6"/>
        <v>0.236545682102628</v>
      </c>
      <c r="N21">
        <f>Data!$J$6</f>
        <v>4</v>
      </c>
      <c r="O21">
        <f t="shared" si="7"/>
        <v>0.50062578222778498</v>
      </c>
    </row>
    <row r="22" spans="1:15">
      <c r="A22" t="s">
        <v>57</v>
      </c>
      <c r="B22">
        <f>AVERAGE(8.99,17.69)</f>
        <v>13.34</v>
      </c>
      <c r="C22" t="s">
        <v>24</v>
      </c>
      <c r="D22">
        <f>Data!$G$3+Data!$G$6</f>
        <v>3.375</v>
      </c>
      <c r="E22">
        <f>Data!$H$3+Data!$H$6</f>
        <v>2.7</v>
      </c>
      <c r="F22">
        <f>Data!$I$3+Data!$I$6</f>
        <v>1.89</v>
      </c>
      <c r="G22">
        <f t="shared" si="3"/>
        <v>8.0039999999999996</v>
      </c>
      <c r="H22">
        <f t="shared" si="8"/>
        <v>3.375</v>
      </c>
      <c r="I22">
        <f t="shared" si="4"/>
        <v>0.25299850074962499</v>
      </c>
      <c r="J22">
        <f t="shared" si="9"/>
        <v>2.7</v>
      </c>
      <c r="K22">
        <f t="shared" si="5"/>
        <v>0.2023988005997</v>
      </c>
      <c r="L22">
        <f t="shared" si="10"/>
        <v>1.89</v>
      </c>
      <c r="M22">
        <f t="shared" si="6"/>
        <v>0.14167916041979001</v>
      </c>
      <c r="N22">
        <f>Data!$J$6</f>
        <v>4</v>
      </c>
      <c r="O22">
        <f t="shared" si="7"/>
        <v>0.29985007496251898</v>
      </c>
    </row>
    <row r="23" spans="1:15">
      <c r="A23" t="s">
        <v>58</v>
      </c>
      <c r="B23">
        <f>AVERAGE(15.98,34.18)</f>
        <v>25.08</v>
      </c>
      <c r="C23" t="s">
        <v>24</v>
      </c>
      <c r="D23">
        <f>Data!$G$3+Data!$G$6</f>
        <v>3.375</v>
      </c>
      <c r="E23">
        <f>Data!$H$3+Data!$H$6</f>
        <v>2.7</v>
      </c>
      <c r="F23">
        <f>Data!$I$3+Data!$I$6</f>
        <v>1.89</v>
      </c>
      <c r="G23">
        <f t="shared" si="3"/>
        <v>15.048</v>
      </c>
      <c r="H23">
        <f t="shared" si="8"/>
        <v>3.375</v>
      </c>
      <c r="I23">
        <f t="shared" si="4"/>
        <v>0.13456937799043101</v>
      </c>
      <c r="J23">
        <f t="shared" si="9"/>
        <v>2.7</v>
      </c>
      <c r="K23">
        <f t="shared" si="5"/>
        <v>0.107655502392345</v>
      </c>
      <c r="L23">
        <f t="shared" si="10"/>
        <v>1.89</v>
      </c>
      <c r="M23">
        <f t="shared" si="6"/>
        <v>7.5358851674641195E-2</v>
      </c>
      <c r="N23">
        <f>Data!$J$6</f>
        <v>4</v>
      </c>
      <c r="O23">
        <f t="shared" si="7"/>
        <v>0.15948963317384399</v>
      </c>
    </row>
    <row r="24" spans="1:15">
      <c r="A24" t="s">
        <v>59</v>
      </c>
      <c r="B24">
        <f>AVERAGE(14.28,15.38)</f>
        <v>14.83</v>
      </c>
      <c r="C24" t="s">
        <v>24</v>
      </c>
      <c r="D24">
        <f>Data!$G$3+Data!$G$6</f>
        <v>3.375</v>
      </c>
      <c r="E24">
        <f>Data!$H$3+Data!$H$6</f>
        <v>2.7</v>
      </c>
      <c r="F24">
        <f>Data!$I$3+Data!$I$6</f>
        <v>1.89</v>
      </c>
      <c r="G24">
        <f t="shared" si="3"/>
        <v>8.8979999999999997</v>
      </c>
      <c r="H24">
        <f t="shared" si="8"/>
        <v>3.375</v>
      </c>
      <c r="I24">
        <f t="shared" si="4"/>
        <v>0.22757923128793001</v>
      </c>
      <c r="J24">
        <f t="shared" si="9"/>
        <v>2.7</v>
      </c>
      <c r="K24">
        <f t="shared" si="5"/>
        <v>0.182063385030344</v>
      </c>
      <c r="L24">
        <f t="shared" si="10"/>
        <v>1.89</v>
      </c>
      <c r="M24">
        <f t="shared" si="6"/>
        <v>0.127444369521241</v>
      </c>
      <c r="N24">
        <f>Data!$J$6</f>
        <v>4</v>
      </c>
      <c r="O24">
        <f t="shared" si="7"/>
        <v>0.26972353337828697</v>
      </c>
    </row>
    <row r="25" spans="1:15">
      <c r="A25" t="s">
        <v>60</v>
      </c>
      <c r="B25">
        <f>AVERAGE(8.99,12.79)</f>
        <v>10.89</v>
      </c>
      <c r="C25" t="s">
        <v>24</v>
      </c>
      <c r="D25">
        <f>Data!$G$3+Data!$G$6</f>
        <v>3.375</v>
      </c>
      <c r="E25">
        <f>Data!$H$3+Data!$H$6</f>
        <v>2.7</v>
      </c>
      <c r="F25">
        <f>Data!$I$3+Data!$I$6</f>
        <v>1.89</v>
      </c>
      <c r="G25">
        <f t="shared" si="3"/>
        <v>6.5339999999999998</v>
      </c>
      <c r="H25">
        <f t="shared" si="8"/>
        <v>3.375</v>
      </c>
      <c r="I25">
        <f t="shared" si="4"/>
        <v>0.30991735537190102</v>
      </c>
      <c r="J25">
        <f t="shared" si="9"/>
        <v>2.7</v>
      </c>
      <c r="K25">
        <f t="shared" si="5"/>
        <v>0.247933884297521</v>
      </c>
      <c r="L25">
        <f t="shared" si="10"/>
        <v>1.89</v>
      </c>
      <c r="M25">
        <f t="shared" si="6"/>
        <v>0.173553719008264</v>
      </c>
      <c r="N25">
        <f>Data!$J$6</f>
        <v>4</v>
      </c>
      <c r="O25">
        <f t="shared" si="7"/>
        <v>0.36730945821854899</v>
      </c>
    </row>
    <row r="26" spans="1:15">
      <c r="A26" t="s">
        <v>61</v>
      </c>
      <c r="B26">
        <f>AVERAGE(22.99,30.19)</f>
        <v>26.59</v>
      </c>
      <c r="C26" t="s">
        <v>24</v>
      </c>
      <c r="D26">
        <f>Data!$G$3+Data!$G$6</f>
        <v>3.375</v>
      </c>
      <c r="E26">
        <f>Data!$H$3+Data!$H$6</f>
        <v>2.7</v>
      </c>
      <c r="F26">
        <f>Data!$I$3+Data!$I$6</f>
        <v>1.89</v>
      </c>
      <c r="G26">
        <f t="shared" si="3"/>
        <v>15.954000000000001</v>
      </c>
      <c r="H26">
        <f t="shared" si="8"/>
        <v>3.375</v>
      </c>
      <c r="I26">
        <f t="shared" si="4"/>
        <v>0.126927416321926</v>
      </c>
      <c r="J26">
        <f t="shared" si="9"/>
        <v>2.7</v>
      </c>
      <c r="K26">
        <f t="shared" si="5"/>
        <v>0.10154193305754</v>
      </c>
      <c r="L26">
        <f t="shared" si="10"/>
        <v>1.89</v>
      </c>
      <c r="M26">
        <f t="shared" si="6"/>
        <v>7.1079353140278301E-2</v>
      </c>
      <c r="N26">
        <f>Data!$J$6</f>
        <v>4</v>
      </c>
      <c r="O26">
        <f t="shared" si="7"/>
        <v>0.15043249341857801</v>
      </c>
    </row>
    <row r="27" spans="1:15">
      <c r="A27" t="s">
        <v>62</v>
      </c>
      <c r="B27">
        <f>AVERAGE(7.78,13.38)</f>
        <v>10.58</v>
      </c>
      <c r="C27" t="s">
        <v>24</v>
      </c>
      <c r="D27">
        <f>Data!$G$3+Data!$G$6</f>
        <v>3.375</v>
      </c>
      <c r="E27">
        <f>Data!$H$3+Data!$H$6</f>
        <v>2.7</v>
      </c>
      <c r="F27">
        <f>Data!$I$3+Data!$I$6</f>
        <v>1.89</v>
      </c>
      <c r="G27">
        <f t="shared" si="3"/>
        <v>6.3479999999999999</v>
      </c>
      <c r="H27">
        <f t="shared" si="8"/>
        <v>3.375</v>
      </c>
      <c r="I27">
        <f t="shared" si="4"/>
        <v>0.31899810964083197</v>
      </c>
      <c r="J27">
        <f t="shared" si="9"/>
        <v>2.7</v>
      </c>
      <c r="K27">
        <f t="shared" si="5"/>
        <v>0.25519848771266501</v>
      </c>
      <c r="L27">
        <f t="shared" si="10"/>
        <v>1.89</v>
      </c>
      <c r="M27">
        <f t="shared" si="6"/>
        <v>0.17863894139886599</v>
      </c>
      <c r="N27">
        <f>Data!$J$6</f>
        <v>4</v>
      </c>
      <c r="O27">
        <f t="shared" si="7"/>
        <v>0.37807183364839297</v>
      </c>
    </row>
    <row r="28" spans="1:15">
      <c r="A28" t="s">
        <v>63</v>
      </c>
      <c r="B28" s="8">
        <f>AVERAGE(18.98,35.63)</f>
        <v>27.305</v>
      </c>
      <c r="C28" t="s">
        <v>24</v>
      </c>
      <c r="D28">
        <f>Data!$G$3+Data!$G$6</f>
        <v>3.375</v>
      </c>
      <c r="E28">
        <f>Data!$H$3+Data!$H$6</f>
        <v>2.7</v>
      </c>
      <c r="F28">
        <f>Data!$I$3+Data!$I$6</f>
        <v>1.89</v>
      </c>
      <c r="G28">
        <f t="shared" si="3"/>
        <v>16.382999999999999</v>
      </c>
      <c r="H28">
        <f t="shared" si="8"/>
        <v>3.375</v>
      </c>
      <c r="I28">
        <f t="shared" si="4"/>
        <v>0.123603735579564</v>
      </c>
      <c r="J28">
        <f t="shared" si="9"/>
        <v>2.7</v>
      </c>
      <c r="K28">
        <f t="shared" si="5"/>
        <v>9.88829884636514E-2</v>
      </c>
      <c r="L28">
        <f t="shared" si="10"/>
        <v>1.89</v>
      </c>
      <c r="M28">
        <f t="shared" si="6"/>
        <v>6.92180919245559E-2</v>
      </c>
      <c r="N28">
        <f>Data!$J$6</f>
        <v>4</v>
      </c>
      <c r="O28">
        <f t="shared" si="7"/>
        <v>0.14649331624244599</v>
      </c>
    </row>
    <row r="29" spans="1:15">
      <c r="A29" t="s">
        <v>64</v>
      </c>
      <c r="B29">
        <f>AVERAGE(13.98,19.98)</f>
        <v>16.98</v>
      </c>
      <c r="C29" t="s">
        <v>24</v>
      </c>
      <c r="D29">
        <f>Data!$G$3+Data!$G$6</f>
        <v>3.375</v>
      </c>
      <c r="E29">
        <f>Data!$H$3+Data!$H$6</f>
        <v>2.7</v>
      </c>
      <c r="F29">
        <f>Data!$I$3+Data!$I$6</f>
        <v>1.89</v>
      </c>
      <c r="G29">
        <f t="shared" si="3"/>
        <v>10.188000000000001</v>
      </c>
      <c r="H29">
        <f t="shared" si="8"/>
        <v>3.375</v>
      </c>
      <c r="I29">
        <f t="shared" si="4"/>
        <v>0.198763250883392</v>
      </c>
      <c r="J29">
        <f t="shared" si="9"/>
        <v>2.7</v>
      </c>
      <c r="K29">
        <f t="shared" si="5"/>
        <v>0.15901060070671399</v>
      </c>
      <c r="L29">
        <f t="shared" si="10"/>
        <v>1.89</v>
      </c>
      <c r="M29">
        <f t="shared" si="6"/>
        <v>0.11130742049469999</v>
      </c>
      <c r="N29">
        <f>Data!$J$6</f>
        <v>4</v>
      </c>
      <c r="O29">
        <f t="shared" si="7"/>
        <v>0.23557126030624301</v>
      </c>
    </row>
    <row r="30" spans="1:15">
      <c r="A30" t="s">
        <v>65</v>
      </c>
      <c r="B30">
        <f>AVERAGE(8.98,16.38)</f>
        <v>12.68</v>
      </c>
      <c r="C30" t="s">
        <v>24</v>
      </c>
      <c r="D30">
        <f>Data!$G$3+Data!$G$6</f>
        <v>3.375</v>
      </c>
      <c r="E30">
        <f>Data!$H$3+Data!$H$6</f>
        <v>2.7</v>
      </c>
      <c r="F30">
        <f>Data!$I$3+Data!$I$6</f>
        <v>1.89</v>
      </c>
      <c r="G30">
        <f t="shared" si="3"/>
        <v>7.6079999999999997</v>
      </c>
      <c r="H30">
        <f t="shared" si="8"/>
        <v>3.375</v>
      </c>
      <c r="I30">
        <f t="shared" si="4"/>
        <v>0.26616719242902198</v>
      </c>
      <c r="J30">
        <f t="shared" si="9"/>
        <v>2.7</v>
      </c>
      <c r="K30">
        <f t="shared" si="5"/>
        <v>0.21293375394321801</v>
      </c>
      <c r="L30">
        <f t="shared" si="10"/>
        <v>1.89</v>
      </c>
      <c r="M30">
        <f t="shared" si="6"/>
        <v>0.14905362776025199</v>
      </c>
      <c r="N30">
        <f>Data!$J$6</f>
        <v>4</v>
      </c>
      <c r="O30">
        <f t="shared" si="7"/>
        <v>0.31545741324921101</v>
      </c>
    </row>
    <row r="31" spans="1:15">
      <c r="A31" s="9" t="s">
        <v>66</v>
      </c>
      <c r="B31">
        <f>AVERAGE(2.98,6.88)</f>
        <v>4.93</v>
      </c>
      <c r="C31" t="s">
        <v>24</v>
      </c>
      <c r="D31">
        <f>Data!$G$2+Data!$G$5</f>
        <v>2.4375</v>
      </c>
      <c r="E31">
        <f>Data!$H$2+Data!$H$5</f>
        <v>1.95</v>
      </c>
      <c r="F31">
        <f>Data!$I$2+Data!$I$5</f>
        <v>1.365</v>
      </c>
      <c r="G31">
        <f t="shared" ref="G31:G41" si="11">B31*0.6</f>
        <v>2.9580000000000002</v>
      </c>
      <c r="H31">
        <f t="shared" si="8"/>
        <v>2.4375</v>
      </c>
      <c r="I31">
        <f t="shared" si="4"/>
        <v>0.494421906693712</v>
      </c>
      <c r="J31">
        <f t="shared" si="9"/>
        <v>1.95</v>
      </c>
      <c r="K31">
        <f t="shared" si="5"/>
        <v>0.39553752535497</v>
      </c>
      <c r="L31">
        <f t="shared" si="10"/>
        <v>1.365</v>
      </c>
      <c r="M31">
        <f t="shared" si="6"/>
        <v>0.27687626774847901</v>
      </c>
      <c r="N31">
        <f>Data!$J$6</f>
        <v>4</v>
      </c>
      <c r="O31">
        <f t="shared" si="7"/>
        <v>0.81135902636916801</v>
      </c>
    </row>
    <row r="32" spans="1:15">
      <c r="A32" t="s">
        <v>67</v>
      </c>
      <c r="B32" s="8">
        <f>AVERAGE(4.99,19.98)</f>
        <v>12.484999999999999</v>
      </c>
      <c r="C32" t="s">
        <v>24</v>
      </c>
      <c r="D32">
        <f>Data!$G$3+Data!$G$6</f>
        <v>3.375</v>
      </c>
      <c r="E32">
        <f>Data!$H$3+Data!$H$6</f>
        <v>2.7</v>
      </c>
      <c r="F32">
        <f>Data!$I$3+Data!$I$6</f>
        <v>1.89</v>
      </c>
      <c r="G32">
        <f t="shared" si="11"/>
        <v>7.4909999999999997</v>
      </c>
      <c r="H32">
        <f t="shared" si="8"/>
        <v>3.375</v>
      </c>
      <c r="I32">
        <f t="shared" si="4"/>
        <v>0.27032438926712099</v>
      </c>
      <c r="J32">
        <f t="shared" si="9"/>
        <v>2.7</v>
      </c>
      <c r="K32">
        <f t="shared" si="5"/>
        <v>0.21625951141369601</v>
      </c>
      <c r="L32">
        <f t="shared" si="10"/>
        <v>1.89</v>
      </c>
      <c r="M32">
        <f t="shared" si="6"/>
        <v>0.151381657989588</v>
      </c>
      <c r="N32">
        <f>Data!$J$6</f>
        <v>4</v>
      </c>
      <c r="O32">
        <f t="shared" si="7"/>
        <v>0.32038446135362397</v>
      </c>
    </row>
    <row r="33" spans="1:15">
      <c r="A33" s="9" t="s">
        <v>68</v>
      </c>
      <c r="B33">
        <f>AVERAGE(12.98,16.38)</f>
        <v>14.68</v>
      </c>
      <c r="C33" t="s">
        <v>24</v>
      </c>
      <c r="D33">
        <f>Data!$G$2+Data!$G$5</f>
        <v>2.4375</v>
      </c>
      <c r="E33">
        <f>Data!$H$2+Data!$H$5</f>
        <v>1.95</v>
      </c>
      <c r="F33">
        <f>Data!$I$2+Data!$I$5</f>
        <v>1.365</v>
      </c>
      <c r="G33">
        <f t="shared" si="11"/>
        <v>8.8079999999999998</v>
      </c>
      <c r="H33">
        <f t="shared" si="8"/>
        <v>2.4375</v>
      </c>
      <c r="I33">
        <f t="shared" si="4"/>
        <v>0.16604223433242499</v>
      </c>
      <c r="J33">
        <f t="shared" si="9"/>
        <v>1.95</v>
      </c>
      <c r="K33">
        <f t="shared" si="5"/>
        <v>0.13283378746593999</v>
      </c>
      <c r="L33">
        <f t="shared" si="10"/>
        <v>1.365</v>
      </c>
      <c r="M33">
        <f t="shared" si="6"/>
        <v>9.2983651226157996E-2</v>
      </c>
      <c r="N33">
        <f>Data!$J$6</f>
        <v>4</v>
      </c>
      <c r="O33">
        <f t="shared" si="7"/>
        <v>0.27247956403269802</v>
      </c>
    </row>
    <row r="34" spans="1:15">
      <c r="A34" t="s">
        <v>69</v>
      </c>
      <c r="B34">
        <f>AVERAGE(15.09,16.99)</f>
        <v>16.04</v>
      </c>
      <c r="C34" t="s">
        <v>24</v>
      </c>
      <c r="D34">
        <f>Data!$G$3+Data!$G$6</f>
        <v>3.375</v>
      </c>
      <c r="E34">
        <f>Data!$H$3+Data!$H$6</f>
        <v>2.7</v>
      </c>
      <c r="F34">
        <f>Data!$I$3+Data!$I$6</f>
        <v>1.89</v>
      </c>
      <c r="G34">
        <f t="shared" si="11"/>
        <v>9.6240000000000006</v>
      </c>
      <c r="H34">
        <f t="shared" si="8"/>
        <v>3.375</v>
      </c>
      <c r="I34">
        <f t="shared" si="4"/>
        <v>0.21041147132169599</v>
      </c>
      <c r="J34">
        <f t="shared" si="9"/>
        <v>2.7</v>
      </c>
      <c r="K34">
        <f t="shared" si="5"/>
        <v>0.168329177057357</v>
      </c>
      <c r="L34">
        <f t="shared" si="10"/>
        <v>1.89</v>
      </c>
      <c r="M34">
        <f t="shared" si="6"/>
        <v>0.11783042394015</v>
      </c>
      <c r="N34">
        <f>Data!$J$6</f>
        <v>4</v>
      </c>
      <c r="O34">
        <f t="shared" si="7"/>
        <v>0.24937655860349101</v>
      </c>
    </row>
    <row r="35" spans="1:15">
      <c r="A35" t="s">
        <v>70</v>
      </c>
      <c r="B35">
        <f>AVERAGE(13.98,15.8)</f>
        <v>14.89</v>
      </c>
      <c r="C35" t="s">
        <v>24</v>
      </c>
      <c r="D35">
        <f>Data!$G$3+Data!$G$6</f>
        <v>3.375</v>
      </c>
      <c r="E35">
        <f>Data!$H$3+Data!$H$6</f>
        <v>2.7</v>
      </c>
      <c r="F35">
        <f>Data!$I$3+Data!$I$6</f>
        <v>1.89</v>
      </c>
      <c r="G35">
        <f t="shared" si="11"/>
        <v>8.9339999999999993</v>
      </c>
      <c r="H35">
        <f t="shared" si="8"/>
        <v>3.375</v>
      </c>
      <c r="I35">
        <f t="shared" si="4"/>
        <v>0.22666218938885199</v>
      </c>
      <c r="J35">
        <f t="shared" si="9"/>
        <v>2.7</v>
      </c>
      <c r="K35">
        <f t="shared" si="5"/>
        <v>0.18132975151108099</v>
      </c>
      <c r="L35">
        <f t="shared" si="10"/>
        <v>1.89</v>
      </c>
      <c r="M35">
        <f t="shared" si="6"/>
        <v>0.12693082605775699</v>
      </c>
      <c r="N35">
        <f>Data!$J$6</f>
        <v>4</v>
      </c>
      <c r="O35">
        <f t="shared" si="7"/>
        <v>0.26863666890530602</v>
      </c>
    </row>
    <row r="36" spans="1:15">
      <c r="A36" t="s">
        <v>71</v>
      </c>
      <c r="B36">
        <f>AVERAGE(18.29,19.79)</f>
        <v>19.04</v>
      </c>
      <c r="C36" t="s">
        <v>24</v>
      </c>
      <c r="D36">
        <f>Data!$G$3+Data!$G$6</f>
        <v>3.375</v>
      </c>
      <c r="E36">
        <f>Data!$H$3+Data!$H$6</f>
        <v>2.7</v>
      </c>
      <c r="F36">
        <f>Data!$I$3+Data!$I$6</f>
        <v>1.89</v>
      </c>
      <c r="G36">
        <f t="shared" si="11"/>
        <v>11.423999999999999</v>
      </c>
      <c r="H36">
        <f t="shared" si="8"/>
        <v>3.375</v>
      </c>
      <c r="I36">
        <f t="shared" si="4"/>
        <v>0.17725840336134499</v>
      </c>
      <c r="J36">
        <f t="shared" si="9"/>
        <v>2.7</v>
      </c>
      <c r="K36">
        <f t="shared" si="5"/>
        <v>0.14180672268907599</v>
      </c>
      <c r="L36">
        <f t="shared" si="10"/>
        <v>1.89</v>
      </c>
      <c r="M36">
        <f t="shared" si="6"/>
        <v>9.9264705882352894E-2</v>
      </c>
      <c r="N36">
        <f>Data!$J$6</f>
        <v>4</v>
      </c>
      <c r="O36">
        <f t="shared" si="7"/>
        <v>0.21008403361344499</v>
      </c>
    </row>
    <row r="37" spans="1:15">
      <c r="A37" t="s">
        <v>72</v>
      </c>
      <c r="B37">
        <f>AVERAGE(11.98,15.58)</f>
        <v>13.78</v>
      </c>
      <c r="C37" t="s">
        <v>24</v>
      </c>
      <c r="D37">
        <f>Data!$G$3+Data!$G$6</f>
        <v>3.375</v>
      </c>
      <c r="E37">
        <f>Data!$H$3+Data!$H$6</f>
        <v>2.7</v>
      </c>
      <c r="F37">
        <f>Data!$I$3+Data!$I$6</f>
        <v>1.89</v>
      </c>
      <c r="G37">
        <f t="shared" si="11"/>
        <v>8.2680000000000007</v>
      </c>
      <c r="H37">
        <f t="shared" si="8"/>
        <v>3.375</v>
      </c>
      <c r="I37">
        <f t="shared" si="4"/>
        <v>0.244920174165457</v>
      </c>
      <c r="J37">
        <f t="shared" si="9"/>
        <v>2.7</v>
      </c>
      <c r="K37">
        <f t="shared" si="5"/>
        <v>0.195936139332366</v>
      </c>
      <c r="L37">
        <f t="shared" si="10"/>
        <v>1.89</v>
      </c>
      <c r="M37">
        <f t="shared" si="6"/>
        <v>0.13715529753265601</v>
      </c>
      <c r="N37">
        <f>Data!$J$6</f>
        <v>4</v>
      </c>
      <c r="O37">
        <f t="shared" si="7"/>
        <v>0.290275761973875</v>
      </c>
    </row>
    <row r="38" spans="1:15">
      <c r="A38" t="s">
        <v>73</v>
      </c>
      <c r="B38">
        <f>AVERAGE(5.99,19.99)</f>
        <v>12.99</v>
      </c>
      <c r="C38" t="s">
        <v>24</v>
      </c>
      <c r="D38">
        <f>Data!$G$3+Data!$G$6</f>
        <v>3.375</v>
      </c>
      <c r="E38">
        <f>Data!$H$3+Data!$H$6</f>
        <v>2.7</v>
      </c>
      <c r="F38">
        <f>Data!$I$3+Data!$I$6</f>
        <v>1.89</v>
      </c>
      <c r="G38">
        <f t="shared" si="11"/>
        <v>7.7939999999999996</v>
      </c>
      <c r="H38">
        <f t="shared" si="8"/>
        <v>3.375</v>
      </c>
      <c r="I38">
        <f t="shared" si="4"/>
        <v>0.259815242494226</v>
      </c>
      <c r="J38">
        <f t="shared" si="9"/>
        <v>2.7</v>
      </c>
      <c r="K38">
        <f t="shared" si="5"/>
        <v>0.20785219399538099</v>
      </c>
      <c r="L38">
        <f t="shared" si="10"/>
        <v>1.89</v>
      </c>
      <c r="M38">
        <f t="shared" si="6"/>
        <v>0.145496535796767</v>
      </c>
      <c r="N38">
        <f>Data!$J$6</f>
        <v>4</v>
      </c>
      <c r="O38">
        <f t="shared" si="7"/>
        <v>0.30792917628945299</v>
      </c>
    </row>
    <row r="39" spans="1:15">
      <c r="A39" t="s">
        <v>74</v>
      </c>
      <c r="B39">
        <f>AVERAGE(6.68,8.48)</f>
        <v>7.58</v>
      </c>
      <c r="C39" t="s">
        <v>24</v>
      </c>
      <c r="D39">
        <f>Data!$G$3+Data!$G$6</f>
        <v>3.375</v>
      </c>
      <c r="E39">
        <f>Data!$H$3+Data!$H$6</f>
        <v>2.7</v>
      </c>
      <c r="F39">
        <f>Data!$I$3+Data!$I$6</f>
        <v>1.89</v>
      </c>
      <c r="G39">
        <f t="shared" si="11"/>
        <v>4.548</v>
      </c>
      <c r="H39">
        <f t="shared" si="8"/>
        <v>3.375</v>
      </c>
      <c r="I39">
        <f t="shared" si="4"/>
        <v>0.445250659630607</v>
      </c>
      <c r="J39">
        <f t="shared" si="9"/>
        <v>2.7</v>
      </c>
      <c r="K39">
        <f t="shared" si="5"/>
        <v>0.35620052770448601</v>
      </c>
      <c r="L39">
        <f t="shared" si="10"/>
        <v>1.89</v>
      </c>
      <c r="M39">
        <f t="shared" si="6"/>
        <v>0.24934036939314</v>
      </c>
      <c r="N39">
        <f>Data!$J$6</f>
        <v>4</v>
      </c>
      <c r="O39">
        <f t="shared" si="7"/>
        <v>0.52770448548812698</v>
      </c>
    </row>
    <row r="40" spans="1:15">
      <c r="A40" t="s">
        <v>75</v>
      </c>
      <c r="B40">
        <f>AVERAGE(17.98,26.98)</f>
        <v>22.48</v>
      </c>
      <c r="C40" t="s">
        <v>24</v>
      </c>
      <c r="D40">
        <f>Data!$G$3+Data!$G$6</f>
        <v>3.375</v>
      </c>
      <c r="E40">
        <f>Data!$H$3+Data!$H$6</f>
        <v>2.7</v>
      </c>
      <c r="F40">
        <f>Data!$I$3+Data!$I$6</f>
        <v>1.89</v>
      </c>
      <c r="G40">
        <f t="shared" si="11"/>
        <v>13.488</v>
      </c>
      <c r="H40">
        <f t="shared" si="8"/>
        <v>3.375</v>
      </c>
      <c r="I40">
        <f t="shared" si="4"/>
        <v>0.15013345195729499</v>
      </c>
      <c r="J40">
        <f t="shared" si="9"/>
        <v>2.7</v>
      </c>
      <c r="K40">
        <f t="shared" si="5"/>
        <v>0.120106761565836</v>
      </c>
      <c r="L40">
        <f t="shared" si="10"/>
        <v>1.89</v>
      </c>
      <c r="M40">
        <f t="shared" si="6"/>
        <v>8.4074733096085402E-2</v>
      </c>
      <c r="N40">
        <f>Data!$J$6</f>
        <v>4</v>
      </c>
      <c r="O40">
        <f t="shared" si="7"/>
        <v>0.17793594306049801</v>
      </c>
    </row>
    <row r="41" spans="1:15">
      <c r="A41" t="s">
        <v>76</v>
      </c>
      <c r="B41">
        <f>AVERAGE(17.88,20.38)</f>
        <v>19.13</v>
      </c>
      <c r="C41" t="s">
        <v>24</v>
      </c>
      <c r="D41">
        <f>Data!$G$3+Data!$G$6</f>
        <v>3.375</v>
      </c>
      <c r="E41">
        <f>Data!$H$3+Data!$H$6</f>
        <v>2.7</v>
      </c>
      <c r="F41">
        <f>Data!$I$3+Data!$I$6</f>
        <v>1.89</v>
      </c>
      <c r="G41">
        <f t="shared" si="11"/>
        <v>11.478</v>
      </c>
      <c r="H41">
        <f t="shared" si="8"/>
        <v>3.375</v>
      </c>
      <c r="I41">
        <f t="shared" si="4"/>
        <v>0.17642446419236801</v>
      </c>
      <c r="J41">
        <f t="shared" si="9"/>
        <v>2.7</v>
      </c>
      <c r="K41">
        <f t="shared" si="5"/>
        <v>0.14113957135389399</v>
      </c>
      <c r="L41">
        <f t="shared" si="10"/>
        <v>1.89</v>
      </c>
      <c r="M41">
        <f t="shared" si="6"/>
        <v>9.8797699947726095E-2</v>
      </c>
      <c r="N41">
        <f>Data!$J$6</f>
        <v>4</v>
      </c>
      <c r="O41">
        <f t="shared" si="7"/>
        <v>0.20909566126502899</v>
      </c>
    </row>
    <row r="42" spans="1:15">
      <c r="A42" s="2" t="s">
        <v>107</v>
      </c>
      <c r="B42" s="2"/>
      <c r="C42" s="2"/>
      <c r="D42" s="2"/>
      <c r="E42" s="2"/>
      <c r="F42" s="2"/>
      <c r="G42" s="2"/>
      <c r="H42" s="2"/>
      <c r="I42" s="2">
        <f>SUMPRODUCT(I2:I41,'Passenger vehicle sales'!C2:C41)</f>
        <v>0.12757031425277199</v>
      </c>
      <c r="J42" s="2"/>
      <c r="K42" s="2">
        <f>SUMPRODUCT(K2:K41,'Passenger vehicle sales'!E2:E41)</f>
        <v>0.16971207318839099</v>
      </c>
      <c r="L42" s="2"/>
      <c r="M42" s="2">
        <f>SUMPRODUCT(M2:M41,'Passenger vehicle sales'!G2:G41)</f>
        <v>0.115566078687921</v>
      </c>
      <c r="N42" s="2"/>
      <c r="O42" s="2">
        <f>SUMPRODUCT(O2:O41,'Passenger vehicle sales'!I2:I41)</f>
        <v>0.27745003662171602</v>
      </c>
    </row>
    <row r="45" spans="1:15">
      <c r="A45" s="2" t="s">
        <v>78</v>
      </c>
      <c r="B45" s="2" t="s">
        <v>93</v>
      </c>
      <c r="C45" s="2" t="s">
        <v>94</v>
      </c>
      <c r="D45" s="2" t="s">
        <v>96</v>
      </c>
      <c r="E45" s="2" t="s">
        <v>97</v>
      </c>
      <c r="F45" s="7" t="s">
        <v>101</v>
      </c>
      <c r="G45" s="7" t="s">
        <v>100</v>
      </c>
      <c r="H45" s="7" t="s">
        <v>102</v>
      </c>
      <c r="I45" s="7" t="s">
        <v>100</v>
      </c>
    </row>
    <row r="46" spans="1:15">
      <c r="A46" t="s">
        <v>79</v>
      </c>
      <c r="B46">
        <f>AVERAGE(88,116)</f>
        <v>102</v>
      </c>
      <c r="C46" t="s">
        <v>24</v>
      </c>
    </row>
    <row r="47" spans="1:15">
      <c r="A47" t="s">
        <v>80</v>
      </c>
    </row>
    <row r="48" spans="1:15">
      <c r="A48" t="s">
        <v>81</v>
      </c>
    </row>
    <row r="49" spans="1:9">
      <c r="A49" t="s">
        <v>36</v>
      </c>
      <c r="B49">
        <f>AVERAGE(100,260)</f>
        <v>180</v>
      </c>
      <c r="C49" t="s">
        <v>24</v>
      </c>
    </row>
    <row r="50" spans="1:9">
      <c r="A50" t="s">
        <v>82</v>
      </c>
    </row>
    <row r="51" spans="1:9">
      <c r="A51" t="s">
        <v>83</v>
      </c>
    </row>
    <row r="52" spans="1:9">
      <c r="A52" t="s">
        <v>84</v>
      </c>
    </row>
    <row r="53" spans="1:9">
      <c r="A53" t="s">
        <v>85</v>
      </c>
    </row>
    <row r="54" spans="1:9">
      <c r="A54" t="s">
        <v>86</v>
      </c>
    </row>
    <row r="55" spans="1:9">
      <c r="A55" t="s">
        <v>87</v>
      </c>
    </row>
    <row r="56" spans="1:9">
      <c r="A56" t="s">
        <v>88</v>
      </c>
    </row>
    <row r="57" spans="1:9">
      <c r="A57" t="s">
        <v>89</v>
      </c>
    </row>
    <row r="58" spans="1:9">
      <c r="A58" t="s">
        <v>90</v>
      </c>
    </row>
    <row r="59" spans="1:9">
      <c r="A59" t="s">
        <v>91</v>
      </c>
    </row>
    <row r="60" spans="1:9">
      <c r="A60" t="s">
        <v>92</v>
      </c>
    </row>
    <row r="61" spans="1:9">
      <c r="A61" s="2" t="s">
        <v>107</v>
      </c>
      <c r="B61" s="2"/>
      <c r="C61" s="2"/>
      <c r="D61" s="2"/>
      <c r="E61" s="2"/>
      <c r="F61" s="2"/>
      <c r="G61" s="2"/>
      <c r="H61" s="2"/>
      <c r="I61" s="2"/>
    </row>
  </sheetData>
  <phoneticPr fontId="6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6"/>
  <sheetViews>
    <sheetView workbookViewId="0">
      <selection activeCell="D20" sqref="D20"/>
    </sheetView>
  </sheetViews>
  <sheetFormatPr defaultColWidth="8.77734375" defaultRowHeight="14.95"/>
  <cols>
    <col min="1" max="1" width="13.5546875" customWidth="1"/>
    <col min="2" max="2" width="10.6640625" customWidth="1"/>
    <col min="3" max="3" width="12.77734375"/>
    <col min="4" max="4" width="12.21875" customWidth="1"/>
  </cols>
  <sheetData>
    <row r="1" spans="1:4">
      <c r="A1" s="2" t="s">
        <v>108</v>
      </c>
      <c r="B1" s="2" t="s">
        <v>109</v>
      </c>
      <c r="C1" s="2" t="s">
        <v>35</v>
      </c>
      <c r="D1" s="2" t="s">
        <v>110</v>
      </c>
    </row>
    <row r="2" spans="1:4">
      <c r="A2" t="s">
        <v>111</v>
      </c>
      <c r="B2">
        <v>1038</v>
      </c>
      <c r="C2">
        <f t="shared" ref="C2:C7" si="0">B2/$B$8</f>
        <v>0.26100075433744002</v>
      </c>
      <c r="D2">
        <f>AVERAGE(80.64,106.95)</f>
        <v>93.795000000000002</v>
      </c>
    </row>
    <row r="3" spans="1:4">
      <c r="A3" t="s">
        <v>112</v>
      </c>
      <c r="B3">
        <v>874</v>
      </c>
      <c r="C3">
        <f t="shared" si="0"/>
        <v>0.21976364093537801</v>
      </c>
      <c r="D3">
        <f>AVERAGE(81.14,104.7)</f>
        <v>92.92</v>
      </c>
    </row>
    <row r="4" spans="1:4">
      <c r="A4" t="s">
        <v>113</v>
      </c>
      <c r="B4">
        <v>671</v>
      </c>
      <c r="C4">
        <f t="shared" si="0"/>
        <v>0.168720140809656</v>
      </c>
      <c r="D4">
        <f>AVERAGE(66.84,89.1)</f>
        <v>77.97</v>
      </c>
    </row>
    <row r="5" spans="1:4">
      <c r="A5" t="s">
        <v>114</v>
      </c>
      <c r="B5">
        <v>535</v>
      </c>
      <c r="C5">
        <f t="shared" si="0"/>
        <v>0.13452351018355499</v>
      </c>
      <c r="D5">
        <f>AVERAGE(53.58,54.72)</f>
        <v>54.15</v>
      </c>
    </row>
    <row r="6" spans="1:4">
      <c r="A6" t="s">
        <v>115</v>
      </c>
      <c r="B6">
        <v>500</v>
      </c>
      <c r="C6">
        <f t="shared" si="0"/>
        <v>0.12572290671360301</v>
      </c>
      <c r="D6">
        <f>AVERAGE(81.14,100.27)</f>
        <v>90.704999999999998</v>
      </c>
    </row>
    <row r="7" spans="1:4">
      <c r="A7" t="s">
        <v>116</v>
      </c>
      <c r="B7">
        <v>359</v>
      </c>
      <c r="C7">
        <f t="shared" si="0"/>
        <v>9.0269047020367102E-2</v>
      </c>
      <c r="D7">
        <f>AVERAGE(86,100.27)</f>
        <v>93.135000000000005</v>
      </c>
    </row>
    <row r="8" spans="1:4">
      <c r="A8" s="2" t="s">
        <v>77</v>
      </c>
      <c r="B8" s="2">
        <f>SUM(B2:B7)</f>
        <v>3977</v>
      </c>
      <c r="C8" s="2">
        <f>SUM(C2:C7)</f>
        <v>1</v>
      </c>
      <c r="D8" s="2"/>
    </row>
    <row r="11" spans="1:4">
      <c r="A11" s="2" t="s">
        <v>117</v>
      </c>
      <c r="B11" s="2" t="s">
        <v>109</v>
      </c>
      <c r="C11" s="2" t="s">
        <v>35</v>
      </c>
      <c r="D11" s="2" t="s">
        <v>110</v>
      </c>
    </row>
    <row r="12" spans="1:4">
      <c r="A12" t="s">
        <v>118</v>
      </c>
      <c r="B12">
        <v>1405</v>
      </c>
      <c r="C12">
        <f>B12/$B$16</f>
        <v>0.735602094240838</v>
      </c>
      <c r="D12">
        <v>423</v>
      </c>
    </row>
    <row r="13" spans="1:4">
      <c r="A13" t="s">
        <v>119</v>
      </c>
      <c r="B13">
        <v>737</v>
      </c>
      <c r="C13">
        <f>B13/$B$16</f>
        <v>0.38586387434554997</v>
      </c>
      <c r="D13">
        <v>282</v>
      </c>
    </row>
    <row r="14" spans="1:4">
      <c r="A14" t="s">
        <v>120</v>
      </c>
      <c r="B14">
        <v>710</v>
      </c>
      <c r="C14">
        <f>B14/$B$16</f>
        <v>0.37172774869109898</v>
      </c>
      <c r="D14">
        <v>282</v>
      </c>
    </row>
    <row r="15" spans="1:4">
      <c r="A15" t="s">
        <v>121</v>
      </c>
      <c r="B15">
        <v>463</v>
      </c>
      <c r="C15">
        <f>B15/$B$16</f>
        <v>0.24240837696335099</v>
      </c>
      <c r="D15">
        <f>AVERAGE(282,423)</f>
        <v>352.5</v>
      </c>
    </row>
    <row r="16" spans="1:4">
      <c r="A16" s="2" t="s">
        <v>77</v>
      </c>
      <c r="B16" s="2">
        <f>SUM(B13:B15)</f>
        <v>1910</v>
      </c>
      <c r="C16" s="2">
        <f>SUM(C13:C15)</f>
        <v>1</v>
      </c>
      <c r="D16" s="2"/>
    </row>
  </sheetData>
  <phoneticPr fontId="6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6"/>
  <sheetViews>
    <sheetView workbookViewId="0">
      <selection activeCell="L8" sqref="L8"/>
    </sheetView>
  </sheetViews>
  <sheetFormatPr defaultColWidth="9.77734375" defaultRowHeight="14.95"/>
  <cols>
    <col min="1" max="1" width="13.5546875" customWidth="1"/>
    <col min="2" max="2" width="9.77734375" customWidth="1"/>
    <col min="3" max="3" width="8.33203125" customWidth="1"/>
    <col min="4" max="4" width="14" customWidth="1"/>
    <col min="5" max="6" width="13.88671875" customWidth="1"/>
    <col min="7" max="7" width="16.77734375" customWidth="1"/>
    <col min="8" max="8" width="14" customWidth="1"/>
    <col min="9" max="9" width="8.33203125" customWidth="1"/>
    <col min="10" max="10" width="14" customWidth="1"/>
    <col min="11" max="11" width="8.33203125" customWidth="1"/>
    <col min="12" max="12" width="14.109375" customWidth="1"/>
    <col min="13" max="13" width="8.33203125" customWidth="1"/>
    <col min="14" max="14" width="9.77734375" customWidth="1"/>
  </cols>
  <sheetData>
    <row r="1" spans="1:13">
      <c r="A1" s="2" t="s">
        <v>108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97</v>
      </c>
      <c r="G1" s="7" t="s">
        <v>122</v>
      </c>
      <c r="H1" s="7" t="s">
        <v>99</v>
      </c>
      <c r="I1" s="7" t="s">
        <v>100</v>
      </c>
      <c r="J1" s="7" t="s">
        <v>101</v>
      </c>
      <c r="K1" s="7" t="s">
        <v>100</v>
      </c>
      <c r="L1" s="7" t="s">
        <v>102</v>
      </c>
      <c r="M1" s="7" t="s">
        <v>100</v>
      </c>
    </row>
    <row r="2" spans="1:13">
      <c r="A2" t="s">
        <v>111</v>
      </c>
      <c r="B2">
        <v>22.88</v>
      </c>
      <c r="C2" t="s">
        <v>24</v>
      </c>
      <c r="D2">
        <f>(Data!G$22*'Freight vehicle sales'!$D2+'Freight vehicle sales'!$D2*Data!G$25)/10000</f>
        <v>3.4391500000000002</v>
      </c>
      <c r="E2">
        <f>(Data!H$22*'Freight vehicle sales'!$D2+'Freight vehicle sales'!$D2*Data!H$25)/10000</f>
        <v>3.0952350000000002</v>
      </c>
      <c r="F2">
        <f>(Data!I$22*'Freight vehicle sales'!$D2+'Freight vehicle sales'!$D2*Data!I$25)/10000</f>
        <v>2.4761880000000001</v>
      </c>
      <c r="G2">
        <f>Data!$G$23*0.2</f>
        <v>0.20200000000000001</v>
      </c>
      <c r="H2">
        <f t="shared" ref="H2:H7" si="0">MIN(D2,G2)</f>
        <v>0.20200000000000001</v>
      </c>
      <c r="I2">
        <f t="shared" ref="I2:I7" si="1">$H2/$B2</f>
        <v>8.8286713286713295E-3</v>
      </c>
      <c r="J2">
        <f t="shared" ref="J2:J7" si="2">MIN(E2,G2)</f>
        <v>0.20200000000000001</v>
      </c>
      <c r="K2">
        <f t="shared" ref="K2:K7" si="3">$J2/$B2</f>
        <v>8.8286713286713295E-3</v>
      </c>
      <c r="L2">
        <f t="shared" ref="L2:L7" si="4">MIN(F2,G2)</f>
        <v>0.20200000000000001</v>
      </c>
      <c r="M2">
        <f t="shared" ref="M2:M7" si="5">$L2/$B2</f>
        <v>8.8286713286713295E-3</v>
      </c>
    </row>
    <row r="3" spans="1:13">
      <c r="A3" t="s">
        <v>112</v>
      </c>
      <c r="B3">
        <f>AVERAGE(19.18,37.48)</f>
        <v>28.33</v>
      </c>
      <c r="C3" t="s">
        <v>24</v>
      </c>
      <c r="D3">
        <f>(Data!G$22*'Freight vehicle sales'!$D3+'Freight vehicle sales'!$D3*Data!G$25)/10000</f>
        <v>3.4070666666666698</v>
      </c>
      <c r="E3">
        <f>(Data!H$22*'Freight vehicle sales'!$D3+'Freight vehicle sales'!$D3*Data!H$25)/10000</f>
        <v>3.06636</v>
      </c>
      <c r="F3">
        <f>(Data!I$22*'Freight vehicle sales'!$D3+'Freight vehicle sales'!$D3*Data!I$25)/10000</f>
        <v>2.4530880000000002</v>
      </c>
      <c r="G3">
        <f>Data!$G$23*0.2</f>
        <v>0.20200000000000001</v>
      </c>
      <c r="H3">
        <f t="shared" si="0"/>
        <v>0.20200000000000001</v>
      </c>
      <c r="I3">
        <f t="shared" si="1"/>
        <v>7.1302506177197298E-3</v>
      </c>
      <c r="J3">
        <f t="shared" si="2"/>
        <v>0.20200000000000001</v>
      </c>
      <c r="K3">
        <f t="shared" si="3"/>
        <v>7.1302506177197298E-3</v>
      </c>
      <c r="L3">
        <f t="shared" si="4"/>
        <v>0.20200000000000001</v>
      </c>
      <c r="M3">
        <f t="shared" si="5"/>
        <v>7.1302506177197298E-3</v>
      </c>
    </row>
    <row r="4" spans="1:13">
      <c r="A4" t="s">
        <v>113</v>
      </c>
      <c r="B4">
        <f>AVERAGE(22.1,26.98)</f>
        <v>24.54</v>
      </c>
      <c r="C4" t="s">
        <v>24</v>
      </c>
      <c r="D4">
        <f>(Data!G$22*'Freight vehicle sales'!$D4+'Freight vehicle sales'!$D4*Data!G$25)/10000</f>
        <v>2.8589000000000002</v>
      </c>
      <c r="E4">
        <f>(Data!H$22*'Freight vehicle sales'!$D4+'Freight vehicle sales'!$D4*Data!H$25)/10000</f>
        <v>2.57301</v>
      </c>
      <c r="F4">
        <f>(Data!I$22*'Freight vehicle sales'!$D4+'Freight vehicle sales'!$D4*Data!I$25)/10000</f>
        <v>2.058408</v>
      </c>
      <c r="G4">
        <f>Data!$G$23*0.2</f>
        <v>0.20200000000000001</v>
      </c>
      <c r="H4">
        <f t="shared" si="0"/>
        <v>0.20200000000000001</v>
      </c>
      <c r="I4">
        <f t="shared" si="1"/>
        <v>8.2314588427057894E-3</v>
      </c>
      <c r="J4">
        <f t="shared" si="2"/>
        <v>0.20200000000000001</v>
      </c>
      <c r="K4">
        <f t="shared" si="3"/>
        <v>8.2314588427057894E-3</v>
      </c>
      <c r="L4">
        <f t="shared" si="4"/>
        <v>0.20200000000000001</v>
      </c>
      <c r="M4">
        <f t="shared" si="5"/>
        <v>8.2314588427057894E-3</v>
      </c>
    </row>
    <row r="5" spans="1:13">
      <c r="A5" t="s">
        <v>114</v>
      </c>
      <c r="B5">
        <f>AVERAGE(27.13,28.78)</f>
        <v>27.954999999999998</v>
      </c>
      <c r="C5" t="s">
        <v>105</v>
      </c>
      <c r="D5">
        <f>(Data!G$24*'Freight vehicle sales'!$D5+'Freight vehicle sales'!$D5*Data!G$26)/10000</f>
        <v>2.22616666666667</v>
      </c>
      <c r="E5">
        <f>(Data!H$24*'Freight vehicle sales'!$D5+'Freight vehicle sales'!$D5*Data!H$26)/10000</f>
        <v>2.0035500000000002</v>
      </c>
      <c r="F5">
        <f>(Data!I$24*'Freight vehicle sales'!$D5+'Freight vehicle sales'!$D5*Data!I$26)/10000</f>
        <v>1.60284</v>
      </c>
      <c r="G5">
        <f>Data!$G$23*0.2</f>
        <v>0.20200000000000001</v>
      </c>
      <c r="H5">
        <f t="shared" si="0"/>
        <v>0.20200000000000001</v>
      </c>
      <c r="I5">
        <f t="shared" si="1"/>
        <v>7.2258987658737296E-3</v>
      </c>
      <c r="J5">
        <f t="shared" si="2"/>
        <v>0.20200000000000001</v>
      </c>
      <c r="K5">
        <f t="shared" si="3"/>
        <v>7.2258987658737296E-3</v>
      </c>
      <c r="L5">
        <f t="shared" si="4"/>
        <v>0.20200000000000001</v>
      </c>
      <c r="M5">
        <f t="shared" si="5"/>
        <v>7.2258987658737296E-3</v>
      </c>
    </row>
    <row r="6" spans="1:13">
      <c r="A6" t="s">
        <v>115</v>
      </c>
      <c r="B6">
        <f>AVERAGE(19.7,25)</f>
        <v>22.35</v>
      </c>
      <c r="C6" t="s">
        <v>24</v>
      </c>
      <c r="D6">
        <f>(Data!G$22*'Freight vehicle sales'!$D6+'Freight vehicle sales'!$D6*Data!G$25)/10000</f>
        <v>3.32585</v>
      </c>
      <c r="E6">
        <f>(Data!H$22*'Freight vehicle sales'!$D6+'Freight vehicle sales'!$D6*Data!H$25)/10000</f>
        <v>2.9932650000000001</v>
      </c>
      <c r="F6">
        <f>(Data!I$22*'Freight vehicle sales'!$D6+'Freight vehicle sales'!$D6*Data!I$25)/10000</f>
        <v>2.394612</v>
      </c>
      <c r="G6">
        <f>Data!$G$23*0.2</f>
        <v>0.20200000000000001</v>
      </c>
      <c r="H6">
        <f t="shared" si="0"/>
        <v>0.20200000000000001</v>
      </c>
      <c r="I6">
        <f t="shared" si="1"/>
        <v>9.0380313199105097E-3</v>
      </c>
      <c r="J6">
        <f t="shared" si="2"/>
        <v>0.20200000000000001</v>
      </c>
      <c r="K6">
        <f t="shared" si="3"/>
        <v>9.0380313199105097E-3</v>
      </c>
      <c r="L6">
        <f t="shared" si="4"/>
        <v>0.20200000000000001</v>
      </c>
      <c r="M6">
        <f t="shared" si="5"/>
        <v>9.0380313199105097E-3</v>
      </c>
    </row>
    <row r="7" spans="1:13">
      <c r="A7" t="s">
        <v>116</v>
      </c>
      <c r="B7">
        <f>AVERAGE(19,28.3)</f>
        <v>23.65</v>
      </c>
      <c r="C7" t="s">
        <v>24</v>
      </c>
      <c r="D7">
        <f>(Data!G$22*'Freight vehicle sales'!$D7+'Freight vehicle sales'!$D7*Data!G$25)/10000</f>
        <v>3.4149500000000002</v>
      </c>
      <c r="E7">
        <f>(Data!H$22*'Freight vehicle sales'!$D7+'Freight vehicle sales'!$D7*Data!H$25)/10000</f>
        <v>3.073455</v>
      </c>
      <c r="F7">
        <f>(Data!I$22*'Freight vehicle sales'!$D7+'Freight vehicle sales'!$D7*Data!I$25)/10000</f>
        <v>2.4587639999999999</v>
      </c>
      <c r="G7">
        <f>Data!$G$23*0.2</f>
        <v>0.20200000000000001</v>
      </c>
      <c r="H7">
        <f t="shared" si="0"/>
        <v>0.20200000000000001</v>
      </c>
      <c r="I7">
        <f t="shared" si="1"/>
        <v>8.5412262156448204E-3</v>
      </c>
      <c r="J7">
        <f t="shared" si="2"/>
        <v>0.20200000000000001</v>
      </c>
      <c r="K7">
        <f t="shared" si="3"/>
        <v>8.5412262156448204E-3</v>
      </c>
      <c r="L7">
        <f t="shared" si="4"/>
        <v>0.20200000000000001</v>
      </c>
      <c r="M7">
        <f t="shared" si="5"/>
        <v>8.5412262156448204E-3</v>
      </c>
    </row>
    <row r="8" spans="1:13">
      <c r="A8" s="2" t="s">
        <v>107</v>
      </c>
      <c r="B8" s="2"/>
      <c r="C8" s="2"/>
      <c r="D8" s="2"/>
      <c r="E8" s="2"/>
      <c r="F8" s="2"/>
      <c r="G8" s="2"/>
      <c r="H8" s="2"/>
      <c r="I8" s="2">
        <f>SUMPRODUCT(I$2:I$7,'Freight vehicle sales'!$C$2:$C$7)</f>
        <v>8.1394217937183003E-3</v>
      </c>
      <c r="J8" s="2"/>
      <c r="K8" s="2">
        <f>SUMPRODUCT(K$2:K$7,'Freight vehicle sales'!$C$2:$C$7)</f>
        <v>8.1394217937183003E-3</v>
      </c>
      <c r="L8" s="2"/>
      <c r="M8" s="2">
        <f>SUMPRODUCT(M$2:M$7,'Freight vehicle sales'!$C$2:$C$7)</f>
        <v>8.1394217937183003E-3</v>
      </c>
    </row>
    <row r="11" spans="1:13">
      <c r="A11" s="2" t="s">
        <v>117</v>
      </c>
      <c r="B11" s="2" t="s">
        <v>93</v>
      </c>
      <c r="C11" s="2" t="s">
        <v>94</v>
      </c>
      <c r="D11" s="2" t="s">
        <v>95</v>
      </c>
      <c r="E11" s="2" t="s">
        <v>96</v>
      </c>
      <c r="F11" s="2" t="s">
        <v>97</v>
      </c>
      <c r="G11" s="7" t="s">
        <v>122</v>
      </c>
      <c r="H11" s="7" t="s">
        <v>99</v>
      </c>
      <c r="I11" s="7" t="s">
        <v>100</v>
      </c>
      <c r="J11" s="7" t="s">
        <v>101</v>
      </c>
      <c r="K11" s="7" t="s">
        <v>100</v>
      </c>
      <c r="L11" s="7" t="s">
        <v>102</v>
      </c>
      <c r="M11" s="7" t="s">
        <v>100</v>
      </c>
    </row>
    <row r="12" spans="1:13">
      <c r="A12" t="s">
        <v>118</v>
      </c>
      <c r="B12">
        <v>50</v>
      </c>
      <c r="C12" t="s">
        <v>24</v>
      </c>
      <c r="D12">
        <f>(Data!G$27*'Freight vehicle sales'!$D12+'Freight vehicle sales'!$D12*Data!G$31)/10000</f>
        <v>15.51</v>
      </c>
      <c r="E12">
        <f>(Data!H$27*'Freight vehicle sales'!$D12+'Freight vehicle sales'!$D12*Data!H$31)/10000</f>
        <v>13.959</v>
      </c>
      <c r="F12">
        <f>(Data!I$27*'Freight vehicle sales'!$D12+'Freight vehicle sales'!$D12*Data!I$31)/10000</f>
        <v>11.167199999999999</v>
      </c>
      <c r="G12">
        <f>Data!$G$28*0.2</f>
        <v>0.56000000000000005</v>
      </c>
      <c r="H12">
        <f>MIN(D12,G12)</f>
        <v>0.56000000000000005</v>
      </c>
      <c r="I12">
        <f>H12/B12</f>
        <v>1.12E-2</v>
      </c>
      <c r="J12">
        <f>MIN(G12,B12)</f>
        <v>0.56000000000000005</v>
      </c>
      <c r="K12">
        <f>J12/B12</f>
        <v>1.12E-2</v>
      </c>
      <c r="L12">
        <f>MIN(G12,B12)</f>
        <v>0.56000000000000005</v>
      </c>
      <c r="M12">
        <f>L12/B12</f>
        <v>1.12E-2</v>
      </c>
    </row>
    <row r="13" spans="1:13">
      <c r="A13" t="s">
        <v>119</v>
      </c>
      <c r="B13">
        <v>98.9</v>
      </c>
      <c r="C13" t="s">
        <v>24</v>
      </c>
      <c r="D13">
        <f>(Data!G$27*'Freight vehicle sales'!$D13+'Freight vehicle sales'!$D13*Data!G$31)/10000</f>
        <v>10.34</v>
      </c>
      <c r="E13">
        <f>(Data!H$27*'Freight vehicle sales'!$D13+'Freight vehicle sales'!$D13*Data!H$31)/10000</f>
        <v>9.3059999999999992</v>
      </c>
      <c r="F13">
        <f>(Data!I$27*'Freight vehicle sales'!$D13+'Freight vehicle sales'!$D13*Data!I$31)/10000</f>
        <v>7.4447999999999999</v>
      </c>
      <c r="G13">
        <f>Data!$G$28*0.2</f>
        <v>0.56000000000000005</v>
      </c>
      <c r="H13">
        <f>MIN(D13,G13)</f>
        <v>0.56000000000000005</v>
      </c>
      <c r="I13">
        <f>H13/B13</f>
        <v>5.6622851365015197E-3</v>
      </c>
      <c r="J13">
        <f>MIN(G13,B13)</f>
        <v>0.56000000000000005</v>
      </c>
      <c r="K13">
        <f>J13/B13</f>
        <v>5.6622851365015197E-3</v>
      </c>
      <c r="L13">
        <f>MIN(G13,B13)</f>
        <v>0.56000000000000005</v>
      </c>
      <c r="M13">
        <f>L13/B13</f>
        <v>5.6622851365015197E-3</v>
      </c>
    </row>
    <row r="14" spans="1:13">
      <c r="A14" t="s">
        <v>120</v>
      </c>
      <c r="B14">
        <f>AVERAGE(79.94,100.3)</f>
        <v>90.12</v>
      </c>
      <c r="C14" t="s">
        <v>24</v>
      </c>
      <c r="D14">
        <f>(Data!G$27*'Freight vehicle sales'!$D14+'Freight vehicle sales'!$D14*Data!G$31)/10000</f>
        <v>10.34</v>
      </c>
      <c r="E14">
        <f>(Data!H$27*'Freight vehicle sales'!$D14+'Freight vehicle sales'!$D14*Data!H$31)/10000</f>
        <v>9.3059999999999992</v>
      </c>
      <c r="F14">
        <f>(Data!I$27*'Freight vehicle sales'!$D14+'Freight vehicle sales'!$D14*Data!I$31)/10000</f>
        <v>7.4447999999999999</v>
      </c>
      <c r="G14">
        <f>Data!$G$28*0.2</f>
        <v>0.56000000000000005</v>
      </c>
      <c r="H14">
        <f>MIN(D14,G14)</f>
        <v>0.56000000000000005</v>
      </c>
      <c r="I14">
        <f>H14/B14</f>
        <v>6.2139369729249903E-3</v>
      </c>
      <c r="J14">
        <f>MIN(G14,B14)</f>
        <v>0.56000000000000005</v>
      </c>
      <c r="K14">
        <f>J14/B14</f>
        <v>6.2139369729249903E-3</v>
      </c>
      <c r="L14">
        <f>MIN(G14,B14)</f>
        <v>0.56000000000000005</v>
      </c>
      <c r="M14">
        <f>L14/B14</f>
        <v>6.2139369729249903E-3</v>
      </c>
    </row>
    <row r="15" spans="1:13">
      <c r="A15" t="s">
        <v>121</v>
      </c>
      <c r="B15">
        <f>AVERAGE(73.7,82.57)</f>
        <v>78.135000000000005</v>
      </c>
      <c r="C15" t="s">
        <v>24</v>
      </c>
      <c r="D15">
        <f>(Data!G$27*'Freight vehicle sales'!$D15+'Freight vehicle sales'!$D15*Data!G$31)/10000</f>
        <v>12.925000000000001</v>
      </c>
      <c r="E15">
        <f>(Data!H$27*'Freight vehicle sales'!$D15+'Freight vehicle sales'!$D15*Data!H$31)/10000</f>
        <v>11.6325</v>
      </c>
      <c r="F15">
        <f>(Data!I$27*'Freight vehicle sales'!$D15+'Freight vehicle sales'!$D15*Data!I$31)/10000</f>
        <v>9.3059999999999992</v>
      </c>
      <c r="G15">
        <f>Data!$G$28*0.2</f>
        <v>0.56000000000000005</v>
      </c>
      <c r="H15">
        <f>MIN(D15,G15)</f>
        <v>0.56000000000000005</v>
      </c>
      <c r="I15">
        <f>H15/B15</f>
        <v>7.1670826134254796E-3</v>
      </c>
      <c r="J15">
        <f>MIN(G15,B15)</f>
        <v>0.56000000000000005</v>
      </c>
      <c r="K15">
        <f>J15/B15</f>
        <v>7.1670826134254796E-3</v>
      </c>
      <c r="L15">
        <f>MIN(G15,B15)</f>
        <v>0.56000000000000005</v>
      </c>
      <c r="M15">
        <f>L15/B15</f>
        <v>7.1670826134254796E-3</v>
      </c>
    </row>
    <row r="16" spans="1:13">
      <c r="A16" s="2" t="s">
        <v>107</v>
      </c>
      <c r="B16" s="2"/>
      <c r="C16" s="2"/>
      <c r="D16" s="2"/>
      <c r="E16" s="2"/>
      <c r="F16" s="2"/>
      <c r="G16" s="2"/>
      <c r="H16" s="2"/>
      <c r="I16" s="2">
        <f>SUMPRODUCT(I12:I15,'Freight vehicle sales'!C12:C15)</f>
        <v>1.4470868401253599E-2</v>
      </c>
      <c r="J16" s="2"/>
      <c r="K16" s="2">
        <f>SUMPRODUCT(K12:K15,'Freight vehicle sales'!C12:C15)</f>
        <v>1.4470868401253599E-2</v>
      </c>
      <c r="L16" s="2"/>
      <c r="M16" s="2">
        <f>SUMPRODUCT(M12:M15,'Freight vehicle sales'!C12:C15)</f>
        <v>1.4470868401253599E-2</v>
      </c>
    </row>
  </sheetData>
  <phoneticPr fontId="6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Q7"/>
  <sheetViews>
    <sheetView workbookViewId="0">
      <selection activeCell="AD20" sqref="AD20"/>
    </sheetView>
  </sheetViews>
  <sheetFormatPr defaultColWidth="8.77734375" defaultRowHeight="14.95"/>
  <cols>
    <col min="1" max="2" width="11.44140625" customWidth="1"/>
    <col min="3" max="6" width="6.44140625" customWidth="1"/>
    <col min="7" max="43" width="5.44140625" customWidth="1"/>
  </cols>
  <sheetData>
    <row r="1" spans="1:43" ht="54.35">
      <c r="A1" s="1" t="s">
        <v>123</v>
      </c>
      <c r="B1" s="2">
        <v>2019</v>
      </c>
      <c r="C1" s="2">
        <v>2020</v>
      </c>
      <c r="D1" s="2">
        <v>2021</v>
      </c>
      <c r="E1" s="2">
        <v>2022</v>
      </c>
      <c r="F1" s="2">
        <v>2023</v>
      </c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  <c r="N1" s="2">
        <v>2031</v>
      </c>
      <c r="O1" s="2">
        <v>2032</v>
      </c>
      <c r="P1" s="2">
        <v>2033</v>
      </c>
      <c r="Q1" s="2">
        <v>2034</v>
      </c>
      <c r="R1" s="2">
        <v>2035</v>
      </c>
      <c r="S1" s="2">
        <v>2036</v>
      </c>
      <c r="T1" s="2">
        <v>2037</v>
      </c>
      <c r="U1" s="2">
        <v>2038</v>
      </c>
      <c r="V1" s="2">
        <v>2039</v>
      </c>
      <c r="W1" s="2">
        <v>2040</v>
      </c>
      <c r="X1" s="2">
        <v>2041</v>
      </c>
      <c r="Y1" s="2">
        <v>2042</v>
      </c>
      <c r="Z1" s="2">
        <v>2043</v>
      </c>
      <c r="AA1" s="2">
        <v>2044</v>
      </c>
      <c r="AB1" s="2">
        <v>2045</v>
      </c>
      <c r="AC1" s="2">
        <v>2046</v>
      </c>
      <c r="AD1" s="2">
        <v>2047</v>
      </c>
      <c r="AE1" s="2">
        <v>2048</v>
      </c>
      <c r="AF1" s="2">
        <v>2049</v>
      </c>
      <c r="AG1" s="2">
        <v>2050</v>
      </c>
      <c r="AH1" s="2">
        <v>2051</v>
      </c>
      <c r="AI1" s="2">
        <v>2052</v>
      </c>
      <c r="AJ1" s="2">
        <v>2053</v>
      </c>
      <c r="AK1" s="2">
        <v>2054</v>
      </c>
      <c r="AL1" s="2">
        <v>2055</v>
      </c>
      <c r="AM1" s="2">
        <v>2056</v>
      </c>
      <c r="AN1" s="2">
        <v>2057</v>
      </c>
      <c r="AO1" s="2">
        <v>2058</v>
      </c>
      <c r="AP1" s="2">
        <v>2059</v>
      </c>
      <c r="AQ1" s="2">
        <v>2060</v>
      </c>
    </row>
    <row r="2" spans="1:43">
      <c r="A2" s="3" t="s">
        <v>124</v>
      </c>
      <c r="B2" s="6">
        <f>C2*1.12</f>
        <v>0.14287875196310465</v>
      </c>
      <c r="C2" s="6">
        <f>'Passenger vehicle prices'!I42</f>
        <v>0.12757031425277199</v>
      </c>
      <c r="D2" s="6">
        <f>'Passenger vehicle prices'!K42</f>
        <v>0.16971207318839099</v>
      </c>
      <c r="E2" s="6">
        <f>'Passenger vehicle prices'!M42</f>
        <v>0.115566078687921</v>
      </c>
      <c r="F2" s="6">
        <f>'Passenger vehicle prices'!O42</f>
        <v>0.27745003662171602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</row>
    <row r="3" spans="1:43">
      <c r="A3" s="3" t="s">
        <v>125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</row>
    <row r="4" spans="1:43">
      <c r="A4" s="3" t="s">
        <v>126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</row>
    <row r="5" spans="1:43">
      <c r="A5" s="3" t="s">
        <v>127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</row>
    <row r="6" spans="1:43">
      <c r="A6" s="3" t="s">
        <v>128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</row>
    <row r="7" spans="1:43">
      <c r="A7" s="3" t="s">
        <v>129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</row>
  </sheetData>
  <phoneticPr fontId="6" type="noConversion"/>
  <conditionalFormatting sqref="B2:AQ7">
    <cfRule type="cellIs" dxfId="1" priority="1" operator="equal">
      <formula>0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AQ7"/>
  <sheetViews>
    <sheetView tabSelected="1" workbookViewId="0">
      <selection activeCell="B2" sqref="B2:B3"/>
    </sheetView>
  </sheetViews>
  <sheetFormatPr defaultColWidth="8.77734375" defaultRowHeight="14.95"/>
  <cols>
    <col min="1" max="2" width="14.109375" customWidth="1"/>
    <col min="3" max="5" width="8.44140625" customWidth="1"/>
    <col min="6" max="43" width="5.44140625" customWidth="1"/>
  </cols>
  <sheetData>
    <row r="1" spans="1:43" ht="40.75">
      <c r="A1" s="1" t="s">
        <v>123</v>
      </c>
      <c r="B1" s="2">
        <v>2019</v>
      </c>
      <c r="C1" s="2">
        <v>2020</v>
      </c>
      <c r="D1" s="2">
        <v>2021</v>
      </c>
      <c r="E1" s="2">
        <v>2022</v>
      </c>
      <c r="F1" s="2">
        <v>2023</v>
      </c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  <c r="N1" s="2">
        <v>2031</v>
      </c>
      <c r="O1" s="2">
        <v>2032</v>
      </c>
      <c r="P1" s="2">
        <v>2033</v>
      </c>
      <c r="Q1" s="2">
        <v>2034</v>
      </c>
      <c r="R1" s="2">
        <v>2035</v>
      </c>
      <c r="S1" s="2">
        <v>2036</v>
      </c>
      <c r="T1" s="2">
        <v>2037</v>
      </c>
      <c r="U1" s="2">
        <v>2038</v>
      </c>
      <c r="V1" s="2">
        <v>2039</v>
      </c>
      <c r="W1" s="2">
        <v>2040</v>
      </c>
      <c r="X1" s="2">
        <v>2041</v>
      </c>
      <c r="Y1" s="2">
        <v>2042</v>
      </c>
      <c r="Z1" s="2">
        <v>2043</v>
      </c>
      <c r="AA1" s="2">
        <v>2044</v>
      </c>
      <c r="AB1" s="2">
        <v>2045</v>
      </c>
      <c r="AC1" s="2">
        <v>2046</v>
      </c>
      <c r="AD1" s="2">
        <v>2047</v>
      </c>
      <c r="AE1" s="2">
        <v>2048</v>
      </c>
      <c r="AF1" s="2">
        <v>2049</v>
      </c>
      <c r="AG1" s="2">
        <v>2050</v>
      </c>
      <c r="AH1" s="2">
        <v>2051</v>
      </c>
      <c r="AI1" s="2">
        <v>2052</v>
      </c>
      <c r="AJ1" s="2">
        <v>2053</v>
      </c>
      <c r="AK1" s="2">
        <v>2054</v>
      </c>
      <c r="AL1" s="2">
        <v>2055</v>
      </c>
      <c r="AM1" s="2">
        <v>2056</v>
      </c>
      <c r="AN1" s="2">
        <v>2057</v>
      </c>
      <c r="AO1" s="2">
        <v>2058</v>
      </c>
      <c r="AP1" s="2">
        <v>2059</v>
      </c>
      <c r="AQ1" s="2">
        <v>2060</v>
      </c>
    </row>
    <row r="2" spans="1:43">
      <c r="A2" s="3" t="s">
        <v>124</v>
      </c>
      <c r="B2" s="4">
        <v>8.1394217937183003E-3</v>
      </c>
      <c r="C2" s="4">
        <f>货车价格!I8</f>
        <v>8.1394217937183003E-3</v>
      </c>
      <c r="D2" s="4">
        <f>货车价格!K8</f>
        <v>8.1394217937183003E-3</v>
      </c>
      <c r="E2" s="4">
        <f>货车价格!M8</f>
        <v>8.1394217937183003E-3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</row>
    <row r="3" spans="1:43">
      <c r="A3" s="3" t="s">
        <v>125</v>
      </c>
      <c r="B3" s="5">
        <v>1.4470868401253599E-2</v>
      </c>
      <c r="C3" s="5">
        <f>货车价格!I16</f>
        <v>1.4470868401253599E-2</v>
      </c>
      <c r="D3" s="5">
        <f>货车价格!K16</f>
        <v>1.4470868401253599E-2</v>
      </c>
      <c r="E3" s="5">
        <f>货车价格!M16</f>
        <v>1.4470868401253599E-2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</row>
    <row r="4" spans="1:43">
      <c r="A4" s="3" t="s">
        <v>126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</row>
    <row r="5" spans="1:43">
      <c r="A5" s="3" t="s">
        <v>127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</row>
    <row r="6" spans="1:43">
      <c r="A6" s="3" t="s">
        <v>128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</row>
    <row r="7" spans="1:43">
      <c r="A7" s="3" t="s">
        <v>129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</row>
  </sheetData>
  <phoneticPr fontId="6" type="noConversion"/>
  <conditionalFormatting sqref="B2:AQ7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About</vt:lpstr>
      <vt:lpstr>Ancillary data</vt:lpstr>
      <vt:lpstr>Data</vt:lpstr>
      <vt:lpstr>Passenger vehicle sales</vt:lpstr>
      <vt:lpstr>Passenger vehicle prices</vt:lpstr>
      <vt:lpstr>Freight vehicle sales</vt:lpstr>
      <vt:lpstr>货车价格</vt:lpstr>
      <vt:lpstr>BESP-passengers</vt:lpstr>
      <vt:lpstr>BESP-freight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ellyy</dc:creator>
  <cp:lastModifiedBy>wcy3015@126.com</cp:lastModifiedBy>
  <dcterms:created xsi:type="dcterms:W3CDTF">2023-11-09T06:24:00Z</dcterms:created>
  <dcterms:modified xsi:type="dcterms:W3CDTF">2025-01-20T02:18:53Z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14080B9885F740DBA52CBB40C05065FE_11</vt:lpwstr>
  </property>
  <property fmtid="{D5CDD505-2E9C-101B-9397-08002B2CF9AE}" pid="3" name="KSOProductBuildVer">
    <vt:lpwstr>2052-12.1.0.15990</vt:lpwstr>
  </property>
  <property fmtid="{D5CDD505-2E9C-101B-9397-08002B2CF9AE}" pid="4" name="KSOReadingLayout">
    <vt:bool>false</vt:bool>
  </property>
</Properties>
</file>