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zhlxl\Desktop\EPS\eps-yunnan-smart-trans\InputData\trans\SYFAFE\"/>
    </mc:Choice>
  </mc:AlternateContent>
  <xr:revisionPtr revIDLastSave="0" documentId="13_ncr:1_{DA152B3D-D97B-43F2-BAAD-29A85E0ACCE8}" xr6:coauthVersionLast="47" xr6:coauthVersionMax="47" xr10:uidLastSave="{00000000-0000-0000-0000-000000000000}"/>
  <bookViews>
    <workbookView xWindow="14" yWindow="3396" windowWidth="25037" windowHeight="11439" xr2:uid="{00000000-000D-0000-FFFF-FFFF00000000}"/>
  </bookViews>
  <sheets>
    <sheet name="About" sheetId="12" r:id="rId1"/>
    <sheet name="NewVehicleFE" sheetId="14" r:id="rId2"/>
    <sheet name="Model Comparison" sheetId="17" r:id="rId3"/>
    <sheet name="Calculations Etc" sheetId="16" r:id="rId4"/>
    <sheet name="Aircraft Fuel Economy" sheetId="19" r:id="rId5"/>
    <sheet name="Rail" sheetId="18" r:id="rId6"/>
    <sheet name="ships" sheetId="15" r:id="rId7"/>
    <sheet name="motorbikes" sheetId="20" r:id="rId8"/>
    <sheet name="SYFAFE-psgr" sheetId="10" r:id="rId9"/>
    <sheet name="SYFAFE-frgt" sheetId="11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2" hidden="1">'Model Comparison'!$A$121:$C$121</definedName>
    <definedName name="BAU">[1]参数数据库!#REF!</definedName>
    <definedName name="billion" localSheetId="4">[2]About!$A$109</definedName>
    <definedName name="billion" localSheetId="3">[2]About!$A$109</definedName>
    <definedName name="billion" localSheetId="2">[2]About!$A$109</definedName>
    <definedName name="billion" localSheetId="7">[2]About!$A$109</definedName>
    <definedName name="billion" localSheetId="1">[2]About!$A$109</definedName>
    <definedName name="billion" localSheetId="5">[2]About!$A$109</definedName>
    <definedName name="billion" localSheetId="6">[2]About!$A$109</definedName>
    <definedName name="billion">About!#REF!</definedName>
    <definedName name="CH4_Ar4_to_AR5">[3]Overview!$B$25</definedName>
    <definedName name="Diesel_FE_2024">'[4]Fuel Economy Stds'!$F$54</definedName>
    <definedName name="Eno_TM" localSheetId="4">'[5]1997  Table 1a Modified'!#REF!</definedName>
    <definedName name="Eno_TM" localSheetId="3">'[5]1997  Table 1a Modified'!#REF!</definedName>
    <definedName name="Eno_TM" localSheetId="2">'[5]1997  Table 1a Modified'!#REF!</definedName>
    <definedName name="Eno_TM" localSheetId="7">'[6]1997  Table 1a Modified'!#REF!</definedName>
    <definedName name="Eno_TM" localSheetId="1">'[6]1997  Table 1a Modified'!#REF!</definedName>
    <definedName name="Eno_TM" localSheetId="5">'[5]1997  Table 1a Modified'!#REF!</definedName>
    <definedName name="Eno_TM" localSheetId="6">'[6]1997  Table 1a Modified'!#REF!</definedName>
    <definedName name="Eno_TM" localSheetId="9">'[5]1997  Table 1a Modified'!#REF!</definedName>
    <definedName name="Eno_TM">'[5]1997  Table 1a Modified'!#REF!</definedName>
    <definedName name="Eno_Tons" localSheetId="4">'[5]1997  Table 1a Modified'!#REF!</definedName>
    <definedName name="Eno_Tons" localSheetId="3">'[5]1997  Table 1a Modified'!#REF!</definedName>
    <definedName name="Eno_Tons" localSheetId="2">'[5]1997  Table 1a Modified'!#REF!</definedName>
    <definedName name="Eno_Tons" localSheetId="7">'[6]1997  Table 1a Modified'!#REF!</definedName>
    <definedName name="Eno_Tons" localSheetId="1">'[6]1997  Table 1a Modified'!#REF!</definedName>
    <definedName name="Eno_Tons" localSheetId="5">'[5]1997  Table 1a Modified'!#REF!</definedName>
    <definedName name="Eno_Tons" localSheetId="6">'[6]1997  Table 1a Modified'!#REF!</definedName>
    <definedName name="Eno_Tons" localSheetId="9">'[5]1997  Table 1a Modified'!#REF!</definedName>
    <definedName name="Eno_Tons">'[5]1997  Table 1a Modified'!#REF!</definedName>
    <definedName name="EV_FE_2024">'[4]Fuel Economy Stds'!$F$51</definedName>
    <definedName name="Gasoline_FE_2024">'[4]Fuel Economy Stds'!#REF!</definedName>
    <definedName name="HHV_Adjust">[7]About!$A$203</definedName>
    <definedName name="Hydg_FE_2024">'[4]Fuel Economy Stds'!$F$57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PG_FE_2024">'[4]Fuel Economy Stds'!$F$56</definedName>
    <definedName name="metricton_to_shortton">[3]Overview!$B$19</definedName>
    <definedName name="million">[3]Overview!$B$22</definedName>
    <definedName name="N2O_AR4_to_AR5">[3]Overview!$B$26</definedName>
    <definedName name="NG_FE_2024">'[4]Fuel Economy Stds'!$F$52</definedName>
    <definedName name="NTS_YR">[8]About!$B$136</definedName>
    <definedName name="PHEV_FE_2024">'[4]Fuel Economy Stds'!$F$55</definedName>
    <definedName name="quadrillion">[7]About!$A$215</definedName>
    <definedName name="shorttons_to_grams">[7]About!$A$214</definedName>
    <definedName name="Sum_T2" localSheetId="4">'[5]1997  Table 1a Modified'!#REF!</definedName>
    <definedName name="Sum_T2" localSheetId="3">'[5]1997  Table 1a Modified'!#REF!</definedName>
    <definedName name="Sum_T2" localSheetId="2">'[5]1997  Table 1a Modified'!#REF!</definedName>
    <definedName name="Sum_T2" localSheetId="7">'[6]1997  Table 1a Modified'!#REF!</definedName>
    <definedName name="Sum_T2" localSheetId="1">'[6]1997  Table 1a Modified'!#REF!</definedName>
    <definedName name="Sum_T2" localSheetId="5">'[5]1997  Table 1a Modified'!#REF!</definedName>
    <definedName name="Sum_T2" localSheetId="6">'[6]1997  Table 1a Modified'!#REF!</definedName>
    <definedName name="Sum_T2" localSheetId="9">'[5]1997  Table 1a Modified'!#REF!</definedName>
    <definedName name="Sum_T2">'[5]1997  Table 1a Modified'!#REF!</definedName>
    <definedName name="Sum_TTM" localSheetId="4">'[5]1997  Table 1a Modified'!#REF!</definedName>
    <definedName name="Sum_TTM" localSheetId="3">'[5]1997  Table 1a Modified'!#REF!</definedName>
    <definedName name="Sum_TTM" localSheetId="2">'[5]1997  Table 1a Modified'!#REF!</definedName>
    <definedName name="Sum_TTM" localSheetId="7">'[6]1997  Table 1a Modified'!#REF!</definedName>
    <definedName name="Sum_TTM" localSheetId="1">'[6]1997  Table 1a Modified'!#REF!</definedName>
    <definedName name="Sum_TTM" localSheetId="5">'[5]1997  Table 1a Modified'!#REF!</definedName>
    <definedName name="Sum_TTM" localSheetId="6">'[6]1997  Table 1a Modified'!#REF!</definedName>
    <definedName name="Sum_TTM" localSheetId="9">'[5]1997  Table 1a Modified'!#REF!</definedName>
    <definedName name="Sum_TTM">'[5]1997  Table 1a Modified'!#REF!</definedName>
    <definedName name="ti_tbl_50" localSheetId="9">#REF!</definedName>
    <definedName name="ti_tbl_50">#REF!</definedName>
    <definedName name="ti_tbl_69" localSheetId="9">#REF!</definedName>
    <definedName name="ti_tbl_69">#REF!</definedName>
    <definedName name="trillion" localSheetId="4">[2]About!$A$110</definedName>
    <definedName name="trillion" localSheetId="3">[2]About!$A$110</definedName>
    <definedName name="trillion" localSheetId="2">[2]About!$A$110</definedName>
    <definedName name="trillion" localSheetId="7">[2]About!$A$110</definedName>
    <definedName name="trillion" localSheetId="1">[2]About!$A$110</definedName>
    <definedName name="trillion" localSheetId="5">[2]About!$A$110</definedName>
    <definedName name="trillion" localSheetId="6">[2]About!$A$110</definedName>
    <definedName name="trillion">About!#REF!</definedName>
    <definedName name="use_lifecycle_biofuel_EIs">[7]About!$A$89</definedName>
    <definedName name="情景二">[1]参数数据库!#REF!</definedName>
    <definedName name="情景一">[1]参数数据库!#REF!</definedName>
    <definedName name="手动输入" localSheetId="4">[1]参数数据库!#REF!</definedName>
    <definedName name="手动输入" localSheetId="3">[1]参数数据库!#REF!</definedName>
    <definedName name="手动输入" localSheetId="2">[1]参数数据库!#REF!</definedName>
    <definedName name="手动输入" localSheetId="7">[9]参数数据库!#REF!</definedName>
    <definedName name="手动输入" localSheetId="1">[9]参数数据库!#REF!</definedName>
    <definedName name="手动输入" localSheetId="5">[1]参数数据库!#REF!</definedName>
    <definedName name="手动输入" localSheetId="6">[9]参数数据库!#REF!</definedName>
    <definedName name="手动输入">[1]参数数据库!#REF!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5" l="1"/>
  <c r="C18" i="15"/>
  <c r="C17" i="15"/>
  <c r="E17" i="15"/>
  <c r="M11" i="15"/>
  <c r="E20" i="15"/>
  <c r="E19" i="15"/>
  <c r="E18" i="15"/>
  <c r="G7" i="10"/>
  <c r="F7" i="10"/>
  <c r="BB16" i="20"/>
  <c r="BB19" i="20" s="1"/>
  <c r="BA16" i="20"/>
  <c r="BA19" i="20" s="1"/>
  <c r="AZ16" i="20"/>
  <c r="AZ14" i="20" s="1"/>
  <c r="AY16" i="20"/>
  <c r="AY14" i="20" s="1"/>
  <c r="AX16" i="20"/>
  <c r="AX14" i="20" s="1"/>
  <c r="AW16" i="20"/>
  <c r="AW14" i="20" s="1"/>
  <c r="AL16" i="20"/>
  <c r="AL19" i="20" s="1"/>
  <c r="AK16" i="20"/>
  <c r="AK19" i="20" s="1"/>
  <c r="AJ16" i="20"/>
  <c r="AJ14" i="20" s="1"/>
  <c r="AI16" i="20"/>
  <c r="AI14" i="20" s="1"/>
  <c r="AH16" i="20"/>
  <c r="AH14" i="20" s="1"/>
  <c r="AG16" i="20"/>
  <c r="AG14" i="20" s="1"/>
  <c r="AA16" i="20"/>
  <c r="AA13" i="20" s="1"/>
  <c r="V16" i="20"/>
  <c r="V19" i="20" s="1"/>
  <c r="U16" i="20"/>
  <c r="U19" i="20" s="1"/>
  <c r="T16" i="20"/>
  <c r="T14" i="20" s="1"/>
  <c r="S16" i="20"/>
  <c r="S14" i="20" s="1"/>
  <c r="R16" i="20"/>
  <c r="R14" i="20" s="1"/>
  <c r="Q16" i="20"/>
  <c r="Q14" i="20" s="1"/>
  <c r="N9" i="20"/>
  <c r="AV16" i="20" s="1"/>
  <c r="G5" i="14"/>
  <c r="E2" i="10" s="1"/>
  <c r="H5" i="10"/>
  <c r="B5" i="10"/>
  <c r="C5" i="10"/>
  <c r="D5" i="10"/>
  <c r="E5" i="10"/>
  <c r="H5" i="11"/>
  <c r="C5" i="11"/>
  <c r="D5" i="11"/>
  <c r="E5" i="11"/>
  <c r="B5" i="11"/>
  <c r="H4" i="11"/>
  <c r="B4" i="11"/>
  <c r="C4" i="11"/>
  <c r="D4" i="11"/>
  <c r="E4" i="11"/>
  <c r="H4" i="10"/>
  <c r="B4" i="10"/>
  <c r="C4" i="10"/>
  <c r="D4" i="10"/>
  <c r="E4" i="10"/>
  <c r="L27" i="19"/>
  <c r="J27" i="19"/>
  <c r="H27" i="19"/>
  <c r="D27" i="19"/>
  <c r="M26" i="19"/>
  <c r="M27" i="19" s="1"/>
  <c r="L26" i="19"/>
  <c r="K26" i="19"/>
  <c r="K27" i="19" s="1"/>
  <c r="J26" i="19"/>
  <c r="I26" i="19"/>
  <c r="I27" i="19" s="1"/>
  <c r="H26" i="19"/>
  <c r="G26" i="19"/>
  <c r="G27" i="19" s="1"/>
  <c r="F26" i="19"/>
  <c r="F27" i="19" s="1"/>
  <c r="E26" i="19"/>
  <c r="E27" i="19" s="1"/>
  <c r="D26" i="19"/>
  <c r="C26" i="19"/>
  <c r="C27" i="19" s="1"/>
  <c r="J25" i="19"/>
  <c r="G25" i="19"/>
  <c r="F25" i="19"/>
  <c r="E25" i="19"/>
  <c r="D25" i="19"/>
  <c r="M24" i="19"/>
  <c r="M25" i="19" s="1"/>
  <c r="L24" i="19"/>
  <c r="L25" i="19" s="1"/>
  <c r="K24" i="19"/>
  <c r="K25" i="19" s="1"/>
  <c r="J24" i="19"/>
  <c r="I24" i="19"/>
  <c r="I25" i="19" s="1"/>
  <c r="H24" i="19"/>
  <c r="H25" i="19" s="1"/>
  <c r="G24" i="19"/>
  <c r="F24" i="19"/>
  <c r="E24" i="19"/>
  <c r="D24" i="19"/>
  <c r="C24" i="19"/>
  <c r="C25" i="19" s="1"/>
  <c r="C13" i="19"/>
  <c r="C12" i="19"/>
  <c r="C4" i="19" s="1"/>
  <c r="C5" i="19" s="1"/>
  <c r="C34" i="19" s="1"/>
  <c r="M8" i="19"/>
  <c r="L8" i="19"/>
  <c r="K8" i="19"/>
  <c r="J8" i="19"/>
  <c r="I8" i="19"/>
  <c r="H8" i="19"/>
  <c r="G8" i="19"/>
  <c r="F8" i="19"/>
  <c r="E8" i="19"/>
  <c r="D8" i="19"/>
  <c r="C8" i="19"/>
  <c r="L4" i="19"/>
  <c r="L5" i="19" s="1"/>
  <c r="L34" i="19" s="1"/>
  <c r="K116" i="18"/>
  <c r="J116" i="18"/>
  <c r="K115" i="18"/>
  <c r="J115" i="18"/>
  <c r="K114" i="18"/>
  <c r="J114" i="18"/>
  <c r="K113" i="18"/>
  <c r="J113" i="18"/>
  <c r="K112" i="18"/>
  <c r="J112" i="18"/>
  <c r="M112" i="18" s="1"/>
  <c r="M111" i="18"/>
  <c r="K111" i="18"/>
  <c r="J111" i="18"/>
  <c r="K110" i="18"/>
  <c r="J110" i="18"/>
  <c r="M110" i="18" s="1"/>
  <c r="M109" i="18"/>
  <c r="K109" i="18"/>
  <c r="J109" i="18"/>
  <c r="K108" i="18"/>
  <c r="M108" i="18" s="1"/>
  <c r="J108" i="18"/>
  <c r="M107" i="18"/>
  <c r="K107" i="18"/>
  <c r="J107" i="18"/>
  <c r="K106" i="18"/>
  <c r="J106" i="18"/>
  <c r="M106" i="18" s="1"/>
  <c r="K105" i="18"/>
  <c r="J105" i="18"/>
  <c r="M105" i="18" s="1"/>
  <c r="M104" i="18"/>
  <c r="K104" i="18"/>
  <c r="J104" i="18"/>
  <c r="G100" i="18"/>
  <c r="F100" i="18"/>
  <c r="E100" i="18"/>
  <c r="D100" i="18"/>
  <c r="C100" i="18"/>
  <c r="M99" i="18"/>
  <c r="G99" i="18"/>
  <c r="P99" i="18" s="1"/>
  <c r="F99" i="18"/>
  <c r="O99" i="18" s="1"/>
  <c r="E99" i="18"/>
  <c r="N99" i="18" s="1"/>
  <c r="D99" i="18"/>
  <c r="C99" i="18"/>
  <c r="L99" i="18" s="1"/>
  <c r="P98" i="18"/>
  <c r="O98" i="18"/>
  <c r="M98" i="18"/>
  <c r="G98" i="18"/>
  <c r="F98" i="18"/>
  <c r="E98" i="18"/>
  <c r="N98" i="18" s="1"/>
  <c r="D98" i="18"/>
  <c r="C98" i="18"/>
  <c r="L98" i="18" s="1"/>
  <c r="N97" i="18"/>
  <c r="M97" i="18"/>
  <c r="L97" i="18"/>
  <c r="G97" i="18"/>
  <c r="P97" i="18" s="1"/>
  <c r="F97" i="18"/>
  <c r="O97" i="18" s="1"/>
  <c r="E97" i="18"/>
  <c r="D97" i="18"/>
  <c r="C97" i="18"/>
  <c r="O96" i="18"/>
  <c r="G96" i="18"/>
  <c r="P96" i="18" s="1"/>
  <c r="F96" i="18"/>
  <c r="E96" i="18"/>
  <c r="N96" i="18" s="1"/>
  <c r="D96" i="18"/>
  <c r="M96" i="18" s="1"/>
  <c r="C96" i="18"/>
  <c r="L96" i="18" s="1"/>
  <c r="P95" i="18"/>
  <c r="O95" i="18"/>
  <c r="N95" i="18"/>
  <c r="M95" i="18"/>
  <c r="G95" i="18"/>
  <c r="F95" i="18"/>
  <c r="E95" i="18"/>
  <c r="D95" i="18"/>
  <c r="C95" i="18"/>
  <c r="L95" i="18" s="1"/>
  <c r="O94" i="18"/>
  <c r="L94" i="18"/>
  <c r="G94" i="18"/>
  <c r="P94" i="18" s="1"/>
  <c r="F94" i="18"/>
  <c r="E94" i="18"/>
  <c r="N94" i="18" s="1"/>
  <c r="D94" i="18"/>
  <c r="M94" i="18" s="1"/>
  <c r="C94" i="18"/>
  <c r="O93" i="18"/>
  <c r="M93" i="18"/>
  <c r="G93" i="18"/>
  <c r="P93" i="18" s="1"/>
  <c r="F93" i="18"/>
  <c r="E93" i="18"/>
  <c r="N93" i="18" s="1"/>
  <c r="D93" i="18"/>
  <c r="C93" i="18"/>
  <c r="L93" i="18" s="1"/>
  <c r="P92" i="18"/>
  <c r="O92" i="18"/>
  <c r="N92" i="18"/>
  <c r="M92" i="18"/>
  <c r="L92" i="18"/>
  <c r="G92" i="18"/>
  <c r="F92" i="18"/>
  <c r="E92" i="18"/>
  <c r="D92" i="18"/>
  <c r="C92" i="18"/>
  <c r="F87" i="18"/>
  <c r="D87" i="18"/>
  <c r="AU86" i="18"/>
  <c r="AH86" i="18"/>
  <c r="AG86" i="18"/>
  <c r="AF86" i="18"/>
  <c r="C86" i="18"/>
  <c r="C87" i="18" s="1"/>
  <c r="AH85" i="18"/>
  <c r="AF85" i="18"/>
  <c r="AD85" i="18"/>
  <c r="AA85" i="18"/>
  <c r="Z85" i="18"/>
  <c r="Y85" i="18"/>
  <c r="X85" i="18"/>
  <c r="W85" i="18"/>
  <c r="U85" i="18"/>
  <c r="AJ84" i="18"/>
  <c r="AH84" i="18"/>
  <c r="AF84" i="18"/>
  <c r="AA84" i="18"/>
  <c r="Z84" i="18"/>
  <c r="Y84" i="18"/>
  <c r="W84" i="18"/>
  <c r="T84" i="18"/>
  <c r="AF83" i="18"/>
  <c r="AE83" i="18"/>
  <c r="AA83" i="18"/>
  <c r="Y83" i="18"/>
  <c r="V83" i="18"/>
  <c r="T83" i="18"/>
  <c r="AA82" i="18"/>
  <c r="X82" i="18"/>
  <c r="V82" i="18"/>
  <c r="T82" i="18"/>
  <c r="AI81" i="18"/>
  <c r="AH81" i="18"/>
  <c r="AG81" i="18"/>
  <c r="AF81" i="18"/>
  <c r="AE81" i="18"/>
  <c r="AC81" i="18"/>
  <c r="Z81" i="18"/>
  <c r="X81" i="18"/>
  <c r="V81" i="18"/>
  <c r="T81" i="18"/>
  <c r="S81" i="18"/>
  <c r="AI78" i="18" a="1"/>
  <c r="AI78" i="18" s="1"/>
  <c r="AB78" i="18" a="1"/>
  <c r="AB78" i="18" s="1"/>
  <c r="AB77" i="18" a="1"/>
  <c r="AB77" i="18" s="1"/>
  <c r="AB76" i="18" a="1"/>
  <c r="AB76" i="18" s="1"/>
  <c r="AB75" i="18"/>
  <c r="AB75" i="18" a="1"/>
  <c r="AJ74" i="18" a="1"/>
  <c r="AJ74" i="18" s="1"/>
  <c r="L70" i="18"/>
  <c r="K70" i="18"/>
  <c r="J70" i="18"/>
  <c r="I70" i="18"/>
  <c r="L69" i="18"/>
  <c r="K69" i="18"/>
  <c r="J69" i="18"/>
  <c r="I69" i="18"/>
  <c r="L68" i="18"/>
  <c r="K68" i="18"/>
  <c r="J68" i="18"/>
  <c r="I68" i="18"/>
  <c r="L67" i="18"/>
  <c r="K67" i="18"/>
  <c r="J67" i="18"/>
  <c r="I67" i="18"/>
  <c r="L66" i="18"/>
  <c r="K66" i="18"/>
  <c r="J66" i="18"/>
  <c r="I66" i="18"/>
  <c r="L65" i="18"/>
  <c r="K65" i="18"/>
  <c r="J65" i="18"/>
  <c r="I65" i="18"/>
  <c r="L64" i="18"/>
  <c r="K64" i="18"/>
  <c r="J64" i="18"/>
  <c r="I64" i="18"/>
  <c r="L63" i="18"/>
  <c r="K63" i="18"/>
  <c r="J63" i="18"/>
  <c r="I63" i="18"/>
  <c r="L62" i="18"/>
  <c r="K62" i="18"/>
  <c r="J62" i="18"/>
  <c r="I62" i="18"/>
  <c r="L61" i="18"/>
  <c r="K61" i="18"/>
  <c r="J61" i="18"/>
  <c r="I61" i="18"/>
  <c r="L60" i="18"/>
  <c r="K60" i="18"/>
  <c r="J60" i="18"/>
  <c r="I60" i="18"/>
  <c r="L59" i="18"/>
  <c r="K59" i="18"/>
  <c r="J59" i="18"/>
  <c r="I59" i="18"/>
  <c r="L58" i="18"/>
  <c r="K58" i="18"/>
  <c r="J58" i="18"/>
  <c r="I58" i="18"/>
  <c r="L57" i="18"/>
  <c r="K57" i="18"/>
  <c r="J57" i="18"/>
  <c r="I57" i="18"/>
  <c r="L56" i="18"/>
  <c r="K56" i="18"/>
  <c r="J56" i="18"/>
  <c r="I56" i="18"/>
  <c r="L55" i="18"/>
  <c r="K55" i="18"/>
  <c r="J55" i="18"/>
  <c r="I55" i="18"/>
  <c r="L36" i="18"/>
  <c r="K36" i="18"/>
  <c r="J36" i="18"/>
  <c r="I36" i="18"/>
  <c r="L35" i="18"/>
  <c r="K35" i="18"/>
  <c r="J35" i="18"/>
  <c r="I35" i="18"/>
  <c r="L34" i="18"/>
  <c r="K34" i="18"/>
  <c r="J34" i="18"/>
  <c r="I34" i="18"/>
  <c r="L33" i="18"/>
  <c r="K33" i="18"/>
  <c r="J33" i="18"/>
  <c r="I33" i="18"/>
  <c r="L32" i="18"/>
  <c r="K32" i="18"/>
  <c r="J32" i="18"/>
  <c r="I32" i="18"/>
  <c r="L31" i="18"/>
  <c r="K31" i="18"/>
  <c r="J31" i="18"/>
  <c r="I31" i="18"/>
  <c r="L30" i="18"/>
  <c r="K30" i="18"/>
  <c r="J30" i="18"/>
  <c r="I30" i="18"/>
  <c r="L29" i="18"/>
  <c r="K29" i="18"/>
  <c r="J29" i="18"/>
  <c r="I29" i="18"/>
  <c r="L28" i="18"/>
  <c r="K28" i="18"/>
  <c r="J28" i="18"/>
  <c r="I28" i="18"/>
  <c r="L27" i="18"/>
  <c r="K27" i="18"/>
  <c r="J27" i="18"/>
  <c r="I27" i="18"/>
  <c r="L26" i="18"/>
  <c r="K26" i="18"/>
  <c r="J26" i="18"/>
  <c r="I26" i="18"/>
  <c r="L25" i="18"/>
  <c r="K25" i="18"/>
  <c r="J25" i="18"/>
  <c r="I25" i="18"/>
  <c r="L24" i="18"/>
  <c r="K24" i="18"/>
  <c r="J24" i="18"/>
  <c r="I24" i="18"/>
  <c r="G117" i="17"/>
  <c r="S117" i="17" s="1"/>
  <c r="E117" i="17"/>
  <c r="Q117" i="17" s="1"/>
  <c r="C117" i="17"/>
  <c r="O117" i="17" s="1"/>
  <c r="I116" i="17"/>
  <c r="U116" i="17" s="1"/>
  <c r="G116" i="17"/>
  <c r="S116" i="17" s="1"/>
  <c r="C116" i="17"/>
  <c r="O116" i="17" s="1"/>
  <c r="S115" i="17"/>
  <c r="G115" i="17"/>
  <c r="G114" i="17"/>
  <c r="S114" i="17" s="1"/>
  <c r="S113" i="17"/>
  <c r="O113" i="17"/>
  <c r="G113" i="17"/>
  <c r="C113" i="17"/>
  <c r="H112" i="17"/>
  <c r="T112" i="17" s="1"/>
  <c r="G112" i="17"/>
  <c r="S112" i="17" s="1"/>
  <c r="C112" i="17"/>
  <c r="O112" i="17" s="1"/>
  <c r="O109" i="17"/>
  <c r="I109" i="17"/>
  <c r="U109" i="17" s="1"/>
  <c r="G109" i="17"/>
  <c r="S109" i="17" s="1"/>
  <c r="F109" i="17"/>
  <c r="R109" i="17" s="1"/>
  <c r="C109" i="17"/>
  <c r="G108" i="17"/>
  <c r="S108" i="17" s="1"/>
  <c r="C108" i="17"/>
  <c r="O108" i="17" s="1"/>
  <c r="G107" i="17"/>
  <c r="S107" i="17" s="1"/>
  <c r="G106" i="17"/>
  <c r="S106" i="17" s="1"/>
  <c r="S105" i="17"/>
  <c r="G105" i="17"/>
  <c r="C105" i="17"/>
  <c r="O105" i="17" s="1"/>
  <c r="Q104" i="17"/>
  <c r="G104" i="17"/>
  <c r="S104" i="17" s="1"/>
  <c r="E104" i="17"/>
  <c r="C104" i="17"/>
  <c r="O104" i="17" s="1"/>
  <c r="O101" i="17"/>
  <c r="G101" i="17"/>
  <c r="S101" i="17" s="1"/>
  <c r="C101" i="17"/>
  <c r="H100" i="17"/>
  <c r="T100" i="17" s="1"/>
  <c r="G100" i="17"/>
  <c r="S100" i="17" s="1"/>
  <c r="C100" i="17"/>
  <c r="O100" i="17" s="1"/>
  <c r="I99" i="17"/>
  <c r="U99" i="17" s="1"/>
  <c r="G99" i="17"/>
  <c r="S99" i="17" s="1"/>
  <c r="F99" i="17"/>
  <c r="R99" i="17" s="1"/>
  <c r="C99" i="17"/>
  <c r="O99" i="17" s="1"/>
  <c r="G98" i="17"/>
  <c r="S98" i="17" s="1"/>
  <c r="C98" i="17"/>
  <c r="O98" i="17" s="1"/>
  <c r="G97" i="17"/>
  <c r="S97" i="17" s="1"/>
  <c r="E97" i="17"/>
  <c r="Q97" i="17" s="1"/>
  <c r="C97" i="17"/>
  <c r="O97" i="17" s="1"/>
  <c r="U96" i="17"/>
  <c r="I96" i="17"/>
  <c r="G96" i="17"/>
  <c r="S96" i="17" s="1"/>
  <c r="C96" i="17"/>
  <c r="O96" i="17" s="1"/>
  <c r="S93" i="17"/>
  <c r="G93" i="17"/>
  <c r="C93" i="17"/>
  <c r="O93" i="17" s="1"/>
  <c r="Q92" i="17"/>
  <c r="G92" i="17"/>
  <c r="S92" i="17" s="1"/>
  <c r="E92" i="17"/>
  <c r="C92" i="17"/>
  <c r="O92" i="17" s="1"/>
  <c r="O91" i="17"/>
  <c r="G91" i="17"/>
  <c r="S91" i="17" s="1"/>
  <c r="E91" i="17"/>
  <c r="Q91" i="17" s="1"/>
  <c r="C91" i="17"/>
  <c r="H90" i="17"/>
  <c r="T90" i="17" s="1"/>
  <c r="G90" i="17"/>
  <c r="S90" i="17" s="1"/>
  <c r="E90" i="17"/>
  <c r="Q90" i="17" s="1"/>
  <c r="C90" i="17"/>
  <c r="O90" i="17" s="1"/>
  <c r="I89" i="17"/>
  <c r="U89" i="17" s="1"/>
  <c r="G89" i="17"/>
  <c r="S89" i="17" s="1"/>
  <c r="F89" i="17"/>
  <c r="R89" i="17" s="1"/>
  <c r="C89" i="17"/>
  <c r="O89" i="17" s="1"/>
  <c r="G88" i="17"/>
  <c r="S88" i="17" s="1"/>
  <c r="C88" i="17"/>
  <c r="O88" i="17" s="1"/>
  <c r="G85" i="17"/>
  <c r="S85" i="17" s="1"/>
  <c r="E85" i="17"/>
  <c r="Q85" i="17" s="1"/>
  <c r="C85" i="17"/>
  <c r="O85" i="17" s="1"/>
  <c r="I84" i="17"/>
  <c r="U84" i="17" s="1"/>
  <c r="G84" i="17"/>
  <c r="S84" i="17" s="1"/>
  <c r="C84" i="17"/>
  <c r="O84" i="17" s="1"/>
  <c r="S83" i="17"/>
  <c r="G83" i="17"/>
  <c r="C83" i="17"/>
  <c r="O83" i="17" s="1"/>
  <c r="G82" i="17"/>
  <c r="S82" i="17" s="1"/>
  <c r="E82" i="17"/>
  <c r="Q82" i="17" s="1"/>
  <c r="C82" i="17"/>
  <c r="O82" i="17" s="1"/>
  <c r="O81" i="17"/>
  <c r="G81" i="17"/>
  <c r="S81" i="17" s="1"/>
  <c r="E81" i="17"/>
  <c r="Q81" i="17" s="1"/>
  <c r="C81" i="17"/>
  <c r="H80" i="17"/>
  <c r="T80" i="17" s="1"/>
  <c r="G80" i="17"/>
  <c r="S80" i="17" s="1"/>
  <c r="E80" i="17"/>
  <c r="Q80" i="17" s="1"/>
  <c r="C80" i="17"/>
  <c r="O80" i="17" s="1"/>
  <c r="I77" i="17"/>
  <c r="U77" i="17" s="1"/>
  <c r="G77" i="17"/>
  <c r="S77" i="17" s="1"/>
  <c r="F77" i="17"/>
  <c r="R77" i="17" s="1"/>
  <c r="C77" i="17"/>
  <c r="O77" i="17" s="1"/>
  <c r="G76" i="17"/>
  <c r="S76" i="17" s="1"/>
  <c r="C76" i="17"/>
  <c r="O76" i="17" s="1"/>
  <c r="G75" i="17"/>
  <c r="S75" i="17" s="1"/>
  <c r="E75" i="17"/>
  <c r="Q75" i="17" s="1"/>
  <c r="C75" i="17"/>
  <c r="O75" i="17" s="1"/>
  <c r="U74" i="17"/>
  <c r="S74" i="17"/>
  <c r="I74" i="17"/>
  <c r="G74" i="17"/>
  <c r="C74" i="17"/>
  <c r="O74" i="17" s="1"/>
  <c r="S73" i="17"/>
  <c r="G73" i="17"/>
  <c r="C73" i="17"/>
  <c r="O73" i="17" s="1"/>
  <c r="Q72" i="17"/>
  <c r="O72" i="17"/>
  <c r="G72" i="17"/>
  <c r="S72" i="17" s="1"/>
  <c r="E72" i="17"/>
  <c r="C72" i="17"/>
  <c r="U68" i="17"/>
  <c r="T68" i="17"/>
  <c r="S68" i="17"/>
  <c r="R68" i="17"/>
  <c r="Q68" i="17"/>
  <c r="P68" i="17"/>
  <c r="O68" i="17"/>
  <c r="I68" i="17"/>
  <c r="H68" i="17"/>
  <c r="G68" i="17"/>
  <c r="F68" i="17"/>
  <c r="E68" i="17"/>
  <c r="D68" i="17"/>
  <c r="C68" i="17"/>
  <c r="U67" i="17"/>
  <c r="T67" i="17"/>
  <c r="S67" i="17"/>
  <c r="R67" i="17"/>
  <c r="Q67" i="17"/>
  <c r="P67" i="17"/>
  <c r="O67" i="17"/>
  <c r="K67" i="17"/>
  <c r="I67" i="17"/>
  <c r="H67" i="17"/>
  <c r="G67" i="17"/>
  <c r="F67" i="17"/>
  <c r="E67" i="17"/>
  <c r="D67" i="17"/>
  <c r="C67" i="17"/>
  <c r="AM65" i="17"/>
  <c r="AK65" i="17"/>
  <c r="AE65" i="17"/>
  <c r="AD65" i="17"/>
  <c r="AL65" i="17" s="1"/>
  <c r="AC65" i="17"/>
  <c r="AB65" i="17"/>
  <c r="AJ65" i="17" s="1"/>
  <c r="AA65" i="17"/>
  <c r="AI65" i="17" s="1"/>
  <c r="Z65" i="17"/>
  <c r="AH65" i="17" s="1"/>
  <c r="Y65" i="17"/>
  <c r="AG65" i="17" s="1"/>
  <c r="AM64" i="17"/>
  <c r="AL64" i="17"/>
  <c r="AK64" i="17"/>
  <c r="AI64" i="17"/>
  <c r="AE64" i="17"/>
  <c r="AD64" i="17"/>
  <c r="AC64" i="17"/>
  <c r="AB64" i="17"/>
  <c r="AJ64" i="17" s="1"/>
  <c r="AA64" i="17"/>
  <c r="Y64" i="17"/>
  <c r="AG64" i="17" s="1"/>
  <c r="AL63" i="17"/>
  <c r="AK63" i="17"/>
  <c r="AD63" i="17"/>
  <c r="AC63" i="17"/>
  <c r="F63" i="17"/>
  <c r="E63" i="17" s="1"/>
  <c r="C63" i="17"/>
  <c r="C115" i="17" s="1"/>
  <c r="O115" i="17" s="1"/>
  <c r="AL62" i="17"/>
  <c r="AD62" i="17"/>
  <c r="AC62" i="17"/>
  <c r="AK62" i="17" s="1"/>
  <c r="F62" i="17"/>
  <c r="I62" i="17" s="1"/>
  <c r="AM61" i="17"/>
  <c r="AJ61" i="17"/>
  <c r="AG61" i="17"/>
  <c r="AE61" i="17"/>
  <c r="AD61" i="17"/>
  <c r="AL61" i="17" s="1"/>
  <c r="AC61" i="17"/>
  <c r="AK61" i="17" s="1"/>
  <c r="AB61" i="17"/>
  <c r="AA61" i="17"/>
  <c r="AI61" i="17" s="1"/>
  <c r="Z61" i="17"/>
  <c r="AH61" i="17" s="1"/>
  <c r="Y61" i="17"/>
  <c r="AM60" i="17"/>
  <c r="AK60" i="17"/>
  <c r="AH60" i="17"/>
  <c r="AE60" i="17"/>
  <c r="AD60" i="17"/>
  <c r="AL60" i="17" s="1"/>
  <c r="AC60" i="17"/>
  <c r="AB60" i="17"/>
  <c r="AJ60" i="17" s="1"/>
  <c r="AA60" i="17"/>
  <c r="AI60" i="17" s="1"/>
  <c r="Z60" i="17"/>
  <c r="Y60" i="17"/>
  <c r="AG60" i="17" s="1"/>
  <c r="I57" i="17"/>
  <c r="H57" i="17"/>
  <c r="G57" i="17"/>
  <c r="F57" i="17"/>
  <c r="E57" i="17"/>
  <c r="D57" i="17"/>
  <c r="C57" i="17"/>
  <c r="U56" i="17"/>
  <c r="T56" i="17"/>
  <c r="S56" i="17"/>
  <c r="R56" i="17"/>
  <c r="Q56" i="17"/>
  <c r="P56" i="17"/>
  <c r="O56" i="17"/>
  <c r="I56" i="17"/>
  <c r="H56" i="17"/>
  <c r="G56" i="17"/>
  <c r="F56" i="17"/>
  <c r="E56" i="17"/>
  <c r="D56" i="17"/>
  <c r="C56" i="17"/>
  <c r="U55" i="17"/>
  <c r="T55" i="17"/>
  <c r="S55" i="17"/>
  <c r="R55" i="17"/>
  <c r="Q55" i="17"/>
  <c r="P55" i="17"/>
  <c r="O55" i="17"/>
  <c r="AM54" i="17"/>
  <c r="AJ54" i="17"/>
  <c r="AI54" i="17"/>
  <c r="AH54" i="17"/>
  <c r="AG54" i="17"/>
  <c r="AE54" i="17"/>
  <c r="AD54" i="17"/>
  <c r="AL54" i="17" s="1"/>
  <c r="AC54" i="17"/>
  <c r="AK54" i="17" s="1"/>
  <c r="AB54" i="17"/>
  <c r="AA54" i="17"/>
  <c r="Z54" i="17"/>
  <c r="Y54" i="17"/>
  <c r="AK53" i="17"/>
  <c r="AH53" i="17"/>
  <c r="AG53" i="17"/>
  <c r="AE53" i="17"/>
  <c r="AM53" i="17" s="1"/>
  <c r="AD53" i="17"/>
  <c r="AL53" i="17" s="1"/>
  <c r="AC53" i="17"/>
  <c r="AB53" i="17"/>
  <c r="AJ53" i="17" s="1"/>
  <c r="AA53" i="17"/>
  <c r="AI53" i="17" s="1"/>
  <c r="Z53" i="17"/>
  <c r="Y53" i="17"/>
  <c r="AD52" i="17"/>
  <c r="AL52" i="17" s="1"/>
  <c r="AC52" i="17"/>
  <c r="AK52" i="17" s="1"/>
  <c r="F52" i="17"/>
  <c r="AB52" i="17" s="1"/>
  <c r="AJ52" i="17" s="1"/>
  <c r="C52" i="17"/>
  <c r="Y52" i="17" s="1"/>
  <c r="AG52" i="17" s="1"/>
  <c r="AL51" i="17"/>
  <c r="AD51" i="17"/>
  <c r="AC51" i="17"/>
  <c r="AK51" i="17" s="1"/>
  <c r="F51" i="17"/>
  <c r="F106" i="17" s="1"/>
  <c r="R106" i="17" s="1"/>
  <c r="AL50" i="17"/>
  <c r="AK50" i="17"/>
  <c r="AJ50" i="17"/>
  <c r="AI50" i="17"/>
  <c r="AH50" i="17"/>
  <c r="AG50" i="17"/>
  <c r="AE50" i="17"/>
  <c r="AM50" i="17" s="1"/>
  <c r="AD50" i="17"/>
  <c r="AC50" i="17"/>
  <c r="AB50" i="17"/>
  <c r="AA50" i="17"/>
  <c r="Z50" i="17"/>
  <c r="Y50" i="17"/>
  <c r="AM49" i="17"/>
  <c r="AJ49" i="17"/>
  <c r="AI49" i="17"/>
  <c r="AH49" i="17"/>
  <c r="AG49" i="17"/>
  <c r="AE49" i="17"/>
  <c r="AD49" i="17"/>
  <c r="AL49" i="17" s="1"/>
  <c r="AC49" i="17"/>
  <c r="AK49" i="17" s="1"/>
  <c r="AB49" i="17"/>
  <c r="AA49" i="17"/>
  <c r="Z49" i="17"/>
  <c r="Y49" i="17"/>
  <c r="I46" i="17"/>
  <c r="H46" i="17"/>
  <c r="G46" i="17"/>
  <c r="F46" i="17"/>
  <c r="E46" i="17"/>
  <c r="D46" i="17"/>
  <c r="C46" i="17"/>
  <c r="I45" i="17"/>
  <c r="H45" i="17"/>
  <c r="G45" i="17"/>
  <c r="F45" i="17"/>
  <c r="E45" i="17"/>
  <c r="D45" i="17"/>
  <c r="C45" i="17"/>
  <c r="I35" i="17"/>
  <c r="H35" i="17"/>
  <c r="G35" i="17"/>
  <c r="F35" i="17"/>
  <c r="E35" i="17"/>
  <c r="D35" i="17"/>
  <c r="C35" i="17"/>
  <c r="I34" i="17"/>
  <c r="H34" i="17"/>
  <c r="G34" i="17"/>
  <c r="F34" i="17"/>
  <c r="E34" i="17"/>
  <c r="D34" i="17"/>
  <c r="C34" i="17"/>
  <c r="I24" i="17"/>
  <c r="H24" i="17"/>
  <c r="G24" i="17"/>
  <c r="F24" i="17"/>
  <c r="E24" i="17"/>
  <c r="D24" i="17"/>
  <c r="C24" i="17"/>
  <c r="I23" i="17"/>
  <c r="H23" i="17"/>
  <c r="G23" i="17"/>
  <c r="F23" i="17"/>
  <c r="E23" i="17"/>
  <c r="D23" i="17"/>
  <c r="C23" i="17"/>
  <c r="I13" i="17"/>
  <c r="H13" i="17"/>
  <c r="G13" i="17"/>
  <c r="F13" i="17"/>
  <c r="E13" i="17"/>
  <c r="D13" i="17"/>
  <c r="C13" i="17"/>
  <c r="I12" i="17"/>
  <c r="H12" i="17"/>
  <c r="G12" i="17"/>
  <c r="F12" i="17"/>
  <c r="E12" i="17"/>
  <c r="D12" i="17"/>
  <c r="C12" i="17"/>
  <c r="I2" i="17"/>
  <c r="I113" i="17" s="1"/>
  <c r="U113" i="17" s="1"/>
  <c r="H2" i="17"/>
  <c r="H113" i="17" s="1"/>
  <c r="T113" i="17" s="1"/>
  <c r="F2" i="17"/>
  <c r="F112" i="17" s="1"/>
  <c r="R112" i="17" s="1"/>
  <c r="E2" i="17"/>
  <c r="E109" i="17" s="1"/>
  <c r="Q109" i="17" s="1"/>
  <c r="D2" i="17"/>
  <c r="D109" i="17" s="1"/>
  <c r="P109" i="17" s="1"/>
  <c r="H6" i="11"/>
  <c r="B6" i="11"/>
  <c r="H6" i="10"/>
  <c r="E49" i="16"/>
  <c r="E51" i="16" s="1"/>
  <c r="E48" i="16"/>
  <c r="E50" i="16" s="1"/>
  <c r="E47" i="16"/>
  <c r="B43" i="16"/>
  <c r="B39" i="16"/>
  <c r="B9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E6" i="11"/>
  <c r="E6" i="10"/>
  <c r="C6" i="10"/>
  <c r="B6" i="10"/>
  <c r="M12" i="15"/>
  <c r="M13" i="15"/>
  <c r="AV36" i="14"/>
  <c r="AU36" i="14"/>
  <c r="AT36" i="14"/>
  <c r="AS36" i="14"/>
  <c r="AS26" i="14" s="1"/>
  <c r="AS42" i="14" s="1"/>
  <c r="AR36" i="14"/>
  <c r="AR26" i="14" s="1"/>
  <c r="AR42" i="14" s="1"/>
  <c r="AQ36" i="14"/>
  <c r="AP36" i="14"/>
  <c r="AO36" i="14"/>
  <c r="AN36" i="14"/>
  <c r="AN26" i="14" s="1"/>
  <c r="AN42" i="14" s="1"/>
  <c r="AM36" i="14"/>
  <c r="AL36" i="14"/>
  <c r="AL26" i="14" s="1"/>
  <c r="AL42" i="14" s="1"/>
  <c r="AK36" i="14"/>
  <c r="AJ36" i="14"/>
  <c r="AJ26" i="14" s="1"/>
  <c r="AJ42" i="14" s="1"/>
  <c r="AI36" i="14"/>
  <c r="AI26" i="14" s="1"/>
  <c r="AI42" i="14" s="1"/>
  <c r="AH36" i="14"/>
  <c r="AG36" i="14"/>
  <c r="AG26" i="14" s="1"/>
  <c r="AG42" i="14" s="1"/>
  <c r="AF36" i="14"/>
  <c r="AF26" i="14" s="1"/>
  <c r="AF42" i="14" s="1"/>
  <c r="AE36" i="14"/>
  <c r="AE26" i="14" s="1"/>
  <c r="AE42" i="14" s="1"/>
  <c r="AD36" i="14"/>
  <c r="AD26" i="14" s="1"/>
  <c r="AD42" i="14" s="1"/>
  <c r="AC36" i="14"/>
  <c r="AC26" i="14" s="1"/>
  <c r="AC42" i="14" s="1"/>
  <c r="AB36" i="14"/>
  <c r="AB26" i="14" s="1"/>
  <c r="AB42" i="14" s="1"/>
  <c r="AA36" i="14"/>
  <c r="AA26" i="14" s="1"/>
  <c r="AA42" i="14" s="1"/>
  <c r="Z36" i="14"/>
  <c r="Z26" i="14" s="1"/>
  <c r="Z42" i="14" s="1"/>
  <c r="Y36" i="14"/>
  <c r="Y26" i="14" s="1"/>
  <c r="Y42" i="14" s="1"/>
  <c r="X36" i="14"/>
  <c r="X26" i="14" s="1"/>
  <c r="X42" i="14" s="1"/>
  <c r="W36" i="14"/>
  <c r="W26" i="14" s="1"/>
  <c r="W42" i="14" s="1"/>
  <c r="V36" i="14"/>
  <c r="V26" i="14" s="1"/>
  <c r="V42" i="14" s="1"/>
  <c r="U36" i="14"/>
  <c r="U26" i="14" s="1"/>
  <c r="U42" i="14" s="1"/>
  <c r="T36" i="14"/>
  <c r="T26" i="14" s="1"/>
  <c r="T42" i="14" s="1"/>
  <c r="S36" i="14"/>
  <c r="S26" i="14" s="1"/>
  <c r="S42" i="14" s="1"/>
  <c r="R36" i="14"/>
  <c r="Q36" i="14"/>
  <c r="Q26" i="14" s="1"/>
  <c r="Q42" i="14" s="1"/>
  <c r="P36" i="14"/>
  <c r="P26" i="14" s="1"/>
  <c r="P42" i="14" s="1"/>
  <c r="O36" i="14"/>
  <c r="O26" i="14" s="1"/>
  <c r="O42" i="14" s="1"/>
  <c r="N36" i="14"/>
  <c r="N26" i="14" s="1"/>
  <c r="N42" i="14" s="1"/>
  <c r="M36" i="14"/>
  <c r="M26" i="14" s="1"/>
  <c r="M42" i="14" s="1"/>
  <c r="L36" i="14"/>
  <c r="L26" i="14" s="1"/>
  <c r="L42" i="14" s="1"/>
  <c r="K36" i="14"/>
  <c r="J36" i="14"/>
  <c r="J26" i="14" s="1"/>
  <c r="J42" i="14" s="1"/>
  <c r="I36" i="14"/>
  <c r="I26" i="14" s="1"/>
  <c r="I42" i="14" s="1"/>
  <c r="H36" i="14"/>
  <c r="H26" i="14" s="1"/>
  <c r="H42" i="14" s="1"/>
  <c r="G36" i="14"/>
  <c r="G26" i="14" s="1"/>
  <c r="G42" i="14" s="1"/>
  <c r="AV35" i="14"/>
  <c r="AV19" i="14" s="1"/>
  <c r="AV41" i="14" s="1"/>
  <c r="AU35" i="14"/>
  <c r="AU19" i="14" s="1"/>
  <c r="AU41" i="14" s="1"/>
  <c r="AT35" i="14"/>
  <c r="AT19" i="14" s="1"/>
  <c r="AT41" i="14" s="1"/>
  <c r="AS35" i="14"/>
  <c r="AS19" i="14" s="1"/>
  <c r="AS41" i="14" s="1"/>
  <c r="AR35" i="14"/>
  <c r="AR19" i="14" s="1"/>
  <c r="AR41" i="14" s="1"/>
  <c r="AQ35" i="14"/>
  <c r="AQ19" i="14" s="1"/>
  <c r="AQ41" i="14" s="1"/>
  <c r="AP35" i="14"/>
  <c r="AP19" i="14" s="1"/>
  <c r="AP41" i="14" s="1"/>
  <c r="AO35" i="14"/>
  <c r="AO19" i="14" s="1"/>
  <c r="AO41" i="14" s="1"/>
  <c r="AN35" i="14"/>
  <c r="AN19" i="14" s="1"/>
  <c r="AN41" i="14" s="1"/>
  <c r="AM35" i="14"/>
  <c r="AM19" i="14" s="1"/>
  <c r="AM41" i="14" s="1"/>
  <c r="AL35" i="14"/>
  <c r="AL19" i="14" s="1"/>
  <c r="AL41" i="14" s="1"/>
  <c r="AK35" i="14"/>
  <c r="AK19" i="14" s="1"/>
  <c r="AK41" i="14" s="1"/>
  <c r="AJ35" i="14"/>
  <c r="AJ19" i="14" s="1"/>
  <c r="AJ41" i="14" s="1"/>
  <c r="AI35" i="14"/>
  <c r="AI19" i="14" s="1"/>
  <c r="AI41" i="14" s="1"/>
  <c r="AH35" i="14"/>
  <c r="AH19" i="14" s="1"/>
  <c r="AH41" i="14" s="1"/>
  <c r="AG35" i="14"/>
  <c r="AG19" i="14" s="1"/>
  <c r="AG41" i="14" s="1"/>
  <c r="AF35" i="14"/>
  <c r="AF19" i="14" s="1"/>
  <c r="AF41" i="14" s="1"/>
  <c r="AE35" i="14"/>
  <c r="AE19" i="14" s="1"/>
  <c r="AE41" i="14" s="1"/>
  <c r="AD35" i="14"/>
  <c r="AD19" i="14" s="1"/>
  <c r="AD41" i="14" s="1"/>
  <c r="AC35" i="14"/>
  <c r="AC19" i="14" s="1"/>
  <c r="AC41" i="14" s="1"/>
  <c r="AB35" i="14"/>
  <c r="AB19" i="14" s="1"/>
  <c r="AB41" i="14" s="1"/>
  <c r="AA35" i="14"/>
  <c r="AA19" i="14" s="1"/>
  <c r="AA41" i="14" s="1"/>
  <c r="Z35" i="14"/>
  <c r="Z19" i="14" s="1"/>
  <c r="Z41" i="14" s="1"/>
  <c r="Y35" i="14"/>
  <c r="Y19" i="14" s="1"/>
  <c r="Y41" i="14" s="1"/>
  <c r="X35" i="14"/>
  <c r="X19" i="14" s="1"/>
  <c r="X41" i="14" s="1"/>
  <c r="W35" i="14"/>
  <c r="W19" i="14" s="1"/>
  <c r="W41" i="14" s="1"/>
  <c r="V35" i="14"/>
  <c r="V19" i="14" s="1"/>
  <c r="V41" i="14" s="1"/>
  <c r="U35" i="14"/>
  <c r="U19" i="14" s="1"/>
  <c r="U41" i="14" s="1"/>
  <c r="T35" i="14"/>
  <c r="T19" i="14" s="1"/>
  <c r="T41" i="14" s="1"/>
  <c r="S35" i="14"/>
  <c r="S19" i="14" s="1"/>
  <c r="S41" i="14" s="1"/>
  <c r="R35" i="14"/>
  <c r="R19" i="14" s="1"/>
  <c r="R41" i="14" s="1"/>
  <c r="Q35" i="14"/>
  <c r="Q19" i="14" s="1"/>
  <c r="Q41" i="14" s="1"/>
  <c r="P35" i="14"/>
  <c r="P19" i="14" s="1"/>
  <c r="P41" i="14" s="1"/>
  <c r="O35" i="14"/>
  <c r="O19" i="14" s="1"/>
  <c r="O41" i="14" s="1"/>
  <c r="N35" i="14"/>
  <c r="N19" i="14" s="1"/>
  <c r="N41" i="14" s="1"/>
  <c r="M35" i="14"/>
  <c r="M19" i="14" s="1"/>
  <c r="M41" i="14" s="1"/>
  <c r="L35" i="14"/>
  <c r="L19" i="14" s="1"/>
  <c r="L41" i="14" s="1"/>
  <c r="K35" i="14"/>
  <c r="K19" i="14" s="1"/>
  <c r="K41" i="14" s="1"/>
  <c r="J35" i="14"/>
  <c r="I35" i="14"/>
  <c r="I19" i="14" s="1"/>
  <c r="I41" i="14" s="1"/>
  <c r="H35" i="14"/>
  <c r="H19" i="14" s="1"/>
  <c r="H41" i="14" s="1"/>
  <c r="G35" i="14"/>
  <c r="G19" i="14" s="1"/>
  <c r="G41" i="14" s="1"/>
  <c r="AV34" i="14"/>
  <c r="AV12" i="14" s="1"/>
  <c r="AV40" i="14" s="1"/>
  <c r="AU34" i="14"/>
  <c r="AU12" i="14" s="1"/>
  <c r="AU40" i="14" s="1"/>
  <c r="AT34" i="14"/>
  <c r="AT12" i="14" s="1"/>
  <c r="AT40" i="14" s="1"/>
  <c r="AS34" i="14"/>
  <c r="AS12" i="14" s="1"/>
  <c r="AS40" i="14" s="1"/>
  <c r="AR34" i="14"/>
  <c r="AR12" i="14" s="1"/>
  <c r="AR40" i="14" s="1"/>
  <c r="AQ34" i="14"/>
  <c r="AQ12" i="14" s="1"/>
  <c r="AQ40" i="14" s="1"/>
  <c r="AP34" i="14"/>
  <c r="AP12" i="14" s="1"/>
  <c r="AP40" i="14" s="1"/>
  <c r="AO34" i="14"/>
  <c r="AO12" i="14" s="1"/>
  <c r="AO40" i="14" s="1"/>
  <c r="AN34" i="14"/>
  <c r="AN12" i="14" s="1"/>
  <c r="AN40" i="14" s="1"/>
  <c r="AM34" i="14"/>
  <c r="AM12" i="14" s="1"/>
  <c r="AM40" i="14" s="1"/>
  <c r="AL34" i="14"/>
  <c r="AL12" i="14" s="1"/>
  <c r="AL40" i="14" s="1"/>
  <c r="AK34" i="14"/>
  <c r="AK12" i="14" s="1"/>
  <c r="AK40" i="14" s="1"/>
  <c r="AJ34" i="14"/>
  <c r="AJ12" i="14" s="1"/>
  <c r="AJ40" i="14" s="1"/>
  <c r="AI34" i="14"/>
  <c r="AI12" i="14" s="1"/>
  <c r="AI40" i="14" s="1"/>
  <c r="AH34" i="14"/>
  <c r="AH12" i="14" s="1"/>
  <c r="AH40" i="14" s="1"/>
  <c r="AG34" i="14"/>
  <c r="AG12" i="14" s="1"/>
  <c r="AG40" i="14" s="1"/>
  <c r="AF34" i="14"/>
  <c r="AF12" i="14" s="1"/>
  <c r="AF40" i="14" s="1"/>
  <c r="AE34" i="14"/>
  <c r="AE12" i="14" s="1"/>
  <c r="AE40" i="14" s="1"/>
  <c r="AD34" i="14"/>
  <c r="AD12" i="14" s="1"/>
  <c r="AD40" i="14" s="1"/>
  <c r="AC34" i="14"/>
  <c r="AC12" i="14" s="1"/>
  <c r="AC40" i="14" s="1"/>
  <c r="AB34" i="14"/>
  <c r="AB12" i="14" s="1"/>
  <c r="AB40" i="14" s="1"/>
  <c r="AA34" i="14"/>
  <c r="AA12" i="14" s="1"/>
  <c r="AA40" i="14" s="1"/>
  <c r="Z34" i="14"/>
  <c r="Y34" i="14"/>
  <c r="Y12" i="14" s="1"/>
  <c r="Y40" i="14" s="1"/>
  <c r="X34" i="14"/>
  <c r="X12" i="14" s="1"/>
  <c r="X40" i="14" s="1"/>
  <c r="W34" i="14"/>
  <c r="W12" i="14" s="1"/>
  <c r="W40" i="14" s="1"/>
  <c r="V34" i="14"/>
  <c r="U34" i="14"/>
  <c r="U12" i="14" s="1"/>
  <c r="U40" i="14" s="1"/>
  <c r="T34" i="14"/>
  <c r="S34" i="14"/>
  <c r="S12" i="14" s="1"/>
  <c r="S40" i="14" s="1"/>
  <c r="R34" i="14"/>
  <c r="R12" i="14" s="1"/>
  <c r="R40" i="14" s="1"/>
  <c r="Q34" i="14"/>
  <c r="Q12" i="14" s="1"/>
  <c r="Q40" i="14" s="1"/>
  <c r="P34" i="14"/>
  <c r="P12" i="14" s="1"/>
  <c r="P40" i="14" s="1"/>
  <c r="O34" i="14"/>
  <c r="O12" i="14" s="1"/>
  <c r="O40" i="14" s="1"/>
  <c r="N34" i="14"/>
  <c r="N12" i="14" s="1"/>
  <c r="N40" i="14" s="1"/>
  <c r="M34" i="14"/>
  <c r="M12" i="14" s="1"/>
  <c r="M40" i="14" s="1"/>
  <c r="L34" i="14"/>
  <c r="L12" i="14" s="1"/>
  <c r="L40" i="14" s="1"/>
  <c r="K34" i="14"/>
  <c r="K12" i="14" s="1"/>
  <c r="K40" i="14" s="1"/>
  <c r="J34" i="14"/>
  <c r="J12" i="14" s="1"/>
  <c r="J40" i="14" s="1"/>
  <c r="I34" i="14"/>
  <c r="I12" i="14" s="1"/>
  <c r="I40" i="14" s="1"/>
  <c r="H34" i="14"/>
  <c r="H12" i="14" s="1"/>
  <c r="H40" i="14" s="1"/>
  <c r="G34" i="14"/>
  <c r="G12" i="14" s="1"/>
  <c r="G40" i="14" s="1"/>
  <c r="AV33" i="14"/>
  <c r="AV11" i="14" s="1"/>
  <c r="AV39" i="14" s="1"/>
  <c r="AU33" i="14"/>
  <c r="AU11" i="14" s="1"/>
  <c r="AT33" i="14"/>
  <c r="AT11" i="14" s="1"/>
  <c r="AS33" i="14"/>
  <c r="AR33" i="14"/>
  <c r="AQ33" i="14"/>
  <c r="AP33" i="14"/>
  <c r="AP11" i="14" s="1"/>
  <c r="AO33" i="14"/>
  <c r="AN33" i="14"/>
  <c r="AN11" i="14" s="1"/>
  <c r="AN39" i="14" s="1"/>
  <c r="AM33" i="14"/>
  <c r="AM11" i="14" s="1"/>
  <c r="AL33" i="14"/>
  <c r="AL11" i="14" s="1"/>
  <c r="AK33" i="14"/>
  <c r="AK11" i="14" s="1"/>
  <c r="AJ33" i="14"/>
  <c r="AJ11" i="14" s="1"/>
  <c r="AI33" i="14"/>
  <c r="AI11" i="14" s="1"/>
  <c r="AI39" i="14" s="1"/>
  <c r="AH33" i="14"/>
  <c r="AH11" i="14" s="1"/>
  <c r="AH39" i="14" s="1"/>
  <c r="AG33" i="14"/>
  <c r="AG11" i="14" s="1"/>
  <c r="AF33" i="14"/>
  <c r="AF11" i="14" s="1"/>
  <c r="AF39" i="14" s="1"/>
  <c r="AE33" i="14"/>
  <c r="AE11" i="14" s="1"/>
  <c r="AD33" i="14"/>
  <c r="AD11" i="14" s="1"/>
  <c r="AC33" i="14"/>
  <c r="AB33" i="14"/>
  <c r="AA33" i="14"/>
  <c r="AA11" i="14" s="1"/>
  <c r="Z33" i="14"/>
  <c r="Z11" i="14" s="1"/>
  <c r="Y33" i="14"/>
  <c r="X33" i="14"/>
  <c r="X11" i="14" s="1"/>
  <c r="X39" i="14" s="1"/>
  <c r="W33" i="14"/>
  <c r="V33" i="14"/>
  <c r="V11" i="14" s="1"/>
  <c r="U33" i="14"/>
  <c r="U11" i="14" s="1"/>
  <c r="T33" i="14"/>
  <c r="T11" i="14" s="1"/>
  <c r="S33" i="14"/>
  <c r="S11" i="14" s="1"/>
  <c r="S39" i="14" s="1"/>
  <c r="R33" i="14"/>
  <c r="R11" i="14" s="1"/>
  <c r="R39" i="14" s="1"/>
  <c r="Q33" i="14"/>
  <c r="Q11" i="14" s="1"/>
  <c r="P33" i="14"/>
  <c r="O33" i="14"/>
  <c r="O11" i="14" s="1"/>
  <c r="N33" i="14"/>
  <c r="N11" i="14" s="1"/>
  <c r="M33" i="14"/>
  <c r="L33" i="14"/>
  <c r="K33" i="14"/>
  <c r="J33" i="14"/>
  <c r="J11" i="14" s="1"/>
  <c r="I33" i="14"/>
  <c r="H33" i="14"/>
  <c r="H11" i="14" s="1"/>
  <c r="H39" i="14" s="1"/>
  <c r="G33" i="14"/>
  <c r="AV32" i="14"/>
  <c r="AV4" i="14" s="1"/>
  <c r="AV38" i="14" s="1"/>
  <c r="AU32" i="14"/>
  <c r="AU4" i="14" s="1"/>
  <c r="AU38" i="14" s="1"/>
  <c r="AT32" i="14"/>
  <c r="AT4" i="14" s="1"/>
  <c r="AT38" i="14" s="1"/>
  <c r="AS32" i="14"/>
  <c r="AS4" i="14" s="1"/>
  <c r="AS38" i="14" s="1"/>
  <c r="AR32" i="14"/>
  <c r="AR4" i="14" s="1"/>
  <c r="AR38" i="14" s="1"/>
  <c r="AQ32" i="14"/>
  <c r="AQ4" i="14" s="1"/>
  <c r="AQ38" i="14" s="1"/>
  <c r="AP32" i="14"/>
  <c r="AP4" i="14" s="1"/>
  <c r="AP38" i="14" s="1"/>
  <c r="AO32" i="14"/>
  <c r="AO4" i="14" s="1"/>
  <c r="AO38" i="14" s="1"/>
  <c r="AN32" i="14"/>
  <c r="AM32" i="14"/>
  <c r="AM4" i="14" s="1"/>
  <c r="AM38" i="14" s="1"/>
  <c r="AL32" i="14"/>
  <c r="AL4" i="14" s="1"/>
  <c r="AL38" i="14" s="1"/>
  <c r="AK32" i="14"/>
  <c r="AK4" i="14" s="1"/>
  <c r="AK38" i="14" s="1"/>
  <c r="AJ32" i="14"/>
  <c r="AJ4" i="14" s="1"/>
  <c r="AJ38" i="14" s="1"/>
  <c r="AI32" i="14"/>
  <c r="AI4" i="14" s="1"/>
  <c r="AI38" i="14" s="1"/>
  <c r="AH32" i="14"/>
  <c r="AH4" i="14" s="1"/>
  <c r="AH38" i="14" s="1"/>
  <c r="AG32" i="14"/>
  <c r="AG4" i="14" s="1"/>
  <c r="AG38" i="14" s="1"/>
  <c r="AF32" i="14"/>
  <c r="AF4" i="14" s="1"/>
  <c r="AF38" i="14" s="1"/>
  <c r="AE32" i="14"/>
  <c r="AD32" i="14"/>
  <c r="AD4" i="14" s="1"/>
  <c r="AD38" i="14" s="1"/>
  <c r="AC32" i="14"/>
  <c r="AC4" i="14" s="1"/>
  <c r="AC38" i="14" s="1"/>
  <c r="AB32" i="14"/>
  <c r="AB4" i="14" s="1"/>
  <c r="AB38" i="14" s="1"/>
  <c r="AA32" i="14"/>
  <c r="AA4" i="14" s="1"/>
  <c r="AA38" i="14" s="1"/>
  <c r="Z32" i="14"/>
  <c r="Z4" i="14" s="1"/>
  <c r="Z38" i="14" s="1"/>
  <c r="Y32" i="14"/>
  <c r="Y4" i="14" s="1"/>
  <c r="Y38" i="14" s="1"/>
  <c r="X32" i="14"/>
  <c r="X4" i="14" s="1"/>
  <c r="X38" i="14" s="1"/>
  <c r="W32" i="14"/>
  <c r="W4" i="14" s="1"/>
  <c r="W38" i="14" s="1"/>
  <c r="V32" i="14"/>
  <c r="V4" i="14" s="1"/>
  <c r="V38" i="14" s="1"/>
  <c r="U32" i="14"/>
  <c r="U4" i="14" s="1"/>
  <c r="U38" i="14" s="1"/>
  <c r="T32" i="14"/>
  <c r="T4" i="14" s="1"/>
  <c r="T38" i="14" s="1"/>
  <c r="S32" i="14"/>
  <c r="S4" i="14" s="1"/>
  <c r="S38" i="14" s="1"/>
  <c r="R32" i="14"/>
  <c r="R4" i="14" s="1"/>
  <c r="R38" i="14" s="1"/>
  <c r="Q32" i="14"/>
  <c r="Q4" i="14" s="1"/>
  <c r="Q38" i="14" s="1"/>
  <c r="P32" i="14"/>
  <c r="P4" i="14" s="1"/>
  <c r="P38" i="14" s="1"/>
  <c r="O32" i="14"/>
  <c r="O4" i="14" s="1"/>
  <c r="O38" i="14" s="1"/>
  <c r="N32" i="14"/>
  <c r="N4" i="14" s="1"/>
  <c r="N38" i="14" s="1"/>
  <c r="M32" i="14"/>
  <c r="M4" i="14" s="1"/>
  <c r="M38" i="14" s="1"/>
  <c r="L32" i="14"/>
  <c r="L4" i="14" s="1"/>
  <c r="L38" i="14" s="1"/>
  <c r="K32" i="14"/>
  <c r="K4" i="14" s="1"/>
  <c r="K38" i="14" s="1"/>
  <c r="J32" i="14"/>
  <c r="I32" i="14"/>
  <c r="I4" i="14" s="1"/>
  <c r="I38" i="14" s="1"/>
  <c r="H32" i="14"/>
  <c r="H4" i="14" s="1"/>
  <c r="H38" i="14" s="1"/>
  <c r="G32" i="14"/>
  <c r="G4" i="14" s="1"/>
  <c r="G38" i="14" s="1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H3" i="11" s="1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G3" i="11" s="1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3" i="11" s="1"/>
  <c r="AV26" i="14"/>
  <c r="AV42" i="14" s="1"/>
  <c r="AU26" i="14"/>
  <c r="AU42" i="14" s="1"/>
  <c r="AT26" i="14"/>
  <c r="AT42" i="14" s="1"/>
  <c r="AQ26" i="14"/>
  <c r="AQ42" i="14" s="1"/>
  <c r="AP26" i="14"/>
  <c r="AP42" i="14" s="1"/>
  <c r="AO26" i="14"/>
  <c r="AO42" i="14" s="1"/>
  <c r="AM26" i="14"/>
  <c r="AM42" i="14" s="1"/>
  <c r="AK26" i="14"/>
  <c r="AK42" i="14" s="1"/>
  <c r="AH26" i="14"/>
  <c r="AH42" i="14" s="1"/>
  <c r="R26" i="14"/>
  <c r="R42" i="14" s="1"/>
  <c r="K26" i="14"/>
  <c r="K42" i="14" s="1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D3" i="11" s="1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C3" i="11" s="1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B3" i="11" s="1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H3" i="10" s="1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G3" i="10" s="1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3" i="10" s="1"/>
  <c r="J19" i="14"/>
  <c r="J41" i="14" s="1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D3" i="10" s="1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C3" i="10" s="1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B3" i="10" s="1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H2" i="11" s="1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G2" i="11" s="1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2" i="11" s="1"/>
  <c r="Z12" i="14"/>
  <c r="Z40" i="14" s="1"/>
  <c r="V12" i="14"/>
  <c r="V40" i="14" s="1"/>
  <c r="T12" i="14"/>
  <c r="T40" i="14" s="1"/>
  <c r="P11" i="14"/>
  <c r="P39" i="14" s="1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C2" i="11" s="1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B2" i="11" s="1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H2" i="10" s="1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G2" i="10" s="1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2" i="10" s="1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AN4" i="14"/>
  <c r="AN38" i="14" s="1"/>
  <c r="AE4" i="14"/>
  <c r="AE38" i="14" s="1"/>
  <c r="J4" i="14"/>
  <c r="J38" i="14" s="1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C2" i="10" s="1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B2" i="10" s="1"/>
  <c r="I52" i="17" l="1"/>
  <c r="AE52" i="17" s="1"/>
  <c r="AM52" i="17" s="1"/>
  <c r="AH13" i="20"/>
  <c r="AK14" i="20"/>
  <c r="AB51" i="17"/>
  <c r="AJ51" i="17" s="1"/>
  <c r="AI13" i="20"/>
  <c r="C51" i="17"/>
  <c r="Y51" i="17" s="1"/>
  <c r="AG51" i="17" s="1"/>
  <c r="E52" i="16"/>
  <c r="BA14" i="20"/>
  <c r="BB14" i="20"/>
  <c r="C106" i="17"/>
  <c r="O106" i="17" s="1"/>
  <c r="AA15" i="20"/>
  <c r="AA19" i="20"/>
  <c r="E51" i="17"/>
  <c r="T57" i="17" s="1"/>
  <c r="R13" i="20"/>
  <c r="S13" i="20"/>
  <c r="O57" i="17"/>
  <c r="AX13" i="20"/>
  <c r="AY13" i="20"/>
  <c r="U14" i="20"/>
  <c r="V14" i="20"/>
  <c r="AV15" i="20"/>
  <c r="AV14" i="20"/>
  <c r="AV19" i="20"/>
  <c r="AV13" i="20"/>
  <c r="AL14" i="20"/>
  <c r="Q13" i="20"/>
  <c r="AG13" i="20"/>
  <c r="AW13" i="20"/>
  <c r="U13" i="20"/>
  <c r="AK13" i="20"/>
  <c r="BA13" i="20"/>
  <c r="AA14" i="20"/>
  <c r="Q15" i="20"/>
  <c r="AG15" i="20"/>
  <c r="AW15" i="20"/>
  <c r="W16" i="20"/>
  <c r="AM16" i="20"/>
  <c r="T13" i="20"/>
  <c r="V13" i="20"/>
  <c r="AL13" i="20"/>
  <c r="BB13" i="20"/>
  <c r="R15" i="20"/>
  <c r="AH15" i="20"/>
  <c r="AX15" i="20"/>
  <c r="X16" i="20"/>
  <c r="AN16" i="20"/>
  <c r="S15" i="20"/>
  <c r="AI15" i="20"/>
  <c r="AY15" i="20"/>
  <c r="Y16" i="20"/>
  <c r="AO16" i="20"/>
  <c r="T15" i="20"/>
  <c r="AJ15" i="20"/>
  <c r="AZ15" i="20"/>
  <c r="Z16" i="20"/>
  <c r="AP16" i="20"/>
  <c r="AJ13" i="20"/>
  <c r="AZ13" i="20"/>
  <c r="U15" i="20"/>
  <c r="AK15" i="20"/>
  <c r="BA15" i="20"/>
  <c r="AQ16" i="20"/>
  <c r="Q19" i="20"/>
  <c r="AG19" i="20"/>
  <c r="AW19" i="20"/>
  <c r="V15" i="20"/>
  <c r="AL15" i="20"/>
  <c r="BB15" i="20"/>
  <c r="AB16" i="20"/>
  <c r="AR16" i="20"/>
  <c r="R19" i="20"/>
  <c r="AH19" i="20"/>
  <c r="AX19" i="20"/>
  <c r="M16" i="20"/>
  <c r="E7" i="10" s="1"/>
  <c r="AC16" i="20"/>
  <c r="AS16" i="20"/>
  <c r="S19" i="20"/>
  <c r="AI19" i="20"/>
  <c r="AY19" i="20"/>
  <c r="N16" i="20"/>
  <c r="AD16" i="20"/>
  <c r="AT16" i="20"/>
  <c r="T19" i="20"/>
  <c r="AJ19" i="20"/>
  <c r="AZ19" i="20"/>
  <c r="O16" i="20"/>
  <c r="AE16" i="20"/>
  <c r="AU16" i="20"/>
  <c r="P16" i="20"/>
  <c r="AF16" i="20"/>
  <c r="L38" i="19"/>
  <c r="L36" i="19" s="1"/>
  <c r="L35" i="19"/>
  <c r="L39" i="19" s="1"/>
  <c r="L37" i="19" s="1"/>
  <c r="C38" i="19"/>
  <c r="C36" i="19" s="1"/>
  <c r="C35" i="19"/>
  <c r="C39" i="19" s="1"/>
  <c r="C37" i="19" s="1"/>
  <c r="F4" i="19"/>
  <c r="F5" i="19" s="1"/>
  <c r="F34" i="19" s="1"/>
  <c r="G4" i="19"/>
  <c r="G5" i="19" s="1"/>
  <c r="G34" i="19" s="1"/>
  <c r="E4" i="19"/>
  <c r="E5" i="19" s="1"/>
  <c r="E34" i="19" s="1"/>
  <c r="H4" i="19"/>
  <c r="H5" i="19" s="1"/>
  <c r="H34" i="19" s="1"/>
  <c r="I4" i="19"/>
  <c r="I5" i="19" s="1"/>
  <c r="I34" i="19" s="1"/>
  <c r="D4" i="19"/>
  <c r="D5" i="19" s="1"/>
  <c r="D34" i="19" s="1"/>
  <c r="J4" i="19"/>
  <c r="J5" i="19" s="1"/>
  <c r="J34" i="19" s="1"/>
  <c r="K4" i="19"/>
  <c r="K5" i="19" s="1"/>
  <c r="K34" i="19" s="1"/>
  <c r="M4" i="19"/>
  <c r="M5" i="19" s="1"/>
  <c r="M34" i="19" s="1"/>
  <c r="AB84" i="18"/>
  <c r="AC77" i="18" a="1"/>
  <c r="AC77" i="18" s="1"/>
  <c r="AB85" i="18"/>
  <c r="AC78" i="18" a="1"/>
  <c r="AC78" i="18" s="1"/>
  <c r="AC85" i="18" s="1"/>
  <c r="AJ78" i="18" a="1"/>
  <c r="AJ78" i="18" s="1"/>
  <c r="AK78" i="18" a="1"/>
  <c r="AK78" i="18" s="1"/>
  <c r="M113" i="18"/>
  <c r="AJ81" i="18"/>
  <c r="AK74" i="18" a="1"/>
  <c r="AK74" i="18" s="1"/>
  <c r="AB83" i="18"/>
  <c r="AC76" i="18" a="1"/>
  <c r="AC76" i="18" s="1"/>
  <c r="AC83" i="18" s="1"/>
  <c r="W81" i="18"/>
  <c r="U82" i="18"/>
  <c r="S83" i="18"/>
  <c r="AG84" i="18"/>
  <c r="AE85" i="18"/>
  <c r="E87" i="18"/>
  <c r="Y81" i="18"/>
  <c r="W82" i="18"/>
  <c r="U83" i="18"/>
  <c r="S84" i="18"/>
  <c r="AI84" i="18"/>
  <c r="AG85" i="18"/>
  <c r="G87" i="18"/>
  <c r="AA81" i="18"/>
  <c r="Y82" i="18"/>
  <c r="AO82" i="18"/>
  <c r="W83" i="18"/>
  <c r="U84" i="18"/>
  <c r="S85" i="18"/>
  <c r="AI85" i="18"/>
  <c r="AB81" i="18"/>
  <c r="Z82" i="18"/>
  <c r="AP82" i="18"/>
  <c r="X83" i="18"/>
  <c r="V84" i="18"/>
  <c r="T85" i="18"/>
  <c r="AJ85" i="18"/>
  <c r="AS86" i="18"/>
  <c r="AC75" i="18" a="1"/>
  <c r="AC75" i="18" s="1"/>
  <c r="AD81" i="18"/>
  <c r="AB82" i="18"/>
  <c r="Z83" i="18"/>
  <c r="X84" i="18"/>
  <c r="V85" i="18"/>
  <c r="AT86" i="18"/>
  <c r="U81" i="18"/>
  <c r="S82" i="18"/>
  <c r="I114" i="17"/>
  <c r="U114" i="17" s="1"/>
  <c r="AE62" i="17"/>
  <c r="AM62" i="17" s="1"/>
  <c r="E115" i="17"/>
  <c r="Q115" i="17" s="1"/>
  <c r="T70" i="17"/>
  <c r="S70" i="17"/>
  <c r="AA63" i="17"/>
  <c r="AI63" i="17" s="1"/>
  <c r="Q70" i="17"/>
  <c r="O70" i="17"/>
  <c r="D76" i="17"/>
  <c r="P76" i="17" s="1"/>
  <c r="D88" i="17"/>
  <c r="P88" i="17" s="1"/>
  <c r="D98" i="17"/>
  <c r="P98" i="17" s="1"/>
  <c r="D108" i="17"/>
  <c r="P108" i="17" s="1"/>
  <c r="I63" i="17"/>
  <c r="Z64" i="17"/>
  <c r="AH64" i="17" s="1"/>
  <c r="E76" i="17"/>
  <c r="Q76" i="17" s="1"/>
  <c r="I80" i="17"/>
  <c r="U80" i="17" s="1"/>
  <c r="E88" i="17"/>
  <c r="Q88" i="17" s="1"/>
  <c r="I90" i="17"/>
  <c r="U90" i="17" s="1"/>
  <c r="E98" i="17"/>
  <c r="Q98" i="17" s="1"/>
  <c r="I100" i="17"/>
  <c r="U100" i="17" s="1"/>
  <c r="C107" i="17"/>
  <c r="O107" i="17" s="1"/>
  <c r="E108" i="17"/>
  <c r="Q108" i="17" s="1"/>
  <c r="I112" i="17"/>
  <c r="U112" i="17" s="1"/>
  <c r="Q57" i="17"/>
  <c r="AB62" i="17"/>
  <c r="AJ62" i="17" s="1"/>
  <c r="Y63" i="17"/>
  <c r="AG63" i="17" s="1"/>
  <c r="D75" i="17"/>
  <c r="P75" i="17" s="1"/>
  <c r="F76" i="17"/>
  <c r="R76" i="17" s="1"/>
  <c r="H77" i="17"/>
  <c r="T77" i="17" s="1"/>
  <c r="D85" i="17"/>
  <c r="P85" i="17" s="1"/>
  <c r="F88" i="17"/>
  <c r="R88" i="17" s="1"/>
  <c r="H89" i="17"/>
  <c r="T89" i="17" s="1"/>
  <c r="D97" i="17"/>
  <c r="P97" i="17" s="1"/>
  <c r="F98" i="17"/>
  <c r="R98" i="17" s="1"/>
  <c r="H99" i="17"/>
  <c r="T99" i="17" s="1"/>
  <c r="F108" i="17"/>
  <c r="R108" i="17" s="1"/>
  <c r="H109" i="17"/>
  <c r="T109" i="17" s="1"/>
  <c r="D117" i="17"/>
  <c r="P117" i="17" s="1"/>
  <c r="S57" i="17"/>
  <c r="D74" i="17"/>
  <c r="P74" i="17" s="1"/>
  <c r="F75" i="17"/>
  <c r="R75" i="17" s="1"/>
  <c r="H76" i="17"/>
  <c r="T76" i="17" s="1"/>
  <c r="D84" i="17"/>
  <c r="P84" i="17" s="1"/>
  <c r="F85" i="17"/>
  <c r="R85" i="17" s="1"/>
  <c r="H88" i="17"/>
  <c r="T88" i="17" s="1"/>
  <c r="D96" i="17"/>
  <c r="P96" i="17" s="1"/>
  <c r="F97" i="17"/>
  <c r="R97" i="17" s="1"/>
  <c r="H98" i="17"/>
  <c r="T98" i="17" s="1"/>
  <c r="F107" i="17"/>
  <c r="H108" i="17"/>
  <c r="T108" i="17" s="1"/>
  <c r="D116" i="17"/>
  <c r="P116" i="17" s="1"/>
  <c r="F117" i="17"/>
  <c r="R117" i="17" s="1"/>
  <c r="AB63" i="17"/>
  <c r="AJ63" i="17" s="1"/>
  <c r="E74" i="17"/>
  <c r="Q74" i="17" s="1"/>
  <c r="I76" i="17"/>
  <c r="U76" i="17" s="1"/>
  <c r="E84" i="17"/>
  <c r="Q84" i="17" s="1"/>
  <c r="I88" i="17"/>
  <c r="U88" i="17" s="1"/>
  <c r="E96" i="17"/>
  <c r="Q96" i="17" s="1"/>
  <c r="I98" i="17"/>
  <c r="U98" i="17" s="1"/>
  <c r="I108" i="17"/>
  <c r="U108" i="17" s="1"/>
  <c r="E116" i="17"/>
  <c r="Q116" i="17" s="1"/>
  <c r="I51" i="17"/>
  <c r="D52" i="17"/>
  <c r="D73" i="17"/>
  <c r="P73" i="17" s="1"/>
  <c r="F74" i="17"/>
  <c r="R74" i="17" s="1"/>
  <c r="H75" i="17"/>
  <c r="T75" i="17" s="1"/>
  <c r="D83" i="17"/>
  <c r="P83" i="17" s="1"/>
  <c r="F84" i="17"/>
  <c r="R84" i="17" s="1"/>
  <c r="H85" i="17"/>
  <c r="T85" i="17" s="1"/>
  <c r="D93" i="17"/>
  <c r="P93" i="17" s="1"/>
  <c r="F96" i="17"/>
  <c r="R96" i="17" s="1"/>
  <c r="H97" i="17"/>
  <c r="T97" i="17" s="1"/>
  <c r="D105" i="17"/>
  <c r="P105" i="17" s="1"/>
  <c r="H107" i="17"/>
  <c r="T107" i="17" s="1"/>
  <c r="F116" i="17"/>
  <c r="R116" i="17" s="1"/>
  <c r="H117" i="17"/>
  <c r="T117" i="17" s="1"/>
  <c r="R70" i="17"/>
  <c r="E52" i="17"/>
  <c r="O58" i="17" s="1"/>
  <c r="E73" i="17"/>
  <c r="Q73" i="17" s="1"/>
  <c r="I75" i="17"/>
  <c r="U75" i="17" s="1"/>
  <c r="E83" i="17"/>
  <c r="Q83" i="17" s="1"/>
  <c r="I85" i="17"/>
  <c r="U85" i="17" s="1"/>
  <c r="E93" i="17"/>
  <c r="Q93" i="17" s="1"/>
  <c r="I97" i="17"/>
  <c r="U97" i="17" s="1"/>
  <c r="E105" i="17"/>
  <c r="Q105" i="17" s="1"/>
  <c r="I107" i="17"/>
  <c r="U107" i="17" s="1"/>
  <c r="I117" i="17"/>
  <c r="U117" i="17" s="1"/>
  <c r="D72" i="17"/>
  <c r="P72" i="17" s="1"/>
  <c r="F73" i="17"/>
  <c r="R73" i="17" s="1"/>
  <c r="H74" i="17"/>
  <c r="T74" i="17" s="1"/>
  <c r="D82" i="17"/>
  <c r="P82" i="17" s="1"/>
  <c r="F83" i="17"/>
  <c r="R83" i="17" s="1"/>
  <c r="H84" i="17"/>
  <c r="T84" i="17" s="1"/>
  <c r="D92" i="17"/>
  <c r="P92" i="17" s="1"/>
  <c r="F93" i="17"/>
  <c r="R93" i="17" s="1"/>
  <c r="H96" i="17"/>
  <c r="T96" i="17" s="1"/>
  <c r="D104" i="17"/>
  <c r="P104" i="17" s="1"/>
  <c r="F105" i="17"/>
  <c r="R105" i="17" s="1"/>
  <c r="H106" i="17"/>
  <c r="T106" i="17" s="1"/>
  <c r="F115" i="17"/>
  <c r="R115" i="17" s="1"/>
  <c r="H116" i="17"/>
  <c r="T116" i="17" s="1"/>
  <c r="C62" i="17"/>
  <c r="F72" i="17"/>
  <c r="R72" i="17" s="1"/>
  <c r="H73" i="17"/>
  <c r="T73" i="17" s="1"/>
  <c r="D81" i="17"/>
  <c r="P81" i="17" s="1"/>
  <c r="F82" i="17"/>
  <c r="R82" i="17" s="1"/>
  <c r="H83" i="17"/>
  <c r="T83" i="17" s="1"/>
  <c r="D91" i="17"/>
  <c r="P91" i="17" s="1"/>
  <c r="F92" i="17"/>
  <c r="R92" i="17" s="1"/>
  <c r="H93" i="17"/>
  <c r="T93" i="17" s="1"/>
  <c r="D101" i="17"/>
  <c r="P101" i="17" s="1"/>
  <c r="F104" i="17"/>
  <c r="R104" i="17" s="1"/>
  <c r="H105" i="17"/>
  <c r="T105" i="17" s="1"/>
  <c r="D113" i="17"/>
  <c r="P113" i="17" s="1"/>
  <c r="F114" i="17"/>
  <c r="R114" i="17" s="1"/>
  <c r="H115" i="17"/>
  <c r="T115" i="17" s="1"/>
  <c r="I73" i="17"/>
  <c r="U73" i="17" s="1"/>
  <c r="I83" i="17"/>
  <c r="U83" i="17" s="1"/>
  <c r="I93" i="17"/>
  <c r="U93" i="17" s="1"/>
  <c r="E101" i="17"/>
  <c r="Q101" i="17" s="1"/>
  <c r="I105" i="17"/>
  <c r="U105" i="17" s="1"/>
  <c r="E113" i="17"/>
  <c r="Q113" i="17" s="1"/>
  <c r="E62" i="17"/>
  <c r="R69" i="17" s="1"/>
  <c r="H72" i="17"/>
  <c r="T72" i="17" s="1"/>
  <c r="D80" i="17"/>
  <c r="P80" i="17" s="1"/>
  <c r="F81" i="17"/>
  <c r="R81" i="17" s="1"/>
  <c r="H82" i="17"/>
  <c r="T82" i="17" s="1"/>
  <c r="D90" i="17"/>
  <c r="P90" i="17" s="1"/>
  <c r="F91" i="17"/>
  <c r="R91" i="17" s="1"/>
  <c r="H92" i="17"/>
  <c r="T92" i="17" s="1"/>
  <c r="D100" i="17"/>
  <c r="P100" i="17" s="1"/>
  <c r="F101" i="17"/>
  <c r="R101" i="17" s="1"/>
  <c r="H104" i="17"/>
  <c r="T104" i="17" s="1"/>
  <c r="D112" i="17"/>
  <c r="P112" i="17" s="1"/>
  <c r="F113" i="17"/>
  <c r="R113" i="17" s="1"/>
  <c r="H114" i="17"/>
  <c r="T114" i="17" s="1"/>
  <c r="I72" i="17"/>
  <c r="U72" i="17" s="1"/>
  <c r="I82" i="17"/>
  <c r="U82" i="17" s="1"/>
  <c r="I92" i="17"/>
  <c r="U92" i="17" s="1"/>
  <c r="E100" i="17"/>
  <c r="Q100" i="17" s="1"/>
  <c r="I104" i="17"/>
  <c r="U104" i="17" s="1"/>
  <c r="E112" i="17"/>
  <c r="Q112" i="17" s="1"/>
  <c r="D63" i="17"/>
  <c r="D77" i="17"/>
  <c r="P77" i="17" s="1"/>
  <c r="F80" i="17"/>
  <c r="R80" i="17" s="1"/>
  <c r="H81" i="17"/>
  <c r="T81" i="17" s="1"/>
  <c r="D89" i="17"/>
  <c r="P89" i="17" s="1"/>
  <c r="F90" i="17"/>
  <c r="R90" i="17" s="1"/>
  <c r="H91" i="17"/>
  <c r="T91" i="17" s="1"/>
  <c r="D99" i="17"/>
  <c r="P99" i="17" s="1"/>
  <c r="F100" i="17"/>
  <c r="R100" i="17" s="1"/>
  <c r="H101" i="17"/>
  <c r="T101" i="17" s="1"/>
  <c r="E77" i="17"/>
  <c r="Q77" i="17" s="1"/>
  <c r="I81" i="17"/>
  <c r="U81" i="17" s="1"/>
  <c r="E89" i="17"/>
  <c r="Q89" i="17" s="1"/>
  <c r="I91" i="17"/>
  <c r="U91" i="17" s="1"/>
  <c r="E99" i="17"/>
  <c r="Q99" i="17" s="1"/>
  <c r="I101" i="17"/>
  <c r="U101" i="17" s="1"/>
  <c r="E53" i="16"/>
  <c r="AM39" i="14"/>
  <c r="J39" i="14"/>
  <c r="Z39" i="14"/>
  <c r="AP39" i="14"/>
  <c r="E3" i="11"/>
  <c r="W11" i="14"/>
  <c r="W39" i="14" s="1"/>
  <c r="E2" i="11"/>
  <c r="G11" i="14"/>
  <c r="D2" i="11" s="1"/>
  <c r="D2" i="10"/>
  <c r="N39" i="14"/>
  <c r="AD39" i="14"/>
  <c r="AT39" i="14"/>
  <c r="Q39" i="14"/>
  <c r="AG39" i="14"/>
  <c r="T39" i="14"/>
  <c r="AJ39" i="14"/>
  <c r="U39" i="14"/>
  <c r="AK39" i="14"/>
  <c r="E3" i="10"/>
  <c r="V39" i="14"/>
  <c r="AL39" i="14"/>
  <c r="AA39" i="14"/>
  <c r="O39" i="14"/>
  <c r="AU39" i="14"/>
  <c r="Y11" i="14"/>
  <c r="Y39" i="14" s="1"/>
  <c r="AE39" i="14"/>
  <c r="K11" i="14"/>
  <c r="K39" i="14" s="1"/>
  <c r="AQ11" i="14"/>
  <c r="AQ39" i="14" s="1"/>
  <c r="AO11" i="14"/>
  <c r="AO39" i="14" s="1"/>
  <c r="AR11" i="14"/>
  <c r="AR39" i="14" s="1"/>
  <c r="M11" i="14"/>
  <c r="M39" i="14" s="1"/>
  <c r="AC11" i="14"/>
  <c r="AC39" i="14" s="1"/>
  <c r="AS11" i="14"/>
  <c r="AS39" i="14" s="1"/>
  <c r="AB11" i="14"/>
  <c r="AB39" i="14" s="1"/>
  <c r="I11" i="14"/>
  <c r="I39" i="14" s="1"/>
  <c r="L11" i="14"/>
  <c r="L39" i="14" s="1"/>
  <c r="E106" i="17" l="1"/>
  <c r="Q106" i="17" s="1"/>
  <c r="R57" i="17"/>
  <c r="AA51" i="17"/>
  <c r="AI51" i="17" s="1"/>
  <c r="D51" i="17"/>
  <c r="U58" i="17"/>
  <c r="AO15" i="20"/>
  <c r="AO13" i="20"/>
  <c r="AO14" i="20"/>
  <c r="AO19" i="20"/>
  <c r="Y15" i="20"/>
  <c r="Y13" i="20"/>
  <c r="Y14" i="20"/>
  <c r="Y19" i="20"/>
  <c r="W15" i="20"/>
  <c r="W13" i="20"/>
  <c r="W14" i="20"/>
  <c r="W19" i="20"/>
  <c r="AD13" i="20"/>
  <c r="AD15" i="20"/>
  <c r="AD14" i="20"/>
  <c r="AD19" i="20"/>
  <c r="N13" i="20"/>
  <c r="N15" i="20"/>
  <c r="N14" i="20"/>
  <c r="N19" i="20"/>
  <c r="AT13" i="20"/>
  <c r="AT14" i="20"/>
  <c r="AT15" i="20"/>
  <c r="AT19" i="20"/>
  <c r="AN15" i="20"/>
  <c r="AN13" i="20"/>
  <c r="AN14" i="20"/>
  <c r="AN19" i="20"/>
  <c r="X15" i="20"/>
  <c r="X14" i="20"/>
  <c r="X13" i="20"/>
  <c r="X19" i="20"/>
  <c r="AC13" i="20"/>
  <c r="AC14" i="20"/>
  <c r="AC19" i="20"/>
  <c r="AC15" i="20"/>
  <c r="M13" i="20"/>
  <c r="B7" i="10" s="1"/>
  <c r="M14" i="20"/>
  <c r="C7" i="10" s="1"/>
  <c r="M19" i="20"/>
  <c r="H7" i="10" s="1"/>
  <c r="M15" i="20"/>
  <c r="D7" i="10" s="1"/>
  <c r="P14" i="20"/>
  <c r="P15" i="20"/>
  <c r="P19" i="20"/>
  <c r="P13" i="20"/>
  <c r="AQ13" i="20"/>
  <c r="AQ19" i="20"/>
  <c r="AQ14" i="20"/>
  <c r="AQ15" i="20"/>
  <c r="AP15" i="20"/>
  <c r="AP14" i="20"/>
  <c r="AP13" i="20"/>
  <c r="AP19" i="20"/>
  <c r="AE14" i="20"/>
  <c r="AE15" i="20"/>
  <c r="AE19" i="20"/>
  <c r="AE13" i="20"/>
  <c r="Z15" i="20"/>
  <c r="Z14" i="20"/>
  <c r="Z13" i="20"/>
  <c r="Z19" i="20"/>
  <c r="AF15" i="20"/>
  <c r="AF14" i="20"/>
  <c r="AF19" i="20"/>
  <c r="AF13" i="20"/>
  <c r="O14" i="20"/>
  <c r="O15" i="20"/>
  <c r="O19" i="20"/>
  <c r="O13" i="20"/>
  <c r="AR13" i="20"/>
  <c r="AR14" i="20"/>
  <c r="AR19" i="20"/>
  <c r="AR15" i="20"/>
  <c r="AS13" i="20"/>
  <c r="AS14" i="20"/>
  <c r="AS19" i="20"/>
  <c r="AS15" i="20"/>
  <c r="AU14" i="20"/>
  <c r="AU15" i="20"/>
  <c r="AU19" i="20"/>
  <c r="AU13" i="20"/>
  <c r="AB13" i="20"/>
  <c r="AB14" i="20"/>
  <c r="AB19" i="20"/>
  <c r="AB15" i="20"/>
  <c r="AM15" i="20"/>
  <c r="AM13" i="20"/>
  <c r="AM14" i="20"/>
  <c r="AM19" i="20"/>
  <c r="F38" i="19"/>
  <c r="F36" i="19" s="1"/>
  <c r="F35" i="19"/>
  <c r="F39" i="19" s="1"/>
  <c r="F37" i="19" s="1"/>
  <c r="M38" i="19"/>
  <c r="M36" i="19" s="1"/>
  <c r="M35" i="19"/>
  <c r="M39" i="19" s="1"/>
  <c r="M37" i="19" s="1"/>
  <c r="J35" i="19"/>
  <c r="J39" i="19" s="1"/>
  <c r="J37" i="19" s="1"/>
  <c r="J38" i="19"/>
  <c r="J36" i="19" s="1"/>
  <c r="K35" i="19"/>
  <c r="K39" i="19" s="1"/>
  <c r="K37" i="19" s="1"/>
  <c r="K38" i="19"/>
  <c r="K36" i="19" s="1"/>
  <c r="D38" i="19"/>
  <c r="D36" i="19" s="1"/>
  <c r="D35" i="19"/>
  <c r="D39" i="19" s="1"/>
  <c r="D37" i="19" s="1"/>
  <c r="I35" i="19"/>
  <c r="I39" i="19" s="1"/>
  <c r="I37" i="19" s="1"/>
  <c r="I38" i="19"/>
  <c r="I36" i="19" s="1"/>
  <c r="H38" i="19"/>
  <c r="H36" i="19" s="1"/>
  <c r="H35" i="19"/>
  <c r="H39" i="19" s="1"/>
  <c r="H37" i="19" s="1"/>
  <c r="E38" i="19"/>
  <c r="E36" i="19" s="1"/>
  <c r="E35" i="19"/>
  <c r="E39" i="19" s="1"/>
  <c r="E37" i="19" s="1"/>
  <c r="G35" i="19"/>
  <c r="G39" i="19" s="1"/>
  <c r="G37" i="19" s="1"/>
  <c r="G38" i="19"/>
  <c r="G36" i="19" s="1"/>
  <c r="AL74" i="18" a="1"/>
  <c r="AL74" i="18" s="1"/>
  <c r="AK85" i="18"/>
  <c r="AK81" i="18"/>
  <c r="AL78" i="18" a="1"/>
  <c r="AL78" i="18" s="1"/>
  <c r="AD76" i="18" a="1"/>
  <c r="AD76" i="18" s="1"/>
  <c r="AD75" i="18" a="1"/>
  <c r="AD75" i="18" s="1"/>
  <c r="AC82" i="18"/>
  <c r="AE75" i="18" a="1"/>
  <c r="AE75" i="18" s="1"/>
  <c r="AC84" i="18"/>
  <c r="M114" i="18"/>
  <c r="AD77" i="18" a="1"/>
  <c r="AD77" i="18" s="1"/>
  <c r="T69" i="17"/>
  <c r="S69" i="17"/>
  <c r="Q69" i="17"/>
  <c r="D62" i="17"/>
  <c r="E114" i="17"/>
  <c r="Q114" i="17" s="1"/>
  <c r="AA62" i="17"/>
  <c r="AI62" i="17" s="1"/>
  <c r="U69" i="17"/>
  <c r="Y62" i="17"/>
  <c r="AG62" i="17" s="1"/>
  <c r="O69" i="17"/>
  <c r="C114" i="17"/>
  <c r="O114" i="17" s="1"/>
  <c r="I115" i="17"/>
  <c r="U115" i="17" s="1"/>
  <c r="AE63" i="17"/>
  <c r="AM63" i="17" s="1"/>
  <c r="U70" i="17"/>
  <c r="D115" i="17"/>
  <c r="P115" i="17" s="1"/>
  <c r="Z63" i="17"/>
  <c r="AH63" i="17" s="1"/>
  <c r="P70" i="17"/>
  <c r="F120" i="17"/>
  <c r="R107" i="17"/>
  <c r="Z52" i="17"/>
  <c r="AH52" i="17" s="1"/>
  <c r="P58" i="17"/>
  <c r="D107" i="17"/>
  <c r="P107" i="17" s="1"/>
  <c r="Q58" i="17"/>
  <c r="T58" i="17"/>
  <c r="AA52" i="17"/>
  <c r="AI52" i="17" s="1"/>
  <c r="S58" i="17"/>
  <c r="E107" i="17"/>
  <c r="Q107" i="17" s="1"/>
  <c r="AE51" i="17"/>
  <c r="AM51" i="17" s="1"/>
  <c r="I106" i="17"/>
  <c r="U106" i="17" s="1"/>
  <c r="U57" i="17"/>
  <c r="R58" i="17"/>
  <c r="G39" i="14"/>
  <c r="Z51" i="17" l="1"/>
  <c r="AH51" i="17" s="1"/>
  <c r="D106" i="17"/>
  <c r="P106" i="17" s="1"/>
  <c r="P57" i="17"/>
  <c r="AD82" i="18"/>
  <c r="AE82" i="18"/>
  <c r="AF75" i="18" a="1"/>
  <c r="AF75" i="18" s="1"/>
  <c r="AL85" i="18"/>
  <c r="AM78" i="18" a="1"/>
  <c r="AM78" i="18" s="1"/>
  <c r="AD83" i="18"/>
  <c r="AG76" i="18" a="1"/>
  <c r="AG76" i="18" s="1"/>
  <c r="AL81" i="18"/>
  <c r="AN78" i="18" a="1"/>
  <c r="AN78" i="18" s="1"/>
  <c r="AD84" i="18"/>
  <c r="M115" i="18"/>
  <c r="AE77" i="18" a="1"/>
  <c r="AE77" i="18" s="1"/>
  <c r="AM74" i="18" a="1"/>
  <c r="AM74" i="18" s="1"/>
  <c r="P69" i="17"/>
  <c r="D114" i="17"/>
  <c r="P114" i="17" s="1"/>
  <c r="Z62" i="17"/>
  <c r="AH62" i="17" s="1"/>
  <c r="AH76" i="18" l="1" a="1"/>
  <c r="AH76" i="18" s="1"/>
  <c r="AG83" i="18"/>
  <c r="AN85" i="18"/>
  <c r="AM85" i="18"/>
  <c r="AO78" i="18" a="1"/>
  <c r="AO78" i="18" s="1"/>
  <c r="AM81" i="18"/>
  <c r="AN74" i="18" a="1"/>
  <c r="AN74" i="18" s="1"/>
  <c r="AF82" i="18"/>
  <c r="AK77" i="18" a="1"/>
  <c r="AK77" i="18" s="1"/>
  <c r="M116" i="18"/>
  <c r="S86" i="18" s="1" a="1"/>
  <c r="AE84" i="18"/>
  <c r="AG75" i="18" a="1"/>
  <c r="AG75" i="18" s="1"/>
  <c r="AH75" i="18" s="1" a="1"/>
  <c r="AH75" i="18" s="1"/>
  <c r="AH82" i="18" l="1"/>
  <c r="AE79" i="18"/>
  <c r="AD79" i="18"/>
  <c r="AB79" i="18"/>
  <c r="AC79" i="18"/>
  <c r="AA79" i="18"/>
  <c r="S86" i="18"/>
  <c r="S79" i="18" s="1"/>
  <c r="Z79" i="18"/>
  <c r="Y79" i="18"/>
  <c r="X79" i="18"/>
  <c r="W79" i="18"/>
  <c r="V79" i="18"/>
  <c r="U79" i="18"/>
  <c r="T79" i="18"/>
  <c r="AP74" i="18" a="1"/>
  <c r="AP74" i="18" s="1"/>
  <c r="AO85" i="18"/>
  <c r="AI75" i="18" a="1"/>
  <c r="AI75" i="18" s="1"/>
  <c r="AP78" i="18" a="1"/>
  <c r="AP78" i="18" s="1"/>
  <c r="AQ78" i="18" s="1" a="1"/>
  <c r="AQ78" i="18" s="1"/>
  <c r="AH83" i="18"/>
  <c r="AG82" i="18"/>
  <c r="AJ75" i="18" a="1"/>
  <c r="AJ75" i="18" s="1"/>
  <c r="AI76" i="18" a="1"/>
  <c r="AI76" i="18" s="1"/>
  <c r="AN81" i="18"/>
  <c r="AO74" i="18" a="1"/>
  <c r="AO74" i="18" s="1"/>
  <c r="AL77" i="18" a="1"/>
  <c r="AL77" i="18" s="1"/>
  <c r="AK84" i="18"/>
  <c r="AQ85" i="18" l="1"/>
  <c r="AQ74" i="18" a="1"/>
  <c r="AQ74" i="18" s="1"/>
  <c r="AI83" i="18"/>
  <c r="AJ82" i="18"/>
  <c r="AP85" i="18"/>
  <c r="AJ79" i="18" a="1"/>
  <c r="AJ79" i="18" s="1"/>
  <c r="AP81" i="18"/>
  <c r="AI79" i="18" a="1"/>
  <c r="AI79" i="18" s="1"/>
  <c r="AR78" i="18" a="1"/>
  <c r="AR78" i="18" s="1"/>
  <c r="AL84" i="18"/>
  <c r="AI82" i="18"/>
  <c r="AM77" i="18" a="1"/>
  <c r="AM77" i="18" s="1"/>
  <c r="AS78" i="18" a="1"/>
  <c r="AS78" i="18" s="1"/>
  <c r="AO81" i="18"/>
  <c r="AK75" i="18" a="1"/>
  <c r="AK75" i="18" s="1"/>
  <c r="AR74" i="18" a="1"/>
  <c r="AR74" i="18" s="1"/>
  <c r="AJ76" i="18" a="1"/>
  <c r="AJ76" i="18" s="1"/>
  <c r="AJ86" i="18" l="1"/>
  <c r="AK76" i="18" a="1"/>
  <c r="AK76" i="18" s="1"/>
  <c r="AR81" i="18"/>
  <c r="AS85" i="18"/>
  <c r="AK82" i="18"/>
  <c r="AJ83" i="18"/>
  <c r="AT74" i="18" a="1"/>
  <c r="AT74" i="18" s="1"/>
  <c r="AM84" i="18"/>
  <c r="AN77" i="18" a="1"/>
  <c r="AN77" i="18" s="1"/>
  <c r="AO77" i="18" s="1" a="1"/>
  <c r="AO77" i="18" s="1"/>
  <c r="AL75" i="18" a="1"/>
  <c r="AL75" i="18" s="1"/>
  <c r="AL82" i="18" s="1"/>
  <c r="AT78" i="18" a="1"/>
  <c r="AT78" i="18" s="1"/>
  <c r="AQ81" i="18"/>
  <c r="AR85" i="18"/>
  <c r="AK79" i="18" a="1"/>
  <c r="AK79" i="18" s="1"/>
  <c r="AI86" i="18"/>
  <c r="AS74" i="18" a="1"/>
  <c r="AS74" i="18" s="1"/>
  <c r="AU74" i="18" s="1" a="1"/>
  <c r="AU74" i="18" s="1"/>
  <c r="AU81" i="18" l="1"/>
  <c r="AO84" i="18"/>
  <c r="AK86" i="18"/>
  <c r="AT81" i="18"/>
  <c r="AT85" i="18"/>
  <c r="AV74" i="18" a="1"/>
  <c r="AV74" i="18" s="1"/>
  <c r="AW74" i="18" s="1" a="1"/>
  <c r="AW74" i="18" s="1"/>
  <c r="AV78" i="18" a="1"/>
  <c r="AV78" i="18" s="1"/>
  <c r="AM79" i="18" a="1"/>
  <c r="AM79" i="18" s="1"/>
  <c r="AM86" i="18" s="1"/>
  <c r="AU78" i="18" a="1"/>
  <c r="AU78" i="18" s="1"/>
  <c r="AM75" i="18" a="1"/>
  <c r="AM75" i="18" s="1"/>
  <c r="AN84" i="18"/>
  <c r="AS81" i="18"/>
  <c r="AL79" i="18" a="1"/>
  <c r="AL79" i="18" s="1"/>
  <c r="AK83" i="18"/>
  <c r="AP77" i="18" a="1"/>
  <c r="AP77" i="18" s="1"/>
  <c r="AL76" i="18" a="1"/>
  <c r="AL76" i="18" s="1"/>
  <c r="AW81" i="18" l="1"/>
  <c r="AN79" i="18" a="1"/>
  <c r="AN79" i="18" s="1"/>
  <c r="AN86" i="18" s="1"/>
  <c r="AV81" i="18"/>
  <c r="AO79" i="18" a="1"/>
  <c r="AO79" i="18" s="1"/>
  <c r="AO86" i="18" s="1"/>
  <c r="AL86" i="18"/>
  <c r="AY74" i="18" a="1"/>
  <c r="AY74" i="18" s="1"/>
  <c r="AU85" i="18"/>
  <c r="AW78" i="18" a="1"/>
  <c r="AW78" i="18" s="1"/>
  <c r="AX78" i="18" s="1" a="1"/>
  <c r="AX78" i="18" s="1"/>
  <c r="AP84" i="18"/>
  <c r="AV85" i="18"/>
  <c r="AX74" i="18" a="1"/>
  <c r="AX74" i="18" s="1"/>
  <c r="AM82" i="18"/>
  <c r="AN75" i="18" a="1"/>
  <c r="AN75" i="18" s="1"/>
  <c r="AL83" i="18"/>
  <c r="AM76" i="18" a="1"/>
  <c r="AM76" i="18" s="1"/>
  <c r="AQ77" i="18" a="1"/>
  <c r="AQ77" i="18" s="1"/>
  <c r="AX85" i="18" l="1"/>
  <c r="AY81" i="18"/>
  <c r="AX81" i="18"/>
  <c r="AM83" i="18"/>
  <c r="AN76" i="18" a="1"/>
  <c r="AN76" i="18" s="1"/>
  <c r="AO76" i="18" a="1"/>
  <c r="AO76" i="18" s="1"/>
  <c r="AP79" i="18" a="1"/>
  <c r="AP79" i="18" s="1"/>
  <c r="AQ84" i="18"/>
  <c r="AQ75" i="18" a="1"/>
  <c r="AQ75" i="18" s="1"/>
  <c r="AN82" i="18"/>
  <c r="AZ74" i="18" a="1"/>
  <c r="AZ74" i="18" s="1"/>
  <c r="AR77" i="18" a="1"/>
  <c r="AR77" i="18" s="1"/>
  <c r="AW85" i="18"/>
  <c r="AY78" i="18" a="1"/>
  <c r="AY78" i="18" s="1"/>
  <c r="AZ78" i="18" s="1" a="1"/>
  <c r="AZ78" i="18" s="1"/>
  <c r="AZ85" i="18" l="1"/>
  <c r="BA78" i="18" a="1"/>
  <c r="BA78" i="18" s="1"/>
  <c r="BB78" i="18" s="1" a="1"/>
  <c r="BB78" i="18" s="1"/>
  <c r="AP86" i="18"/>
  <c r="AQ79" i="18" a="1"/>
  <c r="AQ79" i="18" s="1"/>
  <c r="AO83" i="18"/>
  <c r="AR84" i="18"/>
  <c r="BA74" i="18" a="1"/>
  <c r="BA74" i="18" s="1"/>
  <c r="AY85" i="18"/>
  <c r="AN83" i="18"/>
  <c r="AP76" i="18" a="1"/>
  <c r="AP76" i="18" s="1"/>
  <c r="AZ81" i="18"/>
  <c r="AQ82" i="18"/>
  <c r="AR75" i="18" a="1"/>
  <c r="AR75" i="18" s="1"/>
  <c r="AS77" i="18" a="1"/>
  <c r="AS77" i="18" s="1"/>
  <c r="BB85" i="18" l="1"/>
  <c r="BC78" i="18" a="1"/>
  <c r="BC78" i="18" s="1"/>
  <c r="AS84" i="18"/>
  <c r="BA85" i="18"/>
  <c r="AQ86" i="18"/>
  <c r="AR82" i="18"/>
  <c r="AV79" i="18" a="1"/>
  <c r="AV79" i="18" s="1"/>
  <c r="BA81" i="18"/>
  <c r="BB74" i="18" a="1"/>
  <c r="BB74" i="18" s="1"/>
  <c r="AT77" i="18" a="1"/>
  <c r="AT77" i="18" s="1"/>
  <c r="AR79" i="18" a="1"/>
  <c r="AR79" i="18" s="1"/>
  <c r="AW79" i="18" s="1" a="1"/>
  <c r="AW79" i="18" s="1"/>
  <c r="AS75" i="18" a="1"/>
  <c r="AS75" i="18" s="1"/>
  <c r="AT75" i="18" s="1" a="1"/>
  <c r="AT75" i="18" s="1"/>
  <c r="AP83" i="18"/>
  <c r="AQ76" i="18" a="1"/>
  <c r="AQ76" i="18" s="1"/>
  <c r="BD78" i="18" a="1"/>
  <c r="BD78" i="18" s="1"/>
  <c r="BE78" i="18" s="1" a="1"/>
  <c r="BE78" i="18" s="1"/>
  <c r="BE85" i="18" l="1"/>
  <c r="AT82" i="18"/>
  <c r="AW86" i="18"/>
  <c r="BD74" i="18" a="1"/>
  <c r="BD74" i="18" s="1"/>
  <c r="AQ83" i="18"/>
  <c r="AR76" i="18" a="1"/>
  <c r="AR76" i="18" s="1"/>
  <c r="AV86" i="18"/>
  <c r="AY79" i="18" a="1"/>
  <c r="AY79" i="18" s="1"/>
  <c r="AU75" i="18" a="1"/>
  <c r="AU75" i="18" s="1"/>
  <c r="AV75" i="18" a="1"/>
  <c r="AV75" i="18" s="1"/>
  <c r="AS82" i="18"/>
  <c r="AX79" i="18" a="1"/>
  <c r="AX79" i="18" s="1"/>
  <c r="AR86" i="18"/>
  <c r="AT84" i="18"/>
  <c r="AU77" i="18" a="1"/>
  <c r="AU77" i="18" s="1"/>
  <c r="BG78" i="18" a="1"/>
  <c r="BG78" i="18" s="1"/>
  <c r="BC85" i="18"/>
  <c r="BD85" i="18"/>
  <c r="BH78" i="18" a="1"/>
  <c r="BH78" i="18" s="1"/>
  <c r="BB81" i="18"/>
  <c r="BF78" i="18" a="1"/>
  <c r="BF78" i="18" s="1"/>
  <c r="BC74" i="18" a="1"/>
  <c r="BC74" i="18" s="1"/>
  <c r="AR83" i="18" l="1"/>
  <c r="AU84" i="18"/>
  <c r="AV77" i="18" a="1"/>
  <c r="AV77" i="18" s="1"/>
  <c r="AW77" i="18" a="1"/>
  <c r="AW77" i="18" s="1"/>
  <c r="AT76" i="18" a="1"/>
  <c r="AT76" i="18" s="1"/>
  <c r="BH85" i="18"/>
  <c r="AY86" i="18"/>
  <c r="AZ79" i="18" a="1"/>
  <c r="AZ79" i="18" s="1"/>
  <c r="AV82" i="18"/>
  <c r="BD81" i="18"/>
  <c r="AW75" i="18" a="1"/>
  <c r="AW75" i="18" s="1"/>
  <c r="BG85" i="18"/>
  <c r="AX86" i="18"/>
  <c r="BF85" i="18"/>
  <c r="BJ78" i="18" a="1"/>
  <c r="BJ78" i="18" s="1"/>
  <c r="AX75" i="18" a="1"/>
  <c r="AX75" i="18" s="1"/>
  <c r="AU82" i="18"/>
  <c r="BI78" i="18" a="1"/>
  <c r="BI78" i="18" s="1"/>
  <c r="BC81" i="18"/>
  <c r="AS76" i="18" a="1"/>
  <c r="AS76" i="18" s="1"/>
  <c r="BE74" i="18" a="1"/>
  <c r="BE74" i="18" s="1"/>
  <c r="AT83" i="18" l="1"/>
  <c r="AW84" i="18"/>
  <c r="BJ85" i="18"/>
  <c r="AX82" i="18"/>
  <c r="AX77" i="18" a="1"/>
  <c r="AX77" i="18" s="1"/>
  <c r="AY77" i="18" s="1" a="1"/>
  <c r="AY77" i="18" s="1"/>
  <c r="AW82" i="18"/>
  <c r="AV84" i="18"/>
  <c r="AS83" i="18"/>
  <c r="BF74" i="18" a="1"/>
  <c r="BF74" i="18" s="1"/>
  <c r="BK78" i="18" a="1"/>
  <c r="BK78" i="18" s="1"/>
  <c r="BE81" i="18"/>
  <c r="AU76" i="18" a="1"/>
  <c r="AU76" i="18" s="1"/>
  <c r="AY75" i="18" a="1"/>
  <c r="AY75" i="18" s="1"/>
  <c r="AZ75" i="18" s="1" a="1"/>
  <c r="AZ75" i="18" s="1"/>
  <c r="AZ86" i="18"/>
  <c r="BI85" i="18"/>
  <c r="BA79" i="18" a="1"/>
  <c r="BA79" i="18" s="1"/>
  <c r="AZ82" i="18" l="1"/>
  <c r="AY84" i="18"/>
  <c r="AY82" i="18"/>
  <c r="AU83" i="18"/>
  <c r="AX84" i="18"/>
  <c r="BA75" i="18" a="1"/>
  <c r="BA75" i="18" s="1"/>
  <c r="BK85" i="18"/>
  <c r="AZ77" i="18" a="1"/>
  <c r="AZ77" i="18" s="1"/>
  <c r="BF81" i="18"/>
  <c r="BG74" i="18" a="1"/>
  <c r="BG74" i="18" s="1"/>
  <c r="AV76" i="18" a="1"/>
  <c r="AV76" i="18" s="1"/>
  <c r="BA86" i="18"/>
  <c r="BB79" i="18" a="1"/>
  <c r="BB79" i="18" s="1"/>
  <c r="AW76" i="18" a="1"/>
  <c r="AW76" i="18" s="1"/>
  <c r="BL78" i="18" a="1"/>
  <c r="BL78" i="18" s="1"/>
  <c r="BL85" i="18" l="1"/>
  <c r="AZ84" i="18"/>
  <c r="BM78" i="18" a="1"/>
  <c r="BM78" i="18" s="1"/>
  <c r="BM85" i="18" s="1"/>
  <c r="BA82" i="18"/>
  <c r="AW83" i="18"/>
  <c r="BA77" i="18" a="1"/>
  <c r="BA77" i="18" s="1"/>
  <c r="AX76" i="18" a="1"/>
  <c r="AX76" i="18" s="1"/>
  <c r="BB86" i="18"/>
  <c r="BC79" i="18" a="1"/>
  <c r="BC79" i="18" s="1"/>
  <c r="BB75" i="18" a="1"/>
  <c r="BB75" i="18" s="1"/>
  <c r="AV83" i="18"/>
  <c r="BG81" i="18"/>
  <c r="BH74" i="18" a="1"/>
  <c r="BH74" i="18" s="1"/>
  <c r="BC75" i="18" a="1"/>
  <c r="BC75" i="18" s="1"/>
  <c r="BC82" i="18" l="1"/>
  <c r="AX83" i="18"/>
  <c r="BH81" i="18"/>
  <c r="BI74" i="18" a="1"/>
  <c r="BI74" i="18" s="1"/>
  <c r="BA84" i="18"/>
  <c r="AZ76" i="18" a="1"/>
  <c r="AZ76" i="18" s="1"/>
  <c r="BN78" i="18" a="1"/>
  <c r="BN78" i="18" s="1"/>
  <c r="BN85" i="18" s="1"/>
  <c r="BD75" i="18" a="1"/>
  <c r="BD75" i="18" s="1"/>
  <c r="BF75" i="18" s="1" a="1"/>
  <c r="BF75" i="18" s="1"/>
  <c r="AY76" i="18" a="1"/>
  <c r="AY76" i="18" s="1"/>
  <c r="BB77" i="18" a="1"/>
  <c r="BB77" i="18" s="1"/>
  <c r="BE75" i="18" a="1"/>
  <c r="BE75" i="18" s="1"/>
  <c r="BB82" i="18"/>
  <c r="BC86" i="18"/>
  <c r="BD79" i="18" a="1"/>
  <c r="BD79" i="18" s="1"/>
  <c r="BF82" i="18" l="1"/>
  <c r="BD86" i="18"/>
  <c r="BE79" i="18" a="1"/>
  <c r="BE79" i="18" s="1"/>
  <c r="BG79" i="18" s="1" a="1"/>
  <c r="BG79" i="18" s="1"/>
  <c r="AZ83" i="18"/>
  <c r="BF79" i="18" a="1"/>
  <c r="BF79" i="18" s="1"/>
  <c r="BK74" i="18" a="1"/>
  <c r="BK74" i="18" s="1"/>
  <c r="BK81" i="18" s="1"/>
  <c r="BI81" i="18"/>
  <c r="BJ74" i="18" a="1"/>
  <c r="BJ74" i="18" s="1"/>
  <c r="BE82" i="18"/>
  <c r="BB84" i="18"/>
  <c r="BC77" i="18" a="1"/>
  <c r="BC77" i="18" s="1"/>
  <c r="BA76" i="18" a="1"/>
  <c r="BA76" i="18" s="1"/>
  <c r="BC76" i="18" s="1" a="1"/>
  <c r="BC76" i="18" s="1"/>
  <c r="BO78" i="18" a="1"/>
  <c r="BO78" i="18" s="1"/>
  <c r="BO85" i="18" s="1"/>
  <c r="BB76" i="18" a="1"/>
  <c r="BB76" i="18" s="1"/>
  <c r="AY83" i="18"/>
  <c r="BD82" i="18"/>
  <c r="BG75" i="18" a="1"/>
  <c r="BG75" i="18" s="1"/>
  <c r="BD77" i="18" a="1"/>
  <c r="BD77" i="18" s="1"/>
  <c r="BC83" i="18" l="1"/>
  <c r="BG86" i="18"/>
  <c r="BD84" i="18"/>
  <c r="BP78" i="18" a="1"/>
  <c r="BP78" i="18" s="1"/>
  <c r="BP85" i="18" s="1"/>
  <c r="BG82" i="18"/>
  <c r="BF86" i="18"/>
  <c r="BE76" i="18" a="1"/>
  <c r="BE76" i="18" s="1"/>
  <c r="BB83" i="18"/>
  <c r="BH79" i="18" a="1"/>
  <c r="BH79" i="18" s="1"/>
  <c r="BE86" i="18"/>
  <c r="BD76" i="18" a="1"/>
  <c r="BD76" i="18" s="1"/>
  <c r="BA83" i="18"/>
  <c r="BL74" i="18" a="1"/>
  <c r="BL74" i="18" s="1"/>
  <c r="BH75" i="18" a="1"/>
  <c r="BH75" i="18" s="1"/>
  <c r="BC84" i="18"/>
  <c r="BE77" i="18" a="1"/>
  <c r="BE77" i="18" s="1"/>
  <c r="BJ81" i="18"/>
  <c r="BM74" i="18" a="1"/>
  <c r="BM74" i="18" s="1"/>
  <c r="BM81" i="18" s="1"/>
  <c r="BH86" i="18" l="1"/>
  <c r="BE83" i="18"/>
  <c r="BN74" i="18" a="1"/>
  <c r="BN74" i="18" s="1"/>
  <c r="BN81" i="18" s="1"/>
  <c r="BE84" i="18"/>
  <c r="BF77" i="18" a="1"/>
  <c r="BF77" i="18" s="1"/>
  <c r="BL81" i="18"/>
  <c r="BO74" i="18" a="1"/>
  <c r="BO74" i="18" s="1"/>
  <c r="BO81" i="18" s="1"/>
  <c r="BI79" i="18" a="1"/>
  <c r="BI79" i="18" s="1"/>
  <c r="BH82" i="18"/>
  <c r="BD83" i="18"/>
  <c r="BI75" i="18" a="1"/>
  <c r="BI75" i="18" s="1"/>
  <c r="BF76" i="18" a="1"/>
  <c r="BF76" i="18" s="1"/>
  <c r="BF83" i="18" l="1"/>
  <c r="BI82" i="18"/>
  <c r="BJ75" i="18" a="1"/>
  <c r="BJ75" i="18" s="1"/>
  <c r="BK75" i="18" a="1"/>
  <c r="BK75" i="18" s="1"/>
  <c r="BP74" i="18" a="1"/>
  <c r="BP74" i="18" s="1"/>
  <c r="BP81" i="18" s="1"/>
  <c r="BF84" i="18"/>
  <c r="BG77" i="18" a="1"/>
  <c r="BG77" i="18" s="1"/>
  <c r="BK79" i="18" a="1"/>
  <c r="BK79" i="18" s="1"/>
  <c r="BK86" i="18" s="1"/>
  <c r="BG76" i="18" a="1"/>
  <c r="BG76" i="18" s="1"/>
  <c r="BI86" i="18"/>
  <c r="BJ79" i="18" a="1"/>
  <c r="BJ79" i="18" s="1"/>
  <c r="BL79" i="18" l="1" a="1"/>
  <c r="BL79" i="18" s="1"/>
  <c r="BL86" i="18" s="1"/>
  <c r="BG84" i="18"/>
  <c r="BH77" i="18" a="1"/>
  <c r="BH77" i="18" s="1"/>
  <c r="BK82" i="18"/>
  <c r="BG83" i="18"/>
  <c r="BM75" i="18" a="1"/>
  <c r="BM75" i="18" s="1"/>
  <c r="BN75" i="18" s="1" a="1"/>
  <c r="BN75" i="18" s="1"/>
  <c r="BN82" i="18" s="1"/>
  <c r="BJ82" i="18"/>
  <c r="BJ86" i="18"/>
  <c r="BH76" i="18" a="1"/>
  <c r="BH76" i="18" s="1"/>
  <c r="BL75" i="18" a="1"/>
  <c r="BL75" i="18" s="1"/>
  <c r="BM79" i="18" a="1"/>
  <c r="BM79" i="18" s="1"/>
  <c r="BM86" i="18" s="1"/>
  <c r="BI77" i="18" l="1" a="1"/>
  <c r="BI77" i="18" s="1"/>
  <c r="BM82" i="18"/>
  <c r="BL82" i="18"/>
  <c r="BO75" i="18" a="1"/>
  <c r="BO75" i="18" s="1"/>
  <c r="BO82" i="18" s="1"/>
  <c r="BN79" i="18" a="1"/>
  <c r="BN79" i="18" s="1"/>
  <c r="BH84" i="18"/>
  <c r="BH83" i="18"/>
  <c r="BI76" i="18" a="1"/>
  <c r="BI76" i="18" s="1"/>
  <c r="BN86" i="18" l="1"/>
  <c r="BO79" i="18" a="1"/>
  <c r="BO79" i="18" s="1"/>
  <c r="BO86" i="18" s="1"/>
  <c r="BI84" i="18"/>
  <c r="BJ77" i="18" a="1"/>
  <c r="BJ77" i="18" s="1"/>
  <c r="BI83" i="18"/>
  <c r="BJ76" i="18" a="1"/>
  <c r="BJ76" i="18" s="1"/>
  <c r="BP75" i="18" a="1"/>
  <c r="BP75" i="18" s="1"/>
  <c r="BP82" i="18" s="1"/>
  <c r="BK76" i="18" l="1" a="1"/>
  <c r="BK76" i="18" s="1"/>
  <c r="BJ84" i="18"/>
  <c r="BK77" i="18" a="1"/>
  <c r="BK77" i="18" s="1"/>
  <c r="BP79" i="18" a="1"/>
  <c r="BP79" i="18" s="1"/>
  <c r="BP86" i="18" s="1"/>
  <c r="BJ83" i="18"/>
  <c r="BK84" i="18" l="1"/>
  <c r="BL77" i="18" a="1"/>
  <c r="BL77" i="18" s="1"/>
  <c r="BL84" i="18" s="1"/>
  <c r="BK83" i="18"/>
  <c r="BM77" i="18" a="1"/>
  <c r="BM77" i="18" s="1"/>
  <c r="BM84" i="18" s="1"/>
  <c r="BL76" i="18" a="1"/>
  <c r="BL76" i="18" s="1"/>
  <c r="BN77" i="18" l="1" a="1"/>
  <c r="BN77" i="18" s="1"/>
  <c r="BN84" i="18" s="1"/>
  <c r="BL83" i="18"/>
  <c r="BM76" i="18" a="1"/>
  <c r="BM76" i="18" s="1"/>
  <c r="BO77" i="18" a="1"/>
  <c r="BO77" i="18" s="1"/>
  <c r="BO84" i="18" s="1"/>
  <c r="BM83" i="18" l="1"/>
  <c r="BP77" i="18" a="1"/>
  <c r="BP77" i="18" s="1"/>
  <c r="BP84" i="18" s="1"/>
  <c r="BN76" i="18" a="1"/>
  <c r="BN76" i="18" s="1"/>
  <c r="BN83" i="18" s="1"/>
  <c r="BO76" i="18" l="1" a="1"/>
  <c r="BO76" i="18" s="1"/>
  <c r="BO83" i="18" s="1"/>
  <c r="BP76" i="18" l="1" a="1"/>
  <c r="BP76" i="18" s="1"/>
  <c r="BP83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<sst xmlns="http://schemas.openxmlformats.org/spreadsheetml/2006/main" count="1148" uniqueCount="305">
  <si>
    <t>Fuel Economy (freight ton*miles/BTU)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</si>
  <si>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</si>
  <si>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</si>
  <si>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</si>
  <si>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</si>
  <si>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</si>
  <si>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</si>
  <si>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</si>
  <si>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LDVs</t>
  </si>
  <si>
    <t>HDVs</t>
  </si>
  <si>
    <t>aircraft</t>
  </si>
  <si>
    <t>rail</t>
  </si>
  <si>
    <t>ships</t>
  </si>
  <si>
    <t>motorbikes</t>
  </si>
  <si>
    <t>Fuel Economy (passenger*miles/BTU)</t>
  </si>
  <si>
    <t>passenger rail</t>
  </si>
  <si>
    <t>Notes</t>
  </si>
  <si>
    <t>U.S. Department of Energy</t>
  </si>
  <si>
    <t>EIA</t>
  </si>
  <si>
    <t>Sources:</t>
  </si>
  <si>
    <t>SYFAFE Start Year Fleet Avg Fuel Economy</t>
  </si>
  <si>
    <t>sheetname</t>
  </si>
  <si>
    <t>vehicle fuel type</t>
  </si>
  <si>
    <t>车型</t>
  </si>
  <si>
    <t>用途</t>
  </si>
  <si>
    <t>燃料</t>
  </si>
  <si>
    <t>类型</t>
  </si>
  <si>
    <t>LDV-passenger</t>
  </si>
  <si>
    <t>轻型车</t>
  </si>
  <si>
    <t>乘用</t>
  </si>
  <si>
    <t>纯电动</t>
  </si>
  <si>
    <t>新增</t>
  </si>
  <si>
    <t>天然气</t>
  </si>
  <si>
    <t>汽油</t>
  </si>
  <si>
    <t>柴油</t>
  </si>
  <si>
    <t>混动</t>
  </si>
  <si>
    <t>液化石油气</t>
  </si>
  <si>
    <t>氢能</t>
  </si>
  <si>
    <t>LDV-frgt</t>
  </si>
  <si>
    <t>载货</t>
  </si>
  <si>
    <t>HDV-passenger</t>
  </si>
  <si>
    <t>重型车</t>
  </si>
  <si>
    <t>HDV-frgt</t>
  </si>
  <si>
    <t>From YJW Calculation</t>
    <phoneticPr fontId="2" type="noConversion"/>
  </si>
  <si>
    <t>Difference</t>
    <phoneticPr fontId="2" type="noConversion"/>
  </si>
  <si>
    <t xml:space="preserve"> (thing*miles/BTU)</t>
  </si>
  <si>
    <t>tC/吨公里</t>
    <phoneticPr fontId="2" type="noConversion"/>
  </si>
  <si>
    <t>ship-frgt</t>
    <phoneticPr fontId="2" type="noConversion"/>
  </si>
  <si>
    <t>natural gas</t>
    <phoneticPr fontId="2" type="noConversion"/>
  </si>
  <si>
    <t>tC/人公里</t>
    <phoneticPr fontId="2" type="noConversion"/>
  </si>
  <si>
    <t>diesel</t>
    <phoneticPr fontId="2" type="noConversion"/>
  </si>
  <si>
    <t>ship-psgr</t>
    <phoneticPr fontId="2" type="noConversion"/>
  </si>
  <si>
    <t>kWh和J换算</t>
    <phoneticPr fontId="2" type="noConversion"/>
  </si>
  <si>
    <t>kWh/人公里</t>
    <phoneticPr fontId="2" type="noConversion"/>
  </si>
  <si>
    <t>电耗：</t>
    <phoneticPr fontId="2" type="noConversion"/>
  </si>
  <si>
    <t>tCO2/kWh</t>
    <phoneticPr fontId="2" type="noConversion"/>
  </si>
  <si>
    <t>电网平均碳排放因子：</t>
    <phoneticPr fontId="2" type="noConversion"/>
  </si>
  <si>
    <t>每人公里电耗：</t>
    <phoneticPr fontId="2" type="noConversion"/>
  </si>
  <si>
    <t>续航能力</t>
    <phoneticPr fontId="2" type="noConversion"/>
  </si>
  <si>
    <t>载客人数</t>
    <phoneticPr fontId="2" type="noConversion"/>
  </si>
  <si>
    <t>kWh</t>
    <phoneticPr fontId="2" type="noConversion"/>
  </si>
  <si>
    <t>电池总容量</t>
    <phoneticPr fontId="2" type="noConversion"/>
  </si>
  <si>
    <t>“亿纬号”和“格林美号”</t>
    <phoneticPr fontId="2" type="noConversion"/>
  </si>
  <si>
    <t>“长江三峡1”号</t>
    <phoneticPr fontId="2" type="noConversion"/>
  </si>
  <si>
    <t>km和mile换算系数</t>
    <phoneticPr fontId="2" type="noConversion"/>
  </si>
  <si>
    <t>BTU和J换算系数</t>
    <phoneticPr fontId="2" type="noConversion"/>
  </si>
  <si>
    <t>tC/TJ</t>
    <phoneticPr fontId="2" type="noConversion"/>
  </si>
  <si>
    <t>排放因子</t>
    <phoneticPr fontId="2" type="noConversion"/>
  </si>
  <si>
    <t>天然气参数：</t>
    <phoneticPr fontId="2" type="noConversion"/>
  </si>
  <si>
    <t>柴油参数：</t>
    <phoneticPr fontId="2" type="noConversion"/>
  </si>
  <si>
    <t>g/吨公里</t>
    <phoneticPr fontId="2" type="noConversion"/>
  </si>
  <si>
    <t>碳排放因子</t>
    <phoneticPr fontId="2" type="noConversion"/>
  </si>
  <si>
    <t>《我国交通运输行业及不同运输方式的碳排 放水平和强度分析》</t>
  </si>
  <si>
    <t>g/人公里</t>
    <phoneticPr fontId="2" type="noConversion"/>
  </si>
  <si>
    <t>《中国产品全生命周期温室气体排放系数集（2022）》</t>
  </si>
  <si>
    <t>battery</t>
    <phoneticPr fontId="2" type="noConversion"/>
  </si>
  <si>
    <t>Aircraft shares by cargo type</t>
  </si>
  <si>
    <t>share of active aircraft that are passenger aircraft</t>
  </si>
  <si>
    <t>share of active aircraft that are cargo aircraft</t>
  </si>
  <si>
    <t>Ratios of New Vehicle Fuel Economy to Fleet Average Fuel Economy</t>
  </si>
  <si>
    <t>freight HDVs</t>
  </si>
  <si>
    <t>Perc Reduction in Fuel Use for Electricity</t>
  </si>
  <si>
    <t>Source:</t>
  </si>
  <si>
    <t>LDVs and motorbikes</t>
  </si>
  <si>
    <t>For sources and calculations, see the variable trans/PTFURfE.</t>
  </si>
  <si>
    <t>Perc of Electricity Use for Plug-In Hybrid Vehicles</t>
  </si>
  <si>
    <t>electricity share</t>
  </si>
  <si>
    <t>For source, see the variable trans/BPoEFUbVT.</t>
  </si>
  <si>
    <t>Vehicle Loadings (in people or freight tons / vehicle)</t>
  </si>
  <si>
    <t>11月版AVLo</t>
  </si>
  <si>
    <t>passenger LDVs</t>
  </si>
  <si>
    <t>For sources and calculations, see the variable AVLo.</t>
  </si>
  <si>
    <t>freight LDVs</t>
  </si>
  <si>
    <t>passenger HDVs</t>
  </si>
  <si>
    <t>passenger aircraft</t>
  </si>
  <si>
    <t>freight aircraft</t>
  </si>
  <si>
    <t>passenger motorbikes</t>
  </si>
  <si>
    <t>BTU per Gallon Liquid Fuels</t>
  </si>
  <si>
    <t>gasoline</t>
  </si>
  <si>
    <t>Energy Explained: Units and Calculators</t>
  </si>
  <si>
    <t>diesel</t>
  </si>
  <si>
    <t>Energy units and calculators explained - U.S. Energy Information Administration (EIA)</t>
  </si>
  <si>
    <t>Passenger Rail Passenger Miles</t>
  </si>
  <si>
    <t>Average Dist Traveled by vehicle</t>
  </si>
  <si>
    <t>For sources and calculations, see the variables BAADTbVT and SYVbT</t>
  </si>
  <si>
    <t>Number of Vehicles</t>
  </si>
  <si>
    <t>Hydrogen vs. Gasoline Efficiency</t>
  </si>
  <si>
    <t>gasoline car efficiency</t>
  </si>
  <si>
    <t>hydrogen FCV efficiency</t>
  </si>
  <si>
    <t>See "About" tab for full bibliographic details.</t>
  </si>
  <si>
    <t>distance multiplier for hydrogen vehicles</t>
  </si>
  <si>
    <t>Propane (LPG) vs. Gasoline Efficiency</t>
  </si>
  <si>
    <t>reduction in efficiency for propane</t>
  </si>
  <si>
    <t>https://www.sustainablebusinesstoolkit.com/lpg-vs-petrol-vehicles/</t>
  </si>
  <si>
    <t>distance multiplier for propane vehicles</t>
  </si>
  <si>
    <t>https://afdc.energy.gov/vehicles/propane.html</t>
  </si>
  <si>
    <t>Fuel Economy - Passenger Rail</t>
  </si>
  <si>
    <t>Passenger rail</t>
  </si>
  <si>
    <t>TKI000:railpassmiles</t>
  </si>
  <si>
    <t>billion passenger miles - passenger rail</t>
  </si>
  <si>
    <t>energy use by mode (BTU) - rail, passenger, electric</t>
  </si>
  <si>
    <t>energy use by mode (BTU) - rail, passenger, diesel</t>
  </si>
  <si>
    <t>Electric BTUs * efficiency</t>
  </si>
  <si>
    <t>Diesel BTUs * efficiency</t>
  </si>
  <si>
    <t>estimated fuel economy (passenger miles/btu) - electric</t>
  </si>
  <si>
    <t>estimated fuel economy (passenger miles/btu) - diesel</t>
  </si>
  <si>
    <t>Efficiency electric</t>
  </si>
  <si>
    <t>Source: See trans/BNVFE</t>
  </si>
  <si>
    <t>Efficiency diesel</t>
  </si>
  <si>
    <t>电力BTU/千瓦时</t>
    <phoneticPr fontId="12" type="noConversion"/>
  </si>
  <si>
    <t>NG BTU/kg</t>
    <phoneticPr fontId="12" type="noConversion"/>
  </si>
  <si>
    <t>汽油BTU/L</t>
    <phoneticPr fontId="12" type="noConversion"/>
  </si>
  <si>
    <t>柴油BTU/L</t>
    <phoneticPr fontId="12" type="noConversion"/>
  </si>
  <si>
    <t>LPG BTU/kg</t>
    <phoneticPr fontId="12" type="noConversion"/>
  </si>
  <si>
    <t>H2 BTU/kg</t>
    <phoneticPr fontId="12" type="noConversion"/>
  </si>
  <si>
    <t>Vehicle Loading (tons)</t>
  </si>
  <si>
    <t>igdp-freight</t>
    <phoneticPr fontId="12" type="noConversion"/>
  </si>
  <si>
    <t>Vehicle Loading (passengers)</t>
  </si>
  <si>
    <t>igdp-passenger</t>
    <phoneticPr fontId="12" type="noConversion"/>
  </si>
  <si>
    <t>us-freight</t>
  </si>
  <si>
    <t>us-passenger</t>
  </si>
  <si>
    <t>smarttrans-freight</t>
  </si>
  <si>
    <t>smarttrans-passenger</t>
  </si>
  <si>
    <t>能源单位/吨公里</t>
    <phoneticPr fontId="2" type="noConversion"/>
  </si>
  <si>
    <t>能源单位/公里</t>
    <phoneticPr fontId="2" type="noConversion"/>
  </si>
  <si>
    <t>igdp-freight</t>
  </si>
  <si>
    <t>能源单位/人公里</t>
    <phoneticPr fontId="2" type="noConversion"/>
  </si>
  <si>
    <t>igdp-passenger</t>
  </si>
  <si>
    <t>LDVs</t>
    <phoneticPr fontId="12" type="noConversion"/>
  </si>
  <si>
    <t>kg 千瓦时</t>
  </si>
  <si>
    <t>BTU</t>
  </si>
  <si>
    <t>原煤</t>
  </si>
  <si>
    <t>煤油</t>
  </si>
  <si>
    <t>电力</t>
  </si>
  <si>
    <t>煤油内燃机</t>
  </si>
  <si>
    <t>煤内燃机</t>
  </si>
  <si>
    <t>电电力机车</t>
  </si>
  <si>
    <t>煤电力机车</t>
  </si>
  <si>
    <t>kg/(吨公里)</t>
  </si>
  <si>
    <t>Wh/(吨公里)</t>
  </si>
  <si>
    <t>（吨公里）/BTU</t>
  </si>
  <si>
    <t>客运</t>
  </si>
  <si>
    <t>货运</t>
  </si>
  <si>
    <t>初始情景</t>
  </si>
  <si>
    <t>减排情景</t>
  </si>
  <si>
    <t>煤</t>
  </si>
  <si>
    <t>kg/(人公里）</t>
  </si>
  <si>
    <t>kg/(吨公里）</t>
  </si>
  <si>
    <t>（人公里）/BTU</t>
  </si>
  <si>
    <t>单位运输工作量综合能耗 吨煤/百万公里</t>
  </si>
  <si>
    <t>Highspeed elec psgr</t>
    <phoneticPr fontId="2" type="noConversion"/>
  </si>
  <si>
    <t>ICEV psgr</t>
    <phoneticPr fontId="2" type="noConversion"/>
  </si>
  <si>
    <t>ICEV frgt</t>
    <phoneticPr fontId="2" type="noConversion"/>
  </si>
  <si>
    <t>electric psgr</t>
    <phoneticPr fontId="2" type="noConversion"/>
  </si>
  <si>
    <t>高速铁路</t>
  </si>
  <si>
    <t>内燃客运</t>
  </si>
  <si>
    <t>内燃货运</t>
  </si>
  <si>
    <t>电力客运</t>
  </si>
  <si>
    <t>电力货运</t>
  </si>
  <si>
    <t>Unit Conversion</t>
    <phoneticPr fontId="2" type="noConversion"/>
  </si>
  <si>
    <t>kg煤/吨公里</t>
  </si>
  <si>
    <t>kg煤/人公里</t>
  </si>
  <si>
    <t>高速铁路（客运）</t>
  </si>
  <si>
    <t>人公里/BTU</t>
  </si>
  <si>
    <t>吨公里/BTU</t>
  </si>
  <si>
    <t>铁路载人</t>
  </si>
  <si>
    <t>铁路载货</t>
  </si>
  <si>
    <t>Data from AVLo</t>
    <phoneticPr fontId="2" type="noConversion"/>
  </si>
  <si>
    <t>指标</t>
    <phoneticPr fontId="12" type="noConversion"/>
  </si>
  <si>
    <t>铁路旅客周转量</t>
    <phoneticPr fontId="12" type="noConversion"/>
  </si>
  <si>
    <t>营运铁路旅客周转量</t>
    <phoneticPr fontId="12" type="noConversion"/>
  </si>
  <si>
    <t>高铁旅客周转量</t>
    <phoneticPr fontId="12" type="noConversion"/>
  </si>
  <si>
    <t>客运机车旅客周转量</t>
    <phoneticPr fontId="12" type="noConversion"/>
  </si>
  <si>
    <t>城市轨道交通周转量</t>
    <phoneticPr fontId="12" type="noConversion"/>
  </si>
  <si>
    <t>铁路货物周转量</t>
    <phoneticPr fontId="12" type="noConversion"/>
  </si>
  <si>
    <t>High Speed rail vs Regular Rail</t>
    <phoneticPr fontId="2" type="noConversion"/>
  </si>
  <si>
    <t>Average Fuel Economy</t>
    <phoneticPr fontId="2" type="noConversion"/>
  </si>
  <si>
    <t>2019 China Aviation Fuel Economy</t>
  </si>
  <si>
    <t>kg/吨公里</t>
  </si>
  <si>
    <t>BTU/tKM</t>
  </si>
  <si>
    <t>t mile/BTU</t>
  </si>
  <si>
    <t>2019 China Aviation Jet Fuel Consumption</t>
  </si>
  <si>
    <t>吨</t>
  </si>
  <si>
    <t>Cargo Distance Equivalent</t>
  </si>
  <si>
    <t>国际煤油消耗量</t>
    <phoneticPr fontId="2" type="noConversion"/>
  </si>
  <si>
    <t>Source</t>
  </si>
  <si>
    <t>Jet Fuel Keroscene 煤油</t>
  </si>
  <si>
    <t>TJ/万吨</t>
  </si>
  <si>
    <t>《能源统计年鉴》</t>
  </si>
  <si>
    <t>BTU/kg</t>
  </si>
  <si>
    <t>person to ton ratio</t>
  </si>
  <si>
    <t>From China Civil Aviation Statistics</t>
  </si>
  <si>
    <t>Total Passenger</t>
    <phoneticPr fontId="2" type="noConversion"/>
  </si>
  <si>
    <t>万人公里 10^4 ppl km</t>
  </si>
  <si>
    <t>Domestic Passenger</t>
    <phoneticPr fontId="2" type="noConversion"/>
  </si>
  <si>
    <t>Total Freight</t>
    <phoneticPr fontId="2" type="noConversion"/>
  </si>
  <si>
    <t>万吨公里 10^4 ton km</t>
  </si>
  <si>
    <t>Domestic Freight</t>
    <phoneticPr fontId="2" type="noConversion"/>
  </si>
  <si>
    <t>Total Cargo Distance</t>
    <phoneticPr fontId="2" type="noConversion"/>
  </si>
  <si>
    <t>万吨公里 10^4 ton km (equivalent</t>
  </si>
  <si>
    <t>Domestic Cargo Distance</t>
    <phoneticPr fontId="2" type="noConversion"/>
  </si>
  <si>
    <t>Calculated Cargo Distance Total</t>
    <phoneticPr fontId="2" type="noConversion"/>
  </si>
  <si>
    <t>Diff Ratio Total</t>
    <phoneticPr fontId="2" type="noConversion"/>
  </si>
  <si>
    <t>Calculated Cargo Distance Domestic</t>
    <phoneticPr fontId="2" type="noConversion"/>
  </si>
  <si>
    <t>Diff Ratio Domestic</t>
    <phoneticPr fontId="2" type="noConversion"/>
  </si>
  <si>
    <t>Calcualting Average Fuel Economy</t>
    <phoneticPr fontId="2" type="noConversion"/>
  </si>
  <si>
    <t>吨英里/BTU</t>
  </si>
  <si>
    <t>ton mile / BTU</t>
  </si>
  <si>
    <t>人英里/BTU</t>
  </si>
  <si>
    <t>ppl mile / BTU</t>
  </si>
  <si>
    <t>载人油耗</t>
    <phoneticPr fontId="2" type="noConversion"/>
  </si>
  <si>
    <t>载货油耗</t>
    <phoneticPr fontId="2" type="noConversion"/>
  </si>
  <si>
    <t>万吨</t>
  </si>
  <si>
    <t>GB 15744-2019</t>
  </si>
  <si>
    <t>AVLo</t>
    <phoneticPr fontId="2" type="noConversion"/>
  </si>
  <si>
    <t>油耗</t>
    <phoneticPr fontId="2" type="noConversion"/>
  </si>
  <si>
    <t>L/100km</t>
    <phoneticPr fontId="2" type="noConversion"/>
  </si>
  <si>
    <t>BNVFE-psgr</t>
    <phoneticPr fontId="2" type="noConversion"/>
  </si>
  <si>
    <t>hydrogen vehicle</t>
    <phoneticPr fontId="2" type="noConversion"/>
  </si>
  <si>
    <t>HDV LDV Survival Rate, Vehicle Fuel Consumption per 100km</t>
  </si>
  <si>
    <t>Beijing Smart &amp; Green Research Center</t>
  </si>
  <si>
    <t>"China Road Motor Vehicle Carbon Emission Model and Parameter Comparative Research Report"</t>
  </si>
  <si>
    <t>page 15-16</t>
  </si>
  <si>
    <t>LDV HDV Ownerships and Sales</t>
  </si>
  <si>
    <t>National Bureau of Statistics of China</t>
  </si>
  <si>
    <t>Vehicle sales data by province, type and year</t>
  </si>
  <si>
    <t>Figures from the National Bureau of Statistics of China</t>
  </si>
  <si>
    <t>General Administration of Quality Supervision, Inspection and Quarantine of the People's Republic of China</t>
  </si>
  <si>
    <t>State Administration for Market Regulation</t>
  </si>
  <si>
    <t>Fuel consumption limits for passenger cars GB 19578-2021</t>
  </si>
  <si>
    <t>Limits for fuel consumption for light-duty commercial vehicles GB 20997-2015</t>
  </si>
  <si>
    <t>http://c.gb688.cn/bzgk/gb/showGb?type=online&amp;hcno=9C036161B1CEAFDA5225B7184A67229B</t>
  </si>
  <si>
    <t>国家标准|GB 19578-2021 (samr.gov.cn)</t>
  </si>
  <si>
    <t>Aircraft</t>
    <phoneticPr fontId="2" type="noConversion"/>
  </si>
  <si>
    <t>Rail</t>
    <phoneticPr fontId="2" type="noConversion"/>
  </si>
  <si>
    <t>Ships</t>
    <phoneticPr fontId="2" type="noConversion"/>
  </si>
  <si>
    <t>This variable gives fuel economy for new vehicles in units of cargo distance per BTU.</t>
  </si>
  <si>
    <t>We calculated all data based on China data, but the percentage of battery and hydrogen for rail, ships, aircrafts and motorebikes we follow the US data.</t>
    <phoneticPr fontId="2" type="noConversion"/>
  </si>
  <si>
    <t>Sales data for new vehicles from 2020 to 2060 were obtained from the output of EPS model.</t>
  </si>
  <si>
    <t>https://data.stats.gov.cn/easyquery.htm?cn=C01&amp;zb=A0G0K&amp;sj=2022</t>
    <phoneticPr fontId="2" type="noConversion"/>
  </si>
  <si>
    <t>The limits and measurement methods of fuel consumption for motorcycles and mopeds</t>
  </si>
  <si>
    <t>Fuel consumption limits for heavy-duty commercial vehicles GB 30510-2018</t>
    <phoneticPr fontId="2" type="noConversion"/>
  </si>
  <si>
    <t xml:space="preserve">Fuel consumption limits for motorbikes GB 15744-2019 </t>
    <phoneticPr fontId="2" type="noConversion"/>
  </si>
  <si>
    <t>Analysis of carbon emission level and intensity of China's transportation industry and different transportation modes</t>
    <phoneticPr fontId="2" type="noConversion"/>
  </si>
  <si>
    <t>China products carbon footprint factors database</t>
    <phoneticPr fontId="2" type="noConversion"/>
  </si>
  <si>
    <t>https://vt.quark.cn/blm/quark-doc-main-pc-966/preview?fp_from=sc&amp;id=D05BDF85E8087ED6C152BADD88207801</t>
  </si>
  <si>
    <t>Road Vehicle and Motorbike Fuel Consumption Limits</t>
    <phoneticPr fontId="2" type="noConversion"/>
  </si>
  <si>
    <t>北京智慧绿行科技有限公司</t>
    <phoneticPr fontId="2" type="noConversion"/>
  </si>
  <si>
    <t>中华人民共和国国家质量监督检验检疫总局</t>
    <phoneticPr fontId="2" type="noConversion"/>
  </si>
  <si>
    <t>中国道路机动车碳排放模型与参数比较研究报告</t>
    <phoneticPr fontId="2" type="noConversion"/>
  </si>
  <si>
    <t>重型商用车辆燃料消耗量限值</t>
  </si>
  <si>
    <t>轻型商用车辆燃料消耗量限值</t>
    <phoneticPr fontId="2" type="noConversion"/>
  </si>
  <si>
    <t>国家标准|GB 20997-2015 (samr.gov.cn)</t>
    <phoneticPr fontId="2" type="noConversion"/>
  </si>
  <si>
    <t>国家统计局</t>
    <phoneticPr fontId="2" type="noConversion"/>
  </si>
  <si>
    <t>国家市场监督管理总局</t>
    <phoneticPr fontId="2" type="noConversion"/>
  </si>
  <si>
    <t>国家统计局民用汽车拥有量</t>
    <phoneticPr fontId="2" type="noConversion"/>
  </si>
  <si>
    <t>摩托车和轻便摩托车燃油消耗量限值及测量方法</t>
    <phoneticPr fontId="2" type="noConversion"/>
  </si>
  <si>
    <t>http://c.gb688.cn/bzgk/gb/showGb?type=online&amp;hcno=E9873417C49AA42796C319A13B3E1146</t>
    <phoneticPr fontId="2" type="noConversion"/>
  </si>
  <si>
    <t>China vehicle sales and insurance registration database</t>
    <phoneticPr fontId="2" type="noConversion"/>
  </si>
  <si>
    <t>20019-2023</t>
    <phoneticPr fontId="2" type="noConversion"/>
  </si>
  <si>
    <t>乘用车燃料消耗量限值</t>
    <phoneticPr fontId="2" type="noConversion"/>
  </si>
  <si>
    <t>Civil Aviation Administration of China</t>
    <phoneticPr fontId="2" type="noConversion"/>
  </si>
  <si>
    <t>中国民用航空局</t>
    <phoneticPr fontId="2" type="noConversion"/>
  </si>
  <si>
    <t>Statistical Data on Civil Aviation of China</t>
    <phoneticPr fontId="2" type="noConversion"/>
  </si>
  <si>
    <t>从统计看民航</t>
    <phoneticPr fontId="2" type="noConversion"/>
  </si>
  <si>
    <t>Tian, Mao, Tong, Zhang, Zhou</t>
    <phoneticPr fontId="2" type="noConversion"/>
  </si>
  <si>
    <t>2012-2022</t>
    <phoneticPr fontId="2" type="noConversion"/>
  </si>
  <si>
    <t>田佩宁， 毛保华， 童瑞咏， 张皓翔， 周琪</t>
    <phoneticPr fontId="2" type="noConversion"/>
  </si>
  <si>
    <t>我国交通运输行业及不同运输方式的碳排放水平和强度分析</t>
    <phoneticPr fontId="2" type="noConversion"/>
  </si>
  <si>
    <t>Yang Hongyi</t>
    <phoneticPr fontId="2" type="noConversion"/>
  </si>
  <si>
    <t>杨弘毅</t>
    <phoneticPr fontId="2" type="noConversion"/>
  </si>
  <si>
    <t>https://www.climatechange.cn/article/2023/1673-1719/1673-1719-19-3-347.shtml</t>
    <phoneticPr fontId="2" type="noConversion"/>
  </si>
  <si>
    <t>Research on Routine Prediction to Carbon Emission Peak of Railway Industry</t>
    <phoneticPr fontId="2" type="noConversion"/>
  </si>
  <si>
    <t>Table 1</t>
    <phoneticPr fontId="2" type="noConversion"/>
  </si>
  <si>
    <t>铁路行业碳达峰路径的预测研究</t>
    <phoneticPr fontId="2" type="noConversion"/>
  </si>
  <si>
    <t>Passenger Ship Fuel Economy and Pollutant Intensity</t>
    <phoneticPr fontId="2" type="noConversion"/>
  </si>
  <si>
    <t>Page 48, Figure 2</t>
    <phoneticPr fontId="2" type="noConversion"/>
  </si>
  <si>
    <t>中国城市温室气体工作组</t>
    <phoneticPr fontId="2" type="noConversion"/>
  </si>
  <si>
    <t>Wang Zhijie</t>
    <phoneticPr fontId="2" type="noConversion"/>
  </si>
  <si>
    <t>China Urban Greenhouse Gas Work Group</t>
    <phoneticPr fontId="2" type="noConversion"/>
  </si>
  <si>
    <t>王致杰</t>
    <phoneticPr fontId="2" type="noConversion"/>
  </si>
  <si>
    <r>
      <rPr>
        <sz val="11"/>
        <color rgb="FF231F20"/>
        <rFont val="微软雅黑"/>
        <family val="2"/>
        <charset val="134"/>
      </rPr>
      <t>中国产品全生命周期温室气体排放系数集（</t>
    </r>
    <r>
      <rPr>
        <sz val="11"/>
        <color rgb="FF231F20"/>
        <rFont val="Arial"/>
        <family val="2"/>
      </rPr>
      <t>2022</t>
    </r>
    <r>
      <rPr>
        <sz val="11"/>
        <color rgb="FF231F20"/>
        <rFont val="微软雅黑"/>
        <family val="2"/>
        <charset val="134"/>
      </rPr>
      <t>）</t>
    </r>
    <phoneticPr fontId="2" type="noConversion"/>
  </si>
  <si>
    <t>“双碳”目标背景下我国铁路运输能源消耗及碳减排潜力研究</t>
    <phoneticPr fontId="2" type="noConversion"/>
  </si>
  <si>
    <t>Research on the Potential of Energy Consumption and Carbon Emssion on Reduction of Chian's Railway Transportataion under the Goal of "Carbon Peaking and Carbon Neutrality"</t>
    <phoneticPr fontId="2" type="noConversion"/>
  </si>
  <si>
    <t>Page 4, Table 3, Table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</si>
</sst>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0.0000E+00"/>
    <numFmt numFmtId="177" formatCode="0.000E+00"/>
    <numFmt numFmtId="178" formatCode="_(* #,##0.00_);_(* \(#,##0.00\);_(* &quot;-&quot;??_);_(@_)"/>
    <numFmt numFmtId="179" formatCode="0.000"/>
    <numFmt numFmtId="180" formatCode="0.0"/>
    <numFmt numFmtId="181" formatCode="0.0%"/>
    <numFmt numFmtId="182" formatCode="0.0_);[Red]\(0.0\)"/>
    <numFmt numFmtId="183" formatCode="0_);[Red]\(0\)"/>
    <numFmt numFmtId="184" formatCode="0.00_);[Red]\(0.00\)"/>
    <numFmt numFmtId="185" formatCode="0_ "/>
    <numFmt numFmtId="18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color rgb="FF231F20"/>
      <name val="SourceHanSansCN-Light"/>
      <family val="2"/>
    </font>
    <font>
      <u/>
      <sz val="11"/>
      <color rgb="FF800080"/>
      <name val="宋体"/>
      <family val="3"/>
      <charset val="134"/>
      <scheme val="minor"/>
    </font>
    <font>
      <sz val="9"/>
      <color indexed="8"/>
      <name val="Calibri"/>
      <family val="2"/>
    </font>
    <font>
      <sz val="8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Arial"/>
      <family val="2"/>
    </font>
    <font>
      <sz val="11"/>
      <color rgb="FF231F20"/>
      <name val="微软雅黑"/>
      <family val="2"/>
      <charset val="134"/>
    </font>
    <font>
      <sz val="11"/>
      <color rgb="FF231F2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1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/>
  </cellStyleXfs>
  <cellXfs count="109">
    <xf numFmtId="0" fontId="0" fillId="0" borderId="0" xfId="0">
      <alignment vertical="center"/>
    </xf>
    <xf numFmtId="0" fontId="3" fillId="0" borderId="0" xfId="2"/>
    <xf numFmtId="9" fontId="0" fillId="0" borderId="0" xfId="3" applyFont="1"/>
    <xf numFmtId="177" fontId="3" fillId="0" borderId="0" xfId="2" applyNumberFormat="1"/>
    <xf numFmtId="0" fontId="3" fillId="0" borderId="0" xfId="2" applyAlignment="1">
      <alignment wrapText="1"/>
    </xf>
    <xf numFmtId="0" fontId="3" fillId="0" borderId="0" xfId="2" applyAlignment="1">
      <alignment horizontal="right" wrapText="1"/>
    </xf>
    <xf numFmtId="0" fontId="4" fillId="0" borderId="0" xfId="2" applyFont="1" applyAlignment="1">
      <alignment wrapText="1"/>
    </xf>
    <xf numFmtId="176" fontId="3" fillId="0" borderId="0" xfId="2" applyNumberFormat="1"/>
    <xf numFmtId="11" fontId="0" fillId="0" borderId="0" xfId="4" applyNumberFormat="1" applyFont="1"/>
    <xf numFmtId="11" fontId="3" fillId="0" borderId="0" xfId="2" applyNumberFormat="1"/>
    <xf numFmtId="0" fontId="3" fillId="0" borderId="0" xfId="2" applyAlignment="1">
      <alignment horizontal="left" wrapText="1"/>
    </xf>
    <xf numFmtId="0" fontId="4" fillId="0" borderId="0" xfId="2" applyFont="1"/>
    <xf numFmtId="0" fontId="4" fillId="0" borderId="0" xfId="6" applyFont="1" applyAlignment="1"/>
    <xf numFmtId="0" fontId="3" fillId="0" borderId="0" xfId="6" applyAlignment="1"/>
    <xf numFmtId="0" fontId="3" fillId="2" borderId="0" xfId="6" applyFill="1" applyAlignment="1"/>
    <xf numFmtId="0" fontId="3" fillId="4" borderId="0" xfId="6" applyFill="1" applyAlignment="1"/>
    <xf numFmtId="0" fontId="3" fillId="4" borderId="0" xfId="6" applyFill="1">
      <alignment vertical="center"/>
    </xf>
    <xf numFmtId="0" fontId="3" fillId="0" borderId="0" xfId="6">
      <alignment vertical="center"/>
    </xf>
    <xf numFmtId="0" fontId="3" fillId="5" borderId="0" xfId="6" applyFill="1" applyAlignment="1"/>
    <xf numFmtId="0" fontId="3" fillId="5" borderId="0" xfId="6" applyFill="1">
      <alignment vertical="center"/>
    </xf>
    <xf numFmtId="0" fontId="3" fillId="6" borderId="0" xfId="6" applyFill="1" applyAlignment="1"/>
    <xf numFmtId="0" fontId="3" fillId="6" borderId="0" xfId="6" applyFill="1">
      <alignment vertical="center"/>
    </xf>
    <xf numFmtId="11" fontId="3" fillId="0" borderId="0" xfId="6" applyNumberFormat="1">
      <alignment vertical="center"/>
    </xf>
    <xf numFmtId="11" fontId="7" fillId="0" borderId="0" xfId="6" applyNumberFormat="1" applyFont="1">
      <alignment vertical="center"/>
    </xf>
    <xf numFmtId="9" fontId="3" fillId="0" borderId="0" xfId="6" applyNumberFormat="1">
      <alignment vertical="center"/>
    </xf>
    <xf numFmtId="0" fontId="3" fillId="2" borderId="0" xfId="6" applyFill="1">
      <alignment vertical="center"/>
    </xf>
    <xf numFmtId="0" fontId="8" fillId="0" borderId="0" xfId="6" applyFont="1">
      <alignment vertical="center"/>
    </xf>
    <xf numFmtId="0" fontId="3" fillId="0" borderId="0" xfId="6" applyAlignment="1">
      <alignment horizontal="center" vertical="center"/>
    </xf>
    <xf numFmtId="0" fontId="4" fillId="3" borderId="0" xfId="7" applyFont="1" applyFill="1"/>
    <xf numFmtId="0" fontId="3" fillId="3" borderId="0" xfId="7" applyFill="1"/>
    <xf numFmtId="0" fontId="3" fillId="0" borderId="0" xfId="7"/>
    <xf numFmtId="179" fontId="3" fillId="0" borderId="0" xfId="7" applyNumberFormat="1"/>
    <xf numFmtId="0" fontId="5" fillId="0" borderId="0" xfId="7" applyFont="1"/>
    <xf numFmtId="0" fontId="3" fillId="2" borderId="0" xfId="7" applyFill="1"/>
    <xf numFmtId="0" fontId="3" fillId="7" borderId="0" xfId="7" applyFill="1" applyAlignment="1">
      <alignment vertical="center"/>
    </xf>
    <xf numFmtId="180" fontId="3" fillId="2" borderId="0" xfId="7" applyNumberFormat="1" applyFill="1"/>
    <xf numFmtId="0" fontId="3" fillId="7" borderId="0" xfId="7" applyFill="1"/>
    <xf numFmtId="0" fontId="3" fillId="8" borderId="0" xfId="7" applyFill="1"/>
    <xf numFmtId="0" fontId="3" fillId="0" borderId="0" xfId="7" applyAlignment="1">
      <alignment horizontal="left"/>
    </xf>
    <xf numFmtId="0" fontId="9" fillId="0" borderId="0" xfId="8" applyFont="1"/>
    <xf numFmtId="9" fontId="3" fillId="0" borderId="0" xfId="7" applyNumberFormat="1"/>
    <xf numFmtId="181" fontId="3" fillId="0" borderId="0" xfId="7" applyNumberFormat="1"/>
    <xf numFmtId="0" fontId="6" fillId="0" borderId="0" xfId="8"/>
    <xf numFmtId="0" fontId="4" fillId="9" borderId="0" xfId="7" applyFont="1" applyFill="1"/>
    <xf numFmtId="0" fontId="4" fillId="0" borderId="0" xfId="7" applyFont="1"/>
    <xf numFmtId="0" fontId="11" fillId="10" borderId="0" xfId="9" applyFont="1" applyFill="1"/>
    <xf numFmtId="176" fontId="0" fillId="0" borderId="0" xfId="4" applyNumberFormat="1" applyFont="1"/>
    <xf numFmtId="176" fontId="0" fillId="0" borderId="0" xfId="4" applyNumberFormat="1" applyFont="1" applyFill="1"/>
    <xf numFmtId="0" fontId="11" fillId="0" borderId="0" xfId="7" applyFont="1"/>
    <xf numFmtId="11" fontId="0" fillId="0" borderId="0" xfId="4" applyNumberFormat="1" applyFont="1" applyFill="1"/>
    <xf numFmtId="0" fontId="3" fillId="10" borderId="0" xfId="7" applyFill="1"/>
    <xf numFmtId="11" fontId="0" fillId="10" borderId="0" xfId="4" applyNumberFormat="1" applyFont="1" applyFill="1"/>
    <xf numFmtId="0" fontId="0" fillId="0" borderId="0" xfId="4" applyNumberFormat="1" applyFont="1"/>
    <xf numFmtId="0" fontId="5" fillId="0" borderId="0" xfId="4" applyNumberFormat="1" applyFont="1"/>
    <xf numFmtId="0" fontId="1" fillId="0" borderId="0" xfId="10">
      <alignment vertical="center"/>
    </xf>
    <xf numFmtId="0" fontId="1" fillId="0" borderId="0" xfId="10" applyAlignment="1">
      <alignment vertical="center" wrapText="1"/>
    </xf>
    <xf numFmtId="11" fontId="1" fillId="0" borderId="0" xfId="10" applyNumberFormat="1">
      <alignment vertical="center"/>
    </xf>
    <xf numFmtId="11" fontId="1" fillId="0" borderId="0" xfId="10" applyNumberFormat="1" applyAlignment="1">
      <alignment vertical="center" wrapText="1"/>
    </xf>
    <xf numFmtId="11" fontId="13" fillId="0" borderId="0" xfId="10" applyNumberFormat="1" applyFont="1">
      <alignment vertical="center"/>
    </xf>
    <xf numFmtId="181" fontId="1" fillId="0" borderId="0" xfId="10" applyNumberFormat="1">
      <alignment vertical="center"/>
    </xf>
    <xf numFmtId="182" fontId="1" fillId="0" borderId="0" xfId="10" applyNumberFormat="1">
      <alignment vertical="center"/>
    </xf>
    <xf numFmtId="182" fontId="1" fillId="0" borderId="0" xfId="10" applyNumberFormat="1" applyAlignment="1">
      <alignment vertical="center" wrapText="1"/>
    </xf>
    <xf numFmtId="9" fontId="1" fillId="0" borderId="0" xfId="10" applyNumberFormat="1">
      <alignment vertical="center"/>
    </xf>
    <xf numFmtId="10" fontId="1" fillId="0" borderId="0" xfId="10" applyNumberFormat="1">
      <alignment vertical="center"/>
    </xf>
    <xf numFmtId="183" fontId="1" fillId="0" borderId="0" xfId="10" applyNumberFormat="1">
      <alignment vertical="center"/>
    </xf>
    <xf numFmtId="184" fontId="1" fillId="0" borderId="0" xfId="10" applyNumberFormat="1">
      <alignment vertical="center"/>
    </xf>
    <xf numFmtId="183" fontId="1" fillId="0" borderId="0" xfId="10" applyNumberFormat="1" applyAlignment="1">
      <alignment vertical="center" wrapText="1"/>
    </xf>
    <xf numFmtId="0" fontId="3" fillId="11" borderId="0" xfId="11" applyFill="1">
      <alignment vertical="center"/>
    </xf>
    <xf numFmtId="0" fontId="3" fillId="0" borderId="0" xfId="11">
      <alignment vertical="center"/>
    </xf>
    <xf numFmtId="11" fontId="3" fillId="0" borderId="0" xfId="11" applyNumberFormat="1">
      <alignment vertical="center"/>
    </xf>
    <xf numFmtId="0" fontId="3" fillId="12" borderId="0" xfId="11" applyFill="1">
      <alignment vertical="center"/>
    </xf>
    <xf numFmtId="184" fontId="3" fillId="0" borderId="0" xfId="11" applyNumberFormat="1">
      <alignment vertical="center"/>
    </xf>
    <xf numFmtId="0" fontId="14" fillId="0" borderId="1" xfId="12" applyFont="1" applyBorder="1" applyAlignment="1">
      <alignment vertical="center" wrapText="1"/>
    </xf>
    <xf numFmtId="0" fontId="14" fillId="13" borderId="1" xfId="12" applyFont="1" applyFill="1" applyBorder="1" applyAlignment="1">
      <alignment vertical="center" wrapText="1"/>
    </xf>
    <xf numFmtId="183" fontId="14" fillId="0" borderId="1" xfId="12" applyNumberFormat="1" applyFont="1" applyBorder="1" applyAlignment="1">
      <alignment vertical="center" wrapText="1"/>
    </xf>
    <xf numFmtId="185" fontId="14" fillId="0" borderId="1" xfId="12" applyNumberFormat="1" applyFont="1" applyBorder="1" applyAlignment="1">
      <alignment vertical="center" wrapText="1"/>
    </xf>
    <xf numFmtId="0" fontId="15" fillId="0" borderId="0" xfId="7" applyFont="1" applyAlignment="1">
      <alignment vertical="center"/>
    </xf>
    <xf numFmtId="0" fontId="15" fillId="0" borderId="0" xfId="7" applyFont="1" applyAlignment="1">
      <alignment horizontal="right" vertical="center"/>
    </xf>
    <xf numFmtId="185" fontId="15" fillId="0" borderId="0" xfId="7" applyNumberFormat="1" applyFont="1" applyAlignment="1">
      <alignment horizontal="right" vertical="center"/>
    </xf>
    <xf numFmtId="183" fontId="15" fillId="0" borderId="0" xfId="7" applyNumberFormat="1" applyFont="1" applyAlignment="1">
      <alignment horizontal="right" vertical="center"/>
    </xf>
    <xf numFmtId="185" fontId="15" fillId="0" borderId="0" xfId="7" applyNumberFormat="1" applyFont="1" applyAlignment="1">
      <alignment vertical="center"/>
    </xf>
    <xf numFmtId="181" fontId="3" fillId="0" borderId="0" xfId="11" applyNumberFormat="1">
      <alignment vertical="center"/>
    </xf>
    <xf numFmtId="0" fontId="3" fillId="0" borderId="0" xfId="7" applyAlignment="1">
      <alignment vertical="center"/>
    </xf>
    <xf numFmtId="0" fontId="4" fillId="0" borderId="0" xfId="7" applyFont="1" applyAlignment="1">
      <alignment horizontal="center" vertical="center"/>
    </xf>
    <xf numFmtId="185" fontId="3" fillId="0" borderId="0" xfId="7" applyNumberFormat="1" applyAlignment="1">
      <alignment vertical="center"/>
    </xf>
    <xf numFmtId="11" fontId="3" fillId="0" borderId="0" xfId="7" applyNumberFormat="1" applyAlignment="1">
      <alignment vertical="center"/>
    </xf>
    <xf numFmtId="183" fontId="3" fillId="0" borderId="0" xfId="7" applyNumberFormat="1" applyAlignment="1">
      <alignment vertical="center"/>
    </xf>
    <xf numFmtId="183" fontId="3" fillId="0" borderId="0" xfId="7" applyNumberFormat="1"/>
    <xf numFmtId="186" fontId="3" fillId="0" borderId="0" xfId="7" applyNumberFormat="1" applyAlignment="1">
      <alignment vertical="center"/>
    </xf>
    <xf numFmtId="0" fontId="3" fillId="0" borderId="0" xfId="7" applyAlignment="1">
      <alignment horizontal="right"/>
    </xf>
    <xf numFmtId="0" fontId="3" fillId="0" borderId="0" xfId="7" applyAlignment="1">
      <alignment horizontal="right" vertical="center"/>
    </xf>
    <xf numFmtId="185" fontId="3" fillId="0" borderId="0" xfId="7" applyNumberFormat="1" applyAlignment="1">
      <alignment horizontal="center" vertical="center"/>
    </xf>
    <xf numFmtId="181" fontId="3" fillId="0" borderId="0" xfId="7" applyNumberFormat="1" applyAlignment="1">
      <alignment vertical="center"/>
    </xf>
    <xf numFmtId="0" fontId="16" fillId="0" borderId="0" xfId="7" applyFont="1" applyAlignment="1">
      <alignment vertical="center"/>
    </xf>
    <xf numFmtId="11" fontId="16" fillId="0" borderId="0" xfId="7" applyNumberFormat="1" applyFont="1" applyAlignment="1">
      <alignment vertical="center"/>
    </xf>
    <xf numFmtId="183" fontId="4" fillId="0" borderId="0" xfId="7" applyNumberFormat="1" applyFont="1" applyAlignment="1">
      <alignment vertical="center"/>
    </xf>
    <xf numFmtId="0" fontId="17" fillId="0" borderId="0" xfId="6" applyFont="1" applyAlignment="1">
      <alignment vertical="center" wrapText="1"/>
    </xf>
    <xf numFmtId="0" fontId="4" fillId="0" borderId="0" xfId="0" applyFont="1" applyAlignment="1"/>
    <xf numFmtId="0" fontId="4" fillId="3" borderId="0" xfId="0" applyFont="1" applyFill="1" applyAlignment="1"/>
    <xf numFmtId="0" fontId="0" fillId="0" borderId="0" xfId="0" applyAlignment="1"/>
    <xf numFmtId="0" fontId="0" fillId="0" borderId="0" xfId="0" applyAlignment="1">
      <alignment horizontal="left"/>
    </xf>
    <xf numFmtId="0" fontId="6" fillId="0" borderId="0" xfId="5" applyAlignme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6" applyAlignment="1">
      <alignment horizontal="center" vertical="center"/>
    </xf>
    <xf numFmtId="0" fontId="3" fillId="0" borderId="0" xfId="11" applyAlignment="1">
      <alignment horizontal="center" vertical="center"/>
    </xf>
    <xf numFmtId="0" fontId="6" fillId="0" borderId="0" xfId="5" applyAlignment="1"/>
  </cellXfs>
  <cellStyles count="13">
    <cellStyle name="Normal 2" xfId="9" xr:uid="{E091C249-0007-4759-A05E-55A354482E08}"/>
    <cellStyle name="百分比 2" xfId="3" xr:uid="{3A338CBD-D931-4DA0-9871-A461847D35C0}"/>
    <cellStyle name="常规" xfId="0" builtinId="0"/>
    <cellStyle name="常规 2" xfId="1" xr:uid="{43C45BA7-AAA9-498A-A20E-9902E0A2B514}"/>
    <cellStyle name="常规 2 2" xfId="7" xr:uid="{8A95F242-7D57-4F6C-83BD-C65D630C9F44}"/>
    <cellStyle name="常规 2 2 2" xfId="12" xr:uid="{A279E51A-833D-4D8B-A916-4A46429ECD6D}"/>
    <cellStyle name="常规 3" xfId="2" xr:uid="{75B21E1B-5631-4C98-9469-A1DBEBB5EF3A}"/>
    <cellStyle name="常规 4" xfId="6" xr:uid="{79D7DB92-4121-4C46-83D0-3D46B8983DDB}"/>
    <cellStyle name="常规 4 2" xfId="10" xr:uid="{8C281C8F-FAA9-4666-A42B-F6AD7CFA4CEA}"/>
    <cellStyle name="常规 5" xfId="11" xr:uid="{F76B935B-79B5-435E-A112-8BD241FDE285}"/>
    <cellStyle name="超链接" xfId="5" builtinId="8"/>
    <cellStyle name="超链接 2" xfId="8" xr:uid="{612ECCED-CD91-45B2-8FFF-BFEE48C876DB}"/>
    <cellStyle name="千位分隔 2" xfId="4" xr:uid="{E90192DF-F853-42B7-8C59-8D20DECAF4DE}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PivotStylePreset2_Accent1" table="0" count="10" xr9:uid="{267968C8-6FFD-4C36-ACC1-9EA1FD1885CA}"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'Aircraft Fuel Economy'!$C$33:$M$33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'Aircraft Fuel Economy'!$C$34:$M$34</c:f>
              <c:numCache>
                <c:formatCode>0.00E+00</c:formatCode>
                <c:ptCount val="11"/>
                <c:pt idx="0">
                  <c:v>5.3416654402987621E-5</c:v>
                </c:pt>
                <c:pt idx="1">
                  <c:v>5.1958179197445287E-5</c:v>
                </c:pt>
                <c:pt idx="2">
                  <c:v>5.1258405740240637E-5</c:v>
                </c:pt>
                <c:pt idx="3">
                  <c:v>5.1431576029903609E-5</c:v>
                </c:pt>
                <c:pt idx="4">
                  <c:v>5.1781450696773702E-5</c:v>
                </c:pt>
                <c:pt idx="5">
                  <c:v>5.1958179197445287E-5</c:v>
                </c:pt>
                <c:pt idx="6">
                  <c:v>5.1958179197445287E-5</c:v>
                </c:pt>
                <c:pt idx="7">
                  <c:v>5.304441290889014E-5</c:v>
                </c:pt>
                <c:pt idx="8">
                  <c:v>5.3416654402987621E-5</c:v>
                </c:pt>
                <c:pt idx="9">
                  <c:v>4.8483269123730798E-5</c:v>
                </c:pt>
                <c:pt idx="10">
                  <c:v>4.926778804159052E-5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F-4F96-BF6A-BD4B1F3C022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'Aircraft Fuel Economy'!$C$33:$M$33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'Aircraft Fuel Economy'!$C$35:$M$35</c:f>
              <c:numCache>
                <c:formatCode>0.00E+00</c:formatCode>
                <c:ptCount val="11"/>
                <c:pt idx="0">
                  <c:v>4.856059491180693E-4</c:v>
                </c:pt>
                <c:pt idx="1">
                  <c:v>4.7234708361313895E-4</c:v>
                </c:pt>
                <c:pt idx="2">
                  <c:v>4.6598550672946034E-4</c:v>
                </c:pt>
                <c:pt idx="3">
                  <c:v>4.6755978209003281E-4</c:v>
                </c:pt>
                <c:pt idx="4">
                  <c:v>4.7074046087976093E-4</c:v>
                </c:pt>
                <c:pt idx="5">
                  <c:v>4.7234708361313895E-4</c:v>
                </c:pt>
                <c:pt idx="6">
                  <c:v>4.7234708361313895E-4</c:v>
                </c:pt>
                <c:pt idx="7">
                  <c:v>4.8222193553536491E-4</c:v>
                </c:pt>
                <c:pt idx="8">
                  <c:v>4.856059491180693E-4</c:v>
                </c:pt>
                <c:pt idx="9">
                  <c:v>4.4075699203391632E-4</c:v>
                </c:pt>
                <c:pt idx="10">
                  <c:v>4.4788898219627745E-4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AF-4F96-BF6A-BD4B1F3C0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23632"/>
        <c:axId val="1013924112"/>
      </c:scatterChart>
      <c:valAx>
        <c:axId val="101392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3924112"/>
        <c:crosses val="autoZero"/>
        <c:crossBetween val="midCat"/>
      </c:valAx>
      <c:valAx>
        <c:axId val="101392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392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Rail!$S$74:$BP$74</c:f>
              <c:numCache>
                <c:formatCode>General</c:formatCode>
                <c:ptCount val="50"/>
                <c:pt idx="0">
                  <c:v>9.82</c:v>
                </c:pt>
                <c:pt idx="1">
                  <c:v>9.8800000000000008</c:v>
                </c:pt>
                <c:pt idx="2">
                  <c:v>9.8000000000000007</c:v>
                </c:pt>
                <c:pt idx="3">
                  <c:v>9.43</c:v>
                </c:pt>
                <c:pt idx="4">
                  <c:v>9.4700000000000006</c:v>
                </c:pt>
                <c:pt idx="5">
                  <c:v>8.7799999999999994</c:v>
                </c:pt>
                <c:pt idx="6">
                  <c:v>7.6</c:v>
                </c:pt>
                <c:pt idx="7">
                  <c:v>6.76</c:v>
                </c:pt>
                <c:pt idx="8">
                  <c:v>6.28</c:v>
                </c:pt>
                <c:pt idx="9">
                  <c:v>5.8</c:v>
                </c:pt>
                <c:pt idx="10">
                  <c:v>5.6</c:v>
                </c:pt>
                <c:pt idx="11">
                  <c:v>5.4</c:v>
                </c:pt>
                <c:pt idx="12">
                  <c:v>5.2</c:v>
                </c:pt>
                <c:pt idx="13">
                  <c:v>5.15</c:v>
                </c:pt>
                <c:pt idx="14">
                  <c:v>5.12</c:v>
                </c:pt>
                <c:pt idx="15">
                  <c:v>5.0999999999999996</c:v>
                </c:pt>
                <c:pt idx="16">
                  <c:v>5</c:v>
                </c:pt>
                <c:pt idx="17">
                  <c:v>4.9286666666666576</c:v>
                </c:pt>
                <c:pt idx="18">
                  <c:v>4.9004444444444317</c:v>
                </c:pt>
                <c:pt idx="19">
                  <c:v>4.841007407407389</c:v>
                </c:pt>
                <c:pt idx="20">
                  <c:v>4.7751901234567669</c:v>
                </c:pt>
                <c:pt idx="21">
                  <c:v>4.7112931687242536</c:v>
                </c:pt>
                <c:pt idx="22">
                  <c:v>4.6630935528120432</c:v>
                </c:pt>
                <c:pt idx="23">
                  <c:v>4.6071688925468237</c:v>
                </c:pt>
                <c:pt idx="24">
                  <c:v>4.543297970431297</c:v>
                </c:pt>
                <c:pt idx="25">
                  <c:v>4.4860941365441676</c:v>
                </c:pt>
                <c:pt idx="26">
                  <c:v>4.4304839551151929</c:v>
                </c:pt>
                <c:pt idx="27">
                  <c:v>4.3736804221325087</c:v>
                </c:pt>
                <c:pt idx="28">
                  <c:v>4.3138707249723893</c:v>
                </c:pt>
                <c:pt idx="29">
                  <c:v>4.2560039838706416</c:v>
                </c:pt>
                <c:pt idx="30">
                  <c:v>4.1995774954609004</c:v>
                </c:pt>
                <c:pt idx="31">
                  <c:v>4.1417018380516168</c:v>
                </c:pt>
                <c:pt idx="32">
                  <c:v>4.0834777926237678</c:v>
                </c:pt>
                <c:pt idx="33">
                  <c:v>4.0256574131803973</c:v>
                </c:pt>
                <c:pt idx="34">
                  <c:v>3.9683961290156304</c:v>
                </c:pt>
                <c:pt idx="35">
                  <c:v>3.9106667520460547</c:v>
                </c:pt>
                <c:pt idx="36">
                  <c:v>3.8526837810338463</c:v>
                </c:pt>
                <c:pt idx="37">
                  <c:v>3.7950188152265412</c:v>
                </c:pt>
                <c:pt idx="38">
                  <c:v>3.7374222644814949</c:v>
                </c:pt>
                <c:pt idx="39">
                  <c:v>3.6797117935766011</c:v>
                </c:pt>
                <c:pt idx="40">
                  <c:v>3.6219012453270807</c:v>
                </c:pt>
                <c:pt idx="41">
                  <c:v>3.5642001039440885</c:v>
                </c:pt>
                <c:pt idx="42">
                  <c:v>3.50654151065973</c:v>
                </c:pt>
                <c:pt idx="43">
                  <c:v>3.4488129335996689</c:v>
                </c:pt>
                <c:pt idx="44">
                  <c:v>3.3910724441438447</c:v>
                </c:pt>
                <c:pt idx="45">
                  <c:v>3.3333613109787876</c:v>
                </c:pt>
                <c:pt idx="46">
                  <c:v>3.2756671352886571</c:v>
                </c:pt>
                <c:pt idx="47">
                  <c:v>3.2179479799248867</c:v>
                </c:pt>
                <c:pt idx="48">
                  <c:v>3.1602222675886935</c:v>
                </c:pt>
                <c:pt idx="49">
                  <c:v>3.1025119220805664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07-4190-91FB-35A4347821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Rail!$S$75:$BP$75</c:f>
              <c:numCache>
                <c:formatCode>General</c:formatCode>
                <c:ptCount val="50"/>
                <c:pt idx="0">
                  <c:v>5.49</c:v>
                </c:pt>
                <c:pt idx="1">
                  <c:v>5.47</c:v>
                </c:pt>
                <c:pt idx="2">
                  <c:v>5.26</c:v>
                </c:pt>
                <c:pt idx="3">
                  <c:v>5.04</c:v>
                </c:pt>
                <c:pt idx="4">
                  <c:v>4.96</c:v>
                </c:pt>
                <c:pt idx="5">
                  <c:v>4.8899999999999997</c:v>
                </c:pt>
                <c:pt idx="6">
                  <c:v>4.75</c:v>
                </c:pt>
                <c:pt idx="7">
                  <c:v>4.5999999999999996</c:v>
                </c:pt>
                <c:pt idx="8">
                  <c:v>4.59</c:v>
                </c:pt>
                <c:pt idx="9">
                  <c:v>4.4866666666666788</c:v>
                </c:pt>
                <c:pt idx="10">
                  <c:v>4.4455555555555719</c:v>
                </c:pt>
                <c:pt idx="11">
                  <c:v>4.362962962962996</c:v>
                </c:pt>
                <c:pt idx="12">
                  <c:v>4.3080246913580709</c:v>
                </c:pt>
                <c:pt idx="13">
                  <c:v>4.2346502057613691</c:v>
                </c:pt>
                <c:pt idx="14">
                  <c:v>4.1735665294925184</c:v>
                </c:pt>
                <c:pt idx="15">
                  <c:v>4.1042889803384242</c:v>
                </c:pt>
                <c:pt idx="16">
                  <c:v>4.0404740131077972</c:v>
                </c:pt>
                <c:pt idx="17">
                  <c:v>3.9730173245948492</c:v>
                </c:pt>
                <c:pt idx="18">
                  <c:v>3.9079884502700963</c:v>
                </c:pt>
                <c:pt idx="19">
                  <c:v>3.8413410331532134</c:v>
                </c:pt>
                <c:pt idx="20">
                  <c:v>3.7757726445644266</c:v>
                </c:pt>
                <c:pt idx="21">
                  <c:v>3.7094849036235757</c:v>
                </c:pt>
                <c:pt idx="22">
                  <c:v>3.67</c:v>
                </c:pt>
                <c:pt idx="23">
                  <c:v>3.65</c:v>
                </c:pt>
                <c:pt idx="24">
                  <c:v>3.6170100642509482</c:v>
                </c:pt>
                <c:pt idx="25">
                  <c:v>3.5926800856679293</c:v>
                </c:pt>
                <c:pt idx="26">
                  <c:v>3.5625768023075537</c:v>
                </c:pt>
                <c:pt idx="27">
                  <c:v>3.5363223887987516</c:v>
                </c:pt>
                <c:pt idx="28">
                  <c:v>3.5075020620555648</c:v>
                </c:pt>
                <c:pt idx="29">
                  <c:v>3.4803923441353035</c:v>
                </c:pt>
                <c:pt idx="30">
                  <c:v>3.4521422203330943</c:v>
                </c:pt>
                <c:pt idx="31">
                  <c:v>3.4246523671188527</c:v>
                </c:pt>
                <c:pt idx="32">
                  <c:v>3.396655666845966</c:v>
                </c:pt>
                <c:pt idx="33">
                  <c:v>3.3689968646121784</c:v>
                </c:pt>
                <c:pt idx="34">
                  <c:v>3.3411127970189867</c:v>
                </c:pt>
                <c:pt idx="35">
                  <c:v>3.313378906332062</c:v>
                </c:pt>
                <c:pt idx="36">
                  <c:v>3.2855448977076307</c:v>
                </c:pt>
                <c:pt idx="37">
                  <c:v>3.2577776343748681</c:v>
                </c:pt>
                <c:pt idx="38">
                  <c:v>3.2299658741809836</c:v>
                </c:pt>
                <c:pt idx="39">
                  <c:v>3.202183778561178</c:v>
                </c:pt>
                <c:pt idx="40">
                  <c:v>3.1743819065586507</c:v>
                </c:pt>
                <c:pt idx="41">
                  <c:v>3.1465932188112689</c:v>
                </c:pt>
                <c:pt idx="42">
                  <c:v>3.1187957415604544</c:v>
                </c:pt>
                <c:pt idx="43">
                  <c:v>3.0910041239785926</c:v>
                </c:pt>
                <c:pt idx="44">
                  <c:v>3.0632085999507552</c:v>
                </c:pt>
                <c:pt idx="45">
                  <c:v>3.0354156802202326</c:v>
                </c:pt>
                <c:pt idx="46">
                  <c:v>3.0076210242915096</c:v>
                </c:pt>
                <c:pt idx="47">
                  <c:v>2.9798275258282558</c:v>
                </c:pt>
                <c:pt idx="48">
                  <c:v>2.9520332557213536</c:v>
                </c:pt>
                <c:pt idx="49">
                  <c:v>2.9242395000435479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07-4190-91FB-35A43478210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Rail!$S$76:$BP$76</c:f>
              <c:numCache>
                <c:formatCode>General</c:formatCode>
                <c:ptCount val="50"/>
                <c:pt idx="0">
                  <c:v>4.75</c:v>
                </c:pt>
                <c:pt idx="1">
                  <c:v>4.6500000000000004</c:v>
                </c:pt>
                <c:pt idx="2">
                  <c:v>4.38</c:v>
                </c:pt>
                <c:pt idx="3">
                  <c:v>4.1100000000000003</c:v>
                </c:pt>
                <c:pt idx="4">
                  <c:v>4.0199999999999996</c:v>
                </c:pt>
                <c:pt idx="5">
                  <c:v>3.93</c:v>
                </c:pt>
                <c:pt idx="6">
                  <c:v>3.75</c:v>
                </c:pt>
                <c:pt idx="7">
                  <c:v>3.58</c:v>
                </c:pt>
                <c:pt idx="8">
                  <c:v>3.54</c:v>
                </c:pt>
                <c:pt idx="9">
                  <c:v>3.4133333333333269</c:v>
                </c:pt>
                <c:pt idx="10">
                  <c:v>3.3444444444444343</c:v>
                </c:pt>
                <c:pt idx="11">
                  <c:v>3.2370370370370267</c:v>
                </c:pt>
                <c:pt idx="12">
                  <c:v>3.2</c:v>
                </c:pt>
                <c:pt idx="13">
                  <c:v>3.1749999999999998</c:v>
                </c:pt>
                <c:pt idx="14">
                  <c:v>3.1419753086419817</c:v>
                </c:pt>
                <c:pt idx="15">
                  <c:v>3.1143004115226489</c:v>
                </c:pt>
                <c:pt idx="16">
                  <c:v>3.0830589849108563</c:v>
                </c:pt>
                <c:pt idx="17">
                  <c:v>3.0541952446273726</c:v>
                </c:pt>
                <c:pt idx="18">
                  <c:v>3.0237463801250044</c:v>
                </c:pt>
                <c:pt idx="19">
                  <c:v>2.9943542651018902</c:v>
                </c:pt>
                <c:pt idx="20">
                  <c:v>2.9642576504259495</c:v>
                </c:pt>
                <c:pt idx="21">
                  <c:v>2.934630702185224</c:v>
                </c:pt>
                <c:pt idx="22">
                  <c:v>2.9046906429876884</c:v>
                </c:pt>
                <c:pt idx="23">
                  <c:v>2.8749593244280263</c:v>
                </c:pt>
                <c:pt idx="24">
                  <c:v>2.8450888454431151</c:v>
                </c:pt>
                <c:pt idx="25">
                  <c:v>2.815311140075039</c:v>
                </c:pt>
                <c:pt idx="26">
                  <c:v>2.7854715856290682</c:v>
                </c:pt>
                <c:pt idx="27">
                  <c:v>2.7556732639016914</c:v>
                </c:pt>
                <c:pt idx="28">
                  <c:v>2.7258474536952519</c:v>
                </c:pt>
                <c:pt idx="29">
                  <c:v>2.6960399691415233</c:v>
                </c:pt>
                <c:pt idx="30">
                  <c:v>2.6662202674859827</c:v>
                </c:pt>
                <c:pt idx="31">
                  <c:v>2.6364087105649858</c:v>
                </c:pt>
                <c:pt idx="32">
                  <c:v>2.6065917238209622</c:v>
                </c:pt>
                <c:pt idx="33">
                  <c:v>2.576778356958954</c:v>
                </c:pt>
                <c:pt idx="34">
                  <c:v>2.5469625768422688</c:v>
                </c:pt>
                <c:pt idx="35">
                  <c:v>2.5171484055620326</c:v>
                </c:pt>
                <c:pt idx="36">
                  <c:v>2.4873331617241661</c:v>
                </c:pt>
                <c:pt idx="37">
                  <c:v>2.4575186329247174</c:v>
                </c:pt>
                <c:pt idx="38">
                  <c:v>2.4277036274329973</c:v>
                </c:pt>
                <c:pt idx="39">
                  <c:v>2.3978889397361272</c:v>
                </c:pt>
                <c:pt idx="40">
                  <c:v>2.3680740401760261</c:v>
                </c:pt>
                <c:pt idx="41">
                  <c:v>2.338259281858079</c:v>
                </c:pt>
                <c:pt idx="42">
                  <c:v>2.3084444293786959</c:v>
                </c:pt>
                <c:pt idx="43">
                  <c:v>2.2786296396736034</c:v>
                </c:pt>
                <c:pt idx="44">
                  <c:v>2.2488148081189863</c:v>
                </c:pt>
                <c:pt idx="45">
                  <c:v>2.2190000044640499</c:v>
                </c:pt>
                <c:pt idx="46">
                  <c:v>2.1891851822093287</c:v>
                </c:pt>
                <c:pt idx="47">
                  <c:v>2.1593703723544664</c:v>
                </c:pt>
                <c:pt idx="48">
                  <c:v>2.1295555542330291</c:v>
                </c:pt>
                <c:pt idx="49">
                  <c:v>2.0997407416226395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07-4190-91FB-35A43478210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Rail!$S$77:$BP$77</c:f>
              <c:numCache>
                <c:formatCode>General</c:formatCode>
                <c:ptCount val="50"/>
                <c:pt idx="0">
                  <c:v>4.24</c:v>
                </c:pt>
                <c:pt idx="1">
                  <c:v>4.18</c:v>
                </c:pt>
                <c:pt idx="2">
                  <c:v>3.96</c:v>
                </c:pt>
                <c:pt idx="3">
                  <c:v>3.73</c:v>
                </c:pt>
                <c:pt idx="4">
                  <c:v>3.66</c:v>
                </c:pt>
                <c:pt idx="5">
                  <c:v>3.66</c:v>
                </c:pt>
                <c:pt idx="6">
                  <c:v>3.46</c:v>
                </c:pt>
                <c:pt idx="7">
                  <c:v>3.33</c:v>
                </c:pt>
                <c:pt idx="8">
                  <c:v>3.28</c:v>
                </c:pt>
                <c:pt idx="9">
                  <c:v>3.1005555555555588</c:v>
                </c:pt>
                <c:pt idx="10">
                  <c:v>2.9762222222222192</c:v>
                </c:pt>
                <c:pt idx="11">
                  <c:v>2.8573407407407103</c:v>
                </c:pt>
                <c:pt idx="12">
                  <c:v>2.7591585185185181</c:v>
                </c:pt>
                <c:pt idx="13">
                  <c:v>2.7</c:v>
                </c:pt>
                <c:pt idx="14">
                  <c:v>2.66</c:v>
                </c:pt>
                <c:pt idx="15">
                  <c:v>2.6349999999999998</c:v>
                </c:pt>
                <c:pt idx="16">
                  <c:v>2.62</c:v>
                </c:pt>
                <c:pt idx="17">
                  <c:v>2.5950000000000002</c:v>
                </c:pt>
                <c:pt idx="18">
                  <c:v>2.5529471604938223</c:v>
                </c:pt>
                <c:pt idx="19">
                  <c:v>2.5326314403292116</c:v>
                </c:pt>
                <c:pt idx="20">
                  <c:v>2.5084629684499262</c:v>
                </c:pt>
                <c:pt idx="21">
                  <c:v>2.4803225605852646</c:v>
                </c:pt>
                <c:pt idx="22">
                  <c:v>2.4503959537875133</c:v>
                </c:pt>
                <c:pt idx="23">
                  <c:v>2.4234537636742175</c:v>
                </c:pt>
                <c:pt idx="24">
                  <c:v>2.3991375893945417</c:v>
                </c:pt>
                <c:pt idx="25">
                  <c:v>2.3704916984569593</c:v>
                </c:pt>
                <c:pt idx="26">
                  <c:v>2.3426754103597034</c:v>
                </c:pt>
                <c:pt idx="27">
                  <c:v>2.3158530269031132</c:v>
                </c:pt>
                <c:pt idx="28">
                  <c:v>2.2892983485656941</c:v>
                </c:pt>
                <c:pt idx="29">
                  <c:v>2.2619736011142919</c:v>
                </c:pt>
                <c:pt idx="30">
                  <c:v>2.2342827083458872</c:v>
                </c:pt>
                <c:pt idx="31">
                  <c:v>2.2074586266280392</c:v>
                </c:pt>
                <c:pt idx="32">
                  <c:v>2.1804449914746442</c:v>
                </c:pt>
                <c:pt idx="33">
                  <c:v>2.1531935269329097</c:v>
                </c:pt>
                <c:pt idx="34">
                  <c:v>2.1259152319635106</c:v>
                </c:pt>
                <c:pt idx="35">
                  <c:v>2.0988208118952514</c:v>
                </c:pt>
                <c:pt idx="36">
                  <c:v>2.0717668697945228</c:v>
                </c:pt>
                <c:pt idx="37">
                  <c:v>2.0445390479939647</c:v>
                </c:pt>
                <c:pt idx="38">
                  <c:v>2.0173563357871203</c:v>
                </c:pt>
                <c:pt idx="39">
                  <c:v>1.9902284590873833</c:v>
                </c:pt>
                <c:pt idx="40">
                  <c:v>1.9630989479697334</c:v>
                </c:pt>
                <c:pt idx="41">
                  <c:v>1.9359276856924055</c:v>
                </c:pt>
                <c:pt idx="42">
                  <c:v>1.9087551479925509</c:v>
                </c:pt>
                <c:pt idx="43">
                  <c:v>1.88161744127963</c:v>
                </c:pt>
                <c:pt idx="44">
                  <c:v>1.8544687694915467</c:v>
                </c:pt>
                <c:pt idx="45">
                  <c:v>1.8273078580106059</c:v>
                </c:pt>
                <c:pt idx="46">
                  <c:v>1.8001489845616376</c:v>
                </c:pt>
                <c:pt idx="47">
                  <c:v>1.7729992430992922</c:v>
                </c:pt>
                <c:pt idx="48">
                  <c:v>1.745848326795759</c:v>
                </c:pt>
                <c:pt idx="49">
                  <c:v>1.7186904680352413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07-4190-91FB-35A43478210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Rail!$S$78:$BP$78</c:f>
              <c:numCache>
                <c:formatCode>General</c:formatCode>
                <c:ptCount val="50"/>
                <c:pt idx="0">
                  <c:v>3.31</c:v>
                </c:pt>
                <c:pt idx="1">
                  <c:v>3.19</c:v>
                </c:pt>
                <c:pt idx="2">
                  <c:v>3.03</c:v>
                </c:pt>
                <c:pt idx="3">
                  <c:v>2.79</c:v>
                </c:pt>
                <c:pt idx="4">
                  <c:v>2.76</c:v>
                </c:pt>
                <c:pt idx="5">
                  <c:v>2.74</c:v>
                </c:pt>
                <c:pt idx="6">
                  <c:v>2.56</c:v>
                </c:pt>
                <c:pt idx="7">
                  <c:v>2.4300000000000002</c:v>
                </c:pt>
                <c:pt idx="8">
                  <c:v>2.37</c:v>
                </c:pt>
                <c:pt idx="9">
                  <c:v>2.2119444444444412</c:v>
                </c:pt>
                <c:pt idx="10">
                  <c:v>2.1080864197530786</c:v>
                </c:pt>
                <c:pt idx="11">
                  <c:v>2.0499999999999998</c:v>
                </c:pt>
                <c:pt idx="12">
                  <c:v>2.0099999999999998</c:v>
                </c:pt>
                <c:pt idx="13">
                  <c:v>1.97</c:v>
                </c:pt>
                <c:pt idx="14">
                  <c:v>1.96</c:v>
                </c:pt>
                <c:pt idx="15">
                  <c:v>1.9550000000000001</c:v>
                </c:pt>
                <c:pt idx="16">
                  <c:v>1.9300000000000068</c:v>
                </c:pt>
                <c:pt idx="17">
                  <c:v>1.9225000000000065</c:v>
                </c:pt>
                <c:pt idx="18">
                  <c:v>1.9075000000000095</c:v>
                </c:pt>
                <c:pt idx="19">
                  <c:v>1.8912500000000136</c:v>
                </c:pt>
                <c:pt idx="20">
                  <c:v>1.8800000000000132</c:v>
                </c:pt>
                <c:pt idx="21">
                  <c:v>1.8643750000000203</c:v>
                </c:pt>
                <c:pt idx="22">
                  <c:v>1.8506250000000257</c:v>
                </c:pt>
                <c:pt idx="23">
                  <c:v>1.8371875000000273</c:v>
                </c:pt>
                <c:pt idx="24">
                  <c:v>1.8225000000000335</c:v>
                </c:pt>
                <c:pt idx="25">
                  <c:v>1.8089062500000388</c:v>
                </c:pt>
                <c:pt idx="26">
                  <c:v>1.7948437500000445</c:v>
                </c:pt>
                <c:pt idx="27">
                  <c:v>1.7807031250000485</c:v>
                </c:pt>
                <c:pt idx="28">
                  <c:v>1.7668750000000557</c:v>
                </c:pt>
                <c:pt idx="29">
                  <c:v>1.7527734375000605</c:v>
                </c:pt>
                <c:pt idx="30">
                  <c:v>1.7387890625000679</c:v>
                </c:pt>
                <c:pt idx="31">
                  <c:v>1.7248242187500722</c:v>
                </c:pt>
                <c:pt idx="32">
                  <c:v>1.7107812500000783</c:v>
                </c:pt>
                <c:pt idx="33">
                  <c:v>1.6968066406250877</c:v>
                </c:pt>
                <c:pt idx="34">
                  <c:v>1.6828027343750911</c:v>
                </c:pt>
                <c:pt idx="35">
                  <c:v>1.6687939453125971</c:v>
                </c:pt>
                <c:pt idx="36">
                  <c:v>1.6548046875001035</c:v>
                </c:pt>
                <c:pt idx="37">
                  <c:v>1.6407983398438581</c:v>
                </c:pt>
                <c:pt idx="38">
                  <c:v>1.6267993164063661</c:v>
                </c:pt>
                <c:pt idx="39">
                  <c:v>1.6128015136719966</c:v>
                </c:pt>
                <c:pt idx="40">
                  <c:v>1.5987988281251262</c:v>
                </c:pt>
                <c:pt idx="41">
                  <c:v>1.5848004150391937</c:v>
                </c:pt>
                <c:pt idx="42">
                  <c:v>1.5708001708985719</c:v>
                </c:pt>
                <c:pt idx="43">
                  <c:v>1.5567996215821687</c:v>
                </c:pt>
                <c:pt idx="44">
                  <c:v>1.5428002929688915</c:v>
                </c:pt>
                <c:pt idx="45">
                  <c:v>1.528799896240379</c:v>
                </c:pt>
                <c:pt idx="46">
                  <c:v>1.5147999572755388</c:v>
                </c:pt>
                <c:pt idx="47">
                  <c:v>1.5008000946046458</c:v>
                </c:pt>
                <c:pt idx="48">
                  <c:v>1.4867999267579712</c:v>
                </c:pt>
                <c:pt idx="49">
                  <c:v>1.4728000259401064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07-4190-91FB-35A43478210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Rail!$S$79:$BP$79</c:f>
              <c:numCache>
                <c:formatCode>0.00_);[Red]\(0.00\)</c:formatCode>
                <c:ptCount val="50"/>
                <c:pt idx="0">
                  <c:v>4.9877267587852501</c:v>
                </c:pt>
                <c:pt idx="1">
                  <c:v>5.1960352817553019</c:v>
                </c:pt>
                <c:pt idx="2">
                  <c:v>5.3495532036550903</c:v>
                </c:pt>
                <c:pt idx="3">
                  <c:v>5.4138046304134955</c:v>
                </c:pt>
                <c:pt idx="4">
                  <c:v>5.820045985481431</c:v>
                </c:pt>
                <c:pt idx="5">
                  <c:v>5.8160393819207181</c:v>
                </c:pt>
                <c:pt idx="6">
                  <c:v>5.4992671027716531</c:v>
                </c:pt>
                <c:pt idx="7">
                  <c:v>5.1849694664454491</c:v>
                </c:pt>
                <c:pt idx="8">
                  <c:v>5.0290370049589264</c:v>
                </c:pt>
                <c:pt idx="9">
                  <c:v>4.8310556511616385</c:v>
                </c:pt>
                <c:pt idx="10">
                  <c:v>4.7742573220846438</c:v>
                </c:pt>
                <c:pt idx="11">
                  <c:v>4.6621256778455971</c:v>
                </c:pt>
                <c:pt idx="12">
                  <c:v>4.506201568391087</c:v>
                </c:pt>
                <c:pt idx="13" formatCode="General">
                  <c:v>4.46</c:v>
                </c:pt>
                <c:pt idx="14" formatCode="General">
                  <c:v>4.42</c:v>
                </c:pt>
                <c:pt idx="15" formatCode="General">
                  <c:v>4.38</c:v>
                </c:pt>
                <c:pt idx="16" formatCode="General">
                  <c:v>4.2593775734851249</c:v>
                </c:pt>
                <c:pt idx="17" formatCode="General">
                  <c:v>4.2047162805894231</c:v>
                </c:pt>
                <c:pt idx="18" formatCode="General">
                  <c:v>4.1567865318889829</c:v>
                </c:pt>
                <c:pt idx="19" formatCode="General">
                  <c:v>4.0852259717970867</c:v>
                </c:pt>
                <c:pt idx="20" formatCode="General">
                  <c:v>4.0112005424690835</c:v>
                </c:pt>
                <c:pt idx="21" formatCode="General">
                  <c:v>3.9414462992297103</c:v>
                </c:pt>
                <c:pt idx="22" formatCode="General">
                  <c:v>3.8856157853369098</c:v>
                </c:pt>
                <c:pt idx="23" formatCode="General">
                  <c:v>3.8159437081950216</c:v>
                </c:pt>
                <c:pt idx="24" formatCode="General">
                  <c:v>3.7454232477105336</c:v>
                </c:pt>
                <c:pt idx="25" formatCode="General">
                  <c:v>3.6800811287416195</c:v>
                </c:pt>
                <c:pt idx="26" formatCode="General">
                  <c:v>3.6560000000000001</c:v>
                </c:pt>
                <c:pt idx="27" formatCode="General">
                  <c:v>3.64</c:v>
                </c:pt>
                <c:pt idx="28" formatCode="General">
                  <c:v>3.62</c:v>
                </c:pt>
                <c:pt idx="29" formatCode="General">
                  <c:v>3.5609010728230288</c:v>
                </c:pt>
                <c:pt idx="30" formatCode="General">
                  <c:v>3.5385154821462947</c:v>
                </c:pt>
                <c:pt idx="31" formatCode="General">
                  <c:v>3.5146037791677429</c:v>
                </c:pt>
                <c:pt idx="32" formatCode="General">
                  <c:v>3.4812833638662397</c:v>
                </c:pt>
                <c:pt idx="33" formatCode="General">
                  <c:v>3.4460015396163186</c:v>
                </c:pt>
                <c:pt idx="34" formatCode="General">
                  <c:v>3.4136084930932071</c:v>
                </c:pt>
                <c:pt idx="35" formatCode="General">
                  <c:v>3.3877531076314185</c:v>
                </c:pt>
                <c:pt idx="36" formatCode="General">
                  <c:v>3.3544196720820736</c:v>
                </c:pt>
                <c:pt idx="37" formatCode="General">
                  <c:v>3.3215545575105807</c:v>
                </c:pt>
                <c:pt idx="38" formatCode="General">
                  <c:v>3.2908456203156931</c:v>
                </c:pt>
                <c:pt idx="39" formatCode="General">
                  <c:v>3.2605030144948373</c:v>
                </c:pt>
                <c:pt idx="40" formatCode="General">
                  <c:v>3.2292025805702522</c:v>
                </c:pt>
                <c:pt idx="41" formatCode="General">
                  <c:v>3.1968586042412426</c:v>
                </c:pt>
                <c:pt idx="42" formatCode="General">
                  <c:v>3.1660436206178559</c:v>
                </c:pt>
                <c:pt idx="43" formatCode="General">
                  <c:v>3.1350863829639337</c:v>
                </c:pt>
                <c:pt idx="44" formatCode="General">
                  <c:v>3.1036381360620879</c:v>
                </c:pt>
                <c:pt idx="45" formatCode="General">
                  <c:v>3.0721399262977513</c:v>
                </c:pt>
                <c:pt idx="46" formatCode="General">
                  <c:v>3.0409016837701159</c:v>
                </c:pt>
                <c:pt idx="47" formatCode="General">
                  <c:v>3.0098169991037196</c:v>
                </c:pt>
                <c:pt idx="48" formatCode="General">
                  <c:v>2.9784192499775912</c:v>
                </c:pt>
                <c:pt idx="49" formatCode="General">
                  <c:v>2.9470633311957499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07-4190-91FB-35A434782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542863"/>
        <c:axId val="1089539023"/>
      </c:lineChart>
      <c:catAx>
        <c:axId val="1089542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9539023"/>
        <c:crosses val="autoZero"/>
        <c:auto val="1"/>
        <c:lblAlgn val="ctr"/>
        <c:lblOffset val="100"/>
        <c:noMultiLvlLbl val="0"/>
      </c:catAx>
      <c:valAx>
        <c:axId val="108953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954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190500</xdr:colOff>
      <xdr:row>27</xdr:row>
      <xdr:rowOff>35221</xdr:rowOff>
    </xdr:from>
    <xdr:to>
      <xdr:col>19</xdr:col>
      <xdr:colOff>354807</xdr:colOff>
      <xdr:row>35</xdr:row>
      <xdr:rowOff>15142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CA3489-B6E9-433D-B328-6749ED7F1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14862" y="4926398"/>
          <a:ext cx="3890919" cy="1291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39</xdr:row>
      <xdr:rowOff>0</xdr:rowOff>
    </xdr:from>
    <xdr:to>
      <xdr:col>7</xdr:col>
      <xdr:colOff>523875</xdr:colOff>
      <xdr:row>55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A0CD53B-B62B-4D89-83A9-4A9D302FA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480060</xdr:colOff>
      <xdr:row>70</xdr:row>
      <xdr:rowOff>177165</xdr:rowOff>
    </xdr:from>
    <xdr:ext cx="4186555" cy="2876550"/>
    <xdr:pic>
      <xdr:nvPicPr>
        <xdr:cNvPr id="2" name="图片 1" descr="WechatIMG268">
          <a:extLst>
            <a:ext uri="{FF2B5EF4-FFF2-40B4-BE49-F238E27FC236}">
              <a16:creationId xmlns:a16="http://schemas.microsoft.com/office/drawing/2014/main" id="{1A0E1DD3-29DA-4610-AE9C-D95F3F150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0090" y="12857995"/>
          <a:ext cx="4186555" cy="2876550"/>
        </a:xfrm>
        <a:prstGeom prst="rect">
          <a:avLst/>
        </a:prstGeom>
      </xdr:spPr>
    </xdr:pic>
    <xdr:clientData/>
  </xdr:oneCellAnchor>
  <xdr:oneCellAnchor>
    <xdr:from>
      <xdr:col>0</xdr:col>
      <xdr:colOff>338455</xdr:colOff>
      <xdr:row>5</xdr:row>
      <xdr:rowOff>145415</xdr:rowOff>
    </xdr:from>
    <xdr:ext cx="8936990" cy="2195830"/>
    <xdr:pic>
      <xdr:nvPicPr>
        <xdr:cNvPr id="3" name="图片 2" descr="WechatIMG270">
          <a:extLst>
            <a:ext uri="{FF2B5EF4-FFF2-40B4-BE49-F238E27FC236}">
              <a16:creationId xmlns:a16="http://schemas.microsoft.com/office/drawing/2014/main" id="{5CD1FAE5-1364-4210-818F-23A79DA0D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455" y="1051189"/>
          <a:ext cx="8936990" cy="2195830"/>
        </a:xfrm>
        <a:prstGeom prst="rect">
          <a:avLst/>
        </a:prstGeom>
      </xdr:spPr>
    </xdr:pic>
    <xdr:clientData/>
  </xdr:oneCellAnchor>
  <xdr:oneCellAnchor>
    <xdr:from>
      <xdr:col>0</xdr:col>
      <xdr:colOff>104140</xdr:colOff>
      <xdr:row>36</xdr:row>
      <xdr:rowOff>53340</xdr:rowOff>
    </xdr:from>
    <xdr:ext cx="10236200" cy="2176780"/>
    <xdr:pic>
      <xdr:nvPicPr>
        <xdr:cNvPr id="4" name="图片 3" descr="WechatIMG269">
          <a:extLst>
            <a:ext uri="{FF2B5EF4-FFF2-40B4-BE49-F238E27FC236}">
              <a16:creationId xmlns:a16="http://schemas.microsoft.com/office/drawing/2014/main" id="{FE09FA54-FAC9-45CB-83A1-23845D393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40" y="6574910"/>
          <a:ext cx="10236200" cy="2176780"/>
        </a:xfrm>
        <a:prstGeom prst="rect">
          <a:avLst/>
        </a:prstGeom>
      </xdr:spPr>
    </xdr:pic>
    <xdr:clientData/>
  </xdr:oneCellAnchor>
  <xdr:twoCellAnchor>
    <xdr:from>
      <xdr:col>27</xdr:col>
      <xdr:colOff>263104</xdr:colOff>
      <xdr:row>56</xdr:row>
      <xdr:rowOff>120770</xdr:rowOff>
    </xdr:from>
    <xdr:to>
      <xdr:col>34</xdr:col>
      <xdr:colOff>366621</xdr:colOff>
      <xdr:row>71</xdr:row>
      <xdr:rowOff>146649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2DCF50A-29AA-41EE-B14E-36056F9AF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436106</xdr:colOff>
      <xdr:row>4</xdr:row>
      <xdr:rowOff>17252</xdr:rowOff>
    </xdr:from>
    <xdr:to>
      <xdr:col>9</xdr:col>
      <xdr:colOff>171417</xdr:colOff>
      <xdr:row>33</xdr:row>
      <xdr:rowOff>149061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4DF883-5BC2-4B36-9D7C-2CC09BC66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106" y="759124"/>
          <a:ext cx="6317266" cy="48849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Project/EPS/&#25490;&#25918;&#28165;&#21333;/&#20840;&#22269;&#36947;&#36335;&#20132;&#36890;&#30899;&#25490;&#25918;&#39044;&#27979;_202302_after%20-%20after%20-%20VECC%20-%20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RMI/Colorado/CO_Model/InputData/trans/SYFAFE/Start%20Year%20Fleet%20Avg%20Fuel%20Economy_v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United%20States/Calibration/Calibr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8618811197270/Desktop/eps-china/InputData/trans/BNVFE/https:/d.docs.live.net/EPS-trans/EPS&#20462;&#25913;&#26816;&#26597;/InputData/&#32654;&#22269;3.4.7&#36755;&#20837;&#25968;&#25454;/trans/BNVFE/BAU%20New%20Veh%20Fuel%20Econom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8618811197270/Desktop/eps-china/InputData/trans/BNVFE/https:/d.docs.live.net/WINDOWS/TEMP/USFreight97-9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Project/EPS/&#25490;&#25918;&#28165;&#21333;/PEI_n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8618811197270\Desktop\eps-china\InputData\trans\SYFAFE\C:\Users\MeganM\Documents\eps-us\InputData\trans\BNVFE\BAU%20New%20Veh%20Fuel%20Econom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8618811197270/Desktop/&#26234;&#24935;&#32511;&#34892;/LQ&#20840;&#22269;&#36947;&#36335;&#20132;&#36890;&#30899;&#25490;&#25918;&#35745;&#31639;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zhlxl\Desktop\EPS\eps-yunnan-smart-trans\InputData\trans\BNVFE\na-BAU%20New%20Vehicle%20Fuel%20Economy.xlsx" TargetMode="External"/><Relationship Id="rId1" Type="http://schemas.openxmlformats.org/officeDocument/2006/relationships/externalLinkPath" Target="/Users/zhlxl/Desktop/EPS/eps-yunnan-smart-trans/InputData/trans/BNVFE/na-BAU%20New%20Vehicle%20Fuel%20Econo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zhlxl\Documents\WeChat%20Files\wxid_qna1r3vpfz8e22\FileStorage\File\2025-03\&#21103;&#26412;cn-Start%20Year%20Fleet%20Avg%20Fuel%20Economy.xlsx" TargetMode="External"/><Relationship Id="rId1" Type="http://schemas.openxmlformats.org/officeDocument/2006/relationships/externalLinkPath" Target="/Users/zhlxl/Documents/WeChat%20Files/wxid_qna1r3vpfz8e22/FileStorage/File/2025-03/&#21103;&#26412;cn-Start%20Year%20Fleet%20Avg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各车型2017销售总表"/>
      <sheetName val="客车电动趋势潜力"/>
      <sheetName val="总量"/>
      <sheetName val="人口"/>
      <sheetName val="油耗情景设置"/>
      <sheetName val="电动化率情景设置"/>
      <sheetName val="里程情景设置"/>
      <sheetName val="里程计算 "/>
      <sheetName val="模型说明"/>
      <sheetName val="VECC油耗"/>
      <sheetName val="重型专用货车"/>
      <sheetName val="Sheet5"/>
      <sheetName val="京津冀"/>
      <sheetName val="长三角城市群"/>
      <sheetName val="珠三角"/>
      <sheetName val="成渝"/>
      <sheetName val="汾渭"/>
      <sheetName val="分国标油耗数据"/>
      <sheetName val="参数输入VECC"/>
      <sheetName val="参数输入"/>
      <sheetName val="参数数据库"/>
      <sheetName val="碳排放计算"/>
      <sheetName val="污染物排放计算"/>
      <sheetName val="乘用车"/>
      <sheetName val="出租车"/>
      <sheetName val="公交车"/>
      <sheetName val="中型公交车"/>
      <sheetName val="大型公交车"/>
      <sheetName val="道路客车"/>
      <sheetName val="轻型货车"/>
      <sheetName val="中重型货车"/>
      <sheetName val="FE+EV+VKT-H"/>
      <sheetName val="碳排放"/>
      <sheetName val="碳排放 (2)"/>
      <sheetName val="中型货车"/>
      <sheetName val="重型货车"/>
      <sheetName val="各年销量 "/>
      <sheetName val="总保有量"/>
      <sheetName val="公交车天然气占比"/>
      <sheetName val="国家统计局数据"/>
      <sheetName val="2017年大中型公交车保有量及对应生产年"/>
      <sheetName val="碳排放对比"/>
      <sheetName val="油耗因子更新"/>
      <sheetName val="修改前后的保有量比较"/>
      <sheetName val="乘用车残存率可视化"/>
      <sheetName val="Sheet4"/>
      <sheetName val="行驶里程区间"/>
      <sheetName val="Sheet3"/>
      <sheetName val="Sheet6"/>
      <sheetName val="各年碳排放"/>
      <sheetName val="油耗 -BAU"/>
      <sheetName val="油耗 -情景一"/>
      <sheetName val="油耗 -情景二"/>
      <sheetName val="油耗 -情景三"/>
      <sheetName val="参考情景"/>
      <sheetName val="轿车保有量+销量"/>
      <sheetName val="(弃用)FE(L)"/>
      <sheetName val="(弃用)FE(M)"/>
      <sheetName val="(弃用)FE(H)"/>
      <sheetName val="(弃用)FE+EV(L)"/>
      <sheetName val="(弃用)FE+EV(M)"/>
      <sheetName val="(弃用)FE+EV(H)"/>
      <sheetName val="(弃用)fe+ev+pvkt(L)"/>
      <sheetName val="(弃用)fe+ev+pvkt(M)"/>
      <sheetName val="(弃用)fe+ev+pvkt(H)"/>
      <sheetName val="(弃用)fe+ev+vkt(L)"/>
      <sheetName val="(弃用)fe+ev+vkt(M)"/>
      <sheetName val="(弃用)fe+ev+vkt(H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7"/>
      <sheetName val="AEO 36"/>
      <sheetName val="AEO 44"/>
      <sheetName val="AEO 47"/>
      <sheetName val="AEO 50"/>
      <sheetName val="AEO 37"/>
      <sheetName val="AEO 48"/>
      <sheetName val="AEO 49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1. Transportation"/>
      <sheetName val="2. Electricity"/>
      <sheetName val="3. Industry Energy"/>
      <sheetName val="4. Buildings"/>
      <sheetName val="5. Industry Process"/>
      <sheetName val="6. Total"/>
      <sheetName val="7. Particulates"/>
      <sheetName val="7.1 NOX"/>
      <sheetName val="7.2 SOX"/>
      <sheetName val="7.3 PM25"/>
      <sheetName val="EPS"/>
      <sheetName val="NoSettings"/>
      <sheetName val="Vensim Variables"/>
      <sheetName val="EPA_GHG"/>
      <sheetName val="Table 3-1"/>
      <sheetName val="Table 3-7"/>
      <sheetName val="Table 3-9"/>
      <sheetName val="Table 3-10"/>
      <sheetName val="Table 3-11"/>
      <sheetName val="Table 3-12"/>
      <sheetName val="Table 3-13"/>
      <sheetName val="Table 3-14"/>
      <sheetName val="Table 3-15"/>
      <sheetName val="Table 4-1"/>
      <sheetName val="Table 5-1"/>
      <sheetName val="Table 6-1"/>
      <sheetName val="Table 7-1"/>
      <sheetName val="EIA"/>
      <sheetName val="Table 18"/>
      <sheetName val="Table 54"/>
      <sheetName val="Table 11.1"/>
      <sheetName val="Table 11.2"/>
      <sheetName val="Table 11.3"/>
      <sheetName val="Table 11.4"/>
      <sheetName val="Table 11.5"/>
      <sheetName val="Table 11.6"/>
      <sheetName val="Table 11.7"/>
      <sheetName val="National Emissions Inv"/>
      <sheetName val="EPA Data"/>
      <sheetName val="EPS_part"/>
      <sheetName val="Crosswalk Particulates"/>
      <sheetName val="EPA Data_by prim poll"/>
    </sheetNames>
    <sheetDataSet>
      <sheetData sheetId="0">
        <row r="19">
          <cell r="B19">
            <v>1.1023099999999999</v>
          </cell>
        </row>
        <row r="22">
          <cell r="B22">
            <v>1000000</v>
          </cell>
        </row>
        <row r="25">
          <cell r="B25">
            <v>1.1200000000000001</v>
          </cell>
        </row>
        <row r="26">
          <cell r="B26">
            <v>0.88926174496644295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7"/>
      <sheetName val="AEO 7 (2020)"/>
      <sheetName val="AEO 35"/>
      <sheetName val="AEO 36"/>
      <sheetName val="AEO 38"/>
      <sheetName val="AEO 40"/>
      <sheetName val="AEO 44"/>
      <sheetName val="AEO 47"/>
      <sheetName val="AEO 48"/>
      <sheetName val="AEO 49"/>
      <sheetName val="AEO 49 (2020)"/>
      <sheetName val="psgr LDVs"/>
      <sheetName val="NTS 1-40"/>
      <sheetName val="NRBS 40"/>
      <sheetName val="NAP F28"/>
      <sheetName val="SYFAFE-passenger"/>
      <sheetName val="SYFAFE-freight"/>
      <sheetName val="Fuel Economy Stds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Key to Data Locs"/>
      <sheetName val="GREET1 Results"/>
      <sheetName val="GREET1 EF"/>
      <sheetName val="GREET1 Electric"/>
      <sheetName val="GREET1 JetFuel_WTWa"/>
      <sheetName val="GREET1 Fuel_Specs"/>
      <sheetName val="EF Hub"/>
      <sheetName val="Fuel Heat Contents"/>
      <sheetName val="eGrid Plant"/>
      <sheetName val="Hard Coal and Lignite"/>
      <sheetName val="EPA_data"/>
      <sheetName val="Crosswalk sectors"/>
      <sheetName val="Crosswalk parts"/>
      <sheetName val="aeo 58"/>
      <sheetName val="aeo 11"/>
      <sheetName val="aeo 17"/>
      <sheetName val="aeo 35"/>
      <sheetName val="aeo 34"/>
      <sheetName val="aeo 33"/>
      <sheetName val="aeo 32"/>
      <sheetName val="aeo 31"/>
      <sheetName val="aeo 30"/>
      <sheetName val="aeo 29"/>
      <sheetName val="AEO 28"/>
      <sheetName val="aeo 27"/>
      <sheetName val="AEO 26"/>
      <sheetName val="aeo 25"/>
      <sheetName val="AEO 72"/>
      <sheetName val="AEO 37"/>
      <sheetName val="AEO 4"/>
      <sheetName val="AEO 5"/>
      <sheetName val="AEO 2"/>
      <sheetName val="EPA Data_by prim poll"/>
      <sheetName val="AEO 6"/>
      <sheetName val="Mining Breakdown"/>
      <sheetName val="2017 AEO BIFUBC"/>
      <sheetName val="CHECK"/>
      <sheetName val="particulates"/>
      <sheetName val="energy"/>
      <sheetName val="calcs"/>
      <sheetName val="EPS output_emissions"/>
      <sheetName val="EPS output_transp"/>
      <sheetName val="EPS output_build"/>
      <sheetName val="EPS output_ind"/>
      <sheetName val="Passenger-Micro&amp;light gasoline"/>
      <sheetName val="Passenger-Micro&amp;light diesel"/>
      <sheetName val="Passenger-TAXI gasoline"/>
      <sheetName val="Passenger-TAXI diesel"/>
      <sheetName val="Passenger-中型客车（gasoline）"/>
      <sheetName val="Passenger-中型客车（diesel）"/>
      <sheetName val="Passenger-大型客车（gasoline）"/>
      <sheetName val="Passenger-大型客车（diesel）"/>
      <sheetName val="Passenger-bus（gasoline）"/>
      <sheetName val="Passenger-bus（diesel)"/>
      <sheetName val="Freight-Mini&amp;light（gasoline）"/>
      <sheetName val="Freight-Mini&amp;light（diesel)"/>
      <sheetName val="Freight-MID(gasoline)"/>
      <sheetName val="Freight-MID(diesel)"/>
      <sheetName val="Freight-heavy(gasoline）"/>
      <sheetName val="Freight-heavy(diesel)"/>
      <sheetName val="passenger-LDV"/>
      <sheetName val="passenger-HDV"/>
      <sheetName val="freight-LDV"/>
      <sheetName val="freight-HDV"/>
      <sheetName val="交通部分"/>
      <sheetName val="建筑-民用源"/>
      <sheetName val="建筑-生物质燃料"/>
      <sheetName val="热值"/>
      <sheetName val="EPS分类对照表"/>
      <sheetName val="电力-CO2"/>
      <sheetName val="电力-VOC&amp;CO"/>
      <sheetName val="电力-NOx"/>
      <sheetName val="电力-SO2"/>
      <sheetName val="电力-PM"/>
      <sheetName val="电力-BCOC"/>
      <sheetName val="PEI-TFPEI-LDVs"/>
      <sheetName val="PEI-TFPEI-HDVs"/>
      <sheetName val="PEI-TFPEI-aircraft"/>
      <sheetName val="PEI-TFPEI-rail"/>
      <sheetName val="PEI-TFPEI-ships"/>
      <sheetName val="PEI-TFPEI-motorbikes"/>
      <sheetName val="PEI-EFPEI"/>
      <sheetName val="PEI-BFPEI"/>
      <sheetName val="PEI-IFPEI"/>
    </sheetNames>
    <sheetDataSet>
      <sheetData sheetId="0">
        <row r="89">
          <cell r="A89" t="b">
            <v>1</v>
          </cell>
        </row>
        <row r="203">
          <cell r="A203" t="b">
            <v>1</v>
          </cell>
        </row>
        <row r="214">
          <cell r="A214">
            <v>907185</v>
          </cell>
        </row>
        <row r="215">
          <cell r="A215">
            <v>1000000000000000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0">
          <cell r="E20">
            <v>97.72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8">
          <cell r="F18">
            <v>3.5930729262505267E-6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7"/>
      <sheetName val="AEO 7 (2020)"/>
      <sheetName val="AEO 35"/>
      <sheetName val="AEO 36"/>
      <sheetName val="AEO 38"/>
      <sheetName val="AEO 40"/>
      <sheetName val="AEO 44"/>
      <sheetName val="AEO 47"/>
      <sheetName val="AEO 48"/>
      <sheetName val="AEO 49"/>
      <sheetName val="AEO 49 (2020)"/>
      <sheetName val="psgr LDVs"/>
      <sheetName val="NTS 1-40"/>
      <sheetName val="NRBS 40"/>
      <sheetName val="NAP F28"/>
      <sheetName val="SYFAFE-passenger"/>
      <sheetName val="SYFAFE-freight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各车型2017销售总表"/>
      <sheetName val="客车电动趋势潜力"/>
      <sheetName val="总量"/>
      <sheetName val="人口"/>
      <sheetName val="油耗情景设置"/>
      <sheetName val="电动化率情景设置"/>
      <sheetName val="里程情景设置"/>
      <sheetName val="里程计算 "/>
      <sheetName val="模型说明"/>
      <sheetName val="VECC油耗"/>
      <sheetName val="重型专用货车"/>
      <sheetName val="Sheet5"/>
      <sheetName val="京津冀"/>
      <sheetName val="长三角城市群"/>
      <sheetName val="珠三角"/>
      <sheetName val="成渝"/>
      <sheetName val="汾渭"/>
      <sheetName val="分国标油耗数据"/>
      <sheetName val="参数输入VECC"/>
      <sheetName val="参数输入"/>
      <sheetName val="参数数据库"/>
      <sheetName val="乘用车排放因子"/>
      <sheetName val="Sheet1"/>
      <sheetName val="碳排放计算-调整"/>
      <sheetName val="碳排放计算"/>
      <sheetName val="前后碳排放比较"/>
      <sheetName val="污染物排放计算"/>
      <sheetName val="Sheet2"/>
      <sheetName val="乘用车 (2)"/>
      <sheetName val="乘用车"/>
      <sheetName val="出租车"/>
      <sheetName val="公交车"/>
      <sheetName val="中型公交车"/>
      <sheetName val="大型公交车"/>
      <sheetName val="道路客车"/>
      <sheetName val="轻型货车"/>
      <sheetName val="中重型货车"/>
      <sheetName val="FE+EV+VKT-H"/>
      <sheetName val="碳排放"/>
      <sheetName val="碳排放 (2)"/>
      <sheetName val="中型货车"/>
      <sheetName val="重型货车 (2)"/>
      <sheetName val="重型货车"/>
      <sheetName val="各年销量 "/>
      <sheetName val="总保有量"/>
      <sheetName val="公交车天然气占比"/>
      <sheetName val="国家统计局数据"/>
      <sheetName val="2017年大中型公交车保有量及对应生产年"/>
      <sheetName val="碳排放对比"/>
      <sheetName val="油耗因子更新"/>
      <sheetName val="修改前后的保有量比较"/>
      <sheetName val="乘用车残存率可视化"/>
      <sheetName val="Sheet4"/>
      <sheetName val="行驶里程区间"/>
      <sheetName val="Sheet3"/>
      <sheetName val="Sheet6"/>
      <sheetName val="各年碳排放"/>
      <sheetName val="油耗 -BAU"/>
      <sheetName val="油耗 -情景一"/>
      <sheetName val="油耗 -情景二"/>
      <sheetName val="油耗 -情景三"/>
      <sheetName val="参考情景"/>
      <sheetName val="轿车保有量+销量"/>
      <sheetName val="(弃用)FE(L)"/>
      <sheetName val="(弃用)FE(M)"/>
      <sheetName val="(弃用)FE(H)"/>
      <sheetName val="(弃用)FE+EV(L)"/>
      <sheetName val="(弃用)FE+EV(M)"/>
      <sheetName val="(弃用)FE+EV(H)"/>
      <sheetName val="(弃用)fe+ev+pvkt(L)"/>
      <sheetName val="(弃用)fe+ev+pvkt(M)"/>
      <sheetName val="(弃用)fe+ev+pvkt(H)"/>
      <sheetName val="(弃用)fe+ev+vkt(L)"/>
      <sheetName val="(弃用)fe+ev+vkt(M)"/>
      <sheetName val="(弃用)fe+ev+vkt(H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EPS new veh sales"/>
      <sheetName val="ZJQ-veh lifetime"/>
      <sheetName val="ZJQ-Parameter input"/>
      <sheetName val="ZJQ-LDV-P"/>
      <sheetName val="ZJQ-LDV-F"/>
      <sheetName val="ZJQ-HDV-P"/>
      <sheetName val="ZJQ-HDV-F"/>
      <sheetName val="ZJQ-retired veh FE"/>
      <sheetName val="ZJQ-new veh FE"/>
      <sheetName val="YJW-new veh FE"/>
      <sheetName val="YJW-parameter"/>
      <sheetName val="NewVehicleFE"/>
      <sheetName val="HistVehicleFE"/>
      <sheetName val="Aircraft Fuel Economy"/>
      <sheetName val="ships"/>
      <sheetName val="Rail"/>
      <sheetName val="motorbikes"/>
      <sheetName val="Heat Value"/>
      <sheetName val="Model Comparison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</sheetNames>
    <sheetDataSet>
      <sheetData sheetId="0"/>
      <sheetData sheetId="1"/>
      <sheetData sheetId="2"/>
      <sheetData sheetId="3">
        <row r="22">
          <cell r="BX22">
            <v>2019</v>
          </cell>
          <cell r="BY22">
            <v>12</v>
          </cell>
          <cell r="BZ22">
            <v>5.82</v>
          </cell>
          <cell r="CA22">
            <v>6.6959999999999997</v>
          </cell>
          <cell r="CB22">
            <v>5.58</v>
          </cell>
          <cell r="CC22">
            <v>5.9</v>
          </cell>
          <cell r="CD22">
            <v>12.5</v>
          </cell>
          <cell r="CE22">
            <v>1.2</v>
          </cell>
          <cell r="CF22">
            <v>30</v>
          </cell>
          <cell r="CG22">
            <v>19.5</v>
          </cell>
          <cell r="CH22">
            <v>11.52</v>
          </cell>
          <cell r="CI22">
            <v>9.6</v>
          </cell>
          <cell r="CJ22">
            <v>9</v>
          </cell>
          <cell r="CK22">
            <v>40</v>
          </cell>
          <cell r="CL22">
            <v>3</v>
          </cell>
          <cell r="CM22">
            <v>70</v>
          </cell>
          <cell r="CN22">
            <v>34</v>
          </cell>
          <cell r="CO22">
            <v>23.279999999999998</v>
          </cell>
          <cell r="CP22">
            <v>19.399999999999999</v>
          </cell>
          <cell r="CQ22">
            <v>20</v>
          </cell>
          <cell r="CR22">
            <v>60</v>
          </cell>
          <cell r="CS22">
            <v>6</v>
          </cell>
          <cell r="CT22">
            <v>130</v>
          </cell>
          <cell r="CU22">
            <v>36.241984945637</v>
          </cell>
          <cell r="CV22">
            <v>35.04</v>
          </cell>
          <cell r="CW22">
            <v>29.2</v>
          </cell>
          <cell r="CX22">
            <v>24.82</v>
          </cell>
          <cell r="CY22">
            <v>58.5</v>
          </cell>
          <cell r="CZ22">
            <v>12</v>
          </cell>
        </row>
        <row r="23">
          <cell r="BX23">
            <v>2020</v>
          </cell>
          <cell r="BY23">
            <v>12</v>
          </cell>
          <cell r="BZ23">
            <v>6</v>
          </cell>
          <cell r="CA23">
            <v>6.62</v>
          </cell>
          <cell r="CB23">
            <v>6.5</v>
          </cell>
          <cell r="CC23">
            <v>5</v>
          </cell>
          <cell r="CD23">
            <v>6</v>
          </cell>
          <cell r="CE23">
            <v>1</v>
          </cell>
          <cell r="CF23">
            <v>25</v>
          </cell>
          <cell r="CG23">
            <v>19.5</v>
          </cell>
          <cell r="CH23">
            <v>10.368</v>
          </cell>
          <cell r="CI23">
            <v>9.6</v>
          </cell>
          <cell r="CJ23">
            <v>9</v>
          </cell>
          <cell r="CK23">
            <v>40</v>
          </cell>
          <cell r="CL23">
            <v>3</v>
          </cell>
          <cell r="CM23">
            <v>62</v>
          </cell>
          <cell r="CN23">
            <v>22</v>
          </cell>
          <cell r="CO23">
            <v>23.28</v>
          </cell>
          <cell r="CP23">
            <v>19.399999999999999</v>
          </cell>
          <cell r="CQ23">
            <v>20</v>
          </cell>
          <cell r="CR23">
            <v>60</v>
          </cell>
          <cell r="CS23">
            <v>6</v>
          </cell>
          <cell r="CT23">
            <v>130</v>
          </cell>
          <cell r="CU23">
            <v>36.241984945637</v>
          </cell>
          <cell r="CV23">
            <v>35.04</v>
          </cell>
          <cell r="CW23">
            <v>29.2</v>
          </cell>
          <cell r="CX23">
            <v>24.82</v>
          </cell>
          <cell r="CY23">
            <v>58.5</v>
          </cell>
          <cell r="CZ23">
            <v>12</v>
          </cell>
        </row>
        <row r="24">
          <cell r="BX24">
            <v>2021</v>
          </cell>
          <cell r="BY24">
            <v>11.8</v>
          </cell>
          <cell r="BZ24">
            <v>5.98</v>
          </cell>
          <cell r="CA24">
            <v>6.4160000000000004</v>
          </cell>
          <cell r="CB24">
            <v>5.3466666666666702</v>
          </cell>
          <cell r="CC24">
            <v>4.8</v>
          </cell>
          <cell r="CD24">
            <v>6</v>
          </cell>
          <cell r="CE24">
            <v>0.98</v>
          </cell>
          <cell r="CF24">
            <v>24.642857142857149</v>
          </cell>
          <cell r="CG24">
            <v>19.5</v>
          </cell>
          <cell r="CH24">
            <v>11.31264</v>
          </cell>
          <cell r="CI24">
            <v>9.4271999999999991</v>
          </cell>
          <cell r="CJ24">
            <v>8.7479999999999993</v>
          </cell>
          <cell r="CK24">
            <v>40</v>
          </cell>
          <cell r="CL24">
            <v>2.9</v>
          </cell>
          <cell r="CM24">
            <v>61.2</v>
          </cell>
          <cell r="CN24">
            <v>22</v>
          </cell>
          <cell r="CO24">
            <v>22.698</v>
          </cell>
          <cell r="CP24">
            <v>18.914999999999999</v>
          </cell>
          <cell r="CQ24">
            <v>19.440000000000001</v>
          </cell>
          <cell r="CR24">
            <v>60</v>
          </cell>
          <cell r="CS24">
            <v>5.9</v>
          </cell>
          <cell r="CT24">
            <v>128.142857142857</v>
          </cell>
          <cell r="CU24">
            <v>36.241587956509598</v>
          </cell>
          <cell r="CV24">
            <v>34.409280000000003</v>
          </cell>
          <cell r="CW24">
            <v>28.674399999999999</v>
          </cell>
          <cell r="CX24">
            <v>24.125039999999998</v>
          </cell>
          <cell r="CY24">
            <v>58.5</v>
          </cell>
          <cell r="CZ24">
            <v>11.8</v>
          </cell>
        </row>
        <row r="25">
          <cell r="BX25">
            <v>2022</v>
          </cell>
          <cell r="BY25">
            <v>11.6</v>
          </cell>
          <cell r="BZ25">
            <v>5.9600000000000009</v>
          </cell>
          <cell r="CA25">
            <v>6.2119999999999997</v>
          </cell>
          <cell r="CB25">
            <v>5.1766666666666703</v>
          </cell>
          <cell r="CC25">
            <v>4.5999999999999996</v>
          </cell>
          <cell r="CD25">
            <v>6</v>
          </cell>
          <cell r="CE25">
            <v>0.96</v>
          </cell>
          <cell r="CF25">
            <v>24.285714285714299</v>
          </cell>
          <cell r="CG25">
            <v>19.5</v>
          </cell>
          <cell r="CH25">
            <v>11.10528</v>
          </cell>
          <cell r="CI25">
            <v>9.2544000000000004</v>
          </cell>
          <cell r="CJ25">
            <v>8.4960000000000004</v>
          </cell>
          <cell r="CK25">
            <v>40</v>
          </cell>
          <cell r="CL25">
            <v>2.8</v>
          </cell>
          <cell r="CM25">
            <v>60.400000000000006</v>
          </cell>
          <cell r="CN25">
            <v>22</v>
          </cell>
          <cell r="CO25">
            <v>22.116</v>
          </cell>
          <cell r="CP25">
            <v>18.43</v>
          </cell>
          <cell r="CQ25">
            <v>18.88</v>
          </cell>
          <cell r="CR25">
            <v>60</v>
          </cell>
          <cell r="CS25">
            <v>5.8</v>
          </cell>
          <cell r="CT25">
            <v>126.28571428571399</v>
          </cell>
          <cell r="CU25">
            <v>36.241190967382202</v>
          </cell>
          <cell r="CV25">
            <v>33.778559999999999</v>
          </cell>
          <cell r="CW25">
            <v>28.148800000000001</v>
          </cell>
          <cell r="CX25">
            <v>23.43008</v>
          </cell>
          <cell r="CY25">
            <v>58.5</v>
          </cell>
          <cell r="CZ25">
            <v>11.6</v>
          </cell>
        </row>
        <row r="26">
          <cell r="BX26">
            <v>2023</v>
          </cell>
          <cell r="BY26">
            <v>11.4</v>
          </cell>
          <cell r="BZ26">
            <v>5.9400000000000013</v>
          </cell>
          <cell r="CA26">
            <v>6.008</v>
          </cell>
          <cell r="CB26">
            <v>5.0066666666666704</v>
          </cell>
          <cell r="CC26">
            <v>4.3999999999999995</v>
          </cell>
          <cell r="CD26">
            <v>6</v>
          </cell>
          <cell r="CE26">
            <v>0.94</v>
          </cell>
          <cell r="CF26">
            <v>23.928571428571448</v>
          </cell>
          <cell r="CG26">
            <v>19.5</v>
          </cell>
          <cell r="CH26">
            <v>10.897919999999999</v>
          </cell>
          <cell r="CI26">
            <v>9.0815999999999999</v>
          </cell>
          <cell r="CJ26">
            <v>8.2439999999999998</v>
          </cell>
          <cell r="CK26">
            <v>40</v>
          </cell>
          <cell r="CL26">
            <v>2.7</v>
          </cell>
          <cell r="CM26">
            <v>59.600000000000009</v>
          </cell>
          <cell r="CN26">
            <v>22</v>
          </cell>
          <cell r="CO26">
            <v>21.533999999999999</v>
          </cell>
          <cell r="CP26">
            <v>17.945</v>
          </cell>
          <cell r="CQ26">
            <v>18.32</v>
          </cell>
          <cell r="CR26">
            <v>60</v>
          </cell>
          <cell r="CS26">
            <v>5.7</v>
          </cell>
          <cell r="CT26">
            <v>124.428571428571</v>
          </cell>
          <cell r="CU26">
            <v>36.2407939782548</v>
          </cell>
          <cell r="CV26">
            <v>33.147840000000002</v>
          </cell>
          <cell r="CW26">
            <v>27.623200000000001</v>
          </cell>
          <cell r="CX26">
            <v>22.735119999999998</v>
          </cell>
          <cell r="CY26">
            <v>58.5</v>
          </cell>
          <cell r="CZ26">
            <v>11.4</v>
          </cell>
        </row>
        <row r="27">
          <cell r="BX27">
            <v>2024</v>
          </cell>
          <cell r="BY27">
            <v>11.2</v>
          </cell>
          <cell r="BZ27">
            <v>5.9200000000000017</v>
          </cell>
          <cell r="CA27">
            <v>5.8040000000000003</v>
          </cell>
          <cell r="CB27">
            <v>4.8366666666666696</v>
          </cell>
          <cell r="CC27">
            <v>4.1999999999999993</v>
          </cell>
          <cell r="CD27">
            <v>6</v>
          </cell>
          <cell r="CE27">
            <v>0.91999999999999993</v>
          </cell>
          <cell r="CF27">
            <v>23.571428571428598</v>
          </cell>
          <cell r="CG27">
            <v>19.5</v>
          </cell>
          <cell r="CH27">
            <v>10.69056</v>
          </cell>
          <cell r="CI27">
            <v>8.9087999999999994</v>
          </cell>
          <cell r="CJ27">
            <v>7.992</v>
          </cell>
          <cell r="CK27">
            <v>40</v>
          </cell>
          <cell r="CL27">
            <v>2.6</v>
          </cell>
          <cell r="CM27">
            <v>58.800000000000011</v>
          </cell>
          <cell r="CN27">
            <v>22</v>
          </cell>
          <cell r="CO27">
            <v>20.952000000000002</v>
          </cell>
          <cell r="CP27">
            <v>17.46</v>
          </cell>
          <cell r="CQ27">
            <v>17.760000000000002</v>
          </cell>
          <cell r="CR27">
            <v>60</v>
          </cell>
          <cell r="CS27">
            <v>5.6</v>
          </cell>
          <cell r="CT27">
            <v>122.571428571429</v>
          </cell>
          <cell r="CU27">
            <v>36.240396989127397</v>
          </cell>
          <cell r="CV27">
            <v>32.517119999999998</v>
          </cell>
          <cell r="CW27">
            <v>27.0976</v>
          </cell>
          <cell r="CX27">
            <v>22.04016</v>
          </cell>
          <cell r="CY27">
            <v>58.5</v>
          </cell>
          <cell r="CZ27">
            <v>11.2</v>
          </cell>
        </row>
        <row r="28">
          <cell r="BX28">
            <v>2025</v>
          </cell>
          <cell r="BY28">
            <v>11</v>
          </cell>
          <cell r="BZ28">
            <v>5.9</v>
          </cell>
          <cell r="CA28">
            <v>5.6</v>
          </cell>
          <cell r="CB28">
            <v>4.6666666666666696</v>
          </cell>
          <cell r="CC28">
            <v>4</v>
          </cell>
          <cell r="CD28">
            <v>6</v>
          </cell>
          <cell r="CE28">
            <v>0.9</v>
          </cell>
          <cell r="CF28">
            <v>23.214285714285751</v>
          </cell>
          <cell r="CG28">
            <v>19.5</v>
          </cell>
          <cell r="CH28">
            <v>10.4832</v>
          </cell>
          <cell r="CI28">
            <v>8.7360000000000007</v>
          </cell>
          <cell r="CJ28">
            <v>7.74</v>
          </cell>
          <cell r="CK28">
            <v>40</v>
          </cell>
          <cell r="CL28">
            <v>2.5</v>
          </cell>
          <cell r="CM28">
            <v>58</v>
          </cell>
          <cell r="CN28">
            <v>22</v>
          </cell>
          <cell r="CO28">
            <v>20.37</v>
          </cell>
          <cell r="CP28">
            <v>16.975000000000001</v>
          </cell>
          <cell r="CQ28">
            <v>17.2</v>
          </cell>
          <cell r="CR28">
            <v>60</v>
          </cell>
          <cell r="CS28">
            <v>5.5</v>
          </cell>
          <cell r="CT28">
            <v>120.71428571428601</v>
          </cell>
          <cell r="CU28">
            <v>36.24</v>
          </cell>
          <cell r="CV28">
            <v>31.886399999999998</v>
          </cell>
          <cell r="CW28">
            <v>26.571999999999999</v>
          </cell>
          <cell r="CX28">
            <v>21.345199999999998</v>
          </cell>
          <cell r="CY28">
            <v>58.5</v>
          </cell>
          <cell r="CZ28">
            <v>11</v>
          </cell>
        </row>
        <row r="29">
          <cell r="BX29">
            <v>2026</v>
          </cell>
          <cell r="BY29">
            <v>10.9</v>
          </cell>
          <cell r="BZ29">
            <v>5.8840000000000003</v>
          </cell>
          <cell r="CA29">
            <v>5.44</v>
          </cell>
          <cell r="CB29">
            <v>4.5333333333333297</v>
          </cell>
          <cell r="CC29">
            <v>3.9</v>
          </cell>
          <cell r="CD29">
            <v>6</v>
          </cell>
          <cell r="CE29">
            <v>0.88</v>
          </cell>
          <cell r="CF29">
            <v>22.857142857142883</v>
          </cell>
          <cell r="CG29">
            <v>19.5</v>
          </cell>
          <cell r="CH29">
            <v>10.402559999999999</v>
          </cell>
          <cell r="CI29">
            <v>8.6687999999999992</v>
          </cell>
          <cell r="CJ29">
            <v>7.6319999999999997</v>
          </cell>
          <cell r="CK29">
            <v>40</v>
          </cell>
          <cell r="CL29">
            <v>2.5</v>
          </cell>
          <cell r="CM29">
            <v>57.4</v>
          </cell>
          <cell r="CN29">
            <v>22</v>
          </cell>
          <cell r="CO29">
            <v>20.1372</v>
          </cell>
          <cell r="CP29">
            <v>16.780999999999999</v>
          </cell>
          <cell r="CQ29">
            <v>16.96</v>
          </cell>
          <cell r="CR29">
            <v>60</v>
          </cell>
          <cell r="CS29">
            <v>5.5</v>
          </cell>
          <cell r="CT29">
            <v>118.857142857143</v>
          </cell>
          <cell r="CU29">
            <v>36.24</v>
          </cell>
          <cell r="CV29">
            <v>31.641120000000001</v>
          </cell>
          <cell r="CW29">
            <v>26.367599999999999</v>
          </cell>
          <cell r="CX29">
            <v>21.047360000000001</v>
          </cell>
          <cell r="CY29">
            <v>58.5</v>
          </cell>
          <cell r="CZ29">
            <v>10.9</v>
          </cell>
        </row>
        <row r="30">
          <cell r="BX30">
            <v>2027</v>
          </cell>
          <cell r="BY30">
            <v>10.8</v>
          </cell>
          <cell r="BZ30">
            <v>5.8680000000000003</v>
          </cell>
          <cell r="CA30">
            <v>5.28</v>
          </cell>
          <cell r="CB30">
            <v>4.4000000000000004</v>
          </cell>
          <cell r="CC30">
            <v>3.8</v>
          </cell>
          <cell r="CD30">
            <v>6</v>
          </cell>
          <cell r="CE30">
            <v>0.86</v>
          </cell>
          <cell r="CF30">
            <v>22.500000000000014</v>
          </cell>
          <cell r="CG30">
            <v>19.5</v>
          </cell>
          <cell r="CH30">
            <v>10.32192</v>
          </cell>
          <cell r="CI30">
            <v>8.6015999999999995</v>
          </cell>
          <cell r="CJ30">
            <v>7.524</v>
          </cell>
          <cell r="CK30">
            <v>40</v>
          </cell>
          <cell r="CL30">
            <v>2.5</v>
          </cell>
          <cell r="CM30">
            <v>56.8</v>
          </cell>
          <cell r="CN30">
            <v>22</v>
          </cell>
          <cell r="CO30">
            <v>19.904399999999999</v>
          </cell>
          <cell r="CP30">
            <v>16.587</v>
          </cell>
          <cell r="CQ30">
            <v>16.72</v>
          </cell>
          <cell r="CR30">
            <v>60</v>
          </cell>
          <cell r="CS30">
            <v>5.5</v>
          </cell>
          <cell r="CT30">
            <v>117</v>
          </cell>
          <cell r="CU30">
            <v>36.24</v>
          </cell>
          <cell r="CV30">
            <v>31.39584</v>
          </cell>
          <cell r="CW30">
            <v>26.1632</v>
          </cell>
          <cell r="CX30">
            <v>20.74952</v>
          </cell>
          <cell r="CY30">
            <v>58.5</v>
          </cell>
          <cell r="CZ30">
            <v>10.8</v>
          </cell>
        </row>
        <row r="31">
          <cell r="BX31">
            <v>2028</v>
          </cell>
          <cell r="BY31">
            <v>10.7</v>
          </cell>
          <cell r="BZ31">
            <v>5.8520000000000003</v>
          </cell>
          <cell r="CA31">
            <v>5.12</v>
          </cell>
          <cell r="CB31">
            <v>4.2666666666666702</v>
          </cell>
          <cell r="CC31">
            <v>3.6999999999999997</v>
          </cell>
          <cell r="CD31">
            <v>6</v>
          </cell>
          <cell r="CE31">
            <v>0.84</v>
          </cell>
          <cell r="CF31">
            <v>22.142857142857146</v>
          </cell>
          <cell r="CG31">
            <v>19.5</v>
          </cell>
          <cell r="CH31">
            <v>10.24128</v>
          </cell>
          <cell r="CI31">
            <v>8.5343999999999998</v>
          </cell>
          <cell r="CJ31">
            <v>7.4160000000000004</v>
          </cell>
          <cell r="CK31">
            <v>40</v>
          </cell>
          <cell r="CL31">
            <v>2.5</v>
          </cell>
          <cell r="CM31">
            <v>56.199999999999996</v>
          </cell>
          <cell r="CN31">
            <v>22</v>
          </cell>
          <cell r="CO31">
            <v>19.671600000000002</v>
          </cell>
          <cell r="CP31">
            <v>16.393000000000001</v>
          </cell>
          <cell r="CQ31">
            <v>16.48</v>
          </cell>
          <cell r="CR31">
            <v>60</v>
          </cell>
          <cell r="CS31">
            <v>5.5</v>
          </cell>
          <cell r="CT31">
            <v>115.142857142857</v>
          </cell>
          <cell r="CU31">
            <v>36.24</v>
          </cell>
          <cell r="CV31">
            <v>31.150559999999999</v>
          </cell>
          <cell r="CW31">
            <v>25.9588</v>
          </cell>
          <cell r="CX31">
            <v>20.45168</v>
          </cell>
          <cell r="CY31">
            <v>58.5</v>
          </cell>
          <cell r="CZ31">
            <v>10.7</v>
          </cell>
        </row>
        <row r="32">
          <cell r="BX32">
            <v>2029</v>
          </cell>
          <cell r="BY32">
            <v>10.6</v>
          </cell>
          <cell r="BZ32">
            <v>5.8360000000000003</v>
          </cell>
          <cell r="CA32">
            <v>4.96</v>
          </cell>
          <cell r="CB32">
            <v>4.1333333333333302</v>
          </cell>
          <cell r="CC32">
            <v>3.5999999999999996</v>
          </cell>
          <cell r="CD32">
            <v>6</v>
          </cell>
          <cell r="CE32">
            <v>0.82</v>
          </cell>
          <cell r="CF32">
            <v>21.785714285714278</v>
          </cell>
          <cell r="CG32">
            <v>19.5</v>
          </cell>
          <cell r="CH32">
            <v>10.160640000000001</v>
          </cell>
          <cell r="CI32">
            <v>8.4672000000000001</v>
          </cell>
          <cell r="CJ32">
            <v>7.3079999999999998</v>
          </cell>
          <cell r="CK32">
            <v>40</v>
          </cell>
          <cell r="CL32">
            <v>2.5</v>
          </cell>
          <cell r="CM32">
            <v>55.599999999999994</v>
          </cell>
          <cell r="CN32">
            <v>22</v>
          </cell>
          <cell r="CO32">
            <v>19.438800000000001</v>
          </cell>
          <cell r="CP32">
            <v>16.199000000000002</v>
          </cell>
          <cell r="CQ32">
            <v>16.239999999999998</v>
          </cell>
          <cell r="CR32">
            <v>60</v>
          </cell>
          <cell r="CS32">
            <v>5.5</v>
          </cell>
          <cell r="CT32">
            <v>113.28571428571399</v>
          </cell>
          <cell r="CU32">
            <v>36.24</v>
          </cell>
          <cell r="CV32">
            <v>30.905280000000001</v>
          </cell>
          <cell r="CW32">
            <v>25.7544</v>
          </cell>
          <cell r="CX32">
            <v>20.153839999999999</v>
          </cell>
          <cell r="CY32">
            <v>58.5</v>
          </cell>
          <cell r="CZ32">
            <v>10.6</v>
          </cell>
        </row>
        <row r="33">
          <cell r="BX33">
            <v>2030</v>
          </cell>
          <cell r="BY33">
            <v>10.5</v>
          </cell>
          <cell r="BZ33">
            <v>5.82</v>
          </cell>
          <cell r="CA33">
            <v>4.8</v>
          </cell>
          <cell r="CB33">
            <v>4</v>
          </cell>
          <cell r="CC33">
            <v>3.5</v>
          </cell>
          <cell r="CD33">
            <v>6</v>
          </cell>
          <cell r="CE33">
            <v>0.8</v>
          </cell>
          <cell r="CF33">
            <v>21.428571428571416</v>
          </cell>
          <cell r="CG33">
            <v>19.5</v>
          </cell>
          <cell r="CH33">
            <v>10.08</v>
          </cell>
          <cell r="CI33">
            <v>8.4</v>
          </cell>
          <cell r="CJ33">
            <v>7.2</v>
          </cell>
          <cell r="CK33">
            <v>40</v>
          </cell>
          <cell r="CL33">
            <v>2.5</v>
          </cell>
          <cell r="CM33">
            <v>55</v>
          </cell>
          <cell r="CN33">
            <v>22</v>
          </cell>
          <cell r="CO33">
            <v>19.206</v>
          </cell>
          <cell r="CP33">
            <v>16.004999999999999</v>
          </cell>
          <cell r="CQ33">
            <v>16</v>
          </cell>
          <cell r="CR33">
            <v>60</v>
          </cell>
          <cell r="CS33">
            <v>5.5</v>
          </cell>
          <cell r="CT33">
            <v>111.428571428571</v>
          </cell>
          <cell r="CU33">
            <v>36.24</v>
          </cell>
          <cell r="CV33">
            <v>30.66</v>
          </cell>
          <cell r="CW33">
            <v>25.55</v>
          </cell>
          <cell r="CX33">
            <v>19.856000000000002</v>
          </cell>
          <cell r="CY33">
            <v>58.5</v>
          </cell>
          <cell r="CZ33">
            <v>10.5</v>
          </cell>
        </row>
        <row r="34">
          <cell r="BX34">
            <v>2031</v>
          </cell>
          <cell r="BY34">
            <v>10.4</v>
          </cell>
          <cell r="BZ34">
            <v>5.806</v>
          </cell>
          <cell r="CA34">
            <v>4.6399999999999997</v>
          </cell>
          <cell r="CB34">
            <v>3.8666666666666698</v>
          </cell>
          <cell r="CC34">
            <v>3.5</v>
          </cell>
          <cell r="CD34">
            <v>6</v>
          </cell>
          <cell r="CE34">
            <v>0.79</v>
          </cell>
          <cell r="CF34">
            <v>21.142857142857132</v>
          </cell>
          <cell r="CG34">
            <v>19.5</v>
          </cell>
          <cell r="CH34">
            <v>9.9648000000000003</v>
          </cell>
          <cell r="CI34">
            <v>8.3040000000000003</v>
          </cell>
          <cell r="CJ34">
            <v>7.1280000000000001</v>
          </cell>
          <cell r="CK34">
            <v>40</v>
          </cell>
          <cell r="CL34">
            <v>2.5</v>
          </cell>
          <cell r="CM34">
            <v>54.6</v>
          </cell>
          <cell r="CN34">
            <v>22</v>
          </cell>
          <cell r="CO34">
            <v>18.973199999999999</v>
          </cell>
          <cell r="CP34">
            <v>15.811</v>
          </cell>
          <cell r="CQ34">
            <v>15.84</v>
          </cell>
          <cell r="CR34">
            <v>60</v>
          </cell>
          <cell r="CS34">
            <v>5.5</v>
          </cell>
          <cell r="CT34">
            <v>109.571428571429</v>
          </cell>
          <cell r="CU34">
            <v>36.24</v>
          </cell>
          <cell r="CV34">
            <v>30.3096</v>
          </cell>
          <cell r="CW34">
            <v>25.257999999999999</v>
          </cell>
          <cell r="CX34">
            <v>19.657440000000001</v>
          </cell>
          <cell r="CY34">
            <v>58.5</v>
          </cell>
          <cell r="CZ34">
            <v>10.4</v>
          </cell>
        </row>
        <row r="35">
          <cell r="BX35">
            <v>2032</v>
          </cell>
          <cell r="BY35">
            <v>10.3</v>
          </cell>
          <cell r="BZ35">
            <v>5.7919999999999998</v>
          </cell>
          <cell r="CA35">
            <v>4.4800000000000004</v>
          </cell>
          <cell r="CB35">
            <v>3.7333333333333298</v>
          </cell>
          <cell r="CC35">
            <v>3.5</v>
          </cell>
          <cell r="CD35">
            <v>6</v>
          </cell>
          <cell r="CE35">
            <v>0.78</v>
          </cell>
          <cell r="CF35">
            <v>20.857142857142847</v>
          </cell>
          <cell r="CG35">
            <v>19.5</v>
          </cell>
          <cell r="CH35">
            <v>9.8496000000000006</v>
          </cell>
          <cell r="CI35">
            <v>8.2080000000000002</v>
          </cell>
          <cell r="CJ35">
            <v>7.056</v>
          </cell>
          <cell r="CK35">
            <v>40</v>
          </cell>
          <cell r="CL35">
            <v>2.5</v>
          </cell>
          <cell r="CM35">
            <v>54.2</v>
          </cell>
          <cell r="CN35">
            <v>22</v>
          </cell>
          <cell r="CO35">
            <v>18.740400000000001</v>
          </cell>
          <cell r="CP35">
            <v>15.617000000000001</v>
          </cell>
          <cell r="CQ35">
            <v>15.68</v>
          </cell>
          <cell r="CR35">
            <v>60</v>
          </cell>
          <cell r="CS35">
            <v>5.5</v>
          </cell>
          <cell r="CT35">
            <v>107.71428571428601</v>
          </cell>
          <cell r="CU35">
            <v>36.24</v>
          </cell>
          <cell r="CV35">
            <v>29.959199999999999</v>
          </cell>
          <cell r="CW35">
            <v>24.966000000000001</v>
          </cell>
          <cell r="CX35">
            <v>19.458880000000001</v>
          </cell>
          <cell r="CY35">
            <v>58.5</v>
          </cell>
          <cell r="CZ35">
            <v>10.3</v>
          </cell>
        </row>
        <row r="36">
          <cell r="BX36">
            <v>2033</v>
          </cell>
          <cell r="BY36">
            <v>10.199999999999999</v>
          </cell>
          <cell r="BZ36">
            <v>5.7779999999999996</v>
          </cell>
          <cell r="CA36">
            <v>4.32</v>
          </cell>
          <cell r="CB36">
            <v>3.6</v>
          </cell>
          <cell r="CC36">
            <v>3.5</v>
          </cell>
          <cell r="CD36">
            <v>6</v>
          </cell>
          <cell r="CE36">
            <v>0.77</v>
          </cell>
          <cell r="CF36">
            <v>20.571428571428562</v>
          </cell>
          <cell r="CG36">
            <v>19.5</v>
          </cell>
          <cell r="CH36">
            <v>9.7344000000000008</v>
          </cell>
          <cell r="CI36">
            <v>8.1120000000000001</v>
          </cell>
          <cell r="CJ36">
            <v>6.984</v>
          </cell>
          <cell r="CK36">
            <v>40</v>
          </cell>
          <cell r="CL36">
            <v>2.5</v>
          </cell>
          <cell r="CM36">
            <v>53.800000000000004</v>
          </cell>
          <cell r="CN36">
            <v>22</v>
          </cell>
          <cell r="CO36">
            <v>18.5076</v>
          </cell>
          <cell r="CP36">
            <v>15.423</v>
          </cell>
          <cell r="CQ36">
            <v>15.52</v>
          </cell>
          <cell r="CR36">
            <v>60</v>
          </cell>
          <cell r="CS36">
            <v>5.5</v>
          </cell>
          <cell r="CT36">
            <v>105.857142857143</v>
          </cell>
          <cell r="CU36">
            <v>36.24</v>
          </cell>
          <cell r="CV36">
            <v>29.608799999999999</v>
          </cell>
          <cell r="CW36">
            <v>24.673999999999999</v>
          </cell>
          <cell r="CX36">
            <v>19.26032</v>
          </cell>
          <cell r="CY36">
            <v>58.5</v>
          </cell>
          <cell r="CZ36">
            <v>10.199999999999999</v>
          </cell>
        </row>
        <row r="37">
          <cell r="BX37">
            <v>2034</v>
          </cell>
          <cell r="BY37">
            <v>10.1</v>
          </cell>
          <cell r="BZ37">
            <v>5.7639999999999993</v>
          </cell>
          <cell r="CA37">
            <v>4.16</v>
          </cell>
          <cell r="CB37">
            <v>3.4666666666666699</v>
          </cell>
          <cell r="CC37">
            <v>3.5</v>
          </cell>
          <cell r="CD37">
            <v>6</v>
          </cell>
          <cell r="CE37">
            <v>0.76</v>
          </cell>
          <cell r="CF37">
            <v>20.285714285714278</v>
          </cell>
          <cell r="CG37">
            <v>19.5</v>
          </cell>
          <cell r="CH37">
            <v>9.6191999999999993</v>
          </cell>
          <cell r="CI37">
            <v>8.016</v>
          </cell>
          <cell r="CJ37">
            <v>6.9119999999999999</v>
          </cell>
          <cell r="CK37">
            <v>40</v>
          </cell>
          <cell r="CL37">
            <v>2.5</v>
          </cell>
          <cell r="CM37">
            <v>53.400000000000006</v>
          </cell>
          <cell r="CN37">
            <v>22</v>
          </cell>
          <cell r="CO37">
            <v>18.274799999999999</v>
          </cell>
          <cell r="CP37">
            <v>15.228999999999999</v>
          </cell>
          <cell r="CQ37">
            <v>15.36</v>
          </cell>
          <cell r="CR37">
            <v>60</v>
          </cell>
          <cell r="CS37">
            <v>5.5</v>
          </cell>
          <cell r="CT37">
            <v>104</v>
          </cell>
          <cell r="CU37">
            <v>36.24</v>
          </cell>
          <cell r="CV37">
            <v>29.258400000000002</v>
          </cell>
          <cell r="CW37">
            <v>24.382000000000001</v>
          </cell>
          <cell r="CX37">
            <v>19.06176</v>
          </cell>
          <cell r="CY37">
            <v>58.5</v>
          </cell>
          <cell r="CZ37">
            <v>10.1</v>
          </cell>
        </row>
        <row r="38">
          <cell r="BX38">
            <v>2035</v>
          </cell>
          <cell r="BY38">
            <v>10</v>
          </cell>
          <cell r="BZ38">
            <v>5.75</v>
          </cell>
          <cell r="CA38">
            <v>4</v>
          </cell>
          <cell r="CB38">
            <v>3.3333333333333299</v>
          </cell>
          <cell r="CC38">
            <v>3.5</v>
          </cell>
          <cell r="CD38">
            <v>6</v>
          </cell>
          <cell r="CE38">
            <v>0.75</v>
          </cell>
          <cell r="CF38">
            <v>20</v>
          </cell>
          <cell r="CG38">
            <v>19.5</v>
          </cell>
          <cell r="CH38">
            <v>9.5039999999999996</v>
          </cell>
          <cell r="CI38">
            <v>7.92</v>
          </cell>
          <cell r="CJ38">
            <v>6.84</v>
          </cell>
          <cell r="CK38">
            <v>40</v>
          </cell>
          <cell r="CL38">
            <v>2.5</v>
          </cell>
          <cell r="CM38">
            <v>53</v>
          </cell>
          <cell r="CN38">
            <v>22</v>
          </cell>
          <cell r="CO38">
            <v>18.042000000000002</v>
          </cell>
          <cell r="CP38">
            <v>15.035</v>
          </cell>
          <cell r="CQ38">
            <v>15.2</v>
          </cell>
          <cell r="CR38">
            <v>60</v>
          </cell>
          <cell r="CS38">
            <v>5.5</v>
          </cell>
          <cell r="CT38">
            <v>102.142857142857</v>
          </cell>
          <cell r="CU38">
            <v>36.24</v>
          </cell>
          <cell r="CV38">
            <v>28.908000000000001</v>
          </cell>
          <cell r="CW38">
            <v>24.09</v>
          </cell>
          <cell r="CX38">
            <v>18.863199999999999</v>
          </cell>
          <cell r="CY38">
            <v>58.5</v>
          </cell>
          <cell r="CZ38">
            <v>10</v>
          </cell>
        </row>
        <row r="39">
          <cell r="BX39">
            <v>2036</v>
          </cell>
          <cell r="BY39">
            <v>10</v>
          </cell>
          <cell r="BZ39">
            <v>5.75</v>
          </cell>
          <cell r="CA39">
            <v>4</v>
          </cell>
          <cell r="CB39">
            <v>3.3333333333333299</v>
          </cell>
          <cell r="CC39">
            <v>3.5</v>
          </cell>
          <cell r="CD39">
            <v>6</v>
          </cell>
          <cell r="CE39">
            <v>0.75</v>
          </cell>
          <cell r="CF39">
            <v>20</v>
          </cell>
          <cell r="CG39">
            <v>19.5</v>
          </cell>
          <cell r="CH39">
            <v>9.5039999999999996</v>
          </cell>
          <cell r="CI39">
            <v>7.92</v>
          </cell>
          <cell r="CJ39">
            <v>6.84</v>
          </cell>
          <cell r="CK39">
            <v>40</v>
          </cell>
          <cell r="CL39">
            <v>2.5</v>
          </cell>
          <cell r="CM39">
            <v>53</v>
          </cell>
          <cell r="CN39">
            <v>22</v>
          </cell>
          <cell r="CO39">
            <v>18.043199999999999</v>
          </cell>
          <cell r="CP39">
            <v>15.036</v>
          </cell>
          <cell r="CQ39">
            <v>15.2</v>
          </cell>
          <cell r="CR39">
            <v>60</v>
          </cell>
          <cell r="CS39">
            <v>5.5</v>
          </cell>
          <cell r="CT39">
            <v>102.142285714286</v>
          </cell>
          <cell r="CU39">
            <v>36.24</v>
          </cell>
          <cell r="CV39">
            <v>28.908000000000001</v>
          </cell>
          <cell r="CW39">
            <v>24.09</v>
          </cell>
          <cell r="CX39">
            <v>18.862559999999998</v>
          </cell>
          <cell r="CY39">
            <v>58.5</v>
          </cell>
          <cell r="CZ39">
            <v>10</v>
          </cell>
        </row>
        <row r="40">
          <cell r="BX40">
            <v>2037</v>
          </cell>
          <cell r="BY40">
            <v>10</v>
          </cell>
          <cell r="BZ40">
            <v>5.75</v>
          </cell>
          <cell r="CA40">
            <v>4</v>
          </cell>
          <cell r="CB40">
            <v>3.3333333333333299</v>
          </cell>
          <cell r="CC40">
            <v>3.5</v>
          </cell>
          <cell r="CD40">
            <v>6</v>
          </cell>
          <cell r="CE40">
            <v>0.75</v>
          </cell>
          <cell r="CF40">
            <v>20</v>
          </cell>
          <cell r="CG40">
            <v>19.5</v>
          </cell>
          <cell r="CH40">
            <v>9.5039999999999996</v>
          </cell>
          <cell r="CI40">
            <v>7.92</v>
          </cell>
          <cell r="CJ40">
            <v>6.84</v>
          </cell>
          <cell r="CK40">
            <v>40</v>
          </cell>
          <cell r="CL40">
            <v>2.5</v>
          </cell>
          <cell r="CM40">
            <v>53</v>
          </cell>
          <cell r="CN40">
            <v>22</v>
          </cell>
          <cell r="CO40">
            <v>18.0444</v>
          </cell>
          <cell r="CP40">
            <v>15.037000000000001</v>
          </cell>
          <cell r="CQ40">
            <v>15.2</v>
          </cell>
          <cell r="CR40">
            <v>60</v>
          </cell>
          <cell r="CS40">
            <v>5.5</v>
          </cell>
          <cell r="CT40">
            <v>102.141714285714</v>
          </cell>
          <cell r="CU40">
            <v>36.24</v>
          </cell>
          <cell r="CV40">
            <v>28.908000000000001</v>
          </cell>
          <cell r="CW40">
            <v>24.09</v>
          </cell>
          <cell r="CX40">
            <v>18.861920000000001</v>
          </cell>
          <cell r="CY40">
            <v>58.5</v>
          </cell>
          <cell r="CZ40">
            <v>10</v>
          </cell>
        </row>
        <row r="41">
          <cell r="BX41">
            <v>2038</v>
          </cell>
          <cell r="BY41">
            <v>10</v>
          </cell>
          <cell r="BZ41">
            <v>5.75</v>
          </cell>
          <cell r="CA41">
            <v>4</v>
          </cell>
          <cell r="CB41">
            <v>3.3333333333333299</v>
          </cell>
          <cell r="CC41">
            <v>3.5</v>
          </cell>
          <cell r="CD41">
            <v>6</v>
          </cell>
          <cell r="CE41">
            <v>0.75</v>
          </cell>
          <cell r="CF41">
            <v>20</v>
          </cell>
          <cell r="CG41">
            <v>19.5</v>
          </cell>
          <cell r="CH41">
            <v>9.5039999999999996</v>
          </cell>
          <cell r="CI41">
            <v>7.92</v>
          </cell>
          <cell r="CJ41">
            <v>6.84</v>
          </cell>
          <cell r="CK41">
            <v>40</v>
          </cell>
          <cell r="CL41">
            <v>2.5</v>
          </cell>
          <cell r="CM41">
            <v>53</v>
          </cell>
          <cell r="CN41">
            <v>22</v>
          </cell>
          <cell r="CO41">
            <v>18.0456</v>
          </cell>
          <cell r="CP41">
            <v>15.038</v>
          </cell>
          <cell r="CQ41">
            <v>15.2</v>
          </cell>
          <cell r="CR41">
            <v>60</v>
          </cell>
          <cell r="CS41">
            <v>5.5</v>
          </cell>
          <cell r="CT41">
            <v>102.141142857143</v>
          </cell>
          <cell r="CU41">
            <v>36.24</v>
          </cell>
          <cell r="CV41">
            <v>28.908000000000001</v>
          </cell>
          <cell r="CW41">
            <v>24.09</v>
          </cell>
          <cell r="CX41">
            <v>18.861280000000001</v>
          </cell>
          <cell r="CY41">
            <v>58.5</v>
          </cell>
          <cell r="CZ41">
            <v>10</v>
          </cell>
        </row>
        <row r="42">
          <cell r="BX42">
            <v>2039</v>
          </cell>
          <cell r="BY42">
            <v>10</v>
          </cell>
          <cell r="BZ42">
            <v>5.75</v>
          </cell>
          <cell r="CA42">
            <v>4</v>
          </cell>
          <cell r="CB42">
            <v>3.3333333333333299</v>
          </cell>
          <cell r="CC42">
            <v>3.5</v>
          </cell>
          <cell r="CD42">
            <v>6</v>
          </cell>
          <cell r="CE42">
            <v>0.75</v>
          </cell>
          <cell r="CF42">
            <v>20</v>
          </cell>
          <cell r="CG42">
            <v>19.5</v>
          </cell>
          <cell r="CH42">
            <v>9.5039999999999996</v>
          </cell>
          <cell r="CI42">
            <v>7.92</v>
          </cell>
          <cell r="CJ42">
            <v>6.84</v>
          </cell>
          <cell r="CK42">
            <v>40</v>
          </cell>
          <cell r="CL42">
            <v>2.5</v>
          </cell>
          <cell r="CM42">
            <v>53</v>
          </cell>
          <cell r="CN42">
            <v>22</v>
          </cell>
          <cell r="CO42">
            <v>18.046800000000001</v>
          </cell>
          <cell r="CP42">
            <v>15.039</v>
          </cell>
          <cell r="CQ42">
            <v>15.2</v>
          </cell>
          <cell r="CR42">
            <v>60</v>
          </cell>
          <cell r="CS42">
            <v>5.5</v>
          </cell>
          <cell r="CT42">
            <v>102.14057142857099</v>
          </cell>
          <cell r="CU42">
            <v>36.24</v>
          </cell>
          <cell r="CV42">
            <v>28.908000000000001</v>
          </cell>
          <cell r="CW42">
            <v>24.09</v>
          </cell>
          <cell r="CX42">
            <v>18.86064</v>
          </cell>
          <cell r="CY42">
            <v>58.5</v>
          </cell>
          <cell r="CZ42">
            <v>10</v>
          </cell>
        </row>
        <row r="43">
          <cell r="BX43">
            <v>2040</v>
          </cell>
          <cell r="BY43">
            <v>10</v>
          </cell>
          <cell r="BZ43">
            <v>5.75</v>
          </cell>
          <cell r="CA43">
            <v>4</v>
          </cell>
          <cell r="CB43">
            <v>3.3333333333333299</v>
          </cell>
          <cell r="CC43">
            <v>3.5</v>
          </cell>
          <cell r="CD43">
            <v>6</v>
          </cell>
          <cell r="CE43">
            <v>0.75</v>
          </cell>
          <cell r="CF43">
            <v>20</v>
          </cell>
          <cell r="CG43">
            <v>19.5</v>
          </cell>
          <cell r="CH43">
            <v>9.5039999999999996</v>
          </cell>
          <cell r="CI43">
            <v>7.92</v>
          </cell>
          <cell r="CJ43">
            <v>6.84</v>
          </cell>
          <cell r="CK43">
            <v>40</v>
          </cell>
          <cell r="CL43">
            <v>2.5</v>
          </cell>
          <cell r="CM43">
            <v>53</v>
          </cell>
          <cell r="CN43">
            <v>22</v>
          </cell>
          <cell r="CO43">
            <v>18.047999999999998</v>
          </cell>
          <cell r="CP43">
            <v>15.04</v>
          </cell>
          <cell r="CQ43">
            <v>15.2</v>
          </cell>
          <cell r="CR43">
            <v>60</v>
          </cell>
          <cell r="CS43">
            <v>5.5</v>
          </cell>
          <cell r="CT43">
            <v>102.14</v>
          </cell>
          <cell r="CU43">
            <v>36.24</v>
          </cell>
          <cell r="CV43">
            <v>28.908000000000001</v>
          </cell>
          <cell r="CW43">
            <v>24.09</v>
          </cell>
          <cell r="CX43">
            <v>18.86</v>
          </cell>
          <cell r="CY43">
            <v>58.5</v>
          </cell>
          <cell r="CZ43">
            <v>10</v>
          </cell>
        </row>
        <row r="44">
          <cell r="BX44">
            <v>2041</v>
          </cell>
          <cell r="BY44">
            <v>10</v>
          </cell>
          <cell r="BZ44">
            <v>5.75</v>
          </cell>
          <cell r="CA44">
            <v>4</v>
          </cell>
          <cell r="CB44">
            <v>3.3333333333333299</v>
          </cell>
          <cell r="CC44">
            <v>3.5</v>
          </cell>
          <cell r="CD44">
            <v>6</v>
          </cell>
          <cell r="CE44">
            <v>0.75</v>
          </cell>
          <cell r="CF44">
            <v>20</v>
          </cell>
          <cell r="CG44">
            <v>19.5</v>
          </cell>
          <cell r="CH44">
            <v>9.5039999999999996</v>
          </cell>
          <cell r="CI44">
            <v>7.92</v>
          </cell>
          <cell r="CJ44">
            <v>6.84</v>
          </cell>
          <cell r="CK44">
            <v>40</v>
          </cell>
          <cell r="CL44">
            <v>2.5</v>
          </cell>
          <cell r="CM44">
            <v>53</v>
          </cell>
          <cell r="CN44">
            <v>22</v>
          </cell>
          <cell r="CO44">
            <v>18.047999999999998</v>
          </cell>
          <cell r="CP44">
            <v>15.04</v>
          </cell>
          <cell r="CQ44">
            <v>15.2</v>
          </cell>
          <cell r="CR44">
            <v>60</v>
          </cell>
          <cell r="CS44">
            <v>5.5</v>
          </cell>
          <cell r="CT44">
            <v>102.14</v>
          </cell>
          <cell r="CU44">
            <v>36.24</v>
          </cell>
          <cell r="CV44">
            <v>28.908000000000001</v>
          </cell>
          <cell r="CW44">
            <v>24.09</v>
          </cell>
          <cell r="CX44">
            <v>18.86</v>
          </cell>
          <cell r="CY44">
            <v>58.5</v>
          </cell>
          <cell r="CZ44">
            <v>10</v>
          </cell>
        </row>
        <row r="45">
          <cell r="BX45">
            <v>2042</v>
          </cell>
          <cell r="BY45">
            <v>10</v>
          </cell>
          <cell r="BZ45">
            <v>5.75</v>
          </cell>
          <cell r="CA45">
            <v>4</v>
          </cell>
          <cell r="CB45">
            <v>3.3333333333333299</v>
          </cell>
          <cell r="CC45">
            <v>3.5</v>
          </cell>
          <cell r="CD45">
            <v>6</v>
          </cell>
          <cell r="CE45">
            <v>0.75</v>
          </cell>
          <cell r="CF45">
            <v>20</v>
          </cell>
          <cell r="CG45">
            <v>19.5</v>
          </cell>
          <cell r="CH45">
            <v>9.5039999999999996</v>
          </cell>
          <cell r="CI45">
            <v>7.92</v>
          </cell>
          <cell r="CJ45">
            <v>6.84</v>
          </cell>
          <cell r="CK45">
            <v>40</v>
          </cell>
          <cell r="CL45">
            <v>2.5</v>
          </cell>
          <cell r="CM45">
            <v>53</v>
          </cell>
          <cell r="CN45">
            <v>22</v>
          </cell>
          <cell r="CO45">
            <v>18.047999999999998</v>
          </cell>
          <cell r="CP45">
            <v>15.04</v>
          </cell>
          <cell r="CQ45">
            <v>15.2</v>
          </cell>
          <cell r="CR45">
            <v>60</v>
          </cell>
          <cell r="CS45">
            <v>5.5</v>
          </cell>
          <cell r="CT45">
            <v>102.14</v>
          </cell>
          <cell r="CU45">
            <v>36.24</v>
          </cell>
          <cell r="CV45">
            <v>28.908000000000001</v>
          </cell>
          <cell r="CW45">
            <v>24.09</v>
          </cell>
          <cell r="CX45">
            <v>18.86</v>
          </cell>
          <cell r="CY45">
            <v>58.5</v>
          </cell>
          <cell r="CZ45">
            <v>10</v>
          </cell>
        </row>
        <row r="46">
          <cell r="BX46">
            <v>2043</v>
          </cell>
          <cell r="BY46">
            <v>10</v>
          </cell>
          <cell r="BZ46">
            <v>5.75</v>
          </cell>
          <cell r="CA46">
            <v>4</v>
          </cell>
          <cell r="CB46">
            <v>3.3333333333333299</v>
          </cell>
          <cell r="CC46">
            <v>3.5</v>
          </cell>
          <cell r="CD46">
            <v>6</v>
          </cell>
          <cell r="CE46">
            <v>0.75</v>
          </cell>
          <cell r="CF46">
            <v>20</v>
          </cell>
          <cell r="CG46">
            <v>19.5</v>
          </cell>
          <cell r="CH46">
            <v>9.5039999999999996</v>
          </cell>
          <cell r="CI46">
            <v>7.92</v>
          </cell>
          <cell r="CJ46">
            <v>6.84</v>
          </cell>
          <cell r="CK46">
            <v>40</v>
          </cell>
          <cell r="CL46">
            <v>2.5</v>
          </cell>
          <cell r="CM46">
            <v>53</v>
          </cell>
          <cell r="CN46">
            <v>22</v>
          </cell>
          <cell r="CO46">
            <v>18.047999999999998</v>
          </cell>
          <cell r="CP46">
            <v>15.04</v>
          </cell>
          <cell r="CQ46">
            <v>15.2</v>
          </cell>
          <cell r="CR46">
            <v>60</v>
          </cell>
          <cell r="CS46">
            <v>5.5</v>
          </cell>
          <cell r="CT46">
            <v>102.14</v>
          </cell>
          <cell r="CU46">
            <v>36.24</v>
          </cell>
          <cell r="CV46">
            <v>28.908000000000001</v>
          </cell>
          <cell r="CW46">
            <v>24.09</v>
          </cell>
          <cell r="CX46">
            <v>18.86</v>
          </cell>
          <cell r="CY46">
            <v>58.5</v>
          </cell>
          <cell r="CZ46">
            <v>10</v>
          </cell>
        </row>
        <row r="47">
          <cell r="BX47">
            <v>2044</v>
          </cell>
          <cell r="BY47">
            <v>10</v>
          </cell>
          <cell r="BZ47">
            <v>5.75</v>
          </cell>
          <cell r="CA47">
            <v>4</v>
          </cell>
          <cell r="CB47">
            <v>3.3333333333333299</v>
          </cell>
          <cell r="CC47">
            <v>3.5</v>
          </cell>
          <cell r="CD47">
            <v>6</v>
          </cell>
          <cell r="CE47">
            <v>0.75</v>
          </cell>
          <cell r="CF47">
            <v>20</v>
          </cell>
          <cell r="CG47">
            <v>19.5</v>
          </cell>
          <cell r="CH47">
            <v>9.5039999999999996</v>
          </cell>
          <cell r="CI47">
            <v>7.92</v>
          </cell>
          <cell r="CJ47">
            <v>6.84</v>
          </cell>
          <cell r="CK47">
            <v>40</v>
          </cell>
          <cell r="CL47">
            <v>2.5</v>
          </cell>
          <cell r="CM47">
            <v>53</v>
          </cell>
          <cell r="CN47">
            <v>22</v>
          </cell>
          <cell r="CO47">
            <v>18.047999999999998</v>
          </cell>
          <cell r="CP47">
            <v>15.04</v>
          </cell>
          <cell r="CQ47">
            <v>15.2</v>
          </cell>
          <cell r="CR47">
            <v>60</v>
          </cell>
          <cell r="CS47">
            <v>5.5</v>
          </cell>
          <cell r="CT47">
            <v>102.14</v>
          </cell>
          <cell r="CU47">
            <v>36.24</v>
          </cell>
          <cell r="CV47">
            <v>28.908000000000001</v>
          </cell>
          <cell r="CW47">
            <v>24.09</v>
          </cell>
          <cell r="CX47">
            <v>18.86</v>
          </cell>
          <cell r="CY47">
            <v>58.5</v>
          </cell>
          <cell r="CZ47">
            <v>10</v>
          </cell>
        </row>
        <row r="48">
          <cell r="BX48">
            <v>2045</v>
          </cell>
          <cell r="BY48">
            <v>10</v>
          </cell>
          <cell r="BZ48">
            <v>5.75</v>
          </cell>
          <cell r="CA48">
            <v>4</v>
          </cell>
          <cell r="CB48">
            <v>3.3333333333333299</v>
          </cell>
          <cell r="CC48">
            <v>3.5</v>
          </cell>
          <cell r="CD48">
            <v>6</v>
          </cell>
          <cell r="CE48">
            <v>0.75</v>
          </cell>
          <cell r="CF48">
            <v>20</v>
          </cell>
          <cell r="CG48">
            <v>19.5</v>
          </cell>
          <cell r="CH48">
            <v>9.5039999999999996</v>
          </cell>
          <cell r="CI48">
            <v>7.92</v>
          </cell>
          <cell r="CJ48">
            <v>6.84</v>
          </cell>
          <cell r="CK48">
            <v>40</v>
          </cell>
          <cell r="CL48">
            <v>2.5</v>
          </cell>
          <cell r="CM48">
            <v>53</v>
          </cell>
          <cell r="CN48">
            <v>22</v>
          </cell>
          <cell r="CO48">
            <v>18.047999999999998</v>
          </cell>
          <cell r="CP48">
            <v>15.04</v>
          </cell>
          <cell r="CQ48">
            <v>15.2</v>
          </cell>
          <cell r="CR48">
            <v>60</v>
          </cell>
          <cell r="CS48">
            <v>5.5</v>
          </cell>
          <cell r="CT48">
            <v>102.14</v>
          </cell>
          <cell r="CU48">
            <v>36.24</v>
          </cell>
          <cell r="CV48">
            <v>28.908000000000001</v>
          </cell>
          <cell r="CW48">
            <v>24.09</v>
          </cell>
          <cell r="CX48">
            <v>18.86</v>
          </cell>
          <cell r="CY48">
            <v>58.5</v>
          </cell>
          <cell r="CZ48">
            <v>10</v>
          </cell>
        </row>
        <row r="49">
          <cell r="BX49">
            <v>2046</v>
          </cell>
          <cell r="BY49">
            <v>10</v>
          </cell>
          <cell r="BZ49">
            <v>5.75</v>
          </cell>
          <cell r="CA49">
            <v>4</v>
          </cell>
          <cell r="CB49">
            <v>3.3333333333333299</v>
          </cell>
          <cell r="CC49">
            <v>3.5</v>
          </cell>
          <cell r="CD49">
            <v>6</v>
          </cell>
          <cell r="CE49">
            <v>0.75</v>
          </cell>
          <cell r="CF49">
            <v>20</v>
          </cell>
          <cell r="CG49">
            <v>19.5</v>
          </cell>
          <cell r="CH49">
            <v>9.5039999999999996</v>
          </cell>
          <cell r="CI49">
            <v>7.92</v>
          </cell>
          <cell r="CJ49">
            <v>6.84</v>
          </cell>
          <cell r="CK49">
            <v>40</v>
          </cell>
          <cell r="CL49">
            <v>2.5</v>
          </cell>
          <cell r="CM49">
            <v>53</v>
          </cell>
          <cell r="CN49">
            <v>22</v>
          </cell>
          <cell r="CO49">
            <v>18.047999999999998</v>
          </cell>
          <cell r="CP49">
            <v>15.04</v>
          </cell>
          <cell r="CQ49">
            <v>15.2</v>
          </cell>
          <cell r="CR49">
            <v>60</v>
          </cell>
          <cell r="CS49">
            <v>5.5</v>
          </cell>
          <cell r="CT49">
            <v>102.14</v>
          </cell>
          <cell r="CU49">
            <v>36.24</v>
          </cell>
          <cell r="CV49">
            <v>28.908000000000001</v>
          </cell>
          <cell r="CW49">
            <v>24.09</v>
          </cell>
          <cell r="CX49">
            <v>18.86</v>
          </cell>
          <cell r="CY49">
            <v>58.5</v>
          </cell>
          <cell r="CZ49">
            <v>10</v>
          </cell>
        </row>
        <row r="50">
          <cell r="BX50">
            <v>2047</v>
          </cell>
          <cell r="BY50">
            <v>10</v>
          </cell>
          <cell r="BZ50">
            <v>5.75</v>
          </cell>
          <cell r="CA50">
            <v>4</v>
          </cell>
          <cell r="CB50">
            <v>3.3333333333333299</v>
          </cell>
          <cell r="CC50">
            <v>3.5</v>
          </cell>
          <cell r="CD50">
            <v>6</v>
          </cell>
          <cell r="CE50">
            <v>0.75</v>
          </cell>
          <cell r="CF50">
            <v>20</v>
          </cell>
          <cell r="CG50">
            <v>19.5</v>
          </cell>
          <cell r="CH50">
            <v>9.5039999999999996</v>
          </cell>
          <cell r="CI50">
            <v>7.92</v>
          </cell>
          <cell r="CJ50">
            <v>6.84</v>
          </cell>
          <cell r="CK50">
            <v>40</v>
          </cell>
          <cell r="CL50">
            <v>2.5</v>
          </cell>
          <cell r="CM50">
            <v>53</v>
          </cell>
          <cell r="CN50">
            <v>22</v>
          </cell>
          <cell r="CO50">
            <v>18.047999999999998</v>
          </cell>
          <cell r="CP50">
            <v>15.04</v>
          </cell>
          <cell r="CQ50">
            <v>15.2</v>
          </cell>
          <cell r="CR50">
            <v>60</v>
          </cell>
          <cell r="CS50">
            <v>5.5</v>
          </cell>
          <cell r="CT50">
            <v>102.14</v>
          </cell>
          <cell r="CU50">
            <v>36.24</v>
          </cell>
          <cell r="CV50">
            <v>28.908000000000001</v>
          </cell>
          <cell r="CW50">
            <v>24.09</v>
          </cell>
          <cell r="CX50">
            <v>18.86</v>
          </cell>
          <cell r="CY50">
            <v>58.5</v>
          </cell>
          <cell r="CZ50">
            <v>10</v>
          </cell>
        </row>
        <row r="51">
          <cell r="BX51">
            <v>2048</v>
          </cell>
          <cell r="BY51">
            <v>10</v>
          </cell>
          <cell r="BZ51">
            <v>5.75</v>
          </cell>
          <cell r="CA51">
            <v>4</v>
          </cell>
          <cell r="CB51">
            <v>3.3333333333333299</v>
          </cell>
          <cell r="CC51">
            <v>3.5</v>
          </cell>
          <cell r="CD51">
            <v>6</v>
          </cell>
          <cell r="CE51">
            <v>0.75</v>
          </cell>
          <cell r="CF51">
            <v>20</v>
          </cell>
          <cell r="CG51">
            <v>19.5</v>
          </cell>
          <cell r="CH51">
            <v>9.5039999999999996</v>
          </cell>
          <cell r="CI51">
            <v>7.92</v>
          </cell>
          <cell r="CJ51">
            <v>6.84</v>
          </cell>
          <cell r="CK51">
            <v>40</v>
          </cell>
          <cell r="CL51">
            <v>2.5</v>
          </cell>
          <cell r="CM51">
            <v>53</v>
          </cell>
          <cell r="CN51">
            <v>22</v>
          </cell>
          <cell r="CO51">
            <v>18.047999999999998</v>
          </cell>
          <cell r="CP51">
            <v>15.04</v>
          </cell>
          <cell r="CQ51">
            <v>15.2</v>
          </cell>
          <cell r="CR51">
            <v>60</v>
          </cell>
          <cell r="CS51">
            <v>5.5</v>
          </cell>
          <cell r="CT51">
            <v>102.14</v>
          </cell>
          <cell r="CU51">
            <v>36.24</v>
          </cell>
          <cell r="CV51">
            <v>28.908000000000001</v>
          </cell>
          <cell r="CW51">
            <v>24.09</v>
          </cell>
          <cell r="CX51">
            <v>18.86</v>
          </cell>
          <cell r="CY51">
            <v>58.5</v>
          </cell>
          <cell r="CZ51">
            <v>10</v>
          </cell>
        </row>
        <row r="52">
          <cell r="BX52">
            <v>2049</v>
          </cell>
          <cell r="BY52">
            <v>10</v>
          </cell>
          <cell r="BZ52">
            <v>5.75</v>
          </cell>
          <cell r="CA52">
            <v>4</v>
          </cell>
          <cell r="CB52">
            <v>3.3333333333333299</v>
          </cell>
          <cell r="CC52">
            <v>3.5</v>
          </cell>
          <cell r="CD52">
            <v>6</v>
          </cell>
          <cell r="CE52">
            <v>0.75</v>
          </cell>
          <cell r="CF52">
            <v>20</v>
          </cell>
          <cell r="CG52">
            <v>19.5</v>
          </cell>
          <cell r="CH52">
            <v>9.5039999999999996</v>
          </cell>
          <cell r="CI52">
            <v>7.92</v>
          </cell>
          <cell r="CJ52">
            <v>6.84</v>
          </cell>
          <cell r="CK52">
            <v>40</v>
          </cell>
          <cell r="CL52">
            <v>2.5</v>
          </cell>
          <cell r="CM52">
            <v>53</v>
          </cell>
          <cell r="CN52">
            <v>22</v>
          </cell>
          <cell r="CO52">
            <v>18.047999999999998</v>
          </cell>
          <cell r="CP52">
            <v>15.04</v>
          </cell>
          <cell r="CQ52">
            <v>15.2</v>
          </cell>
          <cell r="CR52">
            <v>60</v>
          </cell>
          <cell r="CS52">
            <v>5.5</v>
          </cell>
          <cell r="CT52">
            <v>102.14</v>
          </cell>
          <cell r="CU52">
            <v>36.24</v>
          </cell>
          <cell r="CV52">
            <v>28.908000000000001</v>
          </cell>
          <cell r="CW52">
            <v>24.09</v>
          </cell>
          <cell r="CX52">
            <v>18.86</v>
          </cell>
          <cell r="CY52">
            <v>58.5</v>
          </cell>
          <cell r="CZ52">
            <v>10</v>
          </cell>
        </row>
        <row r="53">
          <cell r="BX53">
            <v>2050</v>
          </cell>
          <cell r="BY53">
            <v>10</v>
          </cell>
          <cell r="BZ53">
            <v>5.75</v>
          </cell>
          <cell r="CA53">
            <v>4</v>
          </cell>
          <cell r="CB53">
            <v>3.3333333333333299</v>
          </cell>
          <cell r="CC53">
            <v>3.5</v>
          </cell>
          <cell r="CD53">
            <v>6</v>
          </cell>
          <cell r="CE53">
            <v>0.75</v>
          </cell>
          <cell r="CF53">
            <v>20</v>
          </cell>
          <cell r="CG53">
            <v>19.5</v>
          </cell>
          <cell r="CH53">
            <v>9.5039999999999996</v>
          </cell>
          <cell r="CI53">
            <v>7.92</v>
          </cell>
          <cell r="CJ53">
            <v>6.84</v>
          </cell>
          <cell r="CK53">
            <v>40</v>
          </cell>
          <cell r="CL53">
            <v>2.5</v>
          </cell>
          <cell r="CM53">
            <v>53</v>
          </cell>
          <cell r="CN53">
            <v>22</v>
          </cell>
          <cell r="CO53">
            <v>18.047999999999998</v>
          </cell>
          <cell r="CP53">
            <v>15.04</v>
          </cell>
          <cell r="CQ53">
            <v>15.2</v>
          </cell>
          <cell r="CR53">
            <v>60</v>
          </cell>
          <cell r="CS53">
            <v>5.5</v>
          </cell>
          <cell r="CT53">
            <v>102.14</v>
          </cell>
          <cell r="CU53">
            <v>36.24</v>
          </cell>
          <cell r="CV53">
            <v>28.908000000000001</v>
          </cell>
          <cell r="CW53">
            <v>24.09</v>
          </cell>
          <cell r="CX53">
            <v>18.86</v>
          </cell>
          <cell r="CY53">
            <v>58.5</v>
          </cell>
          <cell r="CZ53">
            <v>10</v>
          </cell>
        </row>
        <row r="54">
          <cell r="BX54">
            <v>2051</v>
          </cell>
          <cell r="BY54">
            <v>10</v>
          </cell>
          <cell r="BZ54">
            <v>5.75</v>
          </cell>
          <cell r="CA54">
            <v>4</v>
          </cell>
          <cell r="CB54">
            <v>3.3333333333333299</v>
          </cell>
          <cell r="CC54">
            <v>3.5</v>
          </cell>
          <cell r="CD54">
            <v>6</v>
          </cell>
          <cell r="CE54">
            <v>0.75</v>
          </cell>
          <cell r="CF54">
            <v>20</v>
          </cell>
          <cell r="CG54">
            <v>19.5</v>
          </cell>
          <cell r="CH54">
            <v>9.5039999999999996</v>
          </cell>
          <cell r="CI54">
            <v>7.92</v>
          </cell>
          <cell r="CJ54">
            <v>6.84</v>
          </cell>
          <cell r="CK54">
            <v>40</v>
          </cell>
          <cell r="CL54">
            <v>2.5</v>
          </cell>
          <cell r="CM54">
            <v>53</v>
          </cell>
          <cell r="CN54">
            <v>22</v>
          </cell>
          <cell r="CO54">
            <v>18.047999999999998</v>
          </cell>
          <cell r="CP54">
            <v>15.04</v>
          </cell>
          <cell r="CQ54">
            <v>15.2</v>
          </cell>
          <cell r="CR54">
            <v>60</v>
          </cell>
          <cell r="CS54">
            <v>5.5</v>
          </cell>
          <cell r="CT54">
            <v>102.14</v>
          </cell>
          <cell r="CU54">
            <v>36.24</v>
          </cell>
          <cell r="CV54">
            <v>28.908000000000001</v>
          </cell>
          <cell r="CW54">
            <v>24.09</v>
          </cell>
          <cell r="CX54">
            <v>18.86</v>
          </cell>
          <cell r="CY54">
            <v>58.5</v>
          </cell>
          <cell r="CZ54">
            <v>10</v>
          </cell>
        </row>
        <row r="55">
          <cell r="BX55">
            <v>2052</v>
          </cell>
          <cell r="BY55">
            <v>10</v>
          </cell>
          <cell r="BZ55">
            <v>5.75</v>
          </cell>
          <cell r="CA55">
            <v>4</v>
          </cell>
          <cell r="CB55">
            <v>3.3333333333333299</v>
          </cell>
          <cell r="CC55">
            <v>3.5</v>
          </cell>
          <cell r="CD55">
            <v>6</v>
          </cell>
          <cell r="CE55">
            <v>0.75</v>
          </cell>
          <cell r="CF55">
            <v>20</v>
          </cell>
          <cell r="CG55">
            <v>19.5</v>
          </cell>
          <cell r="CH55">
            <v>9.5039999999999996</v>
          </cell>
          <cell r="CI55">
            <v>7.92</v>
          </cell>
          <cell r="CJ55">
            <v>6.84</v>
          </cell>
          <cell r="CK55">
            <v>40</v>
          </cell>
          <cell r="CL55">
            <v>2.5</v>
          </cell>
          <cell r="CM55">
            <v>53</v>
          </cell>
          <cell r="CN55">
            <v>22</v>
          </cell>
          <cell r="CO55">
            <v>18.047999999999998</v>
          </cell>
          <cell r="CP55">
            <v>15.04</v>
          </cell>
          <cell r="CQ55">
            <v>15.2</v>
          </cell>
          <cell r="CR55">
            <v>60</v>
          </cell>
          <cell r="CS55">
            <v>5.5</v>
          </cell>
          <cell r="CT55">
            <v>102.14</v>
          </cell>
          <cell r="CU55">
            <v>36.24</v>
          </cell>
          <cell r="CV55">
            <v>28.908000000000001</v>
          </cell>
          <cell r="CW55">
            <v>24.09</v>
          </cell>
          <cell r="CX55">
            <v>18.86</v>
          </cell>
          <cell r="CY55">
            <v>58.5</v>
          </cell>
          <cell r="CZ55">
            <v>10</v>
          </cell>
        </row>
        <row r="56">
          <cell r="BX56">
            <v>2053</v>
          </cell>
          <cell r="BY56">
            <v>10</v>
          </cell>
          <cell r="BZ56">
            <v>5.75</v>
          </cell>
          <cell r="CA56">
            <v>4</v>
          </cell>
          <cell r="CB56">
            <v>3.3333333333333299</v>
          </cell>
          <cell r="CC56">
            <v>3.5</v>
          </cell>
          <cell r="CD56">
            <v>6</v>
          </cell>
          <cell r="CE56">
            <v>0.75</v>
          </cell>
          <cell r="CF56">
            <v>20</v>
          </cell>
          <cell r="CG56">
            <v>19.5</v>
          </cell>
          <cell r="CH56">
            <v>9.5039999999999996</v>
          </cell>
          <cell r="CI56">
            <v>7.92</v>
          </cell>
          <cell r="CJ56">
            <v>6.84</v>
          </cell>
          <cell r="CK56">
            <v>40</v>
          </cell>
          <cell r="CL56">
            <v>2.5</v>
          </cell>
          <cell r="CM56">
            <v>53</v>
          </cell>
          <cell r="CN56">
            <v>22</v>
          </cell>
          <cell r="CO56">
            <v>18.047999999999998</v>
          </cell>
          <cell r="CP56">
            <v>15.04</v>
          </cell>
          <cell r="CQ56">
            <v>15.2</v>
          </cell>
          <cell r="CR56">
            <v>60</v>
          </cell>
          <cell r="CS56">
            <v>5.5</v>
          </cell>
          <cell r="CT56">
            <v>102.14</v>
          </cell>
          <cell r="CU56">
            <v>36.24</v>
          </cell>
          <cell r="CV56">
            <v>28.908000000000001</v>
          </cell>
          <cell r="CW56">
            <v>24.09</v>
          </cell>
          <cell r="CX56">
            <v>18.86</v>
          </cell>
          <cell r="CY56">
            <v>58.5</v>
          </cell>
          <cell r="CZ56">
            <v>10</v>
          </cell>
        </row>
        <row r="57">
          <cell r="BX57">
            <v>2054</v>
          </cell>
          <cell r="BY57">
            <v>10</v>
          </cell>
          <cell r="BZ57">
            <v>5.75</v>
          </cell>
          <cell r="CA57">
            <v>4</v>
          </cell>
          <cell r="CB57">
            <v>3.3333333333333299</v>
          </cell>
          <cell r="CC57">
            <v>3.5</v>
          </cell>
          <cell r="CD57">
            <v>6</v>
          </cell>
          <cell r="CE57">
            <v>0.75</v>
          </cell>
          <cell r="CF57">
            <v>20</v>
          </cell>
          <cell r="CG57">
            <v>19.5</v>
          </cell>
          <cell r="CH57">
            <v>9.5039999999999996</v>
          </cell>
          <cell r="CI57">
            <v>7.92</v>
          </cell>
          <cell r="CJ57">
            <v>6.84</v>
          </cell>
          <cell r="CK57">
            <v>40</v>
          </cell>
          <cell r="CL57">
            <v>2.5</v>
          </cell>
          <cell r="CM57">
            <v>53</v>
          </cell>
          <cell r="CN57">
            <v>22</v>
          </cell>
          <cell r="CO57">
            <v>18.047999999999998</v>
          </cell>
          <cell r="CP57">
            <v>15.04</v>
          </cell>
          <cell r="CQ57">
            <v>15.2</v>
          </cell>
          <cell r="CR57">
            <v>60</v>
          </cell>
          <cell r="CS57">
            <v>5.5</v>
          </cell>
          <cell r="CT57">
            <v>102.14</v>
          </cell>
          <cell r="CU57">
            <v>36.24</v>
          </cell>
          <cell r="CV57">
            <v>28.908000000000001</v>
          </cell>
          <cell r="CW57">
            <v>24.09</v>
          </cell>
          <cell r="CX57">
            <v>18.86</v>
          </cell>
          <cell r="CY57">
            <v>58.5</v>
          </cell>
          <cell r="CZ57">
            <v>10</v>
          </cell>
        </row>
        <row r="58">
          <cell r="BX58">
            <v>2055</v>
          </cell>
          <cell r="BY58">
            <v>10</v>
          </cell>
          <cell r="BZ58">
            <v>5.75</v>
          </cell>
          <cell r="CA58">
            <v>4</v>
          </cell>
          <cell r="CB58">
            <v>3.3333333333333299</v>
          </cell>
          <cell r="CC58">
            <v>3.5</v>
          </cell>
          <cell r="CD58">
            <v>6</v>
          </cell>
          <cell r="CE58">
            <v>0.75</v>
          </cell>
          <cell r="CF58">
            <v>20</v>
          </cell>
          <cell r="CG58">
            <v>19.5</v>
          </cell>
          <cell r="CH58">
            <v>9.5039999999999996</v>
          </cell>
          <cell r="CI58">
            <v>7.92</v>
          </cell>
          <cell r="CJ58">
            <v>6.84</v>
          </cell>
          <cell r="CK58">
            <v>40</v>
          </cell>
          <cell r="CL58">
            <v>2.5</v>
          </cell>
          <cell r="CM58">
            <v>53</v>
          </cell>
          <cell r="CN58">
            <v>22</v>
          </cell>
          <cell r="CO58">
            <v>18.047999999999998</v>
          </cell>
          <cell r="CP58">
            <v>15.04</v>
          </cell>
          <cell r="CQ58">
            <v>15.2</v>
          </cell>
          <cell r="CR58">
            <v>60</v>
          </cell>
          <cell r="CS58">
            <v>5.5</v>
          </cell>
          <cell r="CT58">
            <v>102.14</v>
          </cell>
          <cell r="CU58">
            <v>36.24</v>
          </cell>
          <cell r="CV58">
            <v>28.908000000000001</v>
          </cell>
          <cell r="CW58">
            <v>24.09</v>
          </cell>
          <cell r="CX58">
            <v>18.86</v>
          </cell>
          <cell r="CY58">
            <v>58.5</v>
          </cell>
          <cell r="CZ58">
            <v>10</v>
          </cell>
        </row>
        <row r="59">
          <cell r="BX59">
            <v>2056</v>
          </cell>
          <cell r="BY59">
            <v>10</v>
          </cell>
          <cell r="BZ59">
            <v>5.75</v>
          </cell>
          <cell r="CA59">
            <v>4</v>
          </cell>
          <cell r="CB59">
            <v>3.3333333333333299</v>
          </cell>
          <cell r="CC59">
            <v>3.5</v>
          </cell>
          <cell r="CD59">
            <v>6</v>
          </cell>
          <cell r="CE59">
            <v>0.75</v>
          </cell>
          <cell r="CF59">
            <v>20</v>
          </cell>
          <cell r="CG59">
            <v>19.5</v>
          </cell>
          <cell r="CH59">
            <v>9.5039999999999996</v>
          </cell>
          <cell r="CI59">
            <v>7.92</v>
          </cell>
          <cell r="CJ59">
            <v>6.84</v>
          </cell>
          <cell r="CK59">
            <v>40</v>
          </cell>
          <cell r="CL59">
            <v>2.5</v>
          </cell>
          <cell r="CM59">
            <v>53</v>
          </cell>
          <cell r="CN59">
            <v>22</v>
          </cell>
          <cell r="CO59">
            <v>18.047999999999998</v>
          </cell>
          <cell r="CP59">
            <v>15.04</v>
          </cell>
          <cell r="CQ59">
            <v>15.2</v>
          </cell>
          <cell r="CR59">
            <v>60</v>
          </cell>
          <cell r="CS59">
            <v>5.5</v>
          </cell>
          <cell r="CT59">
            <v>102.14</v>
          </cell>
          <cell r="CU59">
            <v>36.24</v>
          </cell>
          <cell r="CV59">
            <v>28.908000000000001</v>
          </cell>
          <cell r="CW59">
            <v>24.09</v>
          </cell>
          <cell r="CX59">
            <v>18.86</v>
          </cell>
          <cell r="CY59">
            <v>58.5</v>
          </cell>
          <cell r="CZ59">
            <v>10</v>
          </cell>
        </row>
        <row r="60">
          <cell r="BX60">
            <v>2057</v>
          </cell>
          <cell r="BY60">
            <v>10</v>
          </cell>
          <cell r="BZ60">
            <v>5.75</v>
          </cell>
          <cell r="CA60">
            <v>4</v>
          </cell>
          <cell r="CB60">
            <v>3.3333333333333299</v>
          </cell>
          <cell r="CC60">
            <v>3.5</v>
          </cell>
          <cell r="CD60">
            <v>6</v>
          </cell>
          <cell r="CE60">
            <v>0.75</v>
          </cell>
          <cell r="CF60">
            <v>20</v>
          </cell>
          <cell r="CG60">
            <v>19.5</v>
          </cell>
          <cell r="CH60">
            <v>9.5039999999999996</v>
          </cell>
          <cell r="CI60">
            <v>7.92</v>
          </cell>
          <cell r="CJ60">
            <v>6.84</v>
          </cell>
          <cell r="CK60">
            <v>40</v>
          </cell>
          <cell r="CL60">
            <v>2.5</v>
          </cell>
          <cell r="CM60">
            <v>53</v>
          </cell>
          <cell r="CN60">
            <v>22</v>
          </cell>
          <cell r="CO60">
            <v>18.047999999999998</v>
          </cell>
          <cell r="CP60">
            <v>15.04</v>
          </cell>
          <cell r="CQ60">
            <v>15.2</v>
          </cell>
          <cell r="CR60">
            <v>60</v>
          </cell>
          <cell r="CS60">
            <v>5.5</v>
          </cell>
          <cell r="CT60">
            <v>102.14</v>
          </cell>
          <cell r="CU60">
            <v>36.24</v>
          </cell>
          <cell r="CV60">
            <v>28.908000000000001</v>
          </cell>
          <cell r="CW60">
            <v>24.09</v>
          </cell>
          <cell r="CX60">
            <v>18.86</v>
          </cell>
          <cell r="CY60">
            <v>58.5</v>
          </cell>
          <cell r="CZ60">
            <v>10</v>
          </cell>
        </row>
        <row r="61">
          <cell r="BX61">
            <v>2058</v>
          </cell>
          <cell r="BY61">
            <v>10</v>
          </cell>
          <cell r="BZ61">
            <v>5.75</v>
          </cell>
          <cell r="CA61">
            <v>4</v>
          </cell>
          <cell r="CB61">
            <v>3.3333333333333299</v>
          </cell>
          <cell r="CC61">
            <v>3.5</v>
          </cell>
          <cell r="CD61">
            <v>6</v>
          </cell>
          <cell r="CE61">
            <v>0.75</v>
          </cell>
          <cell r="CF61">
            <v>20</v>
          </cell>
          <cell r="CG61">
            <v>19.5</v>
          </cell>
          <cell r="CH61">
            <v>9.5039999999999996</v>
          </cell>
          <cell r="CI61">
            <v>7.92</v>
          </cell>
          <cell r="CJ61">
            <v>6.84</v>
          </cell>
          <cell r="CK61">
            <v>40</v>
          </cell>
          <cell r="CL61">
            <v>2.5</v>
          </cell>
          <cell r="CM61">
            <v>53</v>
          </cell>
          <cell r="CN61">
            <v>22</v>
          </cell>
          <cell r="CO61">
            <v>18.047999999999998</v>
          </cell>
          <cell r="CP61">
            <v>15.04</v>
          </cell>
          <cell r="CQ61">
            <v>15.2</v>
          </cell>
          <cell r="CR61">
            <v>60</v>
          </cell>
          <cell r="CS61">
            <v>5.5</v>
          </cell>
          <cell r="CT61">
            <v>102.14</v>
          </cell>
          <cell r="CU61">
            <v>36.24</v>
          </cell>
          <cell r="CV61">
            <v>28.908000000000001</v>
          </cell>
          <cell r="CW61">
            <v>24.09</v>
          </cell>
          <cell r="CX61">
            <v>18.86</v>
          </cell>
          <cell r="CY61">
            <v>58.5</v>
          </cell>
          <cell r="CZ61">
            <v>10</v>
          </cell>
        </row>
        <row r="62">
          <cell r="BX62">
            <v>2059</v>
          </cell>
          <cell r="BY62">
            <v>10</v>
          </cell>
          <cell r="BZ62">
            <v>5.75</v>
          </cell>
          <cell r="CA62">
            <v>4</v>
          </cell>
          <cell r="CB62">
            <v>3.3333333333333299</v>
          </cell>
          <cell r="CC62">
            <v>3.5</v>
          </cell>
          <cell r="CD62">
            <v>6</v>
          </cell>
          <cell r="CE62">
            <v>0.75</v>
          </cell>
          <cell r="CF62">
            <v>20</v>
          </cell>
          <cell r="CG62">
            <v>19.5</v>
          </cell>
          <cell r="CH62">
            <v>9.5039999999999996</v>
          </cell>
          <cell r="CI62">
            <v>7.92</v>
          </cell>
          <cell r="CJ62">
            <v>6.84</v>
          </cell>
          <cell r="CK62">
            <v>40</v>
          </cell>
          <cell r="CL62">
            <v>2.5</v>
          </cell>
          <cell r="CM62">
            <v>53</v>
          </cell>
          <cell r="CN62">
            <v>22</v>
          </cell>
          <cell r="CO62">
            <v>18.047999999999998</v>
          </cell>
          <cell r="CP62">
            <v>15.04</v>
          </cell>
          <cell r="CQ62">
            <v>15.2</v>
          </cell>
          <cell r="CR62">
            <v>60</v>
          </cell>
          <cell r="CS62">
            <v>5.5</v>
          </cell>
          <cell r="CT62">
            <v>102.14</v>
          </cell>
          <cell r="CU62">
            <v>36.24</v>
          </cell>
          <cell r="CV62">
            <v>28.908000000000001</v>
          </cell>
          <cell r="CW62">
            <v>24.09</v>
          </cell>
          <cell r="CX62">
            <v>18.86</v>
          </cell>
          <cell r="CY62">
            <v>58.5</v>
          </cell>
          <cell r="CZ62">
            <v>10</v>
          </cell>
        </row>
        <row r="63">
          <cell r="BX63">
            <v>2060</v>
          </cell>
          <cell r="BY63">
            <v>10</v>
          </cell>
          <cell r="BZ63">
            <v>5.75</v>
          </cell>
          <cell r="CA63">
            <v>4</v>
          </cell>
          <cell r="CB63">
            <v>3.3333333333333299</v>
          </cell>
          <cell r="CC63">
            <v>3.5</v>
          </cell>
          <cell r="CD63">
            <v>6</v>
          </cell>
          <cell r="CE63">
            <v>0.75</v>
          </cell>
          <cell r="CF63">
            <v>20</v>
          </cell>
          <cell r="CG63">
            <v>19.5</v>
          </cell>
          <cell r="CH63">
            <v>9.5039999999999996</v>
          </cell>
          <cell r="CI63">
            <v>7.92</v>
          </cell>
          <cell r="CJ63">
            <v>6.84</v>
          </cell>
          <cell r="CK63">
            <v>40</v>
          </cell>
          <cell r="CL63">
            <v>2.5</v>
          </cell>
          <cell r="CM63">
            <v>53</v>
          </cell>
          <cell r="CN63">
            <v>22</v>
          </cell>
          <cell r="CO63">
            <v>18.047999999999998</v>
          </cell>
          <cell r="CP63">
            <v>15.04</v>
          </cell>
          <cell r="CQ63">
            <v>15.2</v>
          </cell>
          <cell r="CR63">
            <v>60</v>
          </cell>
          <cell r="CS63">
            <v>5.5</v>
          </cell>
          <cell r="CT63">
            <v>102.14</v>
          </cell>
          <cell r="CU63">
            <v>36.24</v>
          </cell>
          <cell r="CV63">
            <v>28.908000000000001</v>
          </cell>
          <cell r="CW63">
            <v>24.09</v>
          </cell>
          <cell r="CX63">
            <v>18.86</v>
          </cell>
          <cell r="CY63">
            <v>58.5</v>
          </cell>
          <cell r="CZ63">
            <v>10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H2">
            <v>12</v>
          </cell>
          <cell r="I2">
            <v>12</v>
          </cell>
          <cell r="J2">
            <v>11.8</v>
          </cell>
          <cell r="K2">
            <v>11.6</v>
          </cell>
          <cell r="L2">
            <v>11.4</v>
          </cell>
          <cell r="M2">
            <v>11.2</v>
          </cell>
          <cell r="N2">
            <v>11</v>
          </cell>
          <cell r="O2">
            <v>10.9</v>
          </cell>
          <cell r="P2">
            <v>10.8</v>
          </cell>
          <cell r="Q2">
            <v>10.7</v>
          </cell>
          <cell r="R2">
            <v>10.6</v>
          </cell>
          <cell r="S2">
            <v>10.5</v>
          </cell>
          <cell r="T2">
            <v>10.4</v>
          </cell>
          <cell r="U2">
            <v>10.3</v>
          </cell>
          <cell r="V2">
            <v>10.199999999999999</v>
          </cell>
          <cell r="W2">
            <v>10.1</v>
          </cell>
          <cell r="X2">
            <v>10</v>
          </cell>
          <cell r="Y2">
            <v>10</v>
          </cell>
          <cell r="Z2">
            <v>10</v>
          </cell>
          <cell r="AA2">
            <v>10</v>
          </cell>
          <cell r="AB2">
            <v>10</v>
          </cell>
          <cell r="AC2">
            <v>10</v>
          </cell>
          <cell r="AD2">
            <v>10</v>
          </cell>
          <cell r="AE2">
            <v>10</v>
          </cell>
          <cell r="AF2">
            <v>10</v>
          </cell>
          <cell r="AG2">
            <v>10</v>
          </cell>
          <cell r="AH2">
            <v>10</v>
          </cell>
          <cell r="AI2">
            <v>10</v>
          </cell>
          <cell r="AJ2">
            <v>10</v>
          </cell>
          <cell r="AK2">
            <v>10</v>
          </cell>
          <cell r="AL2">
            <v>10</v>
          </cell>
          <cell r="AM2">
            <v>10</v>
          </cell>
          <cell r="AN2">
            <v>10</v>
          </cell>
          <cell r="AO2">
            <v>10</v>
          </cell>
          <cell r="AP2">
            <v>10</v>
          </cell>
          <cell r="AQ2">
            <v>10</v>
          </cell>
          <cell r="AR2">
            <v>10</v>
          </cell>
          <cell r="AS2">
            <v>10</v>
          </cell>
          <cell r="AT2">
            <v>10</v>
          </cell>
          <cell r="AU2">
            <v>10</v>
          </cell>
          <cell r="AV2">
            <v>10</v>
          </cell>
          <cell r="AW2">
            <v>10</v>
          </cell>
        </row>
        <row r="3">
          <cell r="H3">
            <v>5.82</v>
          </cell>
          <cell r="I3">
            <v>6</v>
          </cell>
          <cell r="J3">
            <v>5.98</v>
          </cell>
          <cell r="K3">
            <v>5.9600000000000009</v>
          </cell>
          <cell r="L3">
            <v>5.9400000000000013</v>
          </cell>
          <cell r="M3">
            <v>5.9200000000000017</v>
          </cell>
          <cell r="N3">
            <v>5.9</v>
          </cell>
          <cell r="O3">
            <v>5.8840000000000003</v>
          </cell>
          <cell r="P3">
            <v>5.8680000000000003</v>
          </cell>
          <cell r="Q3">
            <v>5.8520000000000003</v>
          </cell>
          <cell r="R3">
            <v>5.8360000000000003</v>
          </cell>
          <cell r="S3">
            <v>5.82</v>
          </cell>
          <cell r="T3">
            <v>5.806</v>
          </cell>
          <cell r="U3">
            <v>5.7919999999999998</v>
          </cell>
          <cell r="V3">
            <v>5.7779999999999996</v>
          </cell>
          <cell r="W3">
            <v>5.7639999999999993</v>
          </cell>
          <cell r="X3">
            <v>5.75</v>
          </cell>
          <cell r="Y3">
            <v>5.75</v>
          </cell>
          <cell r="Z3">
            <v>5.75</v>
          </cell>
          <cell r="AA3">
            <v>5.75</v>
          </cell>
          <cell r="AB3">
            <v>5.75</v>
          </cell>
          <cell r="AC3">
            <v>5.75</v>
          </cell>
          <cell r="AD3">
            <v>5.75</v>
          </cell>
          <cell r="AE3">
            <v>5.75</v>
          </cell>
          <cell r="AF3">
            <v>5.75</v>
          </cell>
          <cell r="AG3">
            <v>5.75</v>
          </cell>
          <cell r="AH3">
            <v>5.75</v>
          </cell>
          <cell r="AI3">
            <v>5.75</v>
          </cell>
          <cell r="AJ3">
            <v>5.75</v>
          </cell>
          <cell r="AK3">
            <v>5.75</v>
          </cell>
          <cell r="AL3">
            <v>5.75</v>
          </cell>
          <cell r="AM3">
            <v>5.75</v>
          </cell>
          <cell r="AN3">
            <v>5.75</v>
          </cell>
          <cell r="AO3">
            <v>5.75</v>
          </cell>
          <cell r="AP3">
            <v>5.75</v>
          </cell>
          <cell r="AQ3">
            <v>5.75</v>
          </cell>
          <cell r="AR3">
            <v>5.75</v>
          </cell>
          <cell r="AS3">
            <v>5.75</v>
          </cell>
          <cell r="AT3">
            <v>5.75</v>
          </cell>
          <cell r="AU3">
            <v>5.75</v>
          </cell>
          <cell r="AV3">
            <v>5.75</v>
          </cell>
          <cell r="AW3">
            <v>5.75</v>
          </cell>
        </row>
        <row r="5">
          <cell r="H5">
            <v>5.58</v>
          </cell>
          <cell r="I5">
            <v>6.5</v>
          </cell>
          <cell r="J5">
            <v>5.3466666666666702</v>
          </cell>
          <cell r="K5">
            <v>5.1766666666666703</v>
          </cell>
          <cell r="L5">
            <v>5.0066666666666704</v>
          </cell>
          <cell r="M5">
            <v>4.8366666666666696</v>
          </cell>
          <cell r="N5">
            <v>4.6666666666666696</v>
          </cell>
          <cell r="O5">
            <v>4.5333333333333297</v>
          </cell>
          <cell r="P5">
            <v>4.4000000000000004</v>
          </cell>
          <cell r="Q5">
            <v>4.2666666666666702</v>
          </cell>
          <cell r="R5">
            <v>4.1333333333333302</v>
          </cell>
          <cell r="S5">
            <v>4</v>
          </cell>
          <cell r="T5">
            <v>3.8666666666666698</v>
          </cell>
          <cell r="U5">
            <v>3.7333333333333298</v>
          </cell>
          <cell r="V5">
            <v>3.6</v>
          </cell>
          <cell r="W5">
            <v>3.4666666666666699</v>
          </cell>
          <cell r="X5">
            <v>3.3333333333333299</v>
          </cell>
          <cell r="Y5">
            <v>3.3333333333333299</v>
          </cell>
          <cell r="Z5">
            <v>3.3333333333333299</v>
          </cell>
          <cell r="AA5">
            <v>3.3333333333333299</v>
          </cell>
          <cell r="AB5">
            <v>3.3333333333333299</v>
          </cell>
          <cell r="AC5">
            <v>3.3333333333333299</v>
          </cell>
          <cell r="AD5">
            <v>3.3333333333333299</v>
          </cell>
          <cell r="AE5">
            <v>3.3333333333333299</v>
          </cell>
          <cell r="AF5">
            <v>3.3333333333333299</v>
          </cell>
          <cell r="AG5">
            <v>3.3333333333333299</v>
          </cell>
          <cell r="AH5">
            <v>3.3333333333333299</v>
          </cell>
          <cell r="AI5">
            <v>3.3333333333333299</v>
          </cell>
          <cell r="AJ5">
            <v>3.3333333333333299</v>
          </cell>
          <cell r="AK5">
            <v>3.3333333333333299</v>
          </cell>
          <cell r="AL5">
            <v>3.3333333333333299</v>
          </cell>
          <cell r="AM5">
            <v>3.3333333333333299</v>
          </cell>
          <cell r="AN5">
            <v>3.3333333333333299</v>
          </cell>
          <cell r="AO5">
            <v>3.3333333333333299</v>
          </cell>
          <cell r="AP5">
            <v>3.3333333333333299</v>
          </cell>
          <cell r="AQ5">
            <v>3.3333333333333299</v>
          </cell>
          <cell r="AR5">
            <v>3.3333333333333299</v>
          </cell>
          <cell r="AS5">
            <v>3.3333333333333299</v>
          </cell>
          <cell r="AT5">
            <v>3.3333333333333299</v>
          </cell>
          <cell r="AU5">
            <v>3.3333333333333299</v>
          </cell>
          <cell r="AV5">
            <v>3.3333333333333299</v>
          </cell>
          <cell r="AW5">
            <v>3.3333333333333299</v>
          </cell>
        </row>
        <row r="6">
          <cell r="H6">
            <v>5.9</v>
          </cell>
          <cell r="I6">
            <v>5</v>
          </cell>
          <cell r="J6">
            <v>4.8</v>
          </cell>
          <cell r="K6">
            <v>4.5999999999999996</v>
          </cell>
          <cell r="L6">
            <v>4.3999999999999995</v>
          </cell>
          <cell r="M6">
            <v>4.1999999999999993</v>
          </cell>
          <cell r="N6">
            <v>4</v>
          </cell>
          <cell r="O6">
            <v>3.9</v>
          </cell>
          <cell r="P6">
            <v>3.8</v>
          </cell>
          <cell r="Q6">
            <v>3.6999999999999997</v>
          </cell>
          <cell r="R6">
            <v>3.5999999999999996</v>
          </cell>
          <cell r="S6">
            <v>3.5</v>
          </cell>
          <cell r="T6">
            <v>3.5</v>
          </cell>
          <cell r="U6">
            <v>3.5</v>
          </cell>
          <cell r="V6">
            <v>3.5</v>
          </cell>
          <cell r="W6">
            <v>3.5</v>
          </cell>
          <cell r="X6">
            <v>3.5</v>
          </cell>
          <cell r="Y6">
            <v>3.5</v>
          </cell>
          <cell r="Z6">
            <v>3.5</v>
          </cell>
          <cell r="AA6">
            <v>3.5</v>
          </cell>
          <cell r="AB6">
            <v>3.5</v>
          </cell>
          <cell r="AC6">
            <v>3.5</v>
          </cell>
          <cell r="AD6">
            <v>3.5</v>
          </cell>
          <cell r="AE6">
            <v>3.5</v>
          </cell>
          <cell r="AF6">
            <v>3.5</v>
          </cell>
          <cell r="AG6">
            <v>3.5</v>
          </cell>
          <cell r="AH6">
            <v>3.5</v>
          </cell>
          <cell r="AI6">
            <v>3.5</v>
          </cell>
          <cell r="AJ6">
            <v>3.5</v>
          </cell>
          <cell r="AK6">
            <v>3.5</v>
          </cell>
          <cell r="AL6">
            <v>3.5</v>
          </cell>
          <cell r="AM6">
            <v>3.5</v>
          </cell>
          <cell r="AN6">
            <v>3.5</v>
          </cell>
          <cell r="AO6">
            <v>3.5</v>
          </cell>
          <cell r="AP6">
            <v>3.5</v>
          </cell>
          <cell r="AQ6">
            <v>3.5</v>
          </cell>
          <cell r="AR6">
            <v>3.5</v>
          </cell>
          <cell r="AS6">
            <v>3.5</v>
          </cell>
          <cell r="AT6">
            <v>3.5</v>
          </cell>
          <cell r="AU6">
            <v>3.5</v>
          </cell>
          <cell r="AV6">
            <v>3.5</v>
          </cell>
          <cell r="AW6">
            <v>3.5</v>
          </cell>
        </row>
        <row r="7">
          <cell r="H7">
            <v>12.5</v>
          </cell>
          <cell r="I7">
            <v>6</v>
          </cell>
          <cell r="J7">
            <v>6</v>
          </cell>
          <cell r="K7">
            <v>6</v>
          </cell>
          <cell r="L7">
            <v>6</v>
          </cell>
          <cell r="M7">
            <v>6</v>
          </cell>
          <cell r="N7">
            <v>6</v>
          </cell>
          <cell r="O7">
            <v>6</v>
          </cell>
          <cell r="P7">
            <v>6</v>
          </cell>
          <cell r="Q7">
            <v>6</v>
          </cell>
          <cell r="R7">
            <v>6</v>
          </cell>
          <cell r="S7">
            <v>6</v>
          </cell>
          <cell r="T7">
            <v>6</v>
          </cell>
          <cell r="U7">
            <v>6</v>
          </cell>
          <cell r="V7">
            <v>6</v>
          </cell>
          <cell r="W7">
            <v>6</v>
          </cell>
          <cell r="X7">
            <v>6</v>
          </cell>
          <cell r="Y7">
            <v>6</v>
          </cell>
          <cell r="Z7">
            <v>6</v>
          </cell>
          <cell r="AA7">
            <v>6</v>
          </cell>
          <cell r="AB7">
            <v>6</v>
          </cell>
          <cell r="AC7">
            <v>6</v>
          </cell>
          <cell r="AD7">
            <v>6</v>
          </cell>
          <cell r="AE7">
            <v>6</v>
          </cell>
          <cell r="AF7">
            <v>6</v>
          </cell>
          <cell r="AG7">
            <v>6</v>
          </cell>
          <cell r="AH7">
            <v>6</v>
          </cell>
          <cell r="AI7">
            <v>6</v>
          </cell>
          <cell r="AJ7">
            <v>6</v>
          </cell>
          <cell r="AK7">
            <v>6</v>
          </cell>
          <cell r="AL7">
            <v>6</v>
          </cell>
          <cell r="AM7">
            <v>6</v>
          </cell>
          <cell r="AN7">
            <v>6</v>
          </cell>
          <cell r="AO7">
            <v>6</v>
          </cell>
          <cell r="AP7">
            <v>6</v>
          </cell>
          <cell r="AQ7">
            <v>6</v>
          </cell>
          <cell r="AR7">
            <v>6</v>
          </cell>
          <cell r="AS7">
            <v>6</v>
          </cell>
          <cell r="AT7">
            <v>6</v>
          </cell>
          <cell r="AU7">
            <v>6</v>
          </cell>
          <cell r="AV7">
            <v>6</v>
          </cell>
          <cell r="AW7">
            <v>6</v>
          </cell>
        </row>
        <row r="8">
          <cell r="H8">
            <v>1.2</v>
          </cell>
          <cell r="I8">
            <v>1</v>
          </cell>
          <cell r="J8">
            <v>0.98</v>
          </cell>
          <cell r="K8">
            <v>0.96</v>
          </cell>
          <cell r="L8">
            <v>0.94</v>
          </cell>
          <cell r="M8">
            <v>0.91999999999999993</v>
          </cell>
          <cell r="N8">
            <v>0.9</v>
          </cell>
          <cell r="O8">
            <v>0.88</v>
          </cell>
          <cell r="P8">
            <v>0.86</v>
          </cell>
          <cell r="Q8">
            <v>0.84</v>
          </cell>
          <cell r="R8">
            <v>0.82</v>
          </cell>
          <cell r="S8">
            <v>0.8</v>
          </cell>
          <cell r="T8">
            <v>0.79</v>
          </cell>
          <cell r="U8">
            <v>0.78</v>
          </cell>
          <cell r="V8">
            <v>0.77</v>
          </cell>
          <cell r="W8">
            <v>0.76</v>
          </cell>
          <cell r="X8">
            <v>0.75</v>
          </cell>
          <cell r="Y8">
            <v>0.75</v>
          </cell>
          <cell r="Z8">
            <v>0.75</v>
          </cell>
          <cell r="AA8">
            <v>0.75</v>
          </cell>
          <cell r="AB8">
            <v>0.75</v>
          </cell>
          <cell r="AC8">
            <v>0.75</v>
          </cell>
          <cell r="AD8">
            <v>0.75</v>
          </cell>
          <cell r="AE8">
            <v>0.75</v>
          </cell>
          <cell r="AF8">
            <v>0.75</v>
          </cell>
          <cell r="AG8">
            <v>0.75</v>
          </cell>
          <cell r="AH8">
            <v>0.75</v>
          </cell>
          <cell r="AI8">
            <v>0.75</v>
          </cell>
          <cell r="AJ8">
            <v>0.75</v>
          </cell>
          <cell r="AK8">
            <v>0.75</v>
          </cell>
          <cell r="AL8">
            <v>0.75</v>
          </cell>
          <cell r="AM8">
            <v>0.75</v>
          </cell>
          <cell r="AN8">
            <v>0.75</v>
          </cell>
          <cell r="AO8">
            <v>0.75</v>
          </cell>
          <cell r="AP8">
            <v>0.75</v>
          </cell>
          <cell r="AQ8">
            <v>0.75</v>
          </cell>
          <cell r="AR8">
            <v>0.75</v>
          </cell>
          <cell r="AS8">
            <v>0.75</v>
          </cell>
          <cell r="AT8">
            <v>0.75</v>
          </cell>
          <cell r="AU8">
            <v>0.75</v>
          </cell>
          <cell r="AV8">
            <v>0.75</v>
          </cell>
          <cell r="AW8">
            <v>0.75</v>
          </cell>
        </row>
        <row r="9">
          <cell r="H9">
            <v>30</v>
          </cell>
          <cell r="I9">
            <v>25</v>
          </cell>
          <cell r="J9">
            <v>24.642857142857149</v>
          </cell>
          <cell r="K9">
            <v>24.285714285714299</v>
          </cell>
          <cell r="L9">
            <v>23.928571428571448</v>
          </cell>
          <cell r="M9">
            <v>23.571428571428598</v>
          </cell>
          <cell r="N9">
            <v>23.214285714285751</v>
          </cell>
          <cell r="O9">
            <v>22.857142857142883</v>
          </cell>
          <cell r="P9">
            <v>22.500000000000014</v>
          </cell>
          <cell r="Q9">
            <v>22.142857142857146</v>
          </cell>
          <cell r="R9">
            <v>21.785714285714278</v>
          </cell>
          <cell r="S9">
            <v>21.428571428571416</v>
          </cell>
          <cell r="T9">
            <v>21.142857142857132</v>
          </cell>
          <cell r="U9">
            <v>20.857142857142847</v>
          </cell>
          <cell r="V9">
            <v>20.571428571428562</v>
          </cell>
          <cell r="W9">
            <v>20.285714285714278</v>
          </cell>
          <cell r="X9">
            <v>20</v>
          </cell>
          <cell r="Y9">
            <v>20</v>
          </cell>
          <cell r="Z9">
            <v>20</v>
          </cell>
          <cell r="AA9">
            <v>20</v>
          </cell>
          <cell r="AB9">
            <v>20</v>
          </cell>
          <cell r="AC9">
            <v>20</v>
          </cell>
          <cell r="AD9">
            <v>20</v>
          </cell>
          <cell r="AE9">
            <v>20</v>
          </cell>
          <cell r="AF9">
            <v>20</v>
          </cell>
          <cell r="AG9">
            <v>20</v>
          </cell>
          <cell r="AH9">
            <v>20</v>
          </cell>
          <cell r="AI9">
            <v>20</v>
          </cell>
          <cell r="AJ9">
            <v>20</v>
          </cell>
          <cell r="AK9">
            <v>20</v>
          </cell>
          <cell r="AL9">
            <v>20</v>
          </cell>
          <cell r="AM9">
            <v>20</v>
          </cell>
          <cell r="AN9">
            <v>20</v>
          </cell>
          <cell r="AO9">
            <v>20</v>
          </cell>
          <cell r="AP9">
            <v>20</v>
          </cell>
          <cell r="AQ9">
            <v>20</v>
          </cell>
          <cell r="AR9">
            <v>20</v>
          </cell>
          <cell r="AS9">
            <v>20</v>
          </cell>
          <cell r="AT9">
            <v>20</v>
          </cell>
          <cell r="AU9">
            <v>20</v>
          </cell>
          <cell r="AV9">
            <v>20</v>
          </cell>
          <cell r="AW9">
            <v>20</v>
          </cell>
        </row>
        <row r="10">
          <cell r="H10">
            <v>19.5</v>
          </cell>
          <cell r="I10">
            <v>19.5</v>
          </cell>
          <cell r="J10">
            <v>19.5</v>
          </cell>
          <cell r="K10">
            <v>19.5</v>
          </cell>
          <cell r="L10">
            <v>19.5</v>
          </cell>
          <cell r="M10">
            <v>19.5</v>
          </cell>
          <cell r="N10">
            <v>19.5</v>
          </cell>
          <cell r="O10">
            <v>19.5</v>
          </cell>
          <cell r="P10">
            <v>19.5</v>
          </cell>
          <cell r="Q10">
            <v>19.5</v>
          </cell>
          <cell r="R10">
            <v>19.5</v>
          </cell>
          <cell r="S10">
            <v>19.5</v>
          </cell>
          <cell r="T10">
            <v>19.5</v>
          </cell>
          <cell r="U10">
            <v>19.5</v>
          </cell>
          <cell r="V10">
            <v>19.5</v>
          </cell>
          <cell r="W10">
            <v>19.5</v>
          </cell>
          <cell r="X10">
            <v>19.5</v>
          </cell>
          <cell r="Y10">
            <v>19.5</v>
          </cell>
          <cell r="Z10">
            <v>19.5</v>
          </cell>
          <cell r="AA10">
            <v>19.5</v>
          </cell>
          <cell r="AB10">
            <v>19.5</v>
          </cell>
          <cell r="AC10">
            <v>19.5</v>
          </cell>
          <cell r="AD10">
            <v>19.5</v>
          </cell>
          <cell r="AE10">
            <v>19.5</v>
          </cell>
          <cell r="AF10">
            <v>19.5</v>
          </cell>
          <cell r="AG10">
            <v>19.5</v>
          </cell>
          <cell r="AH10">
            <v>19.5</v>
          </cell>
          <cell r="AI10">
            <v>19.5</v>
          </cell>
          <cell r="AJ10">
            <v>19.5</v>
          </cell>
          <cell r="AK10">
            <v>19.5</v>
          </cell>
          <cell r="AL10">
            <v>19.5</v>
          </cell>
          <cell r="AM10">
            <v>19.5</v>
          </cell>
          <cell r="AN10">
            <v>19.5</v>
          </cell>
          <cell r="AO10">
            <v>19.5</v>
          </cell>
          <cell r="AP10">
            <v>19.5</v>
          </cell>
          <cell r="AQ10">
            <v>19.5</v>
          </cell>
          <cell r="AR10">
            <v>19.5</v>
          </cell>
          <cell r="AS10">
            <v>19.5</v>
          </cell>
          <cell r="AT10">
            <v>19.5</v>
          </cell>
          <cell r="AU10">
            <v>19.5</v>
          </cell>
          <cell r="AV10">
            <v>19.5</v>
          </cell>
          <cell r="AW10">
            <v>19.5</v>
          </cell>
        </row>
        <row r="13">
          <cell r="H13">
            <v>9</v>
          </cell>
          <cell r="I13">
            <v>9</v>
          </cell>
          <cell r="J13">
            <v>8.7479999999999993</v>
          </cell>
          <cell r="K13">
            <v>8.4960000000000004</v>
          </cell>
          <cell r="L13">
            <v>8.2439999999999998</v>
          </cell>
          <cell r="M13">
            <v>7.992</v>
          </cell>
          <cell r="N13">
            <v>7.74</v>
          </cell>
          <cell r="O13">
            <v>7.6319999999999997</v>
          </cell>
          <cell r="P13">
            <v>7.524</v>
          </cell>
          <cell r="Q13">
            <v>7.4160000000000004</v>
          </cell>
          <cell r="R13">
            <v>7.3079999999999998</v>
          </cell>
          <cell r="S13">
            <v>7.2</v>
          </cell>
          <cell r="T13">
            <v>7.1280000000000001</v>
          </cell>
          <cell r="U13">
            <v>7.056</v>
          </cell>
          <cell r="V13">
            <v>6.984</v>
          </cell>
          <cell r="W13">
            <v>6.9119999999999999</v>
          </cell>
          <cell r="X13">
            <v>6.84</v>
          </cell>
          <cell r="Y13">
            <v>6.84</v>
          </cell>
          <cell r="Z13">
            <v>6.84</v>
          </cell>
          <cell r="AA13">
            <v>6.84</v>
          </cell>
          <cell r="AB13">
            <v>6.84</v>
          </cell>
          <cell r="AC13">
            <v>6.84</v>
          </cell>
          <cell r="AD13">
            <v>6.84</v>
          </cell>
          <cell r="AE13">
            <v>6.84</v>
          </cell>
          <cell r="AF13">
            <v>6.84</v>
          </cell>
          <cell r="AG13">
            <v>6.84</v>
          </cell>
          <cell r="AH13">
            <v>6.84</v>
          </cell>
          <cell r="AI13">
            <v>6.84</v>
          </cell>
          <cell r="AJ13">
            <v>6.84</v>
          </cell>
          <cell r="AK13">
            <v>6.84</v>
          </cell>
          <cell r="AL13">
            <v>6.84</v>
          </cell>
          <cell r="AM13">
            <v>6.84</v>
          </cell>
          <cell r="AN13">
            <v>6.84</v>
          </cell>
          <cell r="AO13">
            <v>6.84</v>
          </cell>
          <cell r="AP13">
            <v>6.84</v>
          </cell>
          <cell r="AQ13">
            <v>6.84</v>
          </cell>
          <cell r="AR13">
            <v>6.84</v>
          </cell>
          <cell r="AS13">
            <v>6.84</v>
          </cell>
          <cell r="AT13">
            <v>6.84</v>
          </cell>
          <cell r="AU13">
            <v>6.84</v>
          </cell>
          <cell r="AV13">
            <v>6.84</v>
          </cell>
          <cell r="AW13">
            <v>6.84</v>
          </cell>
        </row>
        <row r="14">
          <cell r="H14">
            <v>40</v>
          </cell>
          <cell r="I14">
            <v>40</v>
          </cell>
          <cell r="J14">
            <v>40</v>
          </cell>
          <cell r="K14">
            <v>40</v>
          </cell>
          <cell r="L14">
            <v>40</v>
          </cell>
          <cell r="M14">
            <v>40</v>
          </cell>
          <cell r="N14">
            <v>40</v>
          </cell>
          <cell r="O14">
            <v>40</v>
          </cell>
          <cell r="P14">
            <v>40</v>
          </cell>
          <cell r="Q14">
            <v>40</v>
          </cell>
          <cell r="R14">
            <v>40</v>
          </cell>
          <cell r="S14">
            <v>40</v>
          </cell>
          <cell r="T14">
            <v>40</v>
          </cell>
          <cell r="U14">
            <v>40</v>
          </cell>
          <cell r="V14">
            <v>40</v>
          </cell>
          <cell r="W14">
            <v>40</v>
          </cell>
          <cell r="X14">
            <v>40</v>
          </cell>
          <cell r="Y14">
            <v>40</v>
          </cell>
          <cell r="Z14">
            <v>40</v>
          </cell>
          <cell r="AA14">
            <v>40</v>
          </cell>
          <cell r="AB14">
            <v>40</v>
          </cell>
          <cell r="AC14">
            <v>40</v>
          </cell>
          <cell r="AD14">
            <v>40</v>
          </cell>
          <cell r="AE14">
            <v>40</v>
          </cell>
          <cell r="AF14">
            <v>40</v>
          </cell>
          <cell r="AG14">
            <v>40</v>
          </cell>
          <cell r="AH14">
            <v>40</v>
          </cell>
          <cell r="AI14">
            <v>40</v>
          </cell>
          <cell r="AJ14">
            <v>40</v>
          </cell>
          <cell r="AK14">
            <v>40</v>
          </cell>
          <cell r="AL14">
            <v>40</v>
          </cell>
          <cell r="AM14">
            <v>40</v>
          </cell>
          <cell r="AN14">
            <v>40</v>
          </cell>
          <cell r="AO14">
            <v>40</v>
          </cell>
          <cell r="AP14">
            <v>40</v>
          </cell>
          <cell r="AQ14">
            <v>40</v>
          </cell>
          <cell r="AR14">
            <v>40</v>
          </cell>
          <cell r="AS14">
            <v>40</v>
          </cell>
          <cell r="AT14">
            <v>40</v>
          </cell>
          <cell r="AU14">
            <v>40</v>
          </cell>
          <cell r="AV14">
            <v>40</v>
          </cell>
          <cell r="AW14">
            <v>40</v>
          </cell>
        </row>
        <row r="15">
          <cell r="H15">
            <v>3</v>
          </cell>
          <cell r="I15">
            <v>3</v>
          </cell>
          <cell r="J15">
            <v>2.9</v>
          </cell>
          <cell r="K15">
            <v>2.8</v>
          </cell>
          <cell r="L15">
            <v>2.7</v>
          </cell>
          <cell r="M15">
            <v>2.6</v>
          </cell>
          <cell r="N15">
            <v>2.5</v>
          </cell>
          <cell r="O15">
            <v>2.5</v>
          </cell>
          <cell r="P15">
            <v>2.5</v>
          </cell>
          <cell r="Q15">
            <v>2.5</v>
          </cell>
          <cell r="R15">
            <v>2.5</v>
          </cell>
          <cell r="S15">
            <v>2.5</v>
          </cell>
          <cell r="T15">
            <v>2.5</v>
          </cell>
          <cell r="U15">
            <v>2.5</v>
          </cell>
          <cell r="V15">
            <v>2.5</v>
          </cell>
          <cell r="W15">
            <v>2.5</v>
          </cell>
          <cell r="X15">
            <v>2.5</v>
          </cell>
          <cell r="Y15">
            <v>2.5</v>
          </cell>
          <cell r="Z15">
            <v>2.5</v>
          </cell>
          <cell r="AA15">
            <v>2.5</v>
          </cell>
          <cell r="AB15">
            <v>2.5</v>
          </cell>
          <cell r="AC15">
            <v>2.5</v>
          </cell>
          <cell r="AD15">
            <v>2.5</v>
          </cell>
          <cell r="AE15">
            <v>2.5</v>
          </cell>
          <cell r="AF15">
            <v>2.5</v>
          </cell>
          <cell r="AG15">
            <v>2.5</v>
          </cell>
          <cell r="AH15">
            <v>2.5</v>
          </cell>
          <cell r="AI15">
            <v>2.5</v>
          </cell>
          <cell r="AJ15">
            <v>2.5</v>
          </cell>
          <cell r="AK15">
            <v>2.5</v>
          </cell>
          <cell r="AL15">
            <v>2.5</v>
          </cell>
          <cell r="AM15">
            <v>2.5</v>
          </cell>
          <cell r="AN15">
            <v>2.5</v>
          </cell>
          <cell r="AO15">
            <v>2.5</v>
          </cell>
          <cell r="AP15">
            <v>2.5</v>
          </cell>
          <cell r="AQ15">
            <v>2.5</v>
          </cell>
          <cell r="AR15">
            <v>2.5</v>
          </cell>
          <cell r="AS15">
            <v>2.5</v>
          </cell>
          <cell r="AT15">
            <v>2.5</v>
          </cell>
          <cell r="AU15">
            <v>2.5</v>
          </cell>
          <cell r="AV15">
            <v>2.5</v>
          </cell>
          <cell r="AW15">
            <v>2.5</v>
          </cell>
        </row>
        <row r="16">
          <cell r="H16">
            <v>70</v>
          </cell>
          <cell r="I16">
            <v>62</v>
          </cell>
          <cell r="J16">
            <v>61.2</v>
          </cell>
          <cell r="K16">
            <v>60.400000000000006</v>
          </cell>
          <cell r="L16">
            <v>59.600000000000009</v>
          </cell>
          <cell r="M16">
            <v>58.800000000000011</v>
          </cell>
          <cell r="N16">
            <v>58</v>
          </cell>
          <cell r="O16">
            <v>57.4</v>
          </cell>
          <cell r="P16">
            <v>56.8</v>
          </cell>
          <cell r="Q16">
            <v>56.199999999999996</v>
          </cell>
          <cell r="R16">
            <v>55.599999999999994</v>
          </cell>
          <cell r="S16">
            <v>55</v>
          </cell>
          <cell r="T16">
            <v>54.6</v>
          </cell>
          <cell r="U16">
            <v>54.2</v>
          </cell>
          <cell r="V16">
            <v>53.800000000000004</v>
          </cell>
          <cell r="W16">
            <v>53.400000000000006</v>
          </cell>
          <cell r="X16">
            <v>53</v>
          </cell>
          <cell r="Y16">
            <v>53</v>
          </cell>
          <cell r="Z16">
            <v>53</v>
          </cell>
          <cell r="AA16">
            <v>53</v>
          </cell>
          <cell r="AB16">
            <v>53</v>
          </cell>
          <cell r="AC16">
            <v>53</v>
          </cell>
          <cell r="AD16">
            <v>53</v>
          </cell>
          <cell r="AE16">
            <v>53</v>
          </cell>
          <cell r="AF16">
            <v>53</v>
          </cell>
          <cell r="AG16">
            <v>53</v>
          </cell>
          <cell r="AH16">
            <v>53</v>
          </cell>
          <cell r="AI16">
            <v>53</v>
          </cell>
          <cell r="AJ16">
            <v>53</v>
          </cell>
          <cell r="AK16">
            <v>53</v>
          </cell>
          <cell r="AL16">
            <v>53</v>
          </cell>
          <cell r="AM16">
            <v>53</v>
          </cell>
          <cell r="AN16">
            <v>53</v>
          </cell>
          <cell r="AO16">
            <v>53</v>
          </cell>
          <cell r="AP16">
            <v>53</v>
          </cell>
          <cell r="AQ16">
            <v>53</v>
          </cell>
          <cell r="AR16">
            <v>53</v>
          </cell>
          <cell r="AS16">
            <v>53</v>
          </cell>
          <cell r="AT16">
            <v>53</v>
          </cell>
          <cell r="AU16">
            <v>53</v>
          </cell>
          <cell r="AV16">
            <v>53</v>
          </cell>
          <cell r="AW16">
            <v>53</v>
          </cell>
        </row>
        <row r="17">
          <cell r="H17">
            <v>34</v>
          </cell>
          <cell r="I17">
            <v>22</v>
          </cell>
          <cell r="J17">
            <v>22</v>
          </cell>
          <cell r="K17">
            <v>22</v>
          </cell>
          <cell r="L17">
            <v>22</v>
          </cell>
          <cell r="M17">
            <v>22</v>
          </cell>
          <cell r="N17">
            <v>22</v>
          </cell>
          <cell r="O17">
            <v>22</v>
          </cell>
          <cell r="P17">
            <v>22</v>
          </cell>
          <cell r="Q17">
            <v>22</v>
          </cell>
          <cell r="R17">
            <v>22</v>
          </cell>
          <cell r="S17">
            <v>22</v>
          </cell>
          <cell r="T17">
            <v>22</v>
          </cell>
          <cell r="U17">
            <v>22</v>
          </cell>
          <cell r="V17">
            <v>22</v>
          </cell>
          <cell r="W17">
            <v>22</v>
          </cell>
          <cell r="X17">
            <v>22</v>
          </cell>
          <cell r="Y17">
            <v>22</v>
          </cell>
          <cell r="Z17">
            <v>22</v>
          </cell>
          <cell r="AA17">
            <v>22</v>
          </cell>
          <cell r="AB17">
            <v>22</v>
          </cell>
          <cell r="AC17">
            <v>22</v>
          </cell>
          <cell r="AD17">
            <v>22</v>
          </cell>
          <cell r="AE17">
            <v>22</v>
          </cell>
          <cell r="AF17">
            <v>22</v>
          </cell>
          <cell r="AG17">
            <v>22</v>
          </cell>
          <cell r="AH17">
            <v>22</v>
          </cell>
          <cell r="AI17">
            <v>22</v>
          </cell>
          <cell r="AJ17">
            <v>22</v>
          </cell>
          <cell r="AK17">
            <v>22</v>
          </cell>
          <cell r="AL17">
            <v>22</v>
          </cell>
          <cell r="AM17">
            <v>22</v>
          </cell>
          <cell r="AN17">
            <v>22</v>
          </cell>
          <cell r="AO17">
            <v>22</v>
          </cell>
          <cell r="AP17">
            <v>22</v>
          </cell>
          <cell r="AQ17">
            <v>22</v>
          </cell>
          <cell r="AR17">
            <v>22</v>
          </cell>
          <cell r="AS17">
            <v>22</v>
          </cell>
          <cell r="AT17">
            <v>22</v>
          </cell>
          <cell r="AU17">
            <v>22</v>
          </cell>
          <cell r="AV17">
            <v>22</v>
          </cell>
          <cell r="AW17">
            <v>22</v>
          </cell>
        </row>
        <row r="18">
          <cell r="H18">
            <v>23.279999999999998</v>
          </cell>
          <cell r="I18">
            <v>23.28</v>
          </cell>
          <cell r="J18">
            <v>22.698</v>
          </cell>
          <cell r="K18">
            <v>22.116</v>
          </cell>
          <cell r="L18">
            <v>21.533999999999999</v>
          </cell>
          <cell r="M18">
            <v>20.952000000000002</v>
          </cell>
          <cell r="N18">
            <v>20.37</v>
          </cell>
          <cell r="O18">
            <v>20.1372</v>
          </cell>
          <cell r="P18">
            <v>19.904399999999999</v>
          </cell>
          <cell r="Q18">
            <v>19.671600000000002</v>
          </cell>
          <cell r="R18">
            <v>19.438800000000001</v>
          </cell>
          <cell r="S18">
            <v>19.206</v>
          </cell>
          <cell r="T18">
            <v>18.973199999999999</v>
          </cell>
          <cell r="U18">
            <v>18.740400000000001</v>
          </cell>
          <cell r="V18">
            <v>18.5076</v>
          </cell>
          <cell r="W18">
            <v>18.274799999999999</v>
          </cell>
          <cell r="X18">
            <v>18.042000000000002</v>
          </cell>
          <cell r="Y18">
            <v>18.043199999999999</v>
          </cell>
          <cell r="Z18">
            <v>18.0444</v>
          </cell>
          <cell r="AA18">
            <v>18.0456</v>
          </cell>
          <cell r="AB18">
            <v>18.046800000000001</v>
          </cell>
          <cell r="AC18">
            <v>18.047999999999998</v>
          </cell>
          <cell r="AD18">
            <v>18.047999999999998</v>
          </cell>
          <cell r="AE18">
            <v>18.047999999999998</v>
          </cell>
          <cell r="AF18">
            <v>18.047999999999998</v>
          </cell>
          <cell r="AG18">
            <v>18.047999999999998</v>
          </cell>
          <cell r="AH18">
            <v>18.047999999999998</v>
          </cell>
          <cell r="AI18">
            <v>18.047999999999998</v>
          </cell>
          <cell r="AJ18">
            <v>18.047999999999998</v>
          </cell>
          <cell r="AK18">
            <v>18.047999999999998</v>
          </cell>
          <cell r="AL18">
            <v>18.047999999999998</v>
          </cell>
          <cell r="AM18">
            <v>18.047999999999998</v>
          </cell>
          <cell r="AN18">
            <v>18.047999999999998</v>
          </cell>
          <cell r="AO18">
            <v>18.047999999999998</v>
          </cell>
          <cell r="AP18">
            <v>18.047999999999998</v>
          </cell>
          <cell r="AQ18">
            <v>18.047999999999998</v>
          </cell>
          <cell r="AR18">
            <v>18.047999999999998</v>
          </cell>
          <cell r="AS18">
            <v>18.047999999999998</v>
          </cell>
          <cell r="AT18">
            <v>18.047999999999998</v>
          </cell>
          <cell r="AU18">
            <v>18.047999999999998</v>
          </cell>
          <cell r="AV18">
            <v>18.047999999999998</v>
          </cell>
          <cell r="AW18">
            <v>18.047999999999998</v>
          </cell>
        </row>
        <row r="20">
          <cell r="H20">
            <v>20</v>
          </cell>
          <cell r="I20">
            <v>20</v>
          </cell>
          <cell r="J20">
            <v>19.440000000000001</v>
          </cell>
          <cell r="K20">
            <v>18.88</v>
          </cell>
          <cell r="L20">
            <v>18.32</v>
          </cell>
          <cell r="M20">
            <v>17.760000000000002</v>
          </cell>
          <cell r="N20">
            <v>17.2</v>
          </cell>
          <cell r="O20">
            <v>16.96</v>
          </cell>
          <cell r="P20">
            <v>16.72</v>
          </cell>
          <cell r="Q20">
            <v>16.48</v>
          </cell>
          <cell r="R20">
            <v>16.239999999999998</v>
          </cell>
          <cell r="S20">
            <v>16</v>
          </cell>
          <cell r="T20">
            <v>15.84</v>
          </cell>
          <cell r="U20">
            <v>15.68</v>
          </cell>
          <cell r="V20">
            <v>15.52</v>
          </cell>
          <cell r="W20">
            <v>15.36</v>
          </cell>
          <cell r="X20">
            <v>15.2</v>
          </cell>
          <cell r="Y20">
            <v>15.2</v>
          </cell>
          <cell r="Z20">
            <v>15.2</v>
          </cell>
          <cell r="AA20">
            <v>15.2</v>
          </cell>
          <cell r="AB20">
            <v>15.2</v>
          </cell>
          <cell r="AC20">
            <v>15.2</v>
          </cell>
          <cell r="AD20">
            <v>15.2</v>
          </cell>
          <cell r="AE20">
            <v>15.2</v>
          </cell>
          <cell r="AF20">
            <v>15.2</v>
          </cell>
          <cell r="AG20">
            <v>15.2</v>
          </cell>
          <cell r="AH20">
            <v>15.2</v>
          </cell>
          <cell r="AI20">
            <v>15.2</v>
          </cell>
          <cell r="AJ20">
            <v>15.2</v>
          </cell>
          <cell r="AK20">
            <v>15.2</v>
          </cell>
          <cell r="AL20">
            <v>15.2</v>
          </cell>
          <cell r="AM20">
            <v>15.2</v>
          </cell>
          <cell r="AN20">
            <v>15.2</v>
          </cell>
          <cell r="AO20">
            <v>15.2</v>
          </cell>
          <cell r="AP20">
            <v>15.2</v>
          </cell>
          <cell r="AQ20">
            <v>15.2</v>
          </cell>
          <cell r="AR20">
            <v>15.2</v>
          </cell>
          <cell r="AS20">
            <v>15.2</v>
          </cell>
          <cell r="AT20">
            <v>15.2</v>
          </cell>
          <cell r="AU20">
            <v>15.2</v>
          </cell>
          <cell r="AV20">
            <v>15.2</v>
          </cell>
          <cell r="AW20">
            <v>15.2</v>
          </cell>
        </row>
        <row r="21">
          <cell r="H21">
            <v>60</v>
          </cell>
          <cell r="I21">
            <v>60</v>
          </cell>
          <cell r="J21">
            <v>60</v>
          </cell>
          <cell r="K21">
            <v>60</v>
          </cell>
          <cell r="L21">
            <v>60</v>
          </cell>
          <cell r="M21">
            <v>60</v>
          </cell>
          <cell r="N21">
            <v>60</v>
          </cell>
          <cell r="O21">
            <v>60</v>
          </cell>
          <cell r="P21">
            <v>60</v>
          </cell>
          <cell r="Q21">
            <v>60</v>
          </cell>
          <cell r="R21">
            <v>60</v>
          </cell>
          <cell r="S21">
            <v>60</v>
          </cell>
          <cell r="T21">
            <v>60</v>
          </cell>
          <cell r="U21">
            <v>60</v>
          </cell>
          <cell r="V21">
            <v>60</v>
          </cell>
          <cell r="W21">
            <v>60</v>
          </cell>
          <cell r="X21">
            <v>60</v>
          </cell>
          <cell r="Y21">
            <v>60</v>
          </cell>
          <cell r="Z21">
            <v>60</v>
          </cell>
          <cell r="AA21">
            <v>60</v>
          </cell>
          <cell r="AB21">
            <v>60</v>
          </cell>
          <cell r="AC21">
            <v>60</v>
          </cell>
          <cell r="AD21">
            <v>60</v>
          </cell>
          <cell r="AE21">
            <v>60</v>
          </cell>
          <cell r="AF21">
            <v>60</v>
          </cell>
          <cell r="AG21">
            <v>60</v>
          </cell>
          <cell r="AH21">
            <v>60</v>
          </cell>
          <cell r="AI21">
            <v>60</v>
          </cell>
          <cell r="AJ21">
            <v>60</v>
          </cell>
          <cell r="AK21">
            <v>60</v>
          </cell>
          <cell r="AL21">
            <v>60</v>
          </cell>
          <cell r="AM21">
            <v>60</v>
          </cell>
          <cell r="AN21">
            <v>60</v>
          </cell>
          <cell r="AO21">
            <v>60</v>
          </cell>
          <cell r="AP21">
            <v>60</v>
          </cell>
          <cell r="AQ21">
            <v>60</v>
          </cell>
          <cell r="AR21">
            <v>60</v>
          </cell>
          <cell r="AS21">
            <v>60</v>
          </cell>
          <cell r="AT21">
            <v>60</v>
          </cell>
          <cell r="AU21">
            <v>60</v>
          </cell>
          <cell r="AV21">
            <v>60</v>
          </cell>
          <cell r="AW21">
            <v>60</v>
          </cell>
        </row>
        <row r="22">
          <cell r="H22">
            <v>6</v>
          </cell>
          <cell r="I22">
            <v>6</v>
          </cell>
          <cell r="J22">
            <v>5.9</v>
          </cell>
          <cell r="K22">
            <v>5.8</v>
          </cell>
          <cell r="L22">
            <v>5.7</v>
          </cell>
          <cell r="M22">
            <v>5.6</v>
          </cell>
          <cell r="N22">
            <v>5.5</v>
          </cell>
          <cell r="O22">
            <v>5.5</v>
          </cell>
          <cell r="P22">
            <v>5.5</v>
          </cell>
          <cell r="Q22">
            <v>5.5</v>
          </cell>
          <cell r="R22">
            <v>5.5</v>
          </cell>
          <cell r="S22">
            <v>5.5</v>
          </cell>
          <cell r="T22">
            <v>5.5</v>
          </cell>
          <cell r="U22">
            <v>5.5</v>
          </cell>
          <cell r="V22">
            <v>5.5</v>
          </cell>
          <cell r="W22">
            <v>5.5</v>
          </cell>
          <cell r="X22">
            <v>5.5</v>
          </cell>
          <cell r="Y22">
            <v>5.5</v>
          </cell>
          <cell r="Z22">
            <v>5.5</v>
          </cell>
          <cell r="AA22">
            <v>5.5</v>
          </cell>
          <cell r="AB22">
            <v>5.5</v>
          </cell>
          <cell r="AC22">
            <v>5.5</v>
          </cell>
          <cell r="AD22">
            <v>5.5</v>
          </cell>
          <cell r="AE22">
            <v>5.5</v>
          </cell>
          <cell r="AF22">
            <v>5.5</v>
          </cell>
          <cell r="AG22">
            <v>5.5</v>
          </cell>
          <cell r="AH22">
            <v>5.5</v>
          </cell>
          <cell r="AI22">
            <v>5.5</v>
          </cell>
          <cell r="AJ22">
            <v>5.5</v>
          </cell>
          <cell r="AK22">
            <v>5.5</v>
          </cell>
          <cell r="AL22">
            <v>5.5</v>
          </cell>
          <cell r="AM22">
            <v>5.5</v>
          </cell>
          <cell r="AN22">
            <v>5.5</v>
          </cell>
          <cell r="AO22">
            <v>5.5</v>
          </cell>
          <cell r="AP22">
            <v>5.5</v>
          </cell>
          <cell r="AQ22">
            <v>5.5</v>
          </cell>
          <cell r="AR22">
            <v>5.5</v>
          </cell>
          <cell r="AS22">
            <v>5.5</v>
          </cell>
          <cell r="AT22">
            <v>5.5</v>
          </cell>
          <cell r="AU22">
            <v>5.5</v>
          </cell>
          <cell r="AV22">
            <v>5.5</v>
          </cell>
          <cell r="AW22">
            <v>5.5</v>
          </cell>
        </row>
        <row r="23">
          <cell r="H23">
            <v>130</v>
          </cell>
          <cell r="I23">
            <v>130</v>
          </cell>
          <cell r="J23">
            <v>128.142857142857</v>
          </cell>
          <cell r="K23">
            <v>126.28571428571399</v>
          </cell>
          <cell r="L23">
            <v>124.428571428571</v>
          </cell>
          <cell r="M23">
            <v>122.571428571429</v>
          </cell>
          <cell r="N23">
            <v>120.71428571428601</v>
          </cell>
          <cell r="O23">
            <v>118.857142857143</v>
          </cell>
          <cell r="P23">
            <v>117</v>
          </cell>
          <cell r="Q23">
            <v>115.142857142857</v>
          </cell>
          <cell r="R23">
            <v>113.28571428571399</v>
          </cell>
          <cell r="S23">
            <v>111.428571428571</v>
          </cell>
          <cell r="T23">
            <v>109.571428571429</v>
          </cell>
          <cell r="U23">
            <v>107.71428571428601</v>
          </cell>
          <cell r="V23">
            <v>105.857142857143</v>
          </cell>
          <cell r="W23">
            <v>104</v>
          </cell>
          <cell r="X23">
            <v>102.142857142857</v>
          </cell>
          <cell r="Y23">
            <v>102.142285714286</v>
          </cell>
          <cell r="Z23">
            <v>102.141714285714</v>
          </cell>
          <cell r="AA23">
            <v>102.141142857143</v>
          </cell>
          <cell r="AB23">
            <v>102.14057142857099</v>
          </cell>
          <cell r="AC23">
            <v>102.14</v>
          </cell>
          <cell r="AD23">
            <v>102.14</v>
          </cell>
          <cell r="AE23">
            <v>102.14</v>
          </cell>
          <cell r="AF23">
            <v>102.14</v>
          </cell>
          <cell r="AG23">
            <v>102.14</v>
          </cell>
          <cell r="AH23">
            <v>102.14</v>
          </cell>
          <cell r="AI23">
            <v>102.14</v>
          </cell>
          <cell r="AJ23">
            <v>102.14</v>
          </cell>
          <cell r="AK23">
            <v>102.14</v>
          </cell>
          <cell r="AL23">
            <v>102.14</v>
          </cell>
          <cell r="AM23">
            <v>102.14</v>
          </cell>
          <cell r="AN23">
            <v>102.14</v>
          </cell>
          <cell r="AO23">
            <v>102.14</v>
          </cell>
          <cell r="AP23">
            <v>102.14</v>
          </cell>
          <cell r="AQ23">
            <v>102.14</v>
          </cell>
          <cell r="AR23">
            <v>102.14</v>
          </cell>
          <cell r="AS23">
            <v>102.14</v>
          </cell>
          <cell r="AT23">
            <v>102.14</v>
          </cell>
          <cell r="AU23">
            <v>102.14</v>
          </cell>
          <cell r="AV23">
            <v>102.14</v>
          </cell>
          <cell r="AW23">
            <v>102.14</v>
          </cell>
        </row>
        <row r="24">
          <cell r="H24">
            <v>36.241984945637</v>
          </cell>
          <cell r="I24">
            <v>36.241984945637</v>
          </cell>
          <cell r="J24">
            <v>36.241587956509598</v>
          </cell>
          <cell r="K24">
            <v>36.241190967382202</v>
          </cell>
          <cell r="L24">
            <v>36.2407939782548</v>
          </cell>
          <cell r="M24">
            <v>36.240396989127397</v>
          </cell>
          <cell r="N24">
            <v>36.24</v>
          </cell>
          <cell r="O24">
            <v>36.24</v>
          </cell>
          <cell r="P24">
            <v>36.24</v>
          </cell>
          <cell r="Q24">
            <v>36.24</v>
          </cell>
          <cell r="R24">
            <v>36.24</v>
          </cell>
          <cell r="S24">
            <v>36.24</v>
          </cell>
          <cell r="T24">
            <v>36.24</v>
          </cell>
          <cell r="U24">
            <v>36.24</v>
          </cell>
          <cell r="V24">
            <v>36.24</v>
          </cell>
          <cell r="W24">
            <v>36.24</v>
          </cell>
          <cell r="X24">
            <v>36.24</v>
          </cell>
          <cell r="Y24">
            <v>36.24</v>
          </cell>
          <cell r="Z24">
            <v>36.24</v>
          </cell>
          <cell r="AA24">
            <v>36.24</v>
          </cell>
          <cell r="AB24">
            <v>36.24</v>
          </cell>
          <cell r="AC24">
            <v>36.24</v>
          </cell>
          <cell r="AD24">
            <v>36.24</v>
          </cell>
          <cell r="AE24">
            <v>36.24</v>
          </cell>
          <cell r="AF24">
            <v>36.24</v>
          </cell>
          <cell r="AG24">
            <v>36.24</v>
          </cell>
          <cell r="AH24">
            <v>36.24</v>
          </cell>
          <cell r="AI24">
            <v>36.24</v>
          </cell>
          <cell r="AJ24">
            <v>36.24</v>
          </cell>
          <cell r="AK24">
            <v>36.24</v>
          </cell>
          <cell r="AL24">
            <v>36.24</v>
          </cell>
          <cell r="AM24">
            <v>36.24</v>
          </cell>
          <cell r="AN24">
            <v>36.24</v>
          </cell>
          <cell r="AO24">
            <v>36.24</v>
          </cell>
          <cell r="AP24">
            <v>36.24</v>
          </cell>
          <cell r="AQ24">
            <v>36.24</v>
          </cell>
          <cell r="AR24">
            <v>36.24</v>
          </cell>
          <cell r="AS24">
            <v>36.24</v>
          </cell>
          <cell r="AT24">
            <v>36.24</v>
          </cell>
          <cell r="AU24">
            <v>36.24</v>
          </cell>
          <cell r="AV24">
            <v>36.24</v>
          </cell>
          <cell r="AW24">
            <v>36.24</v>
          </cell>
        </row>
        <row r="25">
          <cell r="H25">
            <v>35.04</v>
          </cell>
          <cell r="I25">
            <v>35.04</v>
          </cell>
          <cell r="J25">
            <v>34.409280000000003</v>
          </cell>
          <cell r="K25">
            <v>33.778559999999999</v>
          </cell>
          <cell r="L25">
            <v>33.147840000000002</v>
          </cell>
          <cell r="M25">
            <v>32.517119999999998</v>
          </cell>
          <cell r="N25">
            <v>31.886399999999998</v>
          </cell>
          <cell r="O25">
            <v>31.641120000000001</v>
          </cell>
          <cell r="P25">
            <v>31.39584</v>
          </cell>
          <cell r="Q25">
            <v>31.150559999999999</v>
          </cell>
          <cell r="R25">
            <v>30.905280000000001</v>
          </cell>
          <cell r="S25">
            <v>30.66</v>
          </cell>
          <cell r="T25">
            <v>30.3096</v>
          </cell>
          <cell r="U25">
            <v>29.959199999999999</v>
          </cell>
          <cell r="V25">
            <v>29.608799999999999</v>
          </cell>
          <cell r="W25">
            <v>29.258400000000002</v>
          </cell>
          <cell r="X25">
            <v>28.908000000000001</v>
          </cell>
          <cell r="Y25">
            <v>28.908000000000001</v>
          </cell>
          <cell r="Z25">
            <v>28.908000000000001</v>
          </cell>
          <cell r="AA25">
            <v>28.908000000000001</v>
          </cell>
          <cell r="AB25">
            <v>28.908000000000001</v>
          </cell>
          <cell r="AC25">
            <v>28.908000000000001</v>
          </cell>
          <cell r="AD25">
            <v>28.908000000000001</v>
          </cell>
          <cell r="AE25">
            <v>28.908000000000001</v>
          </cell>
          <cell r="AF25">
            <v>28.908000000000001</v>
          </cell>
          <cell r="AG25">
            <v>28.908000000000001</v>
          </cell>
          <cell r="AH25">
            <v>28.908000000000001</v>
          </cell>
          <cell r="AI25">
            <v>28.908000000000001</v>
          </cell>
          <cell r="AJ25">
            <v>28.908000000000001</v>
          </cell>
          <cell r="AK25">
            <v>28.908000000000001</v>
          </cell>
          <cell r="AL25">
            <v>28.908000000000001</v>
          </cell>
          <cell r="AM25">
            <v>28.908000000000001</v>
          </cell>
          <cell r="AN25">
            <v>28.908000000000001</v>
          </cell>
          <cell r="AO25">
            <v>28.908000000000001</v>
          </cell>
          <cell r="AP25">
            <v>28.908000000000001</v>
          </cell>
          <cell r="AQ25">
            <v>28.908000000000001</v>
          </cell>
          <cell r="AR25">
            <v>28.908000000000001</v>
          </cell>
          <cell r="AS25">
            <v>28.908000000000001</v>
          </cell>
          <cell r="AT25">
            <v>28.908000000000001</v>
          </cell>
          <cell r="AU25">
            <v>28.908000000000001</v>
          </cell>
          <cell r="AV25">
            <v>28.908000000000001</v>
          </cell>
          <cell r="AW25">
            <v>28.908000000000001</v>
          </cell>
        </row>
        <row r="27">
          <cell r="H27">
            <v>24.82</v>
          </cell>
          <cell r="I27">
            <v>24.82</v>
          </cell>
          <cell r="J27">
            <v>24.125039999999998</v>
          </cell>
          <cell r="K27">
            <v>23.43008</v>
          </cell>
          <cell r="L27">
            <v>22.735119999999998</v>
          </cell>
          <cell r="M27">
            <v>22.04016</v>
          </cell>
          <cell r="N27">
            <v>21.345199999999998</v>
          </cell>
          <cell r="O27">
            <v>21.047360000000001</v>
          </cell>
          <cell r="P27">
            <v>20.74952</v>
          </cell>
          <cell r="Q27">
            <v>20.45168</v>
          </cell>
          <cell r="R27">
            <v>20.153839999999999</v>
          </cell>
          <cell r="S27">
            <v>19.856000000000002</v>
          </cell>
          <cell r="T27">
            <v>19.657440000000001</v>
          </cell>
          <cell r="U27">
            <v>19.458880000000001</v>
          </cell>
          <cell r="V27">
            <v>19.26032</v>
          </cell>
          <cell r="W27">
            <v>19.06176</v>
          </cell>
          <cell r="X27">
            <v>18.863199999999999</v>
          </cell>
          <cell r="Y27">
            <v>18.862559999999998</v>
          </cell>
          <cell r="Z27">
            <v>18.861920000000001</v>
          </cell>
          <cell r="AA27">
            <v>18.861280000000001</v>
          </cell>
          <cell r="AB27">
            <v>18.86064</v>
          </cell>
          <cell r="AC27">
            <v>18.86</v>
          </cell>
          <cell r="AD27">
            <v>18.86</v>
          </cell>
          <cell r="AE27">
            <v>18.86</v>
          </cell>
          <cell r="AF27">
            <v>18.86</v>
          </cell>
          <cell r="AG27">
            <v>18.86</v>
          </cell>
          <cell r="AH27">
            <v>18.86</v>
          </cell>
          <cell r="AI27">
            <v>18.86</v>
          </cell>
          <cell r="AJ27">
            <v>18.86</v>
          </cell>
          <cell r="AK27">
            <v>18.86</v>
          </cell>
          <cell r="AL27">
            <v>18.86</v>
          </cell>
          <cell r="AM27">
            <v>18.86</v>
          </cell>
          <cell r="AN27">
            <v>18.86</v>
          </cell>
          <cell r="AO27">
            <v>18.86</v>
          </cell>
          <cell r="AP27">
            <v>18.86</v>
          </cell>
          <cell r="AQ27">
            <v>18.86</v>
          </cell>
          <cell r="AR27">
            <v>18.86</v>
          </cell>
          <cell r="AS27">
            <v>18.86</v>
          </cell>
          <cell r="AT27">
            <v>18.86</v>
          </cell>
          <cell r="AU27">
            <v>18.86</v>
          </cell>
          <cell r="AV27">
            <v>18.86</v>
          </cell>
          <cell r="AW27">
            <v>18.86</v>
          </cell>
        </row>
        <row r="28">
          <cell r="H28">
            <v>58.5</v>
          </cell>
          <cell r="I28">
            <v>58.5</v>
          </cell>
          <cell r="J28">
            <v>58.5</v>
          </cell>
          <cell r="K28">
            <v>58.5</v>
          </cell>
          <cell r="L28">
            <v>58.5</v>
          </cell>
          <cell r="M28">
            <v>58.5</v>
          </cell>
          <cell r="N28">
            <v>58.5</v>
          </cell>
          <cell r="O28">
            <v>58.5</v>
          </cell>
          <cell r="P28">
            <v>58.5</v>
          </cell>
          <cell r="Q28">
            <v>58.5</v>
          </cell>
          <cell r="R28">
            <v>58.5</v>
          </cell>
          <cell r="S28">
            <v>58.5</v>
          </cell>
          <cell r="T28">
            <v>58.5</v>
          </cell>
          <cell r="U28">
            <v>58.5</v>
          </cell>
          <cell r="V28">
            <v>58.5</v>
          </cell>
          <cell r="W28">
            <v>58.5</v>
          </cell>
          <cell r="X28">
            <v>58.5</v>
          </cell>
          <cell r="Y28">
            <v>58.5</v>
          </cell>
          <cell r="Z28">
            <v>58.5</v>
          </cell>
          <cell r="AA28">
            <v>58.5</v>
          </cell>
          <cell r="AB28">
            <v>58.5</v>
          </cell>
          <cell r="AC28">
            <v>58.5</v>
          </cell>
          <cell r="AD28">
            <v>58.5</v>
          </cell>
          <cell r="AE28">
            <v>58.5</v>
          </cell>
          <cell r="AF28">
            <v>58.5</v>
          </cell>
          <cell r="AG28">
            <v>58.5</v>
          </cell>
          <cell r="AH28">
            <v>58.5</v>
          </cell>
          <cell r="AI28">
            <v>58.5</v>
          </cell>
          <cell r="AJ28">
            <v>58.5</v>
          </cell>
          <cell r="AK28">
            <v>58.5</v>
          </cell>
          <cell r="AL28">
            <v>58.5</v>
          </cell>
          <cell r="AM28">
            <v>58.5</v>
          </cell>
          <cell r="AN28">
            <v>58.5</v>
          </cell>
          <cell r="AO28">
            <v>58.5</v>
          </cell>
          <cell r="AP28">
            <v>58.5</v>
          </cell>
          <cell r="AQ28">
            <v>58.5</v>
          </cell>
          <cell r="AR28">
            <v>58.5</v>
          </cell>
          <cell r="AS28">
            <v>58.5</v>
          </cell>
          <cell r="AT28">
            <v>58.5</v>
          </cell>
          <cell r="AU28">
            <v>58.5</v>
          </cell>
          <cell r="AV28">
            <v>58.5</v>
          </cell>
          <cell r="AW28">
            <v>58.5</v>
          </cell>
        </row>
        <row r="29">
          <cell r="H29">
            <v>12</v>
          </cell>
          <cell r="I29">
            <v>12</v>
          </cell>
          <cell r="J29">
            <v>11.8</v>
          </cell>
          <cell r="K29">
            <v>11.6</v>
          </cell>
          <cell r="L29">
            <v>11.4</v>
          </cell>
          <cell r="M29">
            <v>11.2</v>
          </cell>
          <cell r="N29">
            <v>11</v>
          </cell>
          <cell r="O29">
            <v>10.9</v>
          </cell>
          <cell r="P29">
            <v>10.8</v>
          </cell>
          <cell r="Q29">
            <v>10.7</v>
          </cell>
          <cell r="R29">
            <v>10.6</v>
          </cell>
          <cell r="S29">
            <v>10.5</v>
          </cell>
          <cell r="T29">
            <v>10.4</v>
          </cell>
          <cell r="U29">
            <v>10.3</v>
          </cell>
          <cell r="V29">
            <v>10.199999999999999</v>
          </cell>
          <cell r="W29">
            <v>10.1</v>
          </cell>
          <cell r="X29">
            <v>10</v>
          </cell>
          <cell r="Y29">
            <v>10</v>
          </cell>
          <cell r="Z29">
            <v>10</v>
          </cell>
          <cell r="AA29">
            <v>10</v>
          </cell>
          <cell r="AB29">
            <v>10</v>
          </cell>
          <cell r="AC29">
            <v>10</v>
          </cell>
          <cell r="AD29">
            <v>10</v>
          </cell>
          <cell r="AE29">
            <v>10</v>
          </cell>
          <cell r="AF29">
            <v>10</v>
          </cell>
          <cell r="AG29">
            <v>10</v>
          </cell>
          <cell r="AH29">
            <v>10</v>
          </cell>
          <cell r="AI29">
            <v>10</v>
          </cell>
          <cell r="AJ29">
            <v>10</v>
          </cell>
          <cell r="AK29">
            <v>10</v>
          </cell>
          <cell r="AL29">
            <v>10</v>
          </cell>
          <cell r="AM29">
            <v>10</v>
          </cell>
          <cell r="AN29">
            <v>10</v>
          </cell>
          <cell r="AO29">
            <v>10</v>
          </cell>
          <cell r="AP29">
            <v>10</v>
          </cell>
          <cell r="AQ29">
            <v>10</v>
          </cell>
          <cell r="AR29">
            <v>10</v>
          </cell>
          <cell r="AS29">
            <v>10</v>
          </cell>
          <cell r="AT29">
            <v>10</v>
          </cell>
          <cell r="AU29">
            <v>10</v>
          </cell>
          <cell r="AV29">
            <v>10</v>
          </cell>
          <cell r="AW29">
            <v>10</v>
          </cell>
        </row>
      </sheetData>
      <sheetData sheetId="10">
        <row r="67">
          <cell r="U67">
            <v>3.1028353200910551E-4</v>
          </cell>
          <cell r="V67">
            <v>3.2579770860956085E-4</v>
          </cell>
          <cell r="W67">
            <v>3.4249430602844764E-4</v>
          </cell>
          <cell r="X67">
            <v>3.7828471246393127E-4</v>
          </cell>
          <cell r="Y67">
            <v>4.2242814730575139E-4</v>
          </cell>
          <cell r="Z67">
            <v>4.7823516860119012E-4</v>
          </cell>
          <cell r="AA67">
            <v>5.5103206530158263E-4</v>
          </cell>
          <cell r="AB67">
            <v>6.515954172191217E-4</v>
          </cell>
          <cell r="AC67">
            <v>6.515954172191217E-4</v>
          </cell>
          <cell r="AD67">
            <v>6.515954172191217E-4</v>
          </cell>
          <cell r="AE67">
            <v>6.515954172191217E-4</v>
          </cell>
          <cell r="AF67">
            <v>6.515954172191217E-4</v>
          </cell>
          <cell r="AG67">
            <v>6.515954172191217E-4</v>
          </cell>
          <cell r="AH67">
            <v>6.515954172191217E-4</v>
          </cell>
          <cell r="AI67">
            <v>6.515954172191217E-4</v>
          </cell>
          <cell r="AJ67">
            <v>6.515954172191217E-4</v>
          </cell>
          <cell r="AK67">
            <v>6.515954172191217E-4</v>
          </cell>
          <cell r="AL67">
            <v>6.515954172191217E-4</v>
          </cell>
          <cell r="AM67">
            <v>6.515954172191217E-4</v>
          </cell>
          <cell r="AN67">
            <v>6.515954172191217E-4</v>
          </cell>
          <cell r="AO67">
            <v>6.515954172191217E-4</v>
          </cell>
          <cell r="AP67">
            <v>6.515954172191217E-4</v>
          </cell>
          <cell r="AQ67">
            <v>6.515954172191217E-4</v>
          </cell>
          <cell r="AR67">
            <v>6.515954172191217E-4</v>
          </cell>
          <cell r="AS67">
            <v>6.515954172191217E-4</v>
          </cell>
          <cell r="AT67">
            <v>6.515954172191217E-4</v>
          </cell>
          <cell r="AU67">
            <v>6.515954172191217E-4</v>
          </cell>
          <cell r="AV67">
            <v>6.515954172191217E-4</v>
          </cell>
          <cell r="AW67">
            <v>6.515954172191217E-4</v>
          </cell>
          <cell r="AX67">
            <v>6.515954172191217E-4</v>
          </cell>
          <cell r="AY67">
            <v>6.515954172191217E-4</v>
          </cell>
          <cell r="AZ67">
            <v>6.515954172191217E-4</v>
          </cell>
          <cell r="BA67">
            <v>6.515954172191217E-4</v>
          </cell>
          <cell r="BB67">
            <v>6.515954172191217E-4</v>
          </cell>
          <cell r="BC67">
            <v>6.515954172191217E-4</v>
          </cell>
          <cell r="BD67">
            <v>6.515954172191217E-4</v>
          </cell>
          <cell r="BE67">
            <v>6.515954172191217E-4</v>
          </cell>
          <cell r="BF67">
            <v>6.515954172191217E-4</v>
          </cell>
          <cell r="BG67">
            <v>6.515954172191217E-4</v>
          </cell>
          <cell r="BH67">
            <v>6.515954172191217E-4</v>
          </cell>
          <cell r="BI67">
            <v>6.515954172191217E-4</v>
          </cell>
          <cell r="BJ67">
            <v>6.515954172191217E-4</v>
          </cell>
        </row>
        <row r="68">
          <cell r="U68">
            <v>2.5481918522714622E-3</v>
          </cell>
          <cell r="V68">
            <v>2.5675831624841126E-3</v>
          </cell>
          <cell r="W68">
            <v>2.6387866548675865E-3</v>
          </cell>
          <cell r="X68">
            <v>2.7914903365055285E-3</v>
          </cell>
          <cell r="Y68">
            <v>3.0684137812315476E-3</v>
          </cell>
          <cell r="Z68">
            <v>3.4053511521753691E-3</v>
          </cell>
          <cell r="AA68">
            <v>3.8463003690266482E-3</v>
          </cell>
          <cell r="AB68">
            <v>4.3896371985108432E-3</v>
          </cell>
          <cell r="AC68">
            <v>4.3795851441219323E-3</v>
          </cell>
          <cell r="AD68">
            <v>4.3689374907154689E-3</v>
          </cell>
          <cell r="AE68">
            <v>4.3718544473474877E-3</v>
          </cell>
          <cell r="AF68">
            <v>4.3877357295457695E-3</v>
          </cell>
          <cell r="AG68">
            <v>4.3834871403104275E-3</v>
          </cell>
          <cell r="AH68">
            <v>4.3720533834400964E-3</v>
          </cell>
          <cell r="AI68">
            <v>4.3697572324026901E-3</v>
          </cell>
          <cell r="AJ68">
            <v>4.376965278744426E-3</v>
          </cell>
          <cell r="AK68">
            <v>4.3850276755113132E-3</v>
          </cell>
          <cell r="AL68">
            <v>4.3822103960237235E-3</v>
          </cell>
          <cell r="AM68">
            <v>4.3732781240978886E-3</v>
          </cell>
          <cell r="AN68">
            <v>4.3720125576593013E-3</v>
          </cell>
          <cell r="AO68">
            <v>4.3852659060324159E-3</v>
          </cell>
          <cell r="AP68">
            <v>4.3879835073246977E-3</v>
          </cell>
          <cell r="AQ68">
            <v>4.37912169254081E-3</v>
          </cell>
          <cell r="AR68">
            <v>4.3711750159245522E-3</v>
          </cell>
          <cell r="AS68">
            <v>4.3735085817993655E-3</v>
          </cell>
          <cell r="AT68">
            <v>4.3806360949735961E-3</v>
          </cell>
          <cell r="AU68">
            <v>4.3821058859749599E-3</v>
          </cell>
          <cell r="AV68">
            <v>4.3765852460791281E-3</v>
          </cell>
          <cell r="AW68">
            <v>4.3724199191582857E-3</v>
          </cell>
          <cell r="AX68">
            <v>4.3808784257852564E-3</v>
          </cell>
          <cell r="AY68">
            <v>4.3872768681651421E-3</v>
          </cell>
          <cell r="AZ68">
            <v>4.3836683358727414E-3</v>
          </cell>
          <cell r="BA68">
            <v>4.3754334672547347E-3</v>
          </cell>
          <cell r="BB68">
            <v>4.3734616565455969E-3</v>
          </cell>
          <cell r="BC68">
            <v>4.3787367308297338E-3</v>
          </cell>
          <cell r="BD68">
            <v>4.3819281949646809E-3</v>
          </cell>
          <cell r="BE68">
            <v>4.3790082680517251E-3</v>
          </cell>
          <cell r="BF68">
            <v>4.3739943830210662E-3</v>
          </cell>
          <cell r="BG68">
            <v>4.3774295495989162E-3</v>
          </cell>
          <cell r="BH68">
            <v>4.3845205465504623E-3</v>
          </cell>
          <cell r="BI68">
            <v>4.3849496642043616E-3</v>
          </cell>
          <cell r="BJ68">
            <v>4.3790861712817717E-3</v>
          </cell>
        </row>
        <row r="69">
          <cell r="U69">
            <v>2.7123321432210586E-4</v>
          </cell>
          <cell r="V69">
            <v>2.7123321432210586E-4</v>
          </cell>
          <cell r="W69">
            <v>2.7123321432210586E-4</v>
          </cell>
          <cell r="X69">
            <v>2.789438575386206E-4</v>
          </cell>
          <cell r="Y69">
            <v>2.8710572600360615E-4</v>
          </cell>
          <cell r="Z69">
            <v>2.957596220001687E-4</v>
          </cell>
          <cell r="AA69">
            <v>3.049514201244884E-4</v>
          </cell>
          <cell r="AB69">
            <v>3.1478039479184621E-4</v>
          </cell>
          <cell r="AC69">
            <v>3.1597292545858301E-4</v>
          </cell>
          <cell r="AD69">
            <v>3.1717452617906742E-4</v>
          </cell>
          <cell r="AE69">
            <v>3.1838530082473494E-4</v>
          </cell>
          <cell r="AF69">
            <v>3.1960535485916455E-4</v>
          </cell>
          <cell r="AG69">
            <v>3.2083479536870122E-4</v>
          </cell>
          <cell r="AH69">
            <v>3.2269679410372042E-4</v>
          </cell>
          <cell r="AI69">
            <v>3.2458053161600077E-4</v>
          </cell>
          <cell r="AJ69">
            <v>3.2648639084023942E-4</v>
          </cell>
          <cell r="AK69">
            <v>3.2841476375825934E-4</v>
          </cell>
          <cell r="AL69">
            <v>3.3036605166777939E-4</v>
          </cell>
          <cell r="AM69">
            <v>3.3234066546082076E-4</v>
          </cell>
          <cell r="AN69">
            <v>3.3433902591216056E-4</v>
          </cell>
          <cell r="AO69">
            <v>3.363615639782528E-4</v>
          </cell>
          <cell r="AP69">
            <v>3.3840872110706637E-4</v>
          </cell>
          <cell r="AQ69">
            <v>3.4048094955930585E-4</v>
          </cell>
          <cell r="AR69">
            <v>3.4257871274150813E-4</v>
          </cell>
          <cell r="AS69">
            <v>3.4470248555152732E-4</v>
          </cell>
          <cell r="AT69">
            <v>3.4685275473695233E-4</v>
          </cell>
          <cell r="AU69">
            <v>3.4903001926702191E-4</v>
          </cell>
          <cell r="AV69">
            <v>3.5123479071863718E-4</v>
          </cell>
          <cell r="AW69">
            <v>3.5346759367709598E-4</v>
          </cell>
          <cell r="AX69">
            <v>3.5572896615221182E-4</v>
          </cell>
          <cell r="AY69">
            <v>3.5801946001050636E-4</v>
          </cell>
          <cell r="AZ69">
            <v>3.6033964142421002E-4</v>
          </cell>
          <cell r="BA69">
            <v>3.6199745401062312E-4</v>
          </cell>
          <cell r="BB69">
            <v>3.6199745401062312E-4</v>
          </cell>
          <cell r="BC69">
            <v>3.6199745401062312E-4</v>
          </cell>
          <cell r="BD69">
            <v>3.6199745401062312E-4</v>
          </cell>
          <cell r="BE69">
            <v>3.6199745401062312E-4</v>
          </cell>
          <cell r="BF69">
            <v>3.6199745401062312E-4</v>
          </cell>
          <cell r="BG69">
            <v>3.6199745401062312E-4</v>
          </cell>
          <cell r="BH69">
            <v>3.6199745401062312E-4</v>
          </cell>
          <cell r="BI69">
            <v>3.6199745401062312E-4</v>
          </cell>
          <cell r="BJ69">
            <v>3.6199745401062312E-4</v>
          </cell>
        </row>
        <row r="70">
          <cell r="U70">
            <v>2.9336401943689746E-4</v>
          </cell>
          <cell r="V70">
            <v>2.9336401943689746E-4</v>
          </cell>
          <cell r="W70">
            <v>2.9336401943689746E-4</v>
          </cell>
          <cell r="X70">
            <v>3.01115507755352E-4</v>
          </cell>
          <cell r="Y70">
            <v>3.092877449178146E-4</v>
          </cell>
          <cell r="Z70">
            <v>3.179159438103717E-4</v>
          </cell>
          <cell r="AA70">
            <v>3.270393594164088E-4</v>
          </cell>
          <cell r="AB70">
            <v>3.3670188594462085E-4</v>
          </cell>
          <cell r="AC70">
            <v>3.3823933747861461E-4</v>
          </cell>
          <cell r="AD70">
            <v>3.3979089407255316E-4</v>
          </cell>
          <cell r="AE70">
            <v>3.4135675072726542E-4</v>
          </cell>
          <cell r="AF70">
            <v>3.4293710605470644E-4</v>
          </cell>
          <cell r="AG70">
            <v>3.4453216236193774E-4</v>
          </cell>
          <cell r="AH70">
            <v>3.4614212573746039E-4</v>
          </cell>
          <cell r="AI70">
            <v>3.4776720613998363E-4</v>
          </cell>
          <cell r="AJ70">
            <v>3.4940761748970052E-4</v>
          </cell>
          <cell r="AK70">
            <v>3.5106357776216356E-4</v>
          </cell>
          <cell r="AL70">
            <v>3.5273530908484058E-4</v>
          </cell>
          <cell r="AM70">
            <v>3.5442303783644267E-4</v>
          </cell>
          <cell r="AN70">
            <v>3.5612699474911783E-4</v>
          </cell>
          <cell r="AO70">
            <v>3.5784741501360633E-4</v>
          </cell>
          <cell r="AP70">
            <v>3.5958453838745872E-4</v>
          </cell>
          <cell r="AQ70">
            <v>3.61338609306422E-4</v>
          </cell>
          <cell r="AR70">
            <v>3.6355541059051054E-4</v>
          </cell>
          <cell r="AS70">
            <v>3.6579957979168643E-4</v>
          </cell>
          <cell r="AT70">
            <v>3.6807162687113788E-4</v>
          </cell>
          <cell r="AU70">
            <v>3.7037207453908248E-4</v>
          </cell>
          <cell r="AV70">
            <v>3.7270145865568051E-4</v>
          </cell>
          <cell r="AW70">
            <v>3.7506032864717212E-4</v>
          </cell>
          <cell r="AX70">
            <v>3.7744924793791843E-4</v>
          </cell>
          <cell r="AY70">
            <v>3.7986879439905902E-4</v>
          </cell>
          <cell r="AZ70">
            <v>3.8231956081453679E-4</v>
          </cell>
          <cell r="BA70">
            <v>3.8480215536528054E-4</v>
          </cell>
          <cell r="BB70">
            <v>3.858042443115448E-4</v>
          </cell>
          <cell r="BC70">
            <v>3.858042443115448E-4</v>
          </cell>
          <cell r="BD70">
            <v>3.858042443115448E-4</v>
          </cell>
          <cell r="BE70">
            <v>3.858042443115448E-4</v>
          </cell>
          <cell r="BF70">
            <v>3.858042443115448E-4</v>
          </cell>
          <cell r="BG70">
            <v>3.858042443115448E-4</v>
          </cell>
          <cell r="BH70">
            <v>3.858042443115448E-4</v>
          </cell>
          <cell r="BI70">
            <v>3.858042443115448E-4</v>
          </cell>
          <cell r="BJ70">
            <v>3.858042443115448E-4</v>
          </cell>
        </row>
        <row r="71">
          <cell r="U71">
            <v>6.3728504241452547E-4</v>
          </cell>
          <cell r="V71">
            <v>6.1792740090763965E-4</v>
          </cell>
          <cell r="W71">
            <v>6.1496789131848019E-4</v>
          </cell>
          <cell r="X71">
            <v>6.8649777002723392E-4</v>
          </cell>
          <cell r="Y71">
            <v>6.7352893208534571E-4</v>
          </cell>
          <cell r="Z71">
            <v>7.0383059433667223E-4</v>
          </cell>
          <cell r="AA71">
            <v>7.2950662783505488E-4</v>
          </cell>
          <cell r="AB71">
            <v>7.5643984518147453E-4</v>
          </cell>
          <cell r="AC71">
            <v>7.5159274196700101E-4</v>
          </cell>
          <cell r="AD71">
            <v>7.5187134868029935E-4</v>
          </cell>
          <cell r="AE71">
            <v>7.5298385890597719E-4</v>
          </cell>
          <cell r="AF71">
            <v>7.5787577224640298E-4</v>
          </cell>
          <cell r="AG71">
            <v>7.5679232682093875E-4</v>
          </cell>
          <cell r="AH71">
            <v>7.6455536862220837E-4</v>
          </cell>
          <cell r="AI71">
            <v>7.7126334164682531E-4</v>
          </cell>
          <cell r="AJ71">
            <v>7.7739742288536744E-4</v>
          </cell>
          <cell r="AK71">
            <v>7.8065365758908515E-4</v>
          </cell>
          <cell r="AL71">
            <v>7.8496954571319235E-4</v>
          </cell>
          <cell r="AM71">
            <v>7.8883241605233738E-4</v>
          </cell>
          <cell r="AN71">
            <v>7.9297419810111321E-4</v>
          </cell>
          <cell r="AO71">
            <v>7.9629783445178323E-4</v>
          </cell>
          <cell r="AP71">
            <v>8.00848695907293E-4</v>
          </cell>
          <cell r="AQ71">
            <v>8.0453051085513784E-4</v>
          </cell>
          <cell r="AR71">
            <v>8.093660663898197E-4</v>
          </cell>
          <cell r="AS71">
            <v>8.137652247198529E-4</v>
          </cell>
          <cell r="AT71">
            <v>8.1845687035833191E-4</v>
          </cell>
          <cell r="AU71">
            <v>8.231749866102015E-4</v>
          </cell>
          <cell r="AV71">
            <v>8.2785111385531786E-4</v>
          </cell>
          <cell r="AW71">
            <v>8.3223666362898074E-4</v>
          </cell>
          <cell r="AX71">
            <v>8.3679125445288555E-4</v>
          </cell>
          <cell r="AY71">
            <v>8.4144910607248324E-4</v>
          </cell>
          <cell r="AZ71">
            <v>8.4619656579807973E-4</v>
          </cell>
          <cell r="BA71">
            <v>8.509488383393615E-4</v>
          </cell>
          <cell r="BB71">
            <v>8.5303624626809689E-4</v>
          </cell>
          <cell r="BC71">
            <v>8.5306107366655453E-4</v>
          </cell>
          <cell r="BD71">
            <v>8.5310403384507251E-4</v>
          </cell>
          <cell r="BE71">
            <v>8.5313290964597469E-4</v>
          </cell>
          <cell r="BF71">
            <v>8.5318874113096829E-4</v>
          </cell>
          <cell r="BG71">
            <v>8.5322290892893044E-4</v>
          </cell>
          <cell r="BH71">
            <v>8.5322883711403839E-4</v>
          </cell>
          <cell r="BI71">
            <v>8.5320642992497162E-4</v>
          </cell>
          <cell r="BJ71">
            <v>8.5318116253463457E-4</v>
          </cell>
        </row>
      </sheetData>
      <sheetData sheetId="11">
        <row r="31">
          <cell r="C31">
            <v>54.913201989152995</v>
          </cell>
        </row>
        <row r="32">
          <cell r="C32">
            <v>353.05070388876192</v>
          </cell>
        </row>
        <row r="33">
          <cell r="C33">
            <v>479.59207640587732</v>
          </cell>
        </row>
        <row r="34">
          <cell r="C34">
            <v>539.99751381397868</v>
          </cell>
        </row>
        <row r="35">
          <cell r="C35">
            <v>479.59207640587732</v>
          </cell>
        </row>
        <row r="36">
          <cell r="C36">
            <v>443.93998508776411</v>
          </cell>
        </row>
        <row r="37">
          <cell r="C37">
            <v>2166.0207451277015</v>
          </cell>
        </row>
        <row r="41">
          <cell r="B41">
            <v>1.25</v>
          </cell>
          <cell r="C41">
            <v>1.25</v>
          </cell>
          <cell r="D41">
            <v>1.25</v>
          </cell>
          <cell r="E41">
            <v>1.25</v>
          </cell>
          <cell r="F41">
            <v>1.25</v>
          </cell>
          <cell r="G41">
            <v>1.25</v>
          </cell>
          <cell r="H41">
            <v>1.25</v>
          </cell>
          <cell r="I41">
            <v>1.25</v>
          </cell>
          <cell r="J41">
            <v>1.25</v>
          </cell>
          <cell r="K41">
            <v>1.25</v>
          </cell>
          <cell r="L41">
            <v>1.25</v>
          </cell>
          <cell r="M41">
            <v>1.25</v>
          </cell>
          <cell r="N41">
            <v>1.25</v>
          </cell>
          <cell r="O41">
            <v>1.25</v>
          </cell>
          <cell r="P41">
            <v>1.25</v>
          </cell>
          <cell r="Q41">
            <v>1.25</v>
          </cell>
          <cell r="R41">
            <v>1.25</v>
          </cell>
          <cell r="S41">
            <v>1.25</v>
          </cell>
          <cell r="T41">
            <v>1.25</v>
          </cell>
          <cell r="U41">
            <v>1.25</v>
          </cell>
          <cell r="V41">
            <v>1.25</v>
          </cell>
          <cell r="W41">
            <v>1.25</v>
          </cell>
          <cell r="X41">
            <v>1.25</v>
          </cell>
          <cell r="Y41">
            <v>1.25</v>
          </cell>
          <cell r="Z41">
            <v>1.25</v>
          </cell>
          <cell r="AA41">
            <v>1.25</v>
          </cell>
          <cell r="AB41">
            <v>1.25</v>
          </cell>
          <cell r="AC41">
            <v>1.25</v>
          </cell>
          <cell r="AD41">
            <v>1.25</v>
          </cell>
          <cell r="AE41">
            <v>1.25</v>
          </cell>
          <cell r="AF41">
            <v>1.25</v>
          </cell>
          <cell r="AG41">
            <v>1.25</v>
          </cell>
          <cell r="AH41">
            <v>1.25</v>
          </cell>
          <cell r="AI41">
            <v>1.25</v>
          </cell>
          <cell r="AJ41">
            <v>1.25</v>
          </cell>
          <cell r="AK41">
            <v>1.25</v>
          </cell>
          <cell r="AL41">
            <v>1.25</v>
          </cell>
          <cell r="AM41">
            <v>1.25</v>
          </cell>
          <cell r="AN41">
            <v>1.25</v>
          </cell>
          <cell r="AO41">
            <v>1.25</v>
          </cell>
          <cell r="AP41">
            <v>1.25</v>
          </cell>
          <cell r="AQ41">
            <v>1.25</v>
          </cell>
        </row>
        <row r="42">
          <cell r="B42">
            <v>24.19</v>
          </cell>
          <cell r="C42">
            <v>24.19</v>
          </cell>
          <cell r="D42">
            <v>24.19</v>
          </cell>
          <cell r="E42">
            <v>24.19</v>
          </cell>
          <cell r="F42">
            <v>24.19</v>
          </cell>
          <cell r="G42">
            <v>24.19</v>
          </cell>
          <cell r="H42">
            <v>24.19</v>
          </cell>
          <cell r="I42">
            <v>24.19</v>
          </cell>
          <cell r="J42">
            <v>24.19</v>
          </cell>
          <cell r="K42">
            <v>24.19</v>
          </cell>
          <cell r="L42">
            <v>24.19</v>
          </cell>
          <cell r="M42">
            <v>24.19</v>
          </cell>
          <cell r="N42">
            <v>24.19</v>
          </cell>
          <cell r="O42">
            <v>24.19</v>
          </cell>
          <cell r="P42">
            <v>24.19</v>
          </cell>
          <cell r="Q42">
            <v>24.19</v>
          </cell>
          <cell r="R42">
            <v>24.19</v>
          </cell>
          <cell r="S42">
            <v>24.19</v>
          </cell>
          <cell r="T42">
            <v>24.19</v>
          </cell>
          <cell r="U42">
            <v>24.19</v>
          </cell>
          <cell r="V42">
            <v>24.19</v>
          </cell>
          <cell r="W42">
            <v>24.19</v>
          </cell>
          <cell r="X42">
            <v>24.19</v>
          </cell>
          <cell r="Y42">
            <v>24.19</v>
          </cell>
          <cell r="Z42">
            <v>24.19</v>
          </cell>
          <cell r="AA42">
            <v>24.19</v>
          </cell>
          <cell r="AB42">
            <v>24.19</v>
          </cell>
          <cell r="AC42">
            <v>24.19</v>
          </cell>
          <cell r="AD42">
            <v>24.19</v>
          </cell>
          <cell r="AE42">
            <v>24.19</v>
          </cell>
          <cell r="AF42">
            <v>24.19</v>
          </cell>
          <cell r="AG42">
            <v>24.19</v>
          </cell>
          <cell r="AH42">
            <v>24.19</v>
          </cell>
          <cell r="AI42">
            <v>24.19</v>
          </cell>
          <cell r="AJ42">
            <v>24.19</v>
          </cell>
          <cell r="AK42">
            <v>24.19</v>
          </cell>
          <cell r="AL42">
            <v>24.19</v>
          </cell>
          <cell r="AM42">
            <v>24.19</v>
          </cell>
          <cell r="AN42">
            <v>24.19</v>
          </cell>
          <cell r="AO42">
            <v>24.19</v>
          </cell>
          <cell r="AP42">
            <v>24.19</v>
          </cell>
        </row>
        <row r="45">
          <cell r="B45">
            <v>1.6</v>
          </cell>
          <cell r="C45">
            <v>1.6</v>
          </cell>
          <cell r="D45">
            <v>1.6</v>
          </cell>
          <cell r="E45">
            <v>1.6</v>
          </cell>
          <cell r="F45">
            <v>1.6</v>
          </cell>
          <cell r="G45">
            <v>1.6</v>
          </cell>
          <cell r="H45">
            <v>1.6</v>
          </cell>
          <cell r="I45">
            <v>1.6</v>
          </cell>
          <cell r="J45">
            <v>1.6</v>
          </cell>
          <cell r="K45">
            <v>1.6</v>
          </cell>
          <cell r="L45">
            <v>1.6</v>
          </cell>
          <cell r="M45">
            <v>1.6</v>
          </cell>
          <cell r="N45">
            <v>1.6</v>
          </cell>
          <cell r="O45">
            <v>1.6</v>
          </cell>
          <cell r="P45">
            <v>1.6</v>
          </cell>
          <cell r="Q45">
            <v>1.6</v>
          </cell>
          <cell r="R45">
            <v>1.6</v>
          </cell>
          <cell r="S45">
            <v>1.6</v>
          </cell>
          <cell r="T45">
            <v>1.6</v>
          </cell>
          <cell r="U45">
            <v>1.6</v>
          </cell>
          <cell r="V45">
            <v>1.6</v>
          </cell>
          <cell r="W45">
            <v>1.6</v>
          </cell>
          <cell r="X45">
            <v>1.6</v>
          </cell>
          <cell r="Y45">
            <v>1.6</v>
          </cell>
          <cell r="Z45">
            <v>1.6</v>
          </cell>
          <cell r="AA45">
            <v>1.6</v>
          </cell>
          <cell r="AB45">
            <v>1.6</v>
          </cell>
          <cell r="AC45">
            <v>1.6</v>
          </cell>
          <cell r="AD45">
            <v>1.6</v>
          </cell>
          <cell r="AE45">
            <v>1.6</v>
          </cell>
          <cell r="AF45">
            <v>1.6</v>
          </cell>
          <cell r="AG45">
            <v>1.6</v>
          </cell>
          <cell r="AH45">
            <v>1.6</v>
          </cell>
          <cell r="AI45">
            <v>1.6</v>
          </cell>
          <cell r="AJ45">
            <v>1.6</v>
          </cell>
          <cell r="AK45">
            <v>1.6</v>
          </cell>
          <cell r="AL45">
            <v>1.6</v>
          </cell>
          <cell r="AM45">
            <v>1.6</v>
          </cell>
          <cell r="AN45">
            <v>1.6</v>
          </cell>
          <cell r="AO45">
            <v>1.6</v>
          </cell>
          <cell r="AP45">
            <v>1.6</v>
          </cell>
          <cell r="AQ45">
            <v>1.6</v>
          </cell>
        </row>
        <row r="46">
          <cell r="B46">
            <v>10.17</v>
          </cell>
          <cell r="C46">
            <v>10.17</v>
          </cell>
          <cell r="D46">
            <v>10.17</v>
          </cell>
          <cell r="E46">
            <v>10.17</v>
          </cell>
          <cell r="F46">
            <v>10.17</v>
          </cell>
          <cell r="G46">
            <v>10.17</v>
          </cell>
          <cell r="H46">
            <v>10.17</v>
          </cell>
          <cell r="I46">
            <v>10.17</v>
          </cell>
          <cell r="J46">
            <v>10.17</v>
          </cell>
          <cell r="K46">
            <v>10.17</v>
          </cell>
          <cell r="L46">
            <v>10.17</v>
          </cell>
          <cell r="M46">
            <v>10.17</v>
          </cell>
          <cell r="N46">
            <v>10.17</v>
          </cell>
          <cell r="O46">
            <v>10.17</v>
          </cell>
          <cell r="P46">
            <v>10.17</v>
          </cell>
          <cell r="Q46">
            <v>10.17</v>
          </cell>
          <cell r="R46">
            <v>10.17</v>
          </cell>
          <cell r="S46">
            <v>10.17</v>
          </cell>
          <cell r="T46">
            <v>10.17</v>
          </cell>
          <cell r="U46">
            <v>10.17</v>
          </cell>
          <cell r="V46">
            <v>10.17</v>
          </cell>
          <cell r="W46">
            <v>10.17</v>
          </cell>
          <cell r="X46">
            <v>10.17</v>
          </cell>
          <cell r="Y46">
            <v>10.17</v>
          </cell>
          <cell r="Z46">
            <v>10.17</v>
          </cell>
          <cell r="AA46">
            <v>10.17</v>
          </cell>
          <cell r="AB46">
            <v>10.17</v>
          </cell>
          <cell r="AC46">
            <v>10.17</v>
          </cell>
          <cell r="AD46">
            <v>10.17</v>
          </cell>
          <cell r="AE46">
            <v>10.17</v>
          </cell>
          <cell r="AF46">
            <v>10.17</v>
          </cell>
          <cell r="AG46">
            <v>10.17</v>
          </cell>
          <cell r="AH46">
            <v>10.17</v>
          </cell>
          <cell r="AI46">
            <v>10.17</v>
          </cell>
          <cell r="AJ46">
            <v>10.17</v>
          </cell>
          <cell r="AK46">
            <v>10.17</v>
          </cell>
          <cell r="AL46">
            <v>10.17</v>
          </cell>
          <cell r="AM46">
            <v>10.17</v>
          </cell>
          <cell r="AN46">
            <v>10.17</v>
          </cell>
          <cell r="AO46">
            <v>10.17</v>
          </cell>
          <cell r="AP46">
            <v>10.17</v>
          </cell>
        </row>
      </sheetData>
      <sheetData sheetId="12"/>
      <sheetData sheetId="13"/>
      <sheetData sheetId="14">
        <row r="34">
          <cell r="K34">
            <v>5.3416654402987621E-5</v>
          </cell>
        </row>
        <row r="35">
          <cell r="K35">
            <v>4.856059491180693E-4</v>
          </cell>
        </row>
      </sheetData>
      <sheetData sheetId="15"/>
      <sheetData sheetId="16">
        <row r="87">
          <cell r="D87">
            <v>4.88055442953364E-3</v>
          </cell>
          <cell r="E87">
            <v>6.3281765060902275E-3</v>
          </cell>
          <cell r="G87">
            <v>9.4522130090967955E-3</v>
          </cell>
        </row>
        <row r="112">
          <cell r="M112">
            <v>4.4544800146568749E-3</v>
          </cell>
        </row>
      </sheetData>
      <sheetData sheetId="17"/>
      <sheetData sheetId="18"/>
      <sheetData sheetId="19"/>
      <sheetData sheetId="20">
        <row r="13">
          <cell r="B13">
            <v>0.68881036513545302</v>
          </cell>
        </row>
        <row r="39">
          <cell r="B39">
            <v>2.9999999999999996</v>
          </cell>
        </row>
      </sheetData>
      <sheetData sheetId="21"/>
      <sheetData sheetId="22"/>
      <sheetData sheetId="23"/>
      <sheetData sheetId="24"/>
      <sheetData sheetId="25">
        <row r="2">
          <cell r="B2">
            <v>1.5604824027299026E-3</v>
          </cell>
        </row>
      </sheetData>
      <sheetData sheetId="26"/>
      <sheetData sheetId="27">
        <row r="2">
          <cell r="B2">
            <v>4.4544800146568749E-3</v>
          </cell>
        </row>
      </sheetData>
      <sheetData sheetId="28">
        <row r="2">
          <cell r="B2">
            <v>9.4522130090967955E-3</v>
          </cell>
        </row>
      </sheetData>
      <sheetData sheetId="29">
        <row r="2">
          <cell r="B2">
            <v>8.2354085437718726E-3</v>
          </cell>
        </row>
      </sheetData>
      <sheetData sheetId="30">
        <row r="2">
          <cell r="B2">
            <v>1.7456924459906186E-3</v>
          </cell>
        </row>
      </sheetData>
      <sheetData sheetId="31">
        <row r="2">
          <cell r="B2">
            <v>0.22504068339334843</v>
          </cell>
        </row>
      </sheetData>
      <sheetData sheetId="3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7"/>
      <sheetName val="AEO 35"/>
      <sheetName val="AEO 36"/>
      <sheetName val="AEO 37"/>
      <sheetName val="AEO 38"/>
      <sheetName val="AEO 40"/>
      <sheetName val="AEO 41"/>
      <sheetName val="AEO 43"/>
      <sheetName val="AEO 46"/>
      <sheetName val="AEO 47"/>
      <sheetName val="AEO 48"/>
      <sheetName val="AEO 49"/>
      <sheetName val="LDVs"/>
      <sheetName val="SYVbT-passenger"/>
      <sheetName val="SYVbT-freight"/>
      <sheetName val="BAADTbVT-passenger"/>
      <sheetName val="BAADTbVT-frgt"/>
      <sheetName val="NTS 1-40"/>
      <sheetName val="NRBS 40"/>
      <sheetName val="Rail"/>
      <sheetName val="Ships"/>
      <sheetName val="Aircraft Fuel Economy"/>
      <sheetName val="New AVLo Adjusted"/>
      <sheetName val="Heat Value"/>
      <sheetName val="Model Comparison"/>
      <sheetName val="Calculations Etc"/>
      <sheetName val="Calibration Adjustments"/>
      <sheetName val="SYFAFE-psgr"/>
      <sheetName val="SYFAFE-frgt"/>
    </sheetNames>
    <sheetDataSet>
      <sheetData sheetId="0" refreshError="1"/>
      <sheetData sheetId="1">
        <row r="13">
          <cell r="C13">
            <v>2022</v>
          </cell>
          <cell r="D13">
            <v>2023</v>
          </cell>
          <cell r="E13">
            <v>2024</v>
          </cell>
          <cell r="F13">
            <v>2025</v>
          </cell>
          <cell r="G13">
            <v>2026</v>
          </cell>
          <cell r="H13">
            <v>2027</v>
          </cell>
          <cell r="I13">
            <v>2028</v>
          </cell>
          <cell r="J13">
            <v>2029</v>
          </cell>
          <cell r="K13">
            <v>2030</v>
          </cell>
          <cell r="L13">
            <v>2031</v>
          </cell>
          <cell r="M13">
            <v>2032</v>
          </cell>
          <cell r="N13">
            <v>2033</v>
          </cell>
          <cell r="O13">
            <v>2034</v>
          </cell>
          <cell r="P13">
            <v>2035</v>
          </cell>
          <cell r="Q13">
            <v>2036</v>
          </cell>
          <cell r="R13">
            <v>2037</v>
          </cell>
          <cell r="S13">
            <v>2038</v>
          </cell>
          <cell r="T13">
            <v>2039</v>
          </cell>
          <cell r="U13">
            <v>2040</v>
          </cell>
          <cell r="V13">
            <v>2041</v>
          </cell>
          <cell r="W13">
            <v>2042</v>
          </cell>
          <cell r="X13">
            <v>2043</v>
          </cell>
          <cell r="Y13">
            <v>2044</v>
          </cell>
          <cell r="Z13">
            <v>2045</v>
          </cell>
          <cell r="AA13">
            <v>2046</v>
          </cell>
          <cell r="AB13">
            <v>2047</v>
          </cell>
          <cell r="AC13">
            <v>2048</v>
          </cell>
          <cell r="AD13">
            <v>2049</v>
          </cell>
          <cell r="AE13">
            <v>2050</v>
          </cell>
        </row>
        <row r="18">
          <cell r="A18" t="str">
            <v>TKI000:ba_Light-DutyVeh</v>
          </cell>
          <cell r="C18">
            <v>2840.3725589999999</v>
          </cell>
          <cell r="D18">
            <v>2898.8688959999999</v>
          </cell>
          <cell r="E18">
            <v>2929.5815429999998</v>
          </cell>
          <cell r="F18">
            <v>2956.1467290000001</v>
          </cell>
          <cell r="G18">
            <v>2992.9975589999999</v>
          </cell>
          <cell r="H18">
            <v>3035.02124</v>
          </cell>
          <cell r="I18">
            <v>3070.8969729999999</v>
          </cell>
          <cell r="J18">
            <v>3099.9997560000002</v>
          </cell>
          <cell r="K18">
            <v>3125.857422</v>
          </cell>
          <cell r="L18">
            <v>3148.7094729999999</v>
          </cell>
          <cell r="M18">
            <v>3167.1401369999999</v>
          </cell>
          <cell r="N18">
            <v>3187.9121089999999</v>
          </cell>
          <cell r="O18">
            <v>3211.9938959999999</v>
          </cell>
          <cell r="P18">
            <v>3234.4228520000001</v>
          </cell>
          <cell r="Q18">
            <v>3253.0434570000002</v>
          </cell>
          <cell r="R18">
            <v>3273.4848630000001</v>
          </cell>
          <cell r="S18">
            <v>3295.8571780000002</v>
          </cell>
          <cell r="T18">
            <v>3318.0651859999998</v>
          </cell>
          <cell r="U18">
            <v>3341.7709960000002</v>
          </cell>
          <cell r="V18">
            <v>3365.4182129999999</v>
          </cell>
          <cell r="W18">
            <v>3389.392578</v>
          </cell>
          <cell r="X18">
            <v>3412.2673340000001</v>
          </cell>
          <cell r="Y18">
            <v>3435.6376949999999</v>
          </cell>
          <cell r="Z18">
            <v>3458.7827149999998</v>
          </cell>
          <cell r="AA18">
            <v>3485.0927729999999</v>
          </cell>
          <cell r="AB18">
            <v>3513.1240229999999</v>
          </cell>
          <cell r="AC18">
            <v>3542.8195799999999</v>
          </cell>
          <cell r="AD18">
            <v>3571.610596</v>
          </cell>
          <cell r="AE18">
            <v>3602.1042480000001</v>
          </cell>
        </row>
        <row r="19">
          <cell r="A19" t="str">
            <v>TKI000:ba_CommercialLig</v>
          </cell>
          <cell r="C19">
            <v>102.183701</v>
          </cell>
          <cell r="D19">
            <v>103.439949</v>
          </cell>
          <cell r="E19">
            <v>104.403503</v>
          </cell>
          <cell r="F19">
            <v>106.51254299999999</v>
          </cell>
          <cell r="G19">
            <v>108.39849100000001</v>
          </cell>
          <cell r="H19">
            <v>110.08111599999999</v>
          </cell>
          <cell r="I19">
            <v>111.51876799999999</v>
          </cell>
          <cell r="J19">
            <v>113.013199</v>
          </cell>
          <cell r="K19">
            <v>114.452293</v>
          </cell>
          <cell r="L19">
            <v>115.735985</v>
          </cell>
          <cell r="M19">
            <v>117.113342</v>
          </cell>
          <cell r="N19">
            <v>118.447006</v>
          </cell>
          <cell r="O19">
            <v>119.88752700000001</v>
          </cell>
          <cell r="P19">
            <v>121.425247</v>
          </cell>
          <cell r="Q19">
            <v>122.852249</v>
          </cell>
          <cell r="R19">
            <v>124.297363</v>
          </cell>
          <cell r="S19">
            <v>125.86512</v>
          </cell>
          <cell r="T19">
            <v>127.384109</v>
          </cell>
          <cell r="U19">
            <v>129.05221599999999</v>
          </cell>
          <cell r="V19">
            <v>130.94792200000001</v>
          </cell>
          <cell r="W19">
            <v>132.815811</v>
          </cell>
          <cell r="X19">
            <v>134.406586</v>
          </cell>
          <cell r="Y19">
            <v>135.831345</v>
          </cell>
          <cell r="Z19">
            <v>137.027908</v>
          </cell>
          <cell r="AA19">
            <v>138.560181</v>
          </cell>
          <cell r="AB19">
            <v>140.09021000000001</v>
          </cell>
          <cell r="AC19">
            <v>141.46229600000001</v>
          </cell>
          <cell r="AD19">
            <v>142.656891</v>
          </cell>
          <cell r="AE19">
            <v>144.23121599999999</v>
          </cell>
        </row>
        <row r="20">
          <cell r="A20" t="str">
            <v>TKI000:ba_FreightTrucks</v>
          </cell>
          <cell r="C20">
            <v>321.95498700000002</v>
          </cell>
          <cell r="D20">
            <v>322.18576000000002</v>
          </cell>
          <cell r="E20">
            <v>326.393463</v>
          </cell>
          <cell r="F20">
            <v>335.03286700000001</v>
          </cell>
          <cell r="G20">
            <v>341.64099099999999</v>
          </cell>
          <cell r="H20">
            <v>346.97915599999999</v>
          </cell>
          <cell r="I20">
            <v>351.97354100000001</v>
          </cell>
          <cell r="J20">
            <v>356.58551</v>
          </cell>
          <cell r="K20">
            <v>361.42352299999999</v>
          </cell>
          <cell r="L20">
            <v>365.95986900000003</v>
          </cell>
          <cell r="M20">
            <v>370.927368</v>
          </cell>
          <cell r="N20">
            <v>375.44860799999998</v>
          </cell>
          <cell r="O20">
            <v>380.52667200000002</v>
          </cell>
          <cell r="P20">
            <v>385.734894</v>
          </cell>
          <cell r="Q20">
            <v>389.96911599999999</v>
          </cell>
          <cell r="R20">
            <v>394.44912699999998</v>
          </cell>
          <cell r="S20">
            <v>399.19396999999998</v>
          </cell>
          <cell r="T20">
            <v>403.89031999999997</v>
          </cell>
          <cell r="U20">
            <v>409.03732300000001</v>
          </cell>
          <cell r="V20">
            <v>414.99588</v>
          </cell>
          <cell r="W20">
            <v>421.12713600000001</v>
          </cell>
          <cell r="X20">
            <v>425.78088400000001</v>
          </cell>
          <cell r="Y20">
            <v>429.687592</v>
          </cell>
          <cell r="Z20">
            <v>432.36288500000001</v>
          </cell>
          <cell r="AA20">
            <v>436.66439800000001</v>
          </cell>
          <cell r="AB20">
            <v>440.34304800000001</v>
          </cell>
          <cell r="AC20">
            <v>443.75659200000001</v>
          </cell>
          <cell r="AD20">
            <v>446.513824</v>
          </cell>
          <cell r="AE20">
            <v>450.83300800000001</v>
          </cell>
        </row>
        <row r="22">
          <cell r="A22" t="str">
            <v>TKI000:buspassmiles</v>
          </cell>
          <cell r="C22">
            <v>175.285156</v>
          </cell>
          <cell r="D22">
            <v>186.73317</v>
          </cell>
          <cell r="E22">
            <v>193.256989</v>
          </cell>
          <cell r="F22">
            <v>197.18611100000001</v>
          </cell>
          <cell r="G22">
            <v>200.13226299999999</v>
          </cell>
          <cell r="H22">
            <v>202.39711</v>
          </cell>
          <cell r="I22">
            <v>204.076401</v>
          </cell>
          <cell r="J22">
            <v>205.31118799999999</v>
          </cell>
          <cell r="K22">
            <v>206.26828</v>
          </cell>
          <cell r="L22">
            <v>206.93235799999999</v>
          </cell>
          <cell r="M22">
            <v>207.46791099999999</v>
          </cell>
          <cell r="N22">
            <v>207.92961099999999</v>
          </cell>
          <cell r="O22">
            <v>208.33659399999999</v>
          </cell>
          <cell r="P22">
            <v>208.69291699999999</v>
          </cell>
          <cell r="Q22">
            <v>208.995758</v>
          </cell>
          <cell r="R22">
            <v>209.281113</v>
          </cell>
          <cell r="S22">
            <v>209.44528199999999</v>
          </cell>
          <cell r="T22">
            <v>209.52084400000001</v>
          </cell>
          <cell r="U22">
            <v>209.51895099999999</v>
          </cell>
          <cell r="V22">
            <v>209.46717799999999</v>
          </cell>
          <cell r="W22">
            <v>209.367233</v>
          </cell>
          <cell r="X22">
            <v>209.21354700000001</v>
          </cell>
          <cell r="Y22">
            <v>209.083145</v>
          </cell>
          <cell r="Z22">
            <v>208.91824299999999</v>
          </cell>
          <cell r="AA22">
            <v>208.72267199999999</v>
          </cell>
          <cell r="AB22">
            <v>208.50842299999999</v>
          </cell>
          <cell r="AC22">
            <v>208.35131799999999</v>
          </cell>
          <cell r="AD22">
            <v>208.10702499999999</v>
          </cell>
          <cell r="AE22">
            <v>207.900665</v>
          </cell>
        </row>
        <row r="23">
          <cell r="A23" t="str">
            <v>TKI000:railpassmiles</v>
          </cell>
          <cell r="C23">
            <v>29.871853000000002</v>
          </cell>
          <cell r="D23">
            <v>31.821771999999999</v>
          </cell>
          <cell r="E23">
            <v>33.123631000000003</v>
          </cell>
          <cell r="F23">
            <v>33.983378999999999</v>
          </cell>
          <cell r="G23">
            <v>35.100853000000001</v>
          </cell>
          <cell r="H23">
            <v>36.130744999999997</v>
          </cell>
          <cell r="I23">
            <v>36.915401000000003</v>
          </cell>
          <cell r="J23">
            <v>37.524704</v>
          </cell>
          <cell r="K23">
            <v>38.107269000000002</v>
          </cell>
          <cell r="L23">
            <v>38.524512999999999</v>
          </cell>
          <cell r="M23">
            <v>38.997002000000002</v>
          </cell>
          <cell r="N23">
            <v>39.506042000000001</v>
          </cell>
          <cell r="O23">
            <v>40.029719999999998</v>
          </cell>
          <cell r="P23">
            <v>40.535946000000003</v>
          </cell>
          <cell r="Q23">
            <v>41.005344000000001</v>
          </cell>
          <cell r="R23">
            <v>41.487507000000001</v>
          </cell>
          <cell r="S23">
            <v>42.024422000000001</v>
          </cell>
          <cell r="T23">
            <v>42.524441000000003</v>
          </cell>
          <cell r="U23">
            <v>43.022525999999999</v>
          </cell>
          <cell r="V23">
            <v>43.498676000000003</v>
          </cell>
          <cell r="W23">
            <v>43.946204999999999</v>
          </cell>
          <cell r="X23">
            <v>44.327697999999998</v>
          </cell>
          <cell r="Y23">
            <v>44.792797</v>
          </cell>
          <cell r="Z23">
            <v>45.194687000000002</v>
          </cell>
          <cell r="AA23">
            <v>45.642555000000002</v>
          </cell>
          <cell r="AB23">
            <v>46.063999000000003</v>
          </cell>
          <cell r="AC23">
            <v>46.607852999999999</v>
          </cell>
          <cell r="AD23">
            <v>46.967677999999999</v>
          </cell>
          <cell r="AE23">
            <v>47.435471</v>
          </cell>
        </row>
        <row r="25">
          <cell r="A25" t="str">
            <v>TKI000:ba_Air</v>
          </cell>
          <cell r="C25">
            <v>1173.034668</v>
          </cell>
          <cell r="D25">
            <v>1318.6945800000001</v>
          </cell>
          <cell r="E25">
            <v>1371.6295170000001</v>
          </cell>
          <cell r="F25">
            <v>1398.2070309999999</v>
          </cell>
          <cell r="G25">
            <v>1441.3955080000001</v>
          </cell>
          <cell r="H25">
            <v>1479.14563</v>
          </cell>
          <cell r="I25">
            <v>1512.8122559999999</v>
          </cell>
          <cell r="J25">
            <v>1544.693115</v>
          </cell>
          <cell r="K25">
            <v>1576.107178</v>
          </cell>
          <cell r="L25">
            <v>1605.10022</v>
          </cell>
          <cell r="M25">
            <v>1637.380371</v>
          </cell>
          <cell r="N25">
            <v>1673.9056399999999</v>
          </cell>
          <cell r="O25">
            <v>1712.3889160000001</v>
          </cell>
          <cell r="P25">
            <v>1751.836914</v>
          </cell>
          <cell r="Q25">
            <v>1792.904053</v>
          </cell>
          <cell r="R25">
            <v>1835.575073</v>
          </cell>
          <cell r="S25">
            <v>1879.7923579999999</v>
          </cell>
          <cell r="T25">
            <v>1925.0914310000001</v>
          </cell>
          <cell r="U25">
            <v>1974.80835</v>
          </cell>
          <cell r="V25">
            <v>2025.6480710000001</v>
          </cell>
          <cell r="W25">
            <v>2077.25</v>
          </cell>
          <cell r="X25">
            <v>2127.8544919999999</v>
          </cell>
          <cell r="Y25">
            <v>2176.2202149999998</v>
          </cell>
          <cell r="Z25">
            <v>2224.4873050000001</v>
          </cell>
          <cell r="AA25">
            <v>2273.7250979999999</v>
          </cell>
          <cell r="AB25">
            <v>2323.9807129999999</v>
          </cell>
          <cell r="AC25">
            <v>2370.445068</v>
          </cell>
          <cell r="AD25">
            <v>2417.8759770000001</v>
          </cell>
          <cell r="AE25">
            <v>2468.829346</v>
          </cell>
        </row>
        <row r="27">
          <cell r="A27" t="str">
            <v>TKI000:ba_Rail</v>
          </cell>
          <cell r="C27">
            <v>1615.9882809999999</v>
          </cell>
          <cell r="D27">
            <v>1617.5349120000001</v>
          </cell>
          <cell r="E27">
            <v>1674.080078</v>
          </cell>
          <cell r="F27">
            <v>1607.64978</v>
          </cell>
          <cell r="G27">
            <v>1559.5419919999999</v>
          </cell>
          <cell r="H27">
            <v>1521.3396</v>
          </cell>
          <cell r="I27">
            <v>1511.7768550000001</v>
          </cell>
          <cell r="J27">
            <v>1554.446533</v>
          </cell>
          <cell r="K27">
            <v>1555.367432</v>
          </cell>
          <cell r="L27">
            <v>1572.5593260000001</v>
          </cell>
          <cell r="M27">
            <v>1596.240967</v>
          </cell>
          <cell r="N27">
            <v>1609.656616</v>
          </cell>
          <cell r="O27">
            <v>1613.0500489999999</v>
          </cell>
          <cell r="P27">
            <v>1631.7198490000001</v>
          </cell>
          <cell r="Q27">
            <v>1637.687866</v>
          </cell>
          <cell r="R27">
            <v>1645.1391599999999</v>
          </cell>
          <cell r="S27">
            <v>1656.608643</v>
          </cell>
          <cell r="T27">
            <v>1666.8948969999999</v>
          </cell>
          <cell r="U27">
            <v>1672.8961179999999</v>
          </cell>
          <cell r="V27">
            <v>1689.8201899999999</v>
          </cell>
          <cell r="W27">
            <v>1706.8557129999999</v>
          </cell>
          <cell r="X27">
            <v>1716.546875</v>
          </cell>
          <cell r="Y27">
            <v>1723.487427</v>
          </cell>
          <cell r="Z27">
            <v>1727.6503909999999</v>
          </cell>
          <cell r="AA27">
            <v>1736.838013</v>
          </cell>
          <cell r="AB27">
            <v>1740.3691409999999</v>
          </cell>
          <cell r="AC27">
            <v>1745.3679199999999</v>
          </cell>
          <cell r="AD27">
            <v>1752.495361</v>
          </cell>
          <cell r="AE27">
            <v>1764.116211</v>
          </cell>
        </row>
        <row r="28">
          <cell r="A28" t="str">
            <v>TKI000:ba_DomesticShipp</v>
          </cell>
          <cell r="C28">
            <v>444.89965799999999</v>
          </cell>
          <cell r="D28">
            <v>452.719269</v>
          </cell>
          <cell r="E28">
            <v>456.82601899999997</v>
          </cell>
          <cell r="F28">
            <v>462.35171500000001</v>
          </cell>
          <cell r="G28">
            <v>463.92306500000001</v>
          </cell>
          <cell r="H28">
            <v>464.16470299999997</v>
          </cell>
          <cell r="I28">
            <v>464.20428500000003</v>
          </cell>
          <cell r="J28">
            <v>463.39263899999997</v>
          </cell>
          <cell r="K28">
            <v>463.34793100000002</v>
          </cell>
          <cell r="L28">
            <v>462.86303700000002</v>
          </cell>
          <cell r="M28">
            <v>462.76669299999998</v>
          </cell>
          <cell r="N28">
            <v>462.35064699999998</v>
          </cell>
          <cell r="O28">
            <v>462.62976099999997</v>
          </cell>
          <cell r="P28">
            <v>462.45660400000003</v>
          </cell>
          <cell r="Q28">
            <v>461.21481299999999</v>
          </cell>
          <cell r="R28">
            <v>460.36090100000001</v>
          </cell>
          <cell r="S28">
            <v>459.522919</v>
          </cell>
          <cell r="T28">
            <v>459.08380099999999</v>
          </cell>
          <cell r="U28">
            <v>458.91177399999998</v>
          </cell>
          <cell r="V28">
            <v>459.46804800000001</v>
          </cell>
          <cell r="W28">
            <v>460.52829000000003</v>
          </cell>
          <cell r="X28">
            <v>460.049103</v>
          </cell>
          <cell r="Y28">
            <v>458.47790500000002</v>
          </cell>
          <cell r="Z28">
            <v>456.060608</v>
          </cell>
          <cell r="AA28">
            <v>454.71167000000003</v>
          </cell>
          <cell r="AB28">
            <v>452.76034499999997</v>
          </cell>
          <cell r="AC28">
            <v>450.34072900000001</v>
          </cell>
          <cell r="AD28">
            <v>447.59710699999999</v>
          </cell>
          <cell r="AE28">
            <v>446.40902699999998</v>
          </cell>
        </row>
      </sheetData>
      <sheetData sheetId="2" refreshError="1"/>
      <sheetData sheetId="3">
        <row r="88">
          <cell r="F88">
            <v>0.923149</v>
          </cell>
        </row>
        <row r="89">
          <cell r="F89">
            <v>6.6714880000000001</v>
          </cell>
        </row>
        <row r="93">
          <cell r="F93">
            <v>16.944298</v>
          </cell>
        </row>
        <row r="95">
          <cell r="F95">
            <v>6.9470840000000003</v>
          </cell>
        </row>
        <row r="96">
          <cell r="F96">
            <v>12.270818999999999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70">
          <cell r="E170">
            <v>77.863677999999993</v>
          </cell>
          <cell r="F170">
            <v>78.969109000000003</v>
          </cell>
          <cell r="G170">
            <v>79.833884999999995</v>
          </cell>
          <cell r="H170">
            <v>80.652244999999994</v>
          </cell>
          <cell r="I170">
            <v>81.518805999999998</v>
          </cell>
          <cell r="J170">
            <v>82.250953999999993</v>
          </cell>
          <cell r="K170">
            <v>82.956787000000006</v>
          </cell>
          <cell r="L170">
            <v>83.643555000000006</v>
          </cell>
          <cell r="M170">
            <v>84.333786000000003</v>
          </cell>
          <cell r="N170">
            <v>85.026886000000005</v>
          </cell>
          <cell r="O170">
            <v>85.725502000000006</v>
          </cell>
          <cell r="P170">
            <v>86.429732999999999</v>
          </cell>
          <cell r="Q170">
            <v>87.138785999999996</v>
          </cell>
          <cell r="R170">
            <v>87.852463</v>
          </cell>
          <cell r="S170">
            <v>88.571342000000001</v>
          </cell>
          <cell r="T170">
            <v>89.294822999999994</v>
          </cell>
          <cell r="U170">
            <v>90.022994999999995</v>
          </cell>
          <cell r="V170">
            <v>90.756118999999998</v>
          </cell>
          <cell r="W170">
            <v>91.495834000000002</v>
          </cell>
          <cell r="X170">
            <v>92.241898000000006</v>
          </cell>
          <cell r="Y170">
            <v>92.994003000000006</v>
          </cell>
          <cell r="Z170">
            <v>93.751182999999997</v>
          </cell>
          <cell r="AA170">
            <v>94.512642</v>
          </cell>
          <cell r="AB170">
            <v>95.278709000000006</v>
          </cell>
          <cell r="AC170">
            <v>96.050774000000004</v>
          </cell>
          <cell r="AD170">
            <v>96.828506000000004</v>
          </cell>
          <cell r="AE170">
            <v>97.609954999999999</v>
          </cell>
          <cell r="AF170">
            <v>98.396286000000003</v>
          </cell>
          <cell r="AG170">
            <v>99.187674999999999</v>
          </cell>
        </row>
        <row r="175">
          <cell r="E175">
            <v>72.717087000000006</v>
          </cell>
          <cell r="F175">
            <v>73.092055999999999</v>
          </cell>
          <cell r="G175">
            <v>73.501052999999999</v>
          </cell>
          <cell r="H175">
            <v>74.050392000000002</v>
          </cell>
          <cell r="I175">
            <v>74.725982999999999</v>
          </cell>
          <cell r="J175">
            <v>75.178748999999996</v>
          </cell>
          <cell r="K175">
            <v>75.641334999999998</v>
          </cell>
          <cell r="L175">
            <v>76.079268999999996</v>
          </cell>
          <cell r="M175">
            <v>76.557381000000007</v>
          </cell>
          <cell r="N175">
            <v>77.083327999999995</v>
          </cell>
          <cell r="O175">
            <v>77.668487999999996</v>
          </cell>
          <cell r="P175">
            <v>78.328941</v>
          </cell>
          <cell r="Q175">
            <v>79.046013000000002</v>
          </cell>
          <cell r="R175">
            <v>79.796111999999994</v>
          </cell>
          <cell r="S175">
            <v>80.552818000000002</v>
          </cell>
          <cell r="T175">
            <v>81.320212999999995</v>
          </cell>
          <cell r="U175">
            <v>82.103263999999996</v>
          </cell>
          <cell r="V175">
            <v>82.865875000000003</v>
          </cell>
          <cell r="W175">
            <v>83.641174000000007</v>
          </cell>
          <cell r="X175">
            <v>84.424744000000004</v>
          </cell>
          <cell r="Y175">
            <v>85.209228999999993</v>
          </cell>
          <cell r="Z175">
            <v>86.004813999999996</v>
          </cell>
          <cell r="AA175">
            <v>86.788414000000003</v>
          </cell>
          <cell r="AB175">
            <v>87.568939</v>
          </cell>
          <cell r="AC175">
            <v>88.334946000000002</v>
          </cell>
          <cell r="AD175">
            <v>89.098267000000007</v>
          </cell>
          <cell r="AE175">
            <v>89.847137000000004</v>
          </cell>
          <cell r="AF175">
            <v>90.582993000000002</v>
          </cell>
          <cell r="AG175">
            <v>91.310173000000006</v>
          </cell>
        </row>
      </sheetData>
      <sheetData sheetId="11">
        <row r="70">
          <cell r="E70">
            <v>554.21826199999998</v>
          </cell>
          <cell r="F70">
            <v>558.18225099999995</v>
          </cell>
          <cell r="G70">
            <v>616.61242700000003</v>
          </cell>
          <cell r="H70">
            <v>642.00720200000001</v>
          </cell>
          <cell r="I70">
            <v>677.56213400000001</v>
          </cell>
          <cell r="J70">
            <v>703.04217500000004</v>
          </cell>
          <cell r="K70">
            <v>726.45831299999998</v>
          </cell>
          <cell r="L70">
            <v>751.31414800000005</v>
          </cell>
          <cell r="M70">
            <v>777.54492200000004</v>
          </cell>
          <cell r="N70">
            <v>805.10766599999999</v>
          </cell>
          <cell r="O70">
            <v>833.80895999999996</v>
          </cell>
          <cell r="P70">
            <v>863.57214399999998</v>
          </cell>
          <cell r="Q70">
            <v>894.38806199999999</v>
          </cell>
          <cell r="R70">
            <v>926.25329599999998</v>
          </cell>
          <cell r="S70">
            <v>959.52636700000005</v>
          </cell>
          <cell r="T70">
            <v>993.94397000000004</v>
          </cell>
          <cell r="U70">
            <v>1029.4589840000001</v>
          </cell>
          <cell r="V70">
            <v>1066.0639650000001</v>
          </cell>
          <cell r="W70">
            <v>1103.774658</v>
          </cell>
          <cell r="X70">
            <v>1142.943237</v>
          </cell>
          <cell r="Y70">
            <v>1183.2827150000001</v>
          </cell>
          <cell r="Z70">
            <v>1224.766357</v>
          </cell>
          <cell r="AA70">
            <v>1267.4079589999999</v>
          </cell>
          <cell r="AB70">
            <v>1311.251831</v>
          </cell>
          <cell r="AC70">
            <v>1356.5870359999999</v>
          </cell>
          <cell r="AD70">
            <v>1403.1583250000001</v>
          </cell>
          <cell r="AE70">
            <v>1450.9521480000001</v>
          </cell>
          <cell r="AF70">
            <v>1499.9804690000001</v>
          </cell>
          <cell r="AG70">
            <v>1550.2852780000001</v>
          </cell>
        </row>
        <row r="178">
          <cell r="E178">
            <v>126.288307</v>
          </cell>
          <cell r="F178">
            <v>61.771155999999998</v>
          </cell>
          <cell r="G178">
            <v>48.788840999999998</v>
          </cell>
          <cell r="H178">
            <v>47.228012</v>
          </cell>
          <cell r="I178">
            <v>47.228012</v>
          </cell>
          <cell r="J178">
            <v>47.228012</v>
          </cell>
          <cell r="K178">
            <v>47.228012</v>
          </cell>
          <cell r="L178">
            <v>47.228012</v>
          </cell>
          <cell r="M178">
            <v>47.228012</v>
          </cell>
          <cell r="N178">
            <v>47.228012</v>
          </cell>
          <cell r="O178">
            <v>47.228012</v>
          </cell>
          <cell r="P178">
            <v>47.228012</v>
          </cell>
          <cell r="Q178">
            <v>47.228012</v>
          </cell>
          <cell r="R178">
            <v>47.228012</v>
          </cell>
          <cell r="S178">
            <v>47.228012</v>
          </cell>
          <cell r="T178">
            <v>47.228012</v>
          </cell>
          <cell r="U178">
            <v>47.228012</v>
          </cell>
          <cell r="V178">
            <v>47.228012</v>
          </cell>
          <cell r="W178">
            <v>47.228012</v>
          </cell>
          <cell r="X178">
            <v>47.228012</v>
          </cell>
          <cell r="Y178">
            <v>47.228012</v>
          </cell>
          <cell r="Z178">
            <v>47.228012</v>
          </cell>
          <cell r="AA178">
            <v>47.228012</v>
          </cell>
          <cell r="AB178">
            <v>47.228012</v>
          </cell>
          <cell r="AC178">
            <v>47.228012</v>
          </cell>
          <cell r="AD178">
            <v>47.228012</v>
          </cell>
          <cell r="AE178">
            <v>47.228012</v>
          </cell>
          <cell r="AF178">
            <v>47.228012</v>
          </cell>
          <cell r="AG178">
            <v>47.228012</v>
          </cell>
        </row>
      </sheetData>
      <sheetData sheetId="12">
        <row r="131">
          <cell r="F131">
            <v>7.4722720000000002</v>
          </cell>
        </row>
        <row r="202">
          <cell r="F202">
            <v>7.9135229999999996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B2">
            <v>1.5165687188417314E-3</v>
          </cell>
          <cell r="C2">
            <v>3.6507016328013448E-4</v>
          </cell>
          <cell r="D2">
            <v>3.2781855920586701E-4</v>
          </cell>
          <cell r="E2">
            <v>3.8278362628180841E-4</v>
          </cell>
          <cell r="F2">
            <v>5.3934469235771899E-4</v>
          </cell>
          <cell r="G2">
            <v>3.3995333604646099E-4</v>
          </cell>
          <cell r="H2">
            <v>5.7719497863821599E-4</v>
          </cell>
        </row>
        <row r="3">
          <cell r="B3">
            <v>7.173489793344247E-3</v>
          </cell>
          <cell r="C3">
            <v>2.9082523664390905E-3</v>
          </cell>
          <cell r="D3">
            <v>2.2604988360247118E-3</v>
          </cell>
          <cell r="E3">
            <v>2.6396018038248072E-3</v>
          </cell>
          <cell r="F3">
            <v>1.9852017948389401E-3</v>
          </cell>
          <cell r="G3">
            <v>8.9891436780844701E-4</v>
          </cell>
          <cell r="H3">
            <v>1.4651861068476599E-3</v>
          </cell>
        </row>
        <row r="4">
          <cell r="B4">
            <v>1.5604824027299026E-3</v>
          </cell>
          <cell r="C4">
            <v>4.856059491180693E-4</v>
          </cell>
          <cell r="D4">
            <v>4.856059491180693E-4</v>
          </cell>
          <cell r="E4">
            <v>4.856059491180693E-4</v>
          </cell>
          <cell r="F4">
            <v>0</v>
          </cell>
          <cell r="G4">
            <v>0</v>
          </cell>
          <cell r="H4">
            <v>1.618686497060231E-4</v>
          </cell>
        </row>
        <row r="5">
          <cell r="B5">
            <v>4.4544800146568749E-3</v>
          </cell>
          <cell r="C5">
            <v>4.88055442953364E-3</v>
          </cell>
          <cell r="D5">
            <v>4.88055442953364E-3</v>
          </cell>
          <cell r="E5">
            <v>4.88055442953364E-3</v>
          </cell>
          <cell r="F5">
            <v>0</v>
          </cell>
          <cell r="G5">
            <v>0</v>
          </cell>
          <cell r="H5">
            <v>1.6268514765112134E-3</v>
          </cell>
        </row>
        <row r="6">
          <cell r="B6">
            <v>1.8445854492898E-3</v>
          </cell>
          <cell r="C6">
            <v>5.7401587244094803E-4</v>
          </cell>
          <cell r="D6">
            <v>0</v>
          </cell>
          <cell r="E6">
            <v>5.7401587244094803E-4</v>
          </cell>
          <cell r="F6">
            <v>0</v>
          </cell>
          <cell r="G6">
            <v>0</v>
          </cell>
          <cell r="H6">
            <v>1.72204761732284E-3</v>
          </cell>
        </row>
        <row r="7">
          <cell r="B7">
            <v>1.4980962356277019E-2</v>
          </cell>
          <cell r="C7">
            <v>5.8809562968856004E-4</v>
          </cell>
          <cell r="D7">
            <v>5.8809562968856004E-4</v>
          </cell>
          <cell r="E7">
            <v>5.8809562968856004E-4</v>
          </cell>
          <cell r="F7">
            <v>5.1783367814155899E-2</v>
          </cell>
          <cell r="G7">
            <v>1.8230964520345401E-2</v>
          </cell>
          <cell r="H7">
            <v>7.0571475562627203E-2</v>
          </cell>
        </row>
      </sheetData>
      <sheetData sheetId="29">
        <row r="2">
          <cell r="B2">
            <v>1.1625625208813242E-3</v>
          </cell>
          <cell r="C2">
            <v>1.56588362987776E-4</v>
          </cell>
          <cell r="D2">
            <v>3.1304695821218238E-4</v>
          </cell>
          <cell r="E2">
            <v>2.9354112202213857E-4</v>
          </cell>
          <cell r="F2">
            <v>2.4975642440517101E-4</v>
          </cell>
          <cell r="G2">
            <v>7.6336826956540702E-5</v>
          </cell>
          <cell r="H2">
            <v>1.6590035314152299E-4</v>
          </cell>
        </row>
        <row r="3">
          <cell r="B3">
            <v>1.3914248587496511E-3</v>
          </cell>
          <cell r="C3">
            <v>4.0019875135147051E-4</v>
          </cell>
          <cell r="D3">
            <v>6.0942278215302896E-4</v>
          </cell>
          <cell r="E3">
            <v>5.8448732639934686E-4</v>
          </cell>
          <cell r="F3">
            <v>8.6036157480427603E-4</v>
          </cell>
          <cell r="G3">
            <v>4.9586314946128995E-4</v>
          </cell>
          <cell r="H3">
            <v>3.9401333871111701E-4</v>
          </cell>
        </row>
        <row r="4">
          <cell r="B4">
            <v>1.6622709179351414E-5</v>
          </cell>
          <cell r="C4">
            <v>5.3416654402987621E-5</v>
          </cell>
          <cell r="D4">
            <v>5.3416654402987621E-5</v>
          </cell>
          <cell r="E4">
            <v>5.3416654402987621E-5</v>
          </cell>
          <cell r="F4">
            <v>0</v>
          </cell>
          <cell r="G4">
            <v>0</v>
          </cell>
          <cell r="H4">
            <v>1.780555146766254E-5</v>
          </cell>
        </row>
        <row r="5">
          <cell r="B5">
            <v>9.4522130090967955E-3</v>
          </cell>
          <cell r="C5">
            <v>6.3281765060902275E-3</v>
          </cell>
          <cell r="D5">
            <v>6.3281765060902275E-3</v>
          </cell>
          <cell r="E5">
            <v>6.3281765060902275E-3</v>
          </cell>
          <cell r="F5">
            <v>0</v>
          </cell>
          <cell r="G5">
            <v>0</v>
          </cell>
          <cell r="H5">
            <v>2.1093921686967426E-3</v>
          </cell>
        </row>
        <row r="6">
          <cell r="B6">
            <v>1.5489674012112001E-2</v>
          </cell>
          <cell r="C6">
            <v>4.8202260000000004E-3</v>
          </cell>
          <cell r="D6">
            <v>4.8202260000000004E-3</v>
          </cell>
          <cell r="E6">
            <v>4.8202260000000004E-3</v>
          </cell>
          <cell r="F6">
            <v>0</v>
          </cell>
          <cell r="G6">
            <v>0</v>
          </cell>
          <cell r="H6">
            <v>1.4460677999999999E-2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td.samr.gov.cn/bzgk/gb/newGbInfo?hcno=9CA804A15C0D4177BF63C1D3F5B90E4F" TargetMode="External"/><Relationship Id="rId2" Type="http://schemas.openxmlformats.org/officeDocument/2006/relationships/hyperlink" Target="https://openstd.samr.gov.cn/bzgk/gb/newGbInfo?hcno=57DA347FDF48E4743786873E5B2D670A" TargetMode="External"/><Relationship Id="rId1" Type="http://schemas.openxmlformats.org/officeDocument/2006/relationships/hyperlink" Target="http://c.gb688.cn/bzgk/gb/showGb?type=online&amp;hcno=9C036161B1CEAFDA5225B7184A67229B" TargetMode="External"/><Relationship Id="rId6" Type="http://schemas.openxmlformats.org/officeDocument/2006/relationships/hyperlink" Target="https://www.climatechange.cn/article/2023/1673-1719/1673-1719-19-3-347.shtml" TargetMode="External"/><Relationship Id="rId5" Type="http://schemas.openxmlformats.org/officeDocument/2006/relationships/hyperlink" Target="http://c.gb688.cn/bzgk/gb/showGb?type=online&amp;hcno=E9873417C49AA42796C319A13B3E1146" TargetMode="External"/><Relationship Id="rId4" Type="http://schemas.openxmlformats.org/officeDocument/2006/relationships/hyperlink" Target="https://data.stats.gov.cn/easyquery.htm?cn=C01&amp;zb=A0G0K&amp;sj=202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nergyexplained/units-and-calculators/" TargetMode="External"/><Relationship Id="rId2" Type="http://schemas.openxmlformats.org/officeDocument/2006/relationships/hyperlink" Target="https://afdc.energy.gov/vehicles/propane.html" TargetMode="External"/><Relationship Id="rId1" Type="http://schemas.openxmlformats.org/officeDocument/2006/relationships/hyperlink" Target="https://www.sustainablebusinesstoolkit.com/lpg-vs-petrol-vehicles/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D8C5-4C4D-4FAD-9C0B-B996AB604F87}">
  <dimension ref="A1:N49"/>
  <sheetViews>
    <sheetView tabSelected="1" workbookViewId="0">
      <selection activeCell="A3" sqref="A3:XFD49"/>
    </sheetView>
  </sheetViews>
  <sheetFormatPr defaultColWidth="9" defaultRowHeight="12.9"/>
  <cols>
    <col min="1" max="1" width="13.5" style="1" customWidth="1"/>
    <col min="2" max="2" width="107.5" style="1" customWidth="1"/>
    <col min="3" max="3" width="23.5" style="1" customWidth="1"/>
    <col min="4" max="16384" width="9" style="1"/>
  </cols>
  <sheetData>
    <row r="1" spans="1:14">
      <c r="A1" s="11" t="s">
        <v>20</v>
      </c>
    </row>
    <row r="3" spans="1:14" s="99" customFormat="1">
      <c r="A3" s="97" t="s">
        <v>19</v>
      </c>
      <c r="B3" s="98" t="s">
        <v>239</v>
      </c>
      <c r="D3" s="98" t="s">
        <v>266</v>
      </c>
      <c r="E3" s="98"/>
      <c r="F3" s="98"/>
      <c r="G3" s="98"/>
      <c r="H3" s="98"/>
      <c r="I3" s="98"/>
      <c r="J3" s="98"/>
      <c r="K3" s="98"/>
      <c r="L3" s="98"/>
      <c r="M3" s="98"/>
      <c r="N3" s="98"/>
    </row>
    <row r="4" spans="1:14" s="99" customFormat="1">
      <c r="B4" s="99" t="s">
        <v>240</v>
      </c>
      <c r="C4" s="104"/>
      <c r="D4" s="100" t="s">
        <v>247</v>
      </c>
    </row>
    <row r="5" spans="1:14" s="99" customFormat="1">
      <c r="B5" s="104" t="s">
        <v>267</v>
      </c>
      <c r="C5" s="104"/>
      <c r="D5" s="100" t="s">
        <v>268</v>
      </c>
    </row>
    <row r="6" spans="1:14" s="99" customFormat="1">
      <c r="B6" s="100" t="s">
        <v>241</v>
      </c>
      <c r="C6" s="104"/>
      <c r="D6" s="100" t="s">
        <v>261</v>
      </c>
    </row>
    <row r="7" spans="1:14" s="99" customFormat="1">
      <c r="B7" s="105" t="s">
        <v>269</v>
      </c>
      <c r="C7" s="104"/>
      <c r="D7" s="100" t="s">
        <v>270</v>
      </c>
    </row>
    <row r="8" spans="1:14" s="99" customFormat="1">
      <c r="B8" s="100">
        <v>2023</v>
      </c>
      <c r="D8" s="100">
        <v>2018</v>
      </c>
    </row>
    <row r="9" spans="1:14" s="99" customFormat="1">
      <c r="B9" s="100" t="s">
        <v>242</v>
      </c>
      <c r="D9" s="101" t="s">
        <v>251</v>
      </c>
    </row>
    <row r="10" spans="1:14" s="99" customFormat="1">
      <c r="B10" s="100"/>
      <c r="D10" s="99" t="s">
        <v>250</v>
      </c>
    </row>
    <row r="11" spans="1:14" s="99" customFormat="1">
      <c r="D11" s="100" t="s">
        <v>271</v>
      </c>
    </row>
    <row r="12" spans="1:14" s="99" customFormat="1">
      <c r="B12" s="98" t="s">
        <v>243</v>
      </c>
      <c r="C12" s="97"/>
      <c r="D12" s="103">
        <v>2015</v>
      </c>
    </row>
    <row r="13" spans="1:14" s="99" customFormat="1">
      <c r="B13" s="99" t="s">
        <v>244</v>
      </c>
      <c r="C13" s="97"/>
      <c r="D13" s="101" t="s">
        <v>272</v>
      </c>
    </row>
    <row r="14" spans="1:14" s="99" customFormat="1">
      <c r="B14" s="104" t="s">
        <v>273</v>
      </c>
      <c r="C14" s="97"/>
      <c r="D14" s="104" t="s">
        <v>260</v>
      </c>
    </row>
    <row r="15" spans="1:14" s="99" customFormat="1">
      <c r="B15" s="99" t="s">
        <v>246</v>
      </c>
      <c r="C15" s="97"/>
      <c r="D15" s="100" t="s">
        <v>274</v>
      </c>
    </row>
    <row r="16" spans="1:14" s="99" customFormat="1">
      <c r="B16" s="99" t="s">
        <v>275</v>
      </c>
      <c r="C16" s="97"/>
      <c r="D16" s="104" t="s">
        <v>262</v>
      </c>
    </row>
    <row r="17" spans="2:8" s="99" customFormat="1">
      <c r="B17" s="100">
        <v>2022</v>
      </c>
      <c r="C17" s="97"/>
      <c r="D17" s="100" t="s">
        <v>276</v>
      </c>
    </row>
    <row r="18" spans="2:8" s="99" customFormat="1">
      <c r="B18" s="101" t="s">
        <v>259</v>
      </c>
      <c r="C18" s="97"/>
      <c r="D18" s="100">
        <v>2019</v>
      </c>
    </row>
    <row r="19" spans="2:8" s="99" customFormat="1">
      <c r="D19" s="108" t="s">
        <v>277</v>
      </c>
    </row>
    <row r="20" spans="2:8" s="99" customFormat="1">
      <c r="B20" s="98" t="s">
        <v>245</v>
      </c>
      <c r="D20" s="99" t="s">
        <v>248</v>
      </c>
    </row>
    <row r="21" spans="2:8" s="99" customFormat="1">
      <c r="B21" s="104" t="s">
        <v>278</v>
      </c>
      <c r="C21" s="100"/>
      <c r="D21" s="100" t="s">
        <v>274</v>
      </c>
    </row>
    <row r="22" spans="2:8" s="99" customFormat="1">
      <c r="B22" s="105" t="s">
        <v>279</v>
      </c>
      <c r="C22" s="101"/>
      <c r="D22" s="99" t="s">
        <v>249</v>
      </c>
    </row>
    <row r="23" spans="2:8" s="99" customFormat="1">
      <c r="C23" s="101"/>
      <c r="D23" s="100" t="s">
        <v>280</v>
      </c>
    </row>
    <row r="24" spans="2:8" s="99" customFormat="1">
      <c r="B24" s="98" t="s">
        <v>253</v>
      </c>
      <c r="D24" s="103">
        <v>2021</v>
      </c>
    </row>
    <row r="25" spans="2:8" s="99" customFormat="1">
      <c r="B25" s="104" t="s">
        <v>281</v>
      </c>
      <c r="D25" s="101" t="s">
        <v>252</v>
      </c>
    </row>
    <row r="26" spans="2:8" s="99" customFormat="1">
      <c r="B26" s="104" t="s">
        <v>282</v>
      </c>
    </row>
    <row r="27" spans="2:8" s="99" customFormat="1" ht="15.65" customHeight="1">
      <c r="B27" s="104" t="s">
        <v>283</v>
      </c>
      <c r="C27" s="101"/>
      <c r="D27" s="98" t="s">
        <v>255</v>
      </c>
      <c r="E27" s="98"/>
      <c r="F27" s="98"/>
      <c r="G27" s="98"/>
      <c r="H27" s="98"/>
    </row>
    <row r="28" spans="2:8" s="99" customFormat="1">
      <c r="B28" s="104" t="s">
        <v>284</v>
      </c>
      <c r="D28" s="104" t="s">
        <v>285</v>
      </c>
    </row>
    <row r="29" spans="2:8" s="99" customFormat="1">
      <c r="B29" s="104" t="s">
        <v>286</v>
      </c>
      <c r="D29" s="104" t="s">
        <v>287</v>
      </c>
    </row>
    <row r="30" spans="2:8" s="99" customFormat="1">
      <c r="B30" s="101"/>
      <c r="C30" s="102"/>
      <c r="D30" s="104" t="s">
        <v>263</v>
      </c>
    </row>
    <row r="31" spans="2:8" s="99" customFormat="1">
      <c r="B31" s="98" t="s">
        <v>254</v>
      </c>
      <c r="C31" s="102"/>
      <c r="D31" s="105" t="s">
        <v>288</v>
      </c>
    </row>
    <row r="32" spans="2:8" s="99" customFormat="1">
      <c r="B32" s="104" t="s">
        <v>289</v>
      </c>
      <c r="C32" s="100"/>
      <c r="D32" s="100">
        <v>2023</v>
      </c>
    </row>
    <row r="33" spans="1:10" s="99" customFormat="1">
      <c r="B33" s="104" t="s">
        <v>290</v>
      </c>
      <c r="D33" s="108" t="s">
        <v>291</v>
      </c>
    </row>
    <row r="34" spans="1:10" s="99" customFormat="1">
      <c r="B34" s="104" t="s">
        <v>292</v>
      </c>
      <c r="D34" s="104" t="s">
        <v>293</v>
      </c>
    </row>
    <row r="35" spans="1:10" s="99" customFormat="1">
      <c r="B35" s="104" t="s">
        <v>294</v>
      </c>
    </row>
    <row r="36" spans="1:10" s="99" customFormat="1">
      <c r="B36" s="100">
        <v>2023</v>
      </c>
      <c r="D36" s="98" t="s">
        <v>295</v>
      </c>
      <c r="E36" s="98"/>
      <c r="F36" s="98"/>
      <c r="G36" s="98"/>
      <c r="H36" s="98"/>
      <c r="I36" s="98"/>
      <c r="J36" s="98"/>
    </row>
    <row r="37" spans="1:10" s="99" customFormat="1">
      <c r="B37" s="99" t="s">
        <v>296</v>
      </c>
      <c r="D37" s="104" t="s">
        <v>297</v>
      </c>
    </row>
    <row r="38" spans="1:10" s="99" customFormat="1">
      <c r="B38" s="99" t="s">
        <v>298</v>
      </c>
      <c r="D38" s="104" t="s">
        <v>299</v>
      </c>
    </row>
    <row r="39" spans="1:10" s="99" customFormat="1" ht="15.65">
      <c r="B39" s="99" t="s">
        <v>300</v>
      </c>
      <c r="D39" s="104" t="s">
        <v>301</v>
      </c>
    </row>
    <row r="40" spans="1:10" s="99" customFormat="1">
      <c r="B40" s="99" t="s">
        <v>302</v>
      </c>
      <c r="D40" s="104" t="s">
        <v>264</v>
      </c>
    </row>
    <row r="41" spans="1:10" s="99" customFormat="1">
      <c r="B41" s="104" t="s">
        <v>303</v>
      </c>
      <c r="D41" s="100">
        <v>2022</v>
      </c>
    </row>
    <row r="42" spans="1:10" s="99" customFormat="1">
      <c r="B42" s="104" t="s">
        <v>304</v>
      </c>
      <c r="D42" s="99" t="s">
        <v>265</v>
      </c>
    </row>
    <row r="43" spans="1:10" s="99" customFormat="1"/>
    <row r="44" spans="1:10" s="99" customFormat="1"/>
    <row r="45" spans="1:10" s="99" customFormat="1">
      <c r="A45" s="97" t="s">
        <v>16</v>
      </c>
    </row>
    <row r="46" spans="1:10" s="99" customFormat="1">
      <c r="A46" s="99" t="s">
        <v>256</v>
      </c>
    </row>
    <row r="47" spans="1:10" s="99" customFormat="1">
      <c r="A47" s="104" t="s">
        <v>257</v>
      </c>
    </row>
    <row r="48" spans="1:10" s="99" customFormat="1">
      <c r="A48" s="99" t="s">
        <v>258</v>
      </c>
    </row>
    <row r="49" s="1" customFormat="1"/>
  </sheetData>
  <phoneticPr fontId="2" type="noConversion"/>
  <hyperlinks>
    <hyperlink ref="D9" r:id="rId1" xr:uid="{1A75EDFD-C28A-4907-B019-331DDD5727E0}"/>
    <hyperlink ref="D25" r:id="rId2" xr:uid="{88E87C0D-00CC-4470-BAC2-D6F660A3B994}"/>
    <hyperlink ref="D13" r:id="rId3" xr:uid="{7151CAAF-D86C-431F-9577-2D943B2E5A26}"/>
    <hyperlink ref="B18" r:id="rId4" xr:uid="{F20E2EF7-ACEC-4CD1-8716-C07374CB845D}"/>
    <hyperlink ref="D19" r:id="rId5" xr:uid="{1F46EB40-7FEC-4646-952C-E0EF62EB4D96}"/>
    <hyperlink ref="D33" r:id="rId6" xr:uid="{AE0A2C8C-6036-4F91-B637-A9343E1F216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BBAE-7D29-49D1-843A-B9F158B8F0F7}">
  <dimension ref="A1:AV42"/>
  <sheetViews>
    <sheetView topLeftCell="A4" workbookViewId="0">
      <selection activeCell="G23" sqref="G23"/>
    </sheetView>
  </sheetViews>
  <sheetFormatPr defaultColWidth="9" defaultRowHeight="12.9"/>
  <cols>
    <col min="1" max="1" width="15" style="17" bestFit="1" customWidth="1"/>
    <col min="2" max="2" width="20.625" style="17" bestFit="1" customWidth="1"/>
    <col min="3" max="7" width="9" style="17"/>
    <col min="8" max="8" width="9.875" style="17" customWidth="1"/>
    <col min="9" max="47" width="9" style="17" customWidth="1"/>
    <col min="48" max="16384" width="9" style="17"/>
  </cols>
  <sheetData>
    <row r="1" spans="1:48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7">
        <v>2019</v>
      </c>
      <c r="H1" s="17">
        <v>2020</v>
      </c>
      <c r="I1" s="17">
        <v>2021</v>
      </c>
      <c r="J1" s="17">
        <v>2022</v>
      </c>
      <c r="K1" s="17">
        <v>2023</v>
      </c>
      <c r="L1" s="17">
        <v>2024</v>
      </c>
      <c r="M1" s="17">
        <v>2025</v>
      </c>
      <c r="N1" s="17">
        <v>2026</v>
      </c>
      <c r="O1" s="17">
        <v>2027</v>
      </c>
      <c r="P1" s="17">
        <v>2028</v>
      </c>
      <c r="Q1" s="17">
        <v>2029</v>
      </c>
      <c r="R1" s="17">
        <v>2030</v>
      </c>
      <c r="S1" s="17">
        <v>2031</v>
      </c>
      <c r="T1" s="17">
        <v>2032</v>
      </c>
      <c r="U1" s="17">
        <v>2033</v>
      </c>
      <c r="V1" s="17">
        <v>2034</v>
      </c>
      <c r="W1" s="17">
        <v>2035</v>
      </c>
      <c r="X1" s="17">
        <v>2036</v>
      </c>
      <c r="Y1" s="17">
        <v>2037</v>
      </c>
      <c r="Z1" s="17">
        <v>2038</v>
      </c>
      <c r="AA1" s="17">
        <v>2039</v>
      </c>
      <c r="AB1" s="17">
        <v>2040</v>
      </c>
      <c r="AC1" s="17">
        <v>2041</v>
      </c>
      <c r="AD1" s="17">
        <v>2042</v>
      </c>
      <c r="AE1" s="17">
        <v>2043</v>
      </c>
      <c r="AF1" s="17">
        <v>2044</v>
      </c>
      <c r="AG1" s="17">
        <v>2045</v>
      </c>
      <c r="AH1" s="17">
        <v>2046</v>
      </c>
      <c r="AI1" s="17">
        <v>2047</v>
      </c>
      <c r="AJ1" s="17">
        <v>2048</v>
      </c>
      <c r="AK1" s="17">
        <v>2049</v>
      </c>
      <c r="AL1" s="17">
        <v>2050</v>
      </c>
      <c r="AM1" s="17">
        <v>2051</v>
      </c>
      <c r="AN1" s="17">
        <v>2052</v>
      </c>
      <c r="AO1" s="17">
        <v>2053</v>
      </c>
      <c r="AP1" s="17">
        <v>2054</v>
      </c>
      <c r="AQ1" s="17">
        <v>2055</v>
      </c>
      <c r="AR1" s="17">
        <v>2056</v>
      </c>
      <c r="AS1" s="17">
        <v>2057</v>
      </c>
      <c r="AT1" s="17">
        <v>2058</v>
      </c>
      <c r="AU1" s="17">
        <v>2059</v>
      </c>
      <c r="AV1" s="17">
        <v>2060</v>
      </c>
    </row>
    <row r="2" spans="1:48">
      <c r="A2" s="14" t="s">
        <v>27</v>
      </c>
      <c r="B2" s="14" t="s">
        <v>1</v>
      </c>
      <c r="C2" s="14" t="s">
        <v>28</v>
      </c>
      <c r="D2" s="14" t="s">
        <v>29</v>
      </c>
      <c r="E2" s="14" t="s">
        <v>30</v>
      </c>
      <c r="F2" s="14" t="s">
        <v>31</v>
      </c>
      <c r="G2" s="22">
        <f>'[10]YJW-parameter'!B$41/('[10]ZJQ-new veh FE'!H2*'[10]YJW-parameter'!$C31)</f>
        <v>1.8969330305532485E-3</v>
      </c>
      <c r="H2" s="22">
        <f>'[10]YJW-parameter'!C$41/('[10]ZJQ-new veh FE'!I2*'[10]YJW-parameter'!$C31)</f>
        <v>1.8969330305532485E-3</v>
      </c>
      <c r="I2" s="22">
        <f>'[10]YJW-parameter'!D$41/('[10]ZJQ-new veh FE'!J2*'[10]YJW-parameter'!$C31)</f>
        <v>1.9290844378507613E-3</v>
      </c>
      <c r="J2" s="22">
        <f>'[10]YJW-parameter'!E$41/('[10]ZJQ-new veh FE'!K2*'[10]YJW-parameter'!$C31)</f>
        <v>1.9623445143654296E-3</v>
      </c>
      <c r="K2" s="22">
        <f>'[10]YJW-parameter'!F$41/('[10]ZJQ-new veh FE'!L2*'[10]YJW-parameter'!$C31)</f>
        <v>1.9967716111086828E-3</v>
      </c>
      <c r="L2" s="22">
        <f>'[10]YJW-parameter'!G$41/('[10]ZJQ-new veh FE'!M2*'[10]YJW-parameter'!$C31)</f>
        <v>2.032428247021338E-3</v>
      </c>
      <c r="M2" s="22">
        <f>'[10]YJW-parameter'!H$41/('[10]ZJQ-new veh FE'!N2*'[10]YJW-parameter'!$C31)</f>
        <v>2.0693814878762714E-3</v>
      </c>
      <c r="N2" s="22">
        <f>'[10]YJW-parameter'!I$41/('[10]ZJQ-new veh FE'!O2*'[10]YJW-parameter'!$C31)</f>
        <v>2.0883666391411908E-3</v>
      </c>
      <c r="O2" s="22">
        <f>'[10]YJW-parameter'!J$41/('[10]ZJQ-new veh FE'!P2*'[10]YJW-parameter'!$C31)</f>
        <v>2.1077033672813874E-3</v>
      </c>
      <c r="P2" s="22">
        <f>'[10]YJW-parameter'!K$41/('[10]ZJQ-new veh FE'!Q2*'[10]YJW-parameter'!$C31)</f>
        <v>2.1274015295924282E-3</v>
      </c>
      <c r="Q2" s="22">
        <f>'[10]YJW-parameter'!L$41/('[10]ZJQ-new veh FE'!R2*'[10]YJW-parameter'!$C31)</f>
        <v>2.1474713553433005E-3</v>
      </c>
      <c r="R2" s="22">
        <f>'[10]YJW-parameter'!M$41/('[10]ZJQ-new veh FE'!S2*'[10]YJW-parameter'!$C31)</f>
        <v>2.1679234634894269E-3</v>
      </c>
      <c r="S2" s="22">
        <f>'[10]YJW-parameter'!N$41/('[10]ZJQ-new veh FE'!T2*'[10]YJW-parameter'!$C31)</f>
        <v>2.1887688814075947E-3</v>
      </c>
      <c r="T2" s="22">
        <f>'[10]YJW-parameter'!O$41/('[10]ZJQ-new veh FE'!U2*'[10]YJW-parameter'!$C31)</f>
        <v>2.2100190647222312E-3</v>
      </c>
      <c r="U2" s="22">
        <f>'[10]YJW-parameter'!P$41/('[10]ZJQ-new veh FE'!V2*'[10]YJW-parameter'!$C31)</f>
        <v>2.2316859182979396E-3</v>
      </c>
      <c r="V2" s="22">
        <f>'[10]YJW-parameter'!Q$41/('[10]ZJQ-new veh FE'!W2*'[10]YJW-parameter'!$C31)</f>
        <v>2.2537818184791072E-3</v>
      </c>
      <c r="W2" s="22">
        <f>'[10]YJW-parameter'!R$41/('[10]ZJQ-new veh FE'!X2*'[10]YJW-parameter'!$C31)</f>
        <v>2.2763196366638984E-3</v>
      </c>
      <c r="X2" s="22">
        <f>'[10]YJW-parameter'!S$41/('[10]ZJQ-new veh FE'!Y2*'[10]YJW-parameter'!$C31)</f>
        <v>2.2763196366638984E-3</v>
      </c>
      <c r="Y2" s="22">
        <f>'[10]YJW-parameter'!T$41/('[10]ZJQ-new veh FE'!Z2*'[10]YJW-parameter'!$C31)</f>
        <v>2.2763196366638984E-3</v>
      </c>
      <c r="Z2" s="22">
        <f>'[10]YJW-parameter'!U$41/('[10]ZJQ-new veh FE'!AA2*'[10]YJW-parameter'!$C31)</f>
        <v>2.2763196366638984E-3</v>
      </c>
      <c r="AA2" s="22">
        <f>'[10]YJW-parameter'!V$41/('[10]ZJQ-new veh FE'!AB2*'[10]YJW-parameter'!$C31)</f>
        <v>2.2763196366638984E-3</v>
      </c>
      <c r="AB2" s="22">
        <f>'[10]YJW-parameter'!W$41/('[10]ZJQ-new veh FE'!AC2*'[10]YJW-parameter'!$C31)</f>
        <v>2.2763196366638984E-3</v>
      </c>
      <c r="AC2" s="22">
        <f>'[10]YJW-parameter'!X$41/('[10]ZJQ-new veh FE'!AD2*'[10]YJW-parameter'!$C31)</f>
        <v>2.2763196366638984E-3</v>
      </c>
      <c r="AD2" s="22">
        <f>'[10]YJW-parameter'!Y$41/('[10]ZJQ-new veh FE'!AE2*'[10]YJW-parameter'!$C31)</f>
        <v>2.2763196366638984E-3</v>
      </c>
      <c r="AE2" s="22">
        <f>'[10]YJW-parameter'!Z$41/('[10]ZJQ-new veh FE'!AF2*'[10]YJW-parameter'!$C31)</f>
        <v>2.2763196366638984E-3</v>
      </c>
      <c r="AF2" s="22">
        <f>'[10]YJW-parameter'!AA$41/('[10]ZJQ-new veh FE'!AG2*'[10]YJW-parameter'!$C31)</f>
        <v>2.2763196366638984E-3</v>
      </c>
      <c r="AG2" s="22">
        <f>'[10]YJW-parameter'!AB$41/('[10]ZJQ-new veh FE'!AH2*'[10]YJW-parameter'!$C31)</f>
        <v>2.2763196366638984E-3</v>
      </c>
      <c r="AH2" s="22">
        <f>'[10]YJW-parameter'!AC$41/('[10]ZJQ-new veh FE'!AI2*'[10]YJW-parameter'!$C31)</f>
        <v>2.2763196366638984E-3</v>
      </c>
      <c r="AI2" s="22">
        <f>'[10]YJW-parameter'!AD$41/('[10]ZJQ-new veh FE'!AJ2*'[10]YJW-parameter'!$C31)</f>
        <v>2.2763196366638984E-3</v>
      </c>
      <c r="AJ2" s="22">
        <f>'[10]YJW-parameter'!AE$41/('[10]ZJQ-new veh FE'!AK2*'[10]YJW-parameter'!$C31)</f>
        <v>2.2763196366638984E-3</v>
      </c>
      <c r="AK2" s="22">
        <f>'[10]YJW-parameter'!AF$41/('[10]ZJQ-new veh FE'!AL2*'[10]YJW-parameter'!$C31)</f>
        <v>2.2763196366638984E-3</v>
      </c>
      <c r="AL2" s="22">
        <f>'[10]YJW-parameter'!AG$41/('[10]ZJQ-new veh FE'!AM2*'[10]YJW-parameter'!$C31)</f>
        <v>2.2763196366638984E-3</v>
      </c>
      <c r="AM2" s="22">
        <f>'[10]YJW-parameter'!AH$41/('[10]ZJQ-new veh FE'!AN2*'[10]YJW-parameter'!$C31)</f>
        <v>2.2763196366638984E-3</v>
      </c>
      <c r="AN2" s="22">
        <f>'[10]YJW-parameter'!AI$41/('[10]ZJQ-new veh FE'!AO2*'[10]YJW-parameter'!$C31)</f>
        <v>2.2763196366638984E-3</v>
      </c>
      <c r="AO2" s="22">
        <f>'[10]YJW-parameter'!AJ$41/('[10]ZJQ-new veh FE'!AP2*'[10]YJW-parameter'!$C31)</f>
        <v>2.2763196366638984E-3</v>
      </c>
      <c r="AP2" s="22">
        <f>'[10]YJW-parameter'!AK$41/('[10]ZJQ-new veh FE'!AQ2*'[10]YJW-parameter'!$C31)</f>
        <v>2.2763196366638984E-3</v>
      </c>
      <c r="AQ2" s="22">
        <f>'[10]YJW-parameter'!AL$41/('[10]ZJQ-new veh FE'!AR2*'[10]YJW-parameter'!$C31)</f>
        <v>2.2763196366638984E-3</v>
      </c>
      <c r="AR2" s="22">
        <f>'[10]YJW-parameter'!AM$41/('[10]ZJQ-new veh FE'!AS2*'[10]YJW-parameter'!$C31)</f>
        <v>2.2763196366638984E-3</v>
      </c>
      <c r="AS2" s="22">
        <f>'[10]YJW-parameter'!AN$41/('[10]ZJQ-new veh FE'!AT2*'[10]YJW-parameter'!$C31)</f>
        <v>2.2763196366638984E-3</v>
      </c>
      <c r="AT2" s="22">
        <f>'[10]YJW-parameter'!AO$41/('[10]ZJQ-new veh FE'!AU2*'[10]YJW-parameter'!$C31)</f>
        <v>2.2763196366638984E-3</v>
      </c>
      <c r="AU2" s="22">
        <f>'[10]YJW-parameter'!AP$41/('[10]ZJQ-new veh FE'!AV2*'[10]YJW-parameter'!$C31)</f>
        <v>2.2763196366638984E-3</v>
      </c>
      <c r="AV2" s="22">
        <f>'[10]YJW-parameter'!AQ$41/('[10]ZJQ-new veh FE'!AW2*'[10]YJW-parameter'!$C31)</f>
        <v>2.2763196366638984E-3</v>
      </c>
    </row>
    <row r="3" spans="1:48">
      <c r="A3" s="14" t="s">
        <v>27</v>
      </c>
      <c r="B3" s="14" t="s">
        <v>2</v>
      </c>
      <c r="C3" s="14" t="s">
        <v>28</v>
      </c>
      <c r="D3" s="14" t="s">
        <v>29</v>
      </c>
      <c r="E3" s="14" t="s">
        <v>32</v>
      </c>
      <c r="F3" s="14" t="s">
        <v>31</v>
      </c>
      <c r="G3" s="22">
        <f>'[10]YJW-parameter'!B$41/('[10]ZJQ-new veh FE'!H3*'[10]YJW-parameter'!$C32)</f>
        <v>6.0834500522643521E-4</v>
      </c>
      <c r="H3" s="22">
        <f>'[10]YJW-parameter'!C$41/('[10]ZJQ-new veh FE'!I3*'[10]YJW-parameter'!$C32)</f>
        <v>5.9009465506964219E-4</v>
      </c>
      <c r="I3" s="22">
        <f>'[10]YJW-parameter'!D$41/('[10]ZJQ-new veh FE'!J3*'[10]YJW-parameter'!$C32)</f>
        <v>5.9206821578893854E-4</v>
      </c>
      <c r="J3" s="22">
        <f>'[10]YJW-parameter'!E$41/('[10]ZJQ-new veh FE'!K3*'[10]YJW-parameter'!$C32)</f>
        <v>5.9405502188219009E-4</v>
      </c>
      <c r="K3" s="22">
        <f>'[10]YJW-parameter'!F$41/('[10]ZJQ-new veh FE'!L3*'[10]YJW-parameter'!$C32)</f>
        <v>5.9605520714105253E-4</v>
      </c>
      <c r="L3" s="22">
        <f>'[10]YJW-parameter'!G$41/('[10]ZJQ-new veh FE'!M3*'[10]YJW-parameter'!$C32)</f>
        <v>5.9806890716517771E-4</v>
      </c>
      <c r="M3" s="22">
        <f>'[10]YJW-parameter'!H$41/('[10]ZJQ-new veh FE'!N3*'[10]YJW-parameter'!$C32)</f>
        <v>6.0009625939285642E-4</v>
      </c>
      <c r="N3" s="22">
        <f>'[10]YJW-parameter'!I$41/('[10]ZJQ-new veh FE'!O3*'[10]YJW-parameter'!$C32)</f>
        <v>6.0172806431302739E-4</v>
      </c>
      <c r="O3" s="22">
        <f>'[10]YJW-parameter'!J$41/('[10]ZJQ-new veh FE'!P3*'[10]YJW-parameter'!$C32)</f>
        <v>6.0336876796486928E-4</v>
      </c>
      <c r="P3" s="22">
        <f>'[10]YJW-parameter'!K$41/('[10]ZJQ-new veh FE'!Q3*'[10]YJW-parameter'!$C32)</f>
        <v>6.0501844333866247E-4</v>
      </c>
      <c r="Q3" s="22">
        <f>'[10]YJW-parameter'!L$41/('[10]ZJQ-new veh FE'!R3*'[10]YJW-parameter'!$C32)</f>
        <v>6.0667716422512907E-4</v>
      </c>
      <c r="R3" s="22">
        <f>'[10]YJW-parameter'!M$41/('[10]ZJQ-new veh FE'!S3*'[10]YJW-parameter'!$C32)</f>
        <v>6.0834500522643521E-4</v>
      </c>
      <c r="S3" s="22">
        <f>'[10]YJW-parameter'!N$41/('[10]ZJQ-new veh FE'!T3*'[10]YJW-parameter'!$C32)</f>
        <v>6.0981190672026401E-4</v>
      </c>
      <c r="T3" s="22">
        <f>'[10]YJW-parameter'!O$41/('[10]ZJQ-new veh FE'!U3*'[10]YJW-parameter'!$C32)</f>
        <v>6.1128589958871769E-4</v>
      </c>
      <c r="U3" s="22">
        <f>'[10]YJW-parameter'!P$41/('[10]ZJQ-new veh FE'!V3*'[10]YJW-parameter'!$C32)</f>
        <v>6.1276703537865233E-4</v>
      </c>
      <c r="V3" s="22">
        <f>'[10]YJW-parameter'!Q$41/('[10]ZJQ-new veh FE'!W3*'[10]YJW-parameter'!$C32)</f>
        <v>6.1425536613772611E-4</v>
      </c>
      <c r="W3" s="22">
        <f>'[10]YJW-parameter'!R$41/('[10]ZJQ-new veh FE'!X3*'[10]YJW-parameter'!$C32)</f>
        <v>6.1575094442049621E-4</v>
      </c>
      <c r="X3" s="22">
        <f>'[10]YJW-parameter'!S$41/('[10]ZJQ-new veh FE'!Y3*'[10]YJW-parameter'!$C32)</f>
        <v>6.1575094442049621E-4</v>
      </c>
      <c r="Y3" s="22">
        <f>'[10]YJW-parameter'!T$41/('[10]ZJQ-new veh FE'!Z3*'[10]YJW-parameter'!$C32)</f>
        <v>6.1575094442049621E-4</v>
      </c>
      <c r="Z3" s="22">
        <f>'[10]YJW-parameter'!U$41/('[10]ZJQ-new veh FE'!AA3*'[10]YJW-parameter'!$C32)</f>
        <v>6.1575094442049621E-4</v>
      </c>
      <c r="AA3" s="22">
        <f>'[10]YJW-parameter'!V$41/('[10]ZJQ-new veh FE'!AB3*'[10]YJW-parameter'!$C32)</f>
        <v>6.1575094442049621E-4</v>
      </c>
      <c r="AB3" s="22">
        <f>'[10]YJW-parameter'!W$41/('[10]ZJQ-new veh FE'!AC3*'[10]YJW-parameter'!$C32)</f>
        <v>6.1575094442049621E-4</v>
      </c>
      <c r="AC3" s="22">
        <f>'[10]YJW-parameter'!X$41/('[10]ZJQ-new veh FE'!AD3*'[10]YJW-parameter'!$C32)</f>
        <v>6.1575094442049621E-4</v>
      </c>
      <c r="AD3" s="22">
        <f>'[10]YJW-parameter'!Y$41/('[10]ZJQ-new veh FE'!AE3*'[10]YJW-parameter'!$C32)</f>
        <v>6.1575094442049621E-4</v>
      </c>
      <c r="AE3" s="22">
        <f>'[10]YJW-parameter'!Z$41/('[10]ZJQ-new veh FE'!AF3*'[10]YJW-parameter'!$C32)</f>
        <v>6.1575094442049621E-4</v>
      </c>
      <c r="AF3" s="22">
        <f>'[10]YJW-parameter'!AA$41/('[10]ZJQ-new veh FE'!AG3*'[10]YJW-parameter'!$C32)</f>
        <v>6.1575094442049621E-4</v>
      </c>
      <c r="AG3" s="22">
        <f>'[10]YJW-parameter'!AB$41/('[10]ZJQ-new veh FE'!AH3*'[10]YJW-parameter'!$C32)</f>
        <v>6.1575094442049621E-4</v>
      </c>
      <c r="AH3" s="22">
        <f>'[10]YJW-parameter'!AC$41/('[10]ZJQ-new veh FE'!AI3*'[10]YJW-parameter'!$C32)</f>
        <v>6.1575094442049621E-4</v>
      </c>
      <c r="AI3" s="22">
        <f>'[10]YJW-parameter'!AD$41/('[10]ZJQ-new veh FE'!AJ3*'[10]YJW-parameter'!$C32)</f>
        <v>6.1575094442049621E-4</v>
      </c>
      <c r="AJ3" s="22">
        <f>'[10]YJW-parameter'!AE$41/('[10]ZJQ-new veh FE'!AK3*'[10]YJW-parameter'!$C32)</f>
        <v>6.1575094442049621E-4</v>
      </c>
      <c r="AK3" s="22">
        <f>'[10]YJW-parameter'!AF$41/('[10]ZJQ-new veh FE'!AL3*'[10]YJW-parameter'!$C32)</f>
        <v>6.1575094442049621E-4</v>
      </c>
      <c r="AL3" s="22">
        <f>'[10]YJW-parameter'!AG$41/('[10]ZJQ-new veh FE'!AM3*'[10]YJW-parameter'!$C32)</f>
        <v>6.1575094442049621E-4</v>
      </c>
      <c r="AM3" s="22">
        <f>'[10]YJW-parameter'!AH$41/('[10]ZJQ-new veh FE'!AN3*'[10]YJW-parameter'!$C32)</f>
        <v>6.1575094442049621E-4</v>
      </c>
      <c r="AN3" s="22">
        <f>'[10]YJW-parameter'!AI$41/('[10]ZJQ-new veh FE'!AO3*'[10]YJW-parameter'!$C32)</f>
        <v>6.1575094442049621E-4</v>
      </c>
      <c r="AO3" s="22">
        <f>'[10]YJW-parameter'!AJ$41/('[10]ZJQ-new veh FE'!AP3*'[10]YJW-parameter'!$C32)</f>
        <v>6.1575094442049621E-4</v>
      </c>
      <c r="AP3" s="22">
        <f>'[10]YJW-parameter'!AK$41/('[10]ZJQ-new veh FE'!AQ3*'[10]YJW-parameter'!$C32)</f>
        <v>6.1575094442049621E-4</v>
      </c>
      <c r="AQ3" s="22">
        <f>'[10]YJW-parameter'!AL$41/('[10]ZJQ-new veh FE'!AR3*'[10]YJW-parameter'!$C32)</f>
        <v>6.1575094442049621E-4</v>
      </c>
      <c r="AR3" s="22">
        <f>'[10]YJW-parameter'!AM$41/('[10]ZJQ-new veh FE'!AS3*'[10]YJW-parameter'!$C32)</f>
        <v>6.1575094442049621E-4</v>
      </c>
      <c r="AS3" s="22">
        <f>'[10]YJW-parameter'!AN$41/('[10]ZJQ-new veh FE'!AT3*'[10]YJW-parameter'!$C32)</f>
        <v>6.1575094442049621E-4</v>
      </c>
      <c r="AT3" s="22">
        <f>'[10]YJW-parameter'!AO$41/('[10]ZJQ-new veh FE'!AU3*'[10]YJW-parameter'!$C32)</f>
        <v>6.1575094442049621E-4</v>
      </c>
      <c r="AU3" s="22">
        <f>'[10]YJW-parameter'!AP$41/('[10]ZJQ-new veh FE'!AV3*'[10]YJW-parameter'!$C32)</f>
        <v>6.1575094442049621E-4</v>
      </c>
      <c r="AV3" s="22">
        <f>'[10]YJW-parameter'!AQ$41/('[10]ZJQ-new veh FE'!AW3*'[10]YJW-parameter'!$C32)</f>
        <v>6.1575094442049621E-4</v>
      </c>
    </row>
    <row r="4" spans="1:48">
      <c r="A4" s="14" t="s">
        <v>27</v>
      </c>
      <c r="B4" s="14" t="s">
        <v>3</v>
      </c>
      <c r="C4" s="14" t="s">
        <v>28</v>
      </c>
      <c r="D4" s="14" t="s">
        <v>29</v>
      </c>
      <c r="E4" s="14" t="s">
        <v>33</v>
      </c>
      <c r="F4" s="14" t="s">
        <v>31</v>
      </c>
      <c r="G4" s="23">
        <f>G32</f>
        <v>3.1028353200910551E-4</v>
      </c>
      <c r="H4" s="23">
        <f>H32</f>
        <v>3.2579770860956085E-4</v>
      </c>
      <c r="I4" s="23">
        <f t="shared" ref="I4:AV4" si="0">I32</f>
        <v>3.4249430602844764E-4</v>
      </c>
      <c r="J4" s="23">
        <f t="shared" si="0"/>
        <v>3.7828471246393127E-4</v>
      </c>
      <c r="K4" s="23">
        <f t="shared" si="0"/>
        <v>4.2242814730575139E-4</v>
      </c>
      <c r="L4" s="23">
        <f t="shared" si="0"/>
        <v>4.7823516860119012E-4</v>
      </c>
      <c r="M4" s="23">
        <f t="shared" si="0"/>
        <v>5.5103206530158263E-4</v>
      </c>
      <c r="N4" s="23">
        <f t="shared" si="0"/>
        <v>6.515954172191217E-4</v>
      </c>
      <c r="O4" s="23">
        <f t="shared" si="0"/>
        <v>6.515954172191217E-4</v>
      </c>
      <c r="P4" s="23">
        <f t="shared" si="0"/>
        <v>6.515954172191217E-4</v>
      </c>
      <c r="Q4" s="23">
        <f t="shared" si="0"/>
        <v>6.515954172191217E-4</v>
      </c>
      <c r="R4" s="23">
        <f t="shared" si="0"/>
        <v>6.515954172191217E-4</v>
      </c>
      <c r="S4" s="23">
        <f t="shared" si="0"/>
        <v>6.515954172191217E-4</v>
      </c>
      <c r="T4" s="23">
        <f t="shared" si="0"/>
        <v>6.515954172191217E-4</v>
      </c>
      <c r="U4" s="23">
        <f t="shared" si="0"/>
        <v>6.515954172191217E-4</v>
      </c>
      <c r="V4" s="23">
        <f t="shared" si="0"/>
        <v>6.515954172191217E-4</v>
      </c>
      <c r="W4" s="23">
        <f t="shared" si="0"/>
        <v>6.515954172191217E-4</v>
      </c>
      <c r="X4" s="23">
        <f t="shared" si="0"/>
        <v>6.515954172191217E-4</v>
      </c>
      <c r="Y4" s="23">
        <f t="shared" si="0"/>
        <v>6.515954172191217E-4</v>
      </c>
      <c r="Z4" s="23">
        <f t="shared" si="0"/>
        <v>6.515954172191217E-4</v>
      </c>
      <c r="AA4" s="23">
        <f t="shared" si="0"/>
        <v>6.515954172191217E-4</v>
      </c>
      <c r="AB4" s="23">
        <f t="shared" si="0"/>
        <v>6.515954172191217E-4</v>
      </c>
      <c r="AC4" s="23">
        <f t="shared" si="0"/>
        <v>6.515954172191217E-4</v>
      </c>
      <c r="AD4" s="23">
        <f t="shared" si="0"/>
        <v>6.515954172191217E-4</v>
      </c>
      <c r="AE4" s="23">
        <f t="shared" si="0"/>
        <v>6.515954172191217E-4</v>
      </c>
      <c r="AF4" s="23">
        <f t="shared" si="0"/>
        <v>6.515954172191217E-4</v>
      </c>
      <c r="AG4" s="23">
        <f t="shared" si="0"/>
        <v>6.515954172191217E-4</v>
      </c>
      <c r="AH4" s="23">
        <f t="shared" si="0"/>
        <v>6.515954172191217E-4</v>
      </c>
      <c r="AI4" s="23">
        <f t="shared" si="0"/>
        <v>6.515954172191217E-4</v>
      </c>
      <c r="AJ4" s="23">
        <f t="shared" si="0"/>
        <v>6.515954172191217E-4</v>
      </c>
      <c r="AK4" s="23">
        <f t="shared" si="0"/>
        <v>6.515954172191217E-4</v>
      </c>
      <c r="AL4" s="23">
        <f t="shared" si="0"/>
        <v>6.515954172191217E-4</v>
      </c>
      <c r="AM4" s="23">
        <f t="shared" si="0"/>
        <v>6.515954172191217E-4</v>
      </c>
      <c r="AN4" s="23">
        <f t="shared" si="0"/>
        <v>6.515954172191217E-4</v>
      </c>
      <c r="AO4" s="23">
        <f t="shared" si="0"/>
        <v>6.515954172191217E-4</v>
      </c>
      <c r="AP4" s="23">
        <f t="shared" si="0"/>
        <v>6.515954172191217E-4</v>
      </c>
      <c r="AQ4" s="23">
        <f t="shared" si="0"/>
        <v>6.515954172191217E-4</v>
      </c>
      <c r="AR4" s="23">
        <f t="shared" si="0"/>
        <v>6.515954172191217E-4</v>
      </c>
      <c r="AS4" s="23">
        <f t="shared" si="0"/>
        <v>6.515954172191217E-4</v>
      </c>
      <c r="AT4" s="23">
        <f t="shared" si="0"/>
        <v>6.515954172191217E-4</v>
      </c>
      <c r="AU4" s="23">
        <f t="shared" si="0"/>
        <v>6.515954172191217E-4</v>
      </c>
      <c r="AV4" s="23">
        <f t="shared" si="0"/>
        <v>6.515954172191217E-4</v>
      </c>
    </row>
    <row r="5" spans="1:48">
      <c r="A5" s="14" t="s">
        <v>27</v>
      </c>
      <c r="B5" s="14" t="s">
        <v>4</v>
      </c>
      <c r="C5" s="14" t="s">
        <v>28</v>
      </c>
      <c r="D5" s="14" t="s">
        <v>29</v>
      </c>
      <c r="E5" s="14" t="s">
        <v>34</v>
      </c>
      <c r="F5" s="14" t="s">
        <v>31</v>
      </c>
      <c r="G5" s="22">
        <f>'[10]YJW-parameter'!B$41/('[10]ZJQ-new veh FE'!H5*'[10]YJW-parameter'!$C34)</f>
        <v>4.1484327462057988E-4</v>
      </c>
      <c r="H5" s="22">
        <f>'[10]YJW-parameter'!C$41/('[10]ZJQ-new veh FE'!I5*'[10]YJW-parameter'!$C34)</f>
        <v>3.5612699575120546E-4</v>
      </c>
      <c r="I5" s="22">
        <f>'[10]YJW-parameter'!D$41/('[10]ZJQ-new veh FE'!J5*'[10]YJW-parameter'!$C34)</f>
        <v>4.3294740755289913E-4</v>
      </c>
      <c r="J5" s="22">
        <f>'[10]YJW-parameter'!E$41/('[10]ZJQ-new veh FE'!K5*'[10]YJW-parameter'!$C34)</f>
        <v>4.47165255450644E-4</v>
      </c>
      <c r="K5" s="22">
        <f>'[10]YJW-parameter'!F$41/('[10]ZJQ-new veh FE'!L5*'[10]YJW-parameter'!$C34)</f>
        <v>4.6234862963705068E-4</v>
      </c>
      <c r="L5" s="22">
        <f>'[10]YJW-parameter'!G$41/('[10]ZJQ-new veh FE'!M5*'[10]YJW-parameter'!$C34)</f>
        <v>4.7859933956915943E-4</v>
      </c>
      <c r="M5" s="22">
        <f>'[10]YJW-parameter'!H$41/('[10]ZJQ-new veh FE'!N5*'[10]YJW-parameter'!$C34)</f>
        <v>4.9603402979632157E-4</v>
      </c>
      <c r="N5" s="22">
        <f>'[10]YJW-parameter'!I$41/('[10]ZJQ-new veh FE'!O5*'[10]YJW-parameter'!$C34)</f>
        <v>5.1062326596680238E-4</v>
      </c>
      <c r="O5" s="22">
        <f>'[10]YJW-parameter'!J$41/('[10]ZJQ-new veh FE'!P5*'[10]YJW-parameter'!$C34)</f>
        <v>5.2609669826882621E-4</v>
      </c>
      <c r="P5" s="22">
        <f>'[10]YJW-parameter'!K$41/('[10]ZJQ-new veh FE'!Q5*'[10]YJW-parameter'!$C34)</f>
        <v>5.4253722008972666E-4</v>
      </c>
      <c r="Q5" s="22">
        <f>'[10]YJW-parameter'!L$41/('[10]ZJQ-new veh FE'!R5*'[10]YJW-parameter'!$C34)</f>
        <v>5.6003842073778316E-4</v>
      </c>
      <c r="R5" s="22">
        <f>'[10]YJW-parameter'!M$41/('[10]ZJQ-new veh FE'!S5*'[10]YJW-parameter'!$C34)</f>
        <v>5.7870636809570887E-4</v>
      </c>
      <c r="S5" s="22">
        <f>'[10]YJW-parameter'!N$41/('[10]ZJQ-new veh FE'!T5*'[10]YJW-parameter'!$C34)</f>
        <v>5.986617600990087E-4</v>
      </c>
      <c r="T5" s="22">
        <f>'[10]YJW-parameter'!O$41/('[10]ZJQ-new veh FE'!U5*'[10]YJW-parameter'!$C34)</f>
        <v>6.2004253724540291E-4</v>
      </c>
      <c r="U5" s="22">
        <f>'[10]YJW-parameter'!P$41/('[10]ZJQ-new veh FE'!V5*'[10]YJW-parameter'!$C34)</f>
        <v>6.4300707566189875E-4</v>
      </c>
      <c r="V5" s="22">
        <f>'[10]YJW-parameter'!Q$41/('[10]ZJQ-new veh FE'!W5*'[10]YJW-parameter'!$C34)</f>
        <v>6.677381170335097E-4</v>
      </c>
      <c r="W5" s="22">
        <f>'[10]YJW-parameter'!R$41/('[10]ZJQ-new veh FE'!X5*'[10]YJW-parameter'!$C34)</f>
        <v>6.9444764171485134E-4</v>
      </c>
      <c r="X5" s="22">
        <f>'[10]YJW-parameter'!S$41/('[10]ZJQ-new veh FE'!Y5*'[10]YJW-parameter'!$C34)</f>
        <v>6.9444764171485134E-4</v>
      </c>
      <c r="Y5" s="22">
        <f>'[10]YJW-parameter'!T$41/('[10]ZJQ-new veh FE'!Z5*'[10]YJW-parameter'!$C34)</f>
        <v>6.9444764171485134E-4</v>
      </c>
      <c r="Z5" s="22">
        <f>'[10]YJW-parameter'!U$41/('[10]ZJQ-new veh FE'!AA5*'[10]YJW-parameter'!$C34)</f>
        <v>6.9444764171485134E-4</v>
      </c>
      <c r="AA5" s="22">
        <f>'[10]YJW-parameter'!V$41/('[10]ZJQ-new veh FE'!AB5*'[10]YJW-parameter'!$C34)</f>
        <v>6.9444764171485134E-4</v>
      </c>
      <c r="AB5" s="22">
        <f>'[10]YJW-parameter'!W$41/('[10]ZJQ-new veh FE'!AC5*'[10]YJW-parameter'!$C34)</f>
        <v>6.9444764171485134E-4</v>
      </c>
      <c r="AC5" s="22">
        <f>'[10]YJW-parameter'!X$41/('[10]ZJQ-new veh FE'!AD5*'[10]YJW-parameter'!$C34)</f>
        <v>6.9444764171485134E-4</v>
      </c>
      <c r="AD5" s="22">
        <f>'[10]YJW-parameter'!Y$41/('[10]ZJQ-new veh FE'!AE5*'[10]YJW-parameter'!$C34)</f>
        <v>6.9444764171485134E-4</v>
      </c>
      <c r="AE5" s="22">
        <f>'[10]YJW-parameter'!Z$41/('[10]ZJQ-new veh FE'!AF5*'[10]YJW-parameter'!$C34)</f>
        <v>6.9444764171485134E-4</v>
      </c>
      <c r="AF5" s="22">
        <f>'[10]YJW-parameter'!AA$41/('[10]ZJQ-new veh FE'!AG5*'[10]YJW-parameter'!$C34)</f>
        <v>6.9444764171485134E-4</v>
      </c>
      <c r="AG5" s="22">
        <f>'[10]YJW-parameter'!AB$41/('[10]ZJQ-new veh FE'!AH5*'[10]YJW-parameter'!$C34)</f>
        <v>6.9444764171485134E-4</v>
      </c>
      <c r="AH5" s="22">
        <f>'[10]YJW-parameter'!AC$41/('[10]ZJQ-new veh FE'!AI5*'[10]YJW-parameter'!$C34)</f>
        <v>6.9444764171485134E-4</v>
      </c>
      <c r="AI5" s="22">
        <f>'[10]YJW-parameter'!AD$41/('[10]ZJQ-new veh FE'!AJ5*'[10]YJW-parameter'!$C34)</f>
        <v>6.9444764171485134E-4</v>
      </c>
      <c r="AJ5" s="22">
        <f>'[10]YJW-parameter'!AE$41/('[10]ZJQ-new veh FE'!AK5*'[10]YJW-parameter'!$C34)</f>
        <v>6.9444764171485134E-4</v>
      </c>
      <c r="AK5" s="22">
        <f>'[10]YJW-parameter'!AF$41/('[10]ZJQ-new veh FE'!AL5*'[10]YJW-parameter'!$C34)</f>
        <v>6.9444764171485134E-4</v>
      </c>
      <c r="AL5" s="22">
        <f>'[10]YJW-parameter'!AG$41/('[10]ZJQ-new veh FE'!AM5*'[10]YJW-parameter'!$C34)</f>
        <v>6.9444764171485134E-4</v>
      </c>
      <c r="AM5" s="22">
        <f>'[10]YJW-parameter'!AH$41/('[10]ZJQ-new veh FE'!AN5*'[10]YJW-parameter'!$C34)</f>
        <v>6.9444764171485134E-4</v>
      </c>
      <c r="AN5" s="22">
        <f>'[10]YJW-parameter'!AI$41/('[10]ZJQ-new veh FE'!AO5*'[10]YJW-parameter'!$C34)</f>
        <v>6.9444764171485134E-4</v>
      </c>
      <c r="AO5" s="22">
        <f>'[10]YJW-parameter'!AJ$41/('[10]ZJQ-new veh FE'!AP5*'[10]YJW-parameter'!$C34)</f>
        <v>6.9444764171485134E-4</v>
      </c>
      <c r="AP5" s="22">
        <f>'[10]YJW-parameter'!AK$41/('[10]ZJQ-new veh FE'!AQ5*'[10]YJW-parameter'!$C34)</f>
        <v>6.9444764171485134E-4</v>
      </c>
      <c r="AQ5" s="22">
        <f>'[10]YJW-parameter'!AL$41/('[10]ZJQ-new veh FE'!AR5*'[10]YJW-parameter'!$C34)</f>
        <v>6.9444764171485134E-4</v>
      </c>
      <c r="AR5" s="22">
        <f>'[10]YJW-parameter'!AM$41/('[10]ZJQ-new veh FE'!AS5*'[10]YJW-parameter'!$C34)</f>
        <v>6.9444764171485134E-4</v>
      </c>
      <c r="AS5" s="22">
        <f>'[10]YJW-parameter'!AN$41/('[10]ZJQ-new veh FE'!AT5*'[10]YJW-parameter'!$C34)</f>
        <v>6.9444764171485134E-4</v>
      </c>
      <c r="AT5" s="22">
        <f>'[10]YJW-parameter'!AO$41/('[10]ZJQ-new veh FE'!AU5*'[10]YJW-parameter'!$C34)</f>
        <v>6.9444764171485134E-4</v>
      </c>
      <c r="AU5" s="22">
        <f>'[10]YJW-parameter'!AP$41/('[10]ZJQ-new veh FE'!AV5*'[10]YJW-parameter'!$C34)</f>
        <v>6.9444764171485134E-4</v>
      </c>
      <c r="AV5" s="22">
        <f>'[10]YJW-parameter'!AQ$41/('[10]ZJQ-new veh FE'!AW5*'[10]YJW-parameter'!$C34)</f>
        <v>6.9444764171485134E-4</v>
      </c>
    </row>
    <row r="6" spans="1:48">
      <c r="A6" s="14" t="s">
        <v>27</v>
      </c>
      <c r="B6" s="14" t="s">
        <v>5</v>
      </c>
      <c r="C6" s="14" t="s">
        <v>28</v>
      </c>
      <c r="D6" s="14" t="s">
        <v>29</v>
      </c>
      <c r="E6" s="14" t="s">
        <v>35</v>
      </c>
      <c r="F6" s="14" t="s">
        <v>31</v>
      </c>
      <c r="G6" s="22">
        <f>'[10]YJW-parameter'!B$41/('[10]ZJQ-new veh FE'!H6*'[10]YJW-parameter'!$C35)</f>
        <v>4.4175960613736411E-4</v>
      </c>
      <c r="H6" s="22">
        <f>'[10]YJW-parameter'!C$41/('[10]ZJQ-new veh FE'!I6*'[10]YJW-parameter'!$C35)</f>
        <v>5.2127633524208972E-4</v>
      </c>
      <c r="I6" s="22">
        <f>'[10]YJW-parameter'!D$41/('[10]ZJQ-new veh FE'!J6*'[10]YJW-parameter'!$C35)</f>
        <v>5.4299618254384345E-4</v>
      </c>
      <c r="J6" s="22">
        <f>'[10]YJW-parameter'!E$41/('[10]ZJQ-new veh FE'!K6*'[10]YJW-parameter'!$C35)</f>
        <v>5.6660471221966276E-4</v>
      </c>
      <c r="K6" s="22">
        <f>'[10]YJW-parameter'!F$41/('[10]ZJQ-new veh FE'!L6*'[10]YJW-parameter'!$C35)</f>
        <v>5.9235947186601109E-4</v>
      </c>
      <c r="L6" s="22">
        <f>'[10]YJW-parameter'!G$41/('[10]ZJQ-new veh FE'!M6*'[10]YJW-parameter'!$C35)</f>
        <v>6.2056706576439256E-4</v>
      </c>
      <c r="M6" s="22">
        <f>'[10]YJW-parameter'!H$41/('[10]ZJQ-new veh FE'!N6*'[10]YJW-parameter'!$C35)</f>
        <v>6.5159541905261209E-4</v>
      </c>
      <c r="N6" s="22">
        <f>'[10]YJW-parameter'!I$41/('[10]ZJQ-new veh FE'!O6*'[10]YJW-parameter'!$C35)</f>
        <v>6.6830299390011495E-4</v>
      </c>
      <c r="O6" s="22">
        <f>'[10]YJW-parameter'!J$41/('[10]ZJQ-new veh FE'!P6*'[10]YJW-parameter'!$C35)</f>
        <v>6.8588991479222338E-4</v>
      </c>
      <c r="P6" s="22">
        <f>'[10]YJW-parameter'!K$41/('[10]ZJQ-new veh FE'!Q6*'[10]YJW-parameter'!$C35)</f>
        <v>7.0442748005687802E-4</v>
      </c>
      <c r="Q6" s="22">
        <f>'[10]YJW-parameter'!L$41/('[10]ZJQ-new veh FE'!R6*'[10]YJW-parameter'!$C35)</f>
        <v>7.2399491005845789E-4</v>
      </c>
      <c r="R6" s="22">
        <f>'[10]YJW-parameter'!M$41/('[10]ZJQ-new veh FE'!S6*'[10]YJW-parameter'!$C35)</f>
        <v>7.4468047891727103E-4</v>
      </c>
      <c r="S6" s="22">
        <f>'[10]YJW-parameter'!N$41/('[10]ZJQ-new veh FE'!T6*'[10]YJW-parameter'!$C35)</f>
        <v>7.4468047891727103E-4</v>
      </c>
      <c r="T6" s="22">
        <f>'[10]YJW-parameter'!O$41/('[10]ZJQ-new veh FE'!U6*'[10]YJW-parameter'!$C35)</f>
        <v>7.4468047891727103E-4</v>
      </c>
      <c r="U6" s="22">
        <f>'[10]YJW-parameter'!P$41/('[10]ZJQ-new veh FE'!V6*'[10]YJW-parameter'!$C35)</f>
        <v>7.4468047891727103E-4</v>
      </c>
      <c r="V6" s="22">
        <f>'[10]YJW-parameter'!Q$41/('[10]ZJQ-new veh FE'!W6*'[10]YJW-parameter'!$C35)</f>
        <v>7.4468047891727103E-4</v>
      </c>
      <c r="W6" s="22">
        <f>'[10]YJW-parameter'!R$41/('[10]ZJQ-new veh FE'!X6*'[10]YJW-parameter'!$C35)</f>
        <v>7.4468047891727103E-4</v>
      </c>
      <c r="X6" s="22">
        <f>'[10]YJW-parameter'!S$41/('[10]ZJQ-new veh FE'!Y6*'[10]YJW-parameter'!$C35)</f>
        <v>7.4468047891727103E-4</v>
      </c>
      <c r="Y6" s="22">
        <f>'[10]YJW-parameter'!T$41/('[10]ZJQ-new veh FE'!Z6*'[10]YJW-parameter'!$C35)</f>
        <v>7.4468047891727103E-4</v>
      </c>
      <c r="Z6" s="22">
        <f>'[10]YJW-parameter'!U$41/('[10]ZJQ-new veh FE'!AA6*'[10]YJW-parameter'!$C35)</f>
        <v>7.4468047891727103E-4</v>
      </c>
      <c r="AA6" s="22">
        <f>'[10]YJW-parameter'!V$41/('[10]ZJQ-new veh FE'!AB6*'[10]YJW-parameter'!$C35)</f>
        <v>7.4468047891727103E-4</v>
      </c>
      <c r="AB6" s="22">
        <f>'[10]YJW-parameter'!W$41/('[10]ZJQ-new veh FE'!AC6*'[10]YJW-parameter'!$C35)</f>
        <v>7.4468047891727103E-4</v>
      </c>
      <c r="AC6" s="22">
        <f>'[10]YJW-parameter'!X$41/('[10]ZJQ-new veh FE'!AD6*'[10]YJW-parameter'!$C35)</f>
        <v>7.4468047891727103E-4</v>
      </c>
      <c r="AD6" s="22">
        <f>'[10]YJW-parameter'!Y$41/('[10]ZJQ-new veh FE'!AE6*'[10]YJW-parameter'!$C35)</f>
        <v>7.4468047891727103E-4</v>
      </c>
      <c r="AE6" s="22">
        <f>'[10]YJW-parameter'!Z$41/('[10]ZJQ-new veh FE'!AF6*'[10]YJW-parameter'!$C35)</f>
        <v>7.4468047891727103E-4</v>
      </c>
      <c r="AF6" s="22">
        <f>'[10]YJW-parameter'!AA$41/('[10]ZJQ-new veh FE'!AG6*'[10]YJW-parameter'!$C35)</f>
        <v>7.4468047891727103E-4</v>
      </c>
      <c r="AG6" s="22">
        <f>'[10]YJW-parameter'!AB$41/('[10]ZJQ-new veh FE'!AH6*'[10]YJW-parameter'!$C35)</f>
        <v>7.4468047891727103E-4</v>
      </c>
      <c r="AH6" s="22">
        <f>'[10]YJW-parameter'!AC$41/('[10]ZJQ-new veh FE'!AI6*'[10]YJW-parameter'!$C35)</f>
        <v>7.4468047891727103E-4</v>
      </c>
      <c r="AI6" s="22">
        <f>'[10]YJW-parameter'!AD$41/('[10]ZJQ-new veh FE'!AJ6*'[10]YJW-parameter'!$C35)</f>
        <v>7.4468047891727103E-4</v>
      </c>
      <c r="AJ6" s="22">
        <f>'[10]YJW-parameter'!AE$41/('[10]ZJQ-new veh FE'!AK6*'[10]YJW-parameter'!$C35)</f>
        <v>7.4468047891727103E-4</v>
      </c>
      <c r="AK6" s="22">
        <f>'[10]YJW-parameter'!AF$41/('[10]ZJQ-new veh FE'!AL6*'[10]YJW-parameter'!$C35)</f>
        <v>7.4468047891727103E-4</v>
      </c>
      <c r="AL6" s="22">
        <f>'[10]YJW-parameter'!AG$41/('[10]ZJQ-new veh FE'!AM6*'[10]YJW-parameter'!$C35)</f>
        <v>7.4468047891727103E-4</v>
      </c>
      <c r="AM6" s="22">
        <f>'[10]YJW-parameter'!AH$41/('[10]ZJQ-new veh FE'!AN6*'[10]YJW-parameter'!$C35)</f>
        <v>7.4468047891727103E-4</v>
      </c>
      <c r="AN6" s="22">
        <f>'[10]YJW-parameter'!AI$41/('[10]ZJQ-new veh FE'!AO6*'[10]YJW-parameter'!$C35)</f>
        <v>7.4468047891727103E-4</v>
      </c>
      <c r="AO6" s="22">
        <f>'[10]YJW-parameter'!AJ$41/('[10]ZJQ-new veh FE'!AP6*'[10]YJW-parameter'!$C35)</f>
        <v>7.4468047891727103E-4</v>
      </c>
      <c r="AP6" s="22">
        <f>'[10]YJW-parameter'!AK$41/('[10]ZJQ-new veh FE'!AQ6*'[10]YJW-parameter'!$C35)</f>
        <v>7.4468047891727103E-4</v>
      </c>
      <c r="AQ6" s="22">
        <f>'[10]YJW-parameter'!AL$41/('[10]ZJQ-new veh FE'!AR6*'[10]YJW-parameter'!$C35)</f>
        <v>7.4468047891727103E-4</v>
      </c>
      <c r="AR6" s="22">
        <f>'[10]YJW-parameter'!AM$41/('[10]ZJQ-new veh FE'!AS6*'[10]YJW-parameter'!$C35)</f>
        <v>7.4468047891727103E-4</v>
      </c>
      <c r="AS6" s="22">
        <f>'[10]YJW-parameter'!AN$41/('[10]ZJQ-new veh FE'!AT6*'[10]YJW-parameter'!$C35)</f>
        <v>7.4468047891727103E-4</v>
      </c>
      <c r="AT6" s="22">
        <f>'[10]YJW-parameter'!AO$41/('[10]ZJQ-new veh FE'!AU6*'[10]YJW-parameter'!$C35)</f>
        <v>7.4468047891727103E-4</v>
      </c>
      <c r="AU6" s="22">
        <f>'[10]YJW-parameter'!AP$41/('[10]ZJQ-new veh FE'!AV6*'[10]YJW-parameter'!$C35)</f>
        <v>7.4468047891727103E-4</v>
      </c>
      <c r="AV6" s="22">
        <f>'[10]YJW-parameter'!AQ$41/('[10]ZJQ-new veh FE'!AW6*'[10]YJW-parameter'!$C35)</f>
        <v>7.4468047891727103E-4</v>
      </c>
    </row>
    <row r="7" spans="1:48">
      <c r="A7" s="14" t="s">
        <v>27</v>
      </c>
      <c r="B7" s="14" t="s">
        <v>6</v>
      </c>
      <c r="C7" s="14" t="s">
        <v>28</v>
      </c>
      <c r="D7" s="14" t="s">
        <v>29</v>
      </c>
      <c r="E7" s="14" t="s">
        <v>36</v>
      </c>
      <c r="F7" s="14" t="s">
        <v>31</v>
      </c>
      <c r="G7" s="22">
        <f>'[10]YJW-parameter'!B$41/('[10]ZJQ-new veh FE'!H7*'[10]YJW-parameter'!$C36)</f>
        <v>2.2525567274646511E-4</v>
      </c>
      <c r="H7" s="22">
        <f>'[10]YJW-parameter'!C$41/('[10]ZJQ-new veh FE'!I7*'[10]YJW-parameter'!$C36)</f>
        <v>4.692826515551357E-4</v>
      </c>
      <c r="I7" s="22">
        <f>'[10]YJW-parameter'!D$41/('[10]ZJQ-new veh FE'!J7*'[10]YJW-parameter'!$C36)</f>
        <v>4.692826515551357E-4</v>
      </c>
      <c r="J7" s="22">
        <f>'[10]YJW-parameter'!E$41/('[10]ZJQ-new veh FE'!K7*'[10]YJW-parameter'!$C36)</f>
        <v>4.692826515551357E-4</v>
      </c>
      <c r="K7" s="22">
        <f>'[10]YJW-parameter'!F$41/('[10]ZJQ-new veh FE'!L7*'[10]YJW-parameter'!$C36)</f>
        <v>4.692826515551357E-4</v>
      </c>
      <c r="L7" s="22">
        <f>'[10]YJW-parameter'!G$41/('[10]ZJQ-new veh FE'!M7*'[10]YJW-parameter'!$C36)</f>
        <v>4.692826515551357E-4</v>
      </c>
      <c r="M7" s="22">
        <f>'[10]YJW-parameter'!H$41/('[10]ZJQ-new veh FE'!N7*'[10]YJW-parameter'!$C36)</f>
        <v>4.692826515551357E-4</v>
      </c>
      <c r="N7" s="22">
        <f>'[10]YJW-parameter'!I$41/('[10]ZJQ-new veh FE'!O7*'[10]YJW-parameter'!$C36)</f>
        <v>4.692826515551357E-4</v>
      </c>
      <c r="O7" s="22">
        <f>'[10]YJW-parameter'!J$41/('[10]ZJQ-new veh FE'!P7*'[10]YJW-parameter'!$C36)</f>
        <v>4.692826515551357E-4</v>
      </c>
      <c r="P7" s="22">
        <f>'[10]YJW-parameter'!K$41/('[10]ZJQ-new veh FE'!Q7*'[10]YJW-parameter'!$C36)</f>
        <v>4.692826515551357E-4</v>
      </c>
      <c r="Q7" s="22">
        <f>'[10]YJW-parameter'!L$41/('[10]ZJQ-new veh FE'!R7*'[10]YJW-parameter'!$C36)</f>
        <v>4.692826515551357E-4</v>
      </c>
      <c r="R7" s="22">
        <f>'[10]YJW-parameter'!M$41/('[10]ZJQ-new veh FE'!S7*'[10]YJW-parameter'!$C36)</f>
        <v>4.692826515551357E-4</v>
      </c>
      <c r="S7" s="22">
        <f>'[10]YJW-parameter'!N$41/('[10]ZJQ-new veh FE'!T7*'[10]YJW-parameter'!$C36)</f>
        <v>4.692826515551357E-4</v>
      </c>
      <c r="T7" s="22">
        <f>'[10]YJW-parameter'!O$41/('[10]ZJQ-new veh FE'!U7*'[10]YJW-parameter'!$C36)</f>
        <v>4.692826515551357E-4</v>
      </c>
      <c r="U7" s="22">
        <f>'[10]YJW-parameter'!P$41/('[10]ZJQ-new veh FE'!V7*'[10]YJW-parameter'!$C36)</f>
        <v>4.692826515551357E-4</v>
      </c>
      <c r="V7" s="22">
        <f>'[10]YJW-parameter'!Q$41/('[10]ZJQ-new veh FE'!W7*'[10]YJW-parameter'!$C36)</f>
        <v>4.692826515551357E-4</v>
      </c>
      <c r="W7" s="22">
        <f>'[10]YJW-parameter'!R$41/('[10]ZJQ-new veh FE'!X7*'[10]YJW-parameter'!$C36)</f>
        <v>4.692826515551357E-4</v>
      </c>
      <c r="X7" s="22">
        <f>'[10]YJW-parameter'!S$41/('[10]ZJQ-new veh FE'!Y7*'[10]YJW-parameter'!$C36)</f>
        <v>4.692826515551357E-4</v>
      </c>
      <c r="Y7" s="22">
        <f>'[10]YJW-parameter'!T$41/('[10]ZJQ-new veh FE'!Z7*'[10]YJW-parameter'!$C36)</f>
        <v>4.692826515551357E-4</v>
      </c>
      <c r="Z7" s="22">
        <f>'[10]YJW-parameter'!U$41/('[10]ZJQ-new veh FE'!AA7*'[10]YJW-parameter'!$C36)</f>
        <v>4.692826515551357E-4</v>
      </c>
      <c r="AA7" s="22">
        <f>'[10]YJW-parameter'!V$41/('[10]ZJQ-new veh FE'!AB7*'[10]YJW-parameter'!$C36)</f>
        <v>4.692826515551357E-4</v>
      </c>
      <c r="AB7" s="22">
        <f>'[10]YJW-parameter'!W$41/('[10]ZJQ-new veh FE'!AC7*'[10]YJW-parameter'!$C36)</f>
        <v>4.692826515551357E-4</v>
      </c>
      <c r="AC7" s="22">
        <f>'[10]YJW-parameter'!X$41/('[10]ZJQ-new veh FE'!AD7*'[10]YJW-parameter'!$C36)</f>
        <v>4.692826515551357E-4</v>
      </c>
      <c r="AD7" s="22">
        <f>'[10]YJW-parameter'!Y$41/('[10]ZJQ-new veh FE'!AE7*'[10]YJW-parameter'!$C36)</f>
        <v>4.692826515551357E-4</v>
      </c>
      <c r="AE7" s="22">
        <f>'[10]YJW-parameter'!Z$41/('[10]ZJQ-new veh FE'!AF7*'[10]YJW-parameter'!$C36)</f>
        <v>4.692826515551357E-4</v>
      </c>
      <c r="AF7" s="22">
        <f>'[10]YJW-parameter'!AA$41/('[10]ZJQ-new veh FE'!AG7*'[10]YJW-parameter'!$C36)</f>
        <v>4.692826515551357E-4</v>
      </c>
      <c r="AG7" s="22">
        <f>'[10]YJW-parameter'!AB$41/('[10]ZJQ-new veh FE'!AH7*'[10]YJW-parameter'!$C36)</f>
        <v>4.692826515551357E-4</v>
      </c>
      <c r="AH7" s="22">
        <f>'[10]YJW-parameter'!AC$41/('[10]ZJQ-new veh FE'!AI7*'[10]YJW-parameter'!$C36)</f>
        <v>4.692826515551357E-4</v>
      </c>
      <c r="AI7" s="22">
        <f>'[10]YJW-parameter'!AD$41/('[10]ZJQ-new veh FE'!AJ7*'[10]YJW-parameter'!$C36)</f>
        <v>4.692826515551357E-4</v>
      </c>
      <c r="AJ7" s="22">
        <f>'[10]YJW-parameter'!AE$41/('[10]ZJQ-new veh FE'!AK7*'[10]YJW-parameter'!$C36)</f>
        <v>4.692826515551357E-4</v>
      </c>
      <c r="AK7" s="22">
        <f>'[10]YJW-parameter'!AF$41/('[10]ZJQ-new veh FE'!AL7*'[10]YJW-parameter'!$C36)</f>
        <v>4.692826515551357E-4</v>
      </c>
      <c r="AL7" s="22">
        <f>'[10]YJW-parameter'!AG$41/('[10]ZJQ-new veh FE'!AM7*'[10]YJW-parameter'!$C36)</f>
        <v>4.692826515551357E-4</v>
      </c>
      <c r="AM7" s="22">
        <f>'[10]YJW-parameter'!AH$41/('[10]ZJQ-new veh FE'!AN7*'[10]YJW-parameter'!$C36)</f>
        <v>4.692826515551357E-4</v>
      </c>
      <c r="AN7" s="22">
        <f>'[10]YJW-parameter'!AI$41/('[10]ZJQ-new veh FE'!AO7*'[10]YJW-parameter'!$C36)</f>
        <v>4.692826515551357E-4</v>
      </c>
      <c r="AO7" s="22">
        <f>'[10]YJW-parameter'!AJ$41/('[10]ZJQ-new veh FE'!AP7*'[10]YJW-parameter'!$C36)</f>
        <v>4.692826515551357E-4</v>
      </c>
      <c r="AP7" s="22">
        <f>'[10]YJW-parameter'!AK$41/('[10]ZJQ-new veh FE'!AQ7*'[10]YJW-parameter'!$C36)</f>
        <v>4.692826515551357E-4</v>
      </c>
      <c r="AQ7" s="22">
        <f>'[10]YJW-parameter'!AL$41/('[10]ZJQ-new veh FE'!AR7*'[10]YJW-parameter'!$C36)</f>
        <v>4.692826515551357E-4</v>
      </c>
      <c r="AR7" s="22">
        <f>'[10]YJW-parameter'!AM$41/('[10]ZJQ-new veh FE'!AS7*'[10]YJW-parameter'!$C36)</f>
        <v>4.692826515551357E-4</v>
      </c>
      <c r="AS7" s="22">
        <f>'[10]YJW-parameter'!AN$41/('[10]ZJQ-new veh FE'!AT7*'[10]YJW-parameter'!$C36)</f>
        <v>4.692826515551357E-4</v>
      </c>
      <c r="AT7" s="22">
        <f>'[10]YJW-parameter'!AO$41/('[10]ZJQ-new veh FE'!AU7*'[10]YJW-parameter'!$C36)</f>
        <v>4.692826515551357E-4</v>
      </c>
      <c r="AU7" s="22">
        <f>'[10]YJW-parameter'!AP$41/('[10]ZJQ-new veh FE'!AV7*'[10]YJW-parameter'!$C36)</f>
        <v>4.692826515551357E-4</v>
      </c>
      <c r="AV7" s="22">
        <f>'[10]YJW-parameter'!AQ$41/('[10]ZJQ-new veh FE'!AW7*'[10]YJW-parameter'!$C36)</f>
        <v>4.692826515551357E-4</v>
      </c>
    </row>
    <row r="8" spans="1:48">
      <c r="A8" s="14" t="s">
        <v>27</v>
      </c>
      <c r="B8" s="14" t="s">
        <v>7</v>
      </c>
      <c r="C8" s="14" t="s">
        <v>28</v>
      </c>
      <c r="D8" s="14" t="s">
        <v>29</v>
      </c>
      <c r="E8" s="14" t="s">
        <v>37</v>
      </c>
      <c r="F8" s="14" t="s">
        <v>31</v>
      </c>
      <c r="G8" s="22">
        <f>'[10]YJW-parameter'!B$41/('[10]ZJQ-new veh FE'!H8*'[10]YJW-parameter'!$C37)</f>
        <v>4.8091259929518981E-4</v>
      </c>
      <c r="H8" s="22">
        <f>'[10]YJW-parameter'!C$41/('[10]ZJQ-new veh FE'!I8*'[10]YJW-parameter'!$C37)</f>
        <v>5.7709511915422773E-4</v>
      </c>
      <c r="I8" s="22">
        <f>'[10]YJW-parameter'!D$41/('[10]ZJQ-new veh FE'!J8*'[10]YJW-parameter'!$C37)</f>
        <v>5.8887257056553855E-4</v>
      </c>
      <c r="J8" s="22">
        <f>'[10]YJW-parameter'!E$41/('[10]ZJQ-new veh FE'!K8*'[10]YJW-parameter'!$C37)</f>
        <v>6.0114074911898723E-4</v>
      </c>
      <c r="K8" s="22">
        <f>'[10]YJW-parameter'!F$41/('[10]ZJQ-new veh FE'!L8*'[10]YJW-parameter'!$C37)</f>
        <v>6.1393097782364654E-4</v>
      </c>
      <c r="L8" s="22">
        <f>'[10]YJW-parameter'!G$41/('[10]ZJQ-new veh FE'!M8*'[10]YJW-parameter'!$C37)</f>
        <v>6.2727730342850843E-4</v>
      </c>
      <c r="M8" s="22">
        <f>'[10]YJW-parameter'!H$41/('[10]ZJQ-new veh FE'!N8*'[10]YJW-parameter'!$C37)</f>
        <v>6.4121679906025298E-4</v>
      </c>
      <c r="N8" s="22">
        <f>'[10]YJW-parameter'!I$41/('[10]ZJQ-new veh FE'!O8*'[10]YJW-parameter'!$C37)</f>
        <v>6.5578990812980426E-4</v>
      </c>
      <c r="O8" s="22">
        <f>'[10]YJW-parameter'!J$41/('[10]ZJQ-new veh FE'!P8*'[10]YJW-parameter'!$C37)</f>
        <v>6.7104083622584619E-4</v>
      </c>
      <c r="P8" s="22">
        <f>'[10]YJW-parameter'!K$41/('[10]ZJQ-new veh FE'!Q8*'[10]YJW-parameter'!$C37)</f>
        <v>6.8701799899312829E-4</v>
      </c>
      <c r="Q8" s="22">
        <f>'[10]YJW-parameter'!L$41/('[10]ZJQ-new veh FE'!R8*'[10]YJW-parameter'!$C37)</f>
        <v>7.0377453555393627E-4</v>
      </c>
      <c r="R8" s="22">
        <f>'[10]YJW-parameter'!M$41/('[10]ZJQ-new veh FE'!S8*'[10]YJW-parameter'!$C37)</f>
        <v>7.2136889894278459E-4</v>
      </c>
      <c r="S8" s="22">
        <f>'[10]YJW-parameter'!N$41/('[10]ZJQ-new veh FE'!T8*'[10]YJW-parameter'!$C37)</f>
        <v>7.3050015082813625E-4</v>
      </c>
      <c r="T8" s="22">
        <f>'[10]YJW-parameter'!O$41/('[10]ZJQ-new veh FE'!U8*'[10]YJW-parameter'!$C37)</f>
        <v>7.3986553737721502E-4</v>
      </c>
      <c r="U8" s="22">
        <f>'[10]YJW-parameter'!P$41/('[10]ZJQ-new veh FE'!V8*'[10]YJW-parameter'!$C37)</f>
        <v>7.4947418071977625E-4</v>
      </c>
      <c r="V8" s="22">
        <f>'[10]YJW-parameter'!Q$41/('[10]ZJQ-new veh FE'!W8*'[10]YJW-parameter'!$C37)</f>
        <v>7.5933568309766804E-4</v>
      </c>
      <c r="W8" s="22">
        <f>'[10]YJW-parameter'!R$41/('[10]ZJQ-new veh FE'!X8*'[10]YJW-parameter'!$C37)</f>
        <v>7.6946015887230368E-4</v>
      </c>
      <c r="X8" s="22">
        <f>'[10]YJW-parameter'!S$41/('[10]ZJQ-new veh FE'!Y8*'[10]YJW-parameter'!$C37)</f>
        <v>7.6946015887230368E-4</v>
      </c>
      <c r="Y8" s="22">
        <f>'[10]YJW-parameter'!T$41/('[10]ZJQ-new veh FE'!Z8*'[10]YJW-parameter'!$C37)</f>
        <v>7.6946015887230368E-4</v>
      </c>
      <c r="Z8" s="22">
        <f>'[10]YJW-parameter'!U$41/('[10]ZJQ-new veh FE'!AA8*'[10]YJW-parameter'!$C37)</f>
        <v>7.6946015887230368E-4</v>
      </c>
      <c r="AA8" s="22">
        <f>'[10]YJW-parameter'!V$41/('[10]ZJQ-new veh FE'!AB8*'[10]YJW-parameter'!$C37)</f>
        <v>7.6946015887230368E-4</v>
      </c>
      <c r="AB8" s="22">
        <f>'[10]YJW-parameter'!W$41/('[10]ZJQ-new veh FE'!AC8*'[10]YJW-parameter'!$C37)</f>
        <v>7.6946015887230368E-4</v>
      </c>
      <c r="AC8" s="22">
        <f>'[10]YJW-parameter'!X$41/('[10]ZJQ-new veh FE'!AD8*'[10]YJW-parameter'!$C37)</f>
        <v>7.6946015887230368E-4</v>
      </c>
      <c r="AD8" s="22">
        <f>'[10]YJW-parameter'!Y$41/('[10]ZJQ-new veh FE'!AE8*'[10]YJW-parameter'!$C37)</f>
        <v>7.6946015887230368E-4</v>
      </c>
      <c r="AE8" s="22">
        <f>'[10]YJW-parameter'!Z$41/('[10]ZJQ-new veh FE'!AF8*'[10]YJW-parameter'!$C37)</f>
        <v>7.6946015887230368E-4</v>
      </c>
      <c r="AF8" s="22">
        <f>'[10]YJW-parameter'!AA$41/('[10]ZJQ-new veh FE'!AG8*'[10]YJW-parameter'!$C37)</f>
        <v>7.6946015887230368E-4</v>
      </c>
      <c r="AG8" s="22">
        <f>'[10]YJW-parameter'!AB$41/('[10]ZJQ-new veh FE'!AH8*'[10]YJW-parameter'!$C37)</f>
        <v>7.6946015887230368E-4</v>
      </c>
      <c r="AH8" s="22">
        <f>'[10]YJW-parameter'!AC$41/('[10]ZJQ-new veh FE'!AI8*'[10]YJW-parameter'!$C37)</f>
        <v>7.6946015887230368E-4</v>
      </c>
      <c r="AI8" s="22">
        <f>'[10]YJW-parameter'!AD$41/('[10]ZJQ-new veh FE'!AJ8*'[10]YJW-parameter'!$C37)</f>
        <v>7.6946015887230368E-4</v>
      </c>
      <c r="AJ8" s="22">
        <f>'[10]YJW-parameter'!AE$41/('[10]ZJQ-new veh FE'!AK8*'[10]YJW-parameter'!$C37)</f>
        <v>7.6946015887230368E-4</v>
      </c>
      <c r="AK8" s="22">
        <f>'[10]YJW-parameter'!AF$41/('[10]ZJQ-new veh FE'!AL8*'[10]YJW-parameter'!$C37)</f>
        <v>7.6946015887230368E-4</v>
      </c>
      <c r="AL8" s="22">
        <f>'[10]YJW-parameter'!AG$41/('[10]ZJQ-new veh FE'!AM8*'[10]YJW-parameter'!$C37)</f>
        <v>7.6946015887230368E-4</v>
      </c>
      <c r="AM8" s="22">
        <f>'[10]YJW-parameter'!AH$41/('[10]ZJQ-new veh FE'!AN8*'[10]YJW-parameter'!$C37)</f>
        <v>7.6946015887230368E-4</v>
      </c>
      <c r="AN8" s="22">
        <f>'[10]YJW-parameter'!AI$41/('[10]ZJQ-new veh FE'!AO8*'[10]YJW-parameter'!$C37)</f>
        <v>7.6946015887230368E-4</v>
      </c>
      <c r="AO8" s="22">
        <f>'[10]YJW-parameter'!AJ$41/('[10]ZJQ-new veh FE'!AP8*'[10]YJW-parameter'!$C37)</f>
        <v>7.6946015887230368E-4</v>
      </c>
      <c r="AP8" s="22">
        <f>'[10]YJW-parameter'!AK$41/('[10]ZJQ-new veh FE'!AQ8*'[10]YJW-parameter'!$C37)</f>
        <v>7.6946015887230368E-4</v>
      </c>
      <c r="AQ8" s="22">
        <f>'[10]YJW-parameter'!AL$41/('[10]ZJQ-new veh FE'!AR8*'[10]YJW-parameter'!$C37)</f>
        <v>7.6946015887230368E-4</v>
      </c>
      <c r="AR8" s="22">
        <f>'[10]YJW-parameter'!AM$41/('[10]ZJQ-new veh FE'!AS8*'[10]YJW-parameter'!$C37)</f>
        <v>7.6946015887230368E-4</v>
      </c>
      <c r="AS8" s="22">
        <f>'[10]YJW-parameter'!AN$41/('[10]ZJQ-new veh FE'!AT8*'[10]YJW-parameter'!$C37)</f>
        <v>7.6946015887230368E-4</v>
      </c>
      <c r="AT8" s="22">
        <f>'[10]YJW-parameter'!AO$41/('[10]ZJQ-new veh FE'!AU8*'[10]YJW-parameter'!$C37)</f>
        <v>7.6946015887230368E-4</v>
      </c>
      <c r="AU8" s="22">
        <f>'[10]YJW-parameter'!AP$41/('[10]ZJQ-new veh FE'!AV8*'[10]YJW-parameter'!$C37)</f>
        <v>7.6946015887230368E-4</v>
      </c>
      <c r="AV8" s="22">
        <f>'[10]YJW-parameter'!AQ$41/('[10]ZJQ-new veh FE'!AW8*'[10]YJW-parameter'!$C37)</f>
        <v>7.6946015887230368E-4</v>
      </c>
    </row>
    <row r="9" spans="1:48">
      <c r="A9" s="15" t="s">
        <v>38</v>
      </c>
      <c r="B9" s="16" t="s">
        <v>1</v>
      </c>
      <c r="C9" s="15" t="s">
        <v>28</v>
      </c>
      <c r="D9" s="16" t="s">
        <v>39</v>
      </c>
      <c r="E9" s="15" t="s">
        <v>30</v>
      </c>
      <c r="F9" s="15" t="s">
        <v>31</v>
      </c>
      <c r="G9" s="22">
        <f>'[10]YJW-parameter'!B$45/('[10]ZJQ-new veh FE'!H9*'[10]YJW-parameter'!$C31)</f>
        <v>9.712297116432633E-4</v>
      </c>
      <c r="H9" s="22">
        <f>'[10]YJW-parameter'!C$45/('[10]ZJQ-new veh FE'!I9*'[10]YJW-parameter'!$C31)</f>
        <v>1.1654756539719159E-3</v>
      </c>
      <c r="I9" s="22">
        <f>'[10]YJW-parameter'!C$45/('[10]ZJQ-new veh FE'!J9*'[10]YJW-parameter'!$C31)</f>
        <v>1.182366605478755E-3</v>
      </c>
      <c r="J9" s="22">
        <f>'[10]YJW-parameter'!D$45/('[10]ZJQ-new veh FE'!K9*'[10]YJW-parameter'!$C31)</f>
        <v>1.1997543496769718E-3</v>
      </c>
      <c r="K9" s="22">
        <f>'[10]YJW-parameter'!E$45/('[10]ZJQ-new veh FE'!L9*'[10]YJW-parameter'!$C31)</f>
        <v>1.2176611310154336E-3</v>
      </c>
      <c r="L9" s="22">
        <f>'[10]YJW-parameter'!F$45/('[10]ZJQ-new veh FE'!M9*'[10]YJW-parameter'!$C31)</f>
        <v>1.2361105420914248E-3</v>
      </c>
      <c r="M9" s="22">
        <f>'[10]YJW-parameter'!G$45/('[10]ZJQ-new veh FE'!N9*'[10]YJW-parameter'!$C31)</f>
        <v>1.255127627354369E-3</v>
      </c>
      <c r="N9" s="22">
        <f>'[10]YJW-parameter'!H$45/('[10]ZJQ-new veh FE'!O9*'[10]YJW-parameter'!$C31)</f>
        <v>1.2747389965317817E-3</v>
      </c>
      <c r="O9" s="22">
        <f>'[10]YJW-parameter'!I$45/('[10]ZJQ-new veh FE'!P9*'[10]YJW-parameter'!$C31)</f>
        <v>1.2949729488576835E-3</v>
      </c>
      <c r="P9" s="22">
        <f>'[10]YJW-parameter'!J$45/('[10]ZJQ-new veh FE'!Q9*'[10]YJW-parameter'!$C31)</f>
        <v>1.3158596093231307E-3</v>
      </c>
      <c r="Q9" s="22">
        <f>'[10]YJW-parameter'!K$45/('[10]ZJQ-new veh FE'!R9*'[10]YJW-parameter'!$C31)</f>
        <v>1.3374310783284286E-3</v>
      </c>
      <c r="R9" s="22">
        <f>'[10]YJW-parameter'!L$45/('[10]ZJQ-new veh FE'!S9*'[10]YJW-parameter'!$C31)</f>
        <v>1.3597215963005694E-3</v>
      </c>
      <c r="S9" s="22">
        <f>'[10]YJW-parameter'!M$45/('[10]ZJQ-new veh FE'!T9*'[10]YJW-parameter'!$C31)</f>
        <v>1.3780962124667932E-3</v>
      </c>
      <c r="T9" s="22">
        <f>'[10]YJW-parameter'!N$45/('[10]ZJQ-new veh FE'!U9*'[10]YJW-parameter'!$C31)</f>
        <v>1.3969742427745574E-3</v>
      </c>
      <c r="U9" s="22">
        <f>'[10]YJW-parameter'!O$45/('[10]ZJQ-new veh FE'!V9*'[10]YJW-parameter'!$C31)</f>
        <v>1.416376662813093E-3</v>
      </c>
      <c r="V9" s="22">
        <f>'[10]YJW-parameter'!P$45/('[10]ZJQ-new veh FE'!W9*'[10]YJW-parameter'!$C31)</f>
        <v>1.4363256298949674E-3</v>
      </c>
      <c r="W9" s="22">
        <f>'[10]YJW-parameter'!Q$45/('[10]ZJQ-new veh FE'!X9*'[10]YJW-parameter'!$C31)</f>
        <v>1.4568445674648951E-3</v>
      </c>
      <c r="X9" s="22">
        <f>'[10]YJW-parameter'!R$45/('[10]ZJQ-new veh FE'!Y9*'[10]YJW-parameter'!$C31)</f>
        <v>1.4568445674648951E-3</v>
      </c>
      <c r="Y9" s="22">
        <f>'[10]YJW-parameter'!S$45/('[10]ZJQ-new veh FE'!Z9*'[10]YJW-parameter'!$C31)</f>
        <v>1.4568445674648951E-3</v>
      </c>
      <c r="Z9" s="22">
        <f>'[10]YJW-parameter'!T$45/('[10]ZJQ-new veh FE'!AA9*'[10]YJW-parameter'!$C31)</f>
        <v>1.4568445674648951E-3</v>
      </c>
      <c r="AA9" s="22">
        <f>'[10]YJW-parameter'!U$45/('[10]ZJQ-new veh FE'!AB9*'[10]YJW-parameter'!$C31)</f>
        <v>1.4568445674648951E-3</v>
      </c>
      <c r="AB9" s="22">
        <f>'[10]YJW-parameter'!V$45/('[10]ZJQ-new veh FE'!AC9*'[10]YJW-parameter'!$C31)</f>
        <v>1.4568445674648951E-3</v>
      </c>
      <c r="AC9" s="22">
        <f>'[10]YJW-parameter'!W$45/('[10]ZJQ-new veh FE'!AD9*'[10]YJW-parameter'!$C31)</f>
        <v>1.4568445674648951E-3</v>
      </c>
      <c r="AD9" s="22">
        <f>'[10]YJW-parameter'!X$45/('[10]ZJQ-new veh FE'!AE9*'[10]YJW-parameter'!$C31)</f>
        <v>1.4568445674648951E-3</v>
      </c>
      <c r="AE9" s="22">
        <f>'[10]YJW-parameter'!Y$45/('[10]ZJQ-new veh FE'!AF9*'[10]YJW-parameter'!$C31)</f>
        <v>1.4568445674648951E-3</v>
      </c>
      <c r="AF9" s="22">
        <f>'[10]YJW-parameter'!Z$45/('[10]ZJQ-new veh FE'!AG9*'[10]YJW-parameter'!$C31)</f>
        <v>1.4568445674648951E-3</v>
      </c>
      <c r="AG9" s="22">
        <f>'[10]YJW-parameter'!AA$45/('[10]ZJQ-new veh FE'!AH9*'[10]YJW-parameter'!$C31)</f>
        <v>1.4568445674648951E-3</v>
      </c>
      <c r="AH9" s="22">
        <f>'[10]YJW-parameter'!AB$45/('[10]ZJQ-new veh FE'!AI9*'[10]YJW-parameter'!$C31)</f>
        <v>1.4568445674648951E-3</v>
      </c>
      <c r="AI9" s="22">
        <f>'[10]YJW-parameter'!AC$45/('[10]ZJQ-new veh FE'!AJ9*'[10]YJW-parameter'!$C31)</f>
        <v>1.4568445674648951E-3</v>
      </c>
      <c r="AJ9" s="22">
        <f>'[10]YJW-parameter'!AD$45/('[10]ZJQ-new veh FE'!AK9*'[10]YJW-parameter'!$C31)</f>
        <v>1.4568445674648951E-3</v>
      </c>
      <c r="AK9" s="22">
        <f>'[10]YJW-parameter'!AE$45/('[10]ZJQ-new veh FE'!AL9*'[10]YJW-parameter'!$C31)</f>
        <v>1.4568445674648951E-3</v>
      </c>
      <c r="AL9" s="22">
        <f>'[10]YJW-parameter'!AF$45/('[10]ZJQ-new veh FE'!AM9*'[10]YJW-parameter'!$C31)</f>
        <v>1.4568445674648951E-3</v>
      </c>
      <c r="AM9" s="22">
        <f>'[10]YJW-parameter'!AG$45/('[10]ZJQ-new veh FE'!AN9*'[10]YJW-parameter'!$C31)</f>
        <v>1.4568445674648951E-3</v>
      </c>
      <c r="AN9" s="22">
        <f>'[10]YJW-parameter'!AH$45/('[10]ZJQ-new veh FE'!AO9*'[10]YJW-parameter'!$C31)</f>
        <v>1.4568445674648951E-3</v>
      </c>
      <c r="AO9" s="22">
        <f>'[10]YJW-parameter'!AI$45/('[10]ZJQ-new veh FE'!AP9*'[10]YJW-parameter'!$C31)</f>
        <v>1.4568445674648951E-3</v>
      </c>
      <c r="AP9" s="22">
        <f>'[10]YJW-parameter'!AJ$45/('[10]ZJQ-new veh FE'!AQ9*'[10]YJW-parameter'!$C31)</f>
        <v>1.4568445674648951E-3</v>
      </c>
      <c r="AQ9" s="22">
        <f>'[10]YJW-parameter'!AK$45/('[10]ZJQ-new veh FE'!AR9*'[10]YJW-parameter'!$C31)</f>
        <v>1.4568445674648951E-3</v>
      </c>
      <c r="AR9" s="22">
        <f>'[10]YJW-parameter'!AL$45/('[10]ZJQ-new veh FE'!AS9*'[10]YJW-parameter'!$C31)</f>
        <v>1.4568445674648951E-3</v>
      </c>
      <c r="AS9" s="22">
        <f>'[10]YJW-parameter'!AM$45/('[10]ZJQ-new veh FE'!AT9*'[10]YJW-parameter'!$C31)</f>
        <v>1.4568445674648951E-3</v>
      </c>
      <c r="AT9" s="22">
        <f>'[10]YJW-parameter'!AN$45/('[10]ZJQ-new veh FE'!AU9*'[10]YJW-parameter'!$C31)</f>
        <v>1.4568445674648951E-3</v>
      </c>
      <c r="AU9" s="22">
        <f>'[10]YJW-parameter'!AO$45/('[10]ZJQ-new veh FE'!AV9*'[10]YJW-parameter'!$C31)</f>
        <v>1.4568445674648951E-3</v>
      </c>
      <c r="AV9" s="22">
        <f>'[10]YJW-parameter'!AP$45/('[10]ZJQ-new veh FE'!AW9*'[10]YJW-parameter'!$C31)</f>
        <v>1.4568445674648951E-3</v>
      </c>
    </row>
    <row r="10" spans="1:48">
      <c r="A10" s="15" t="s">
        <v>38</v>
      </c>
      <c r="B10" s="16" t="s">
        <v>2</v>
      </c>
      <c r="C10" s="15" t="s">
        <v>28</v>
      </c>
      <c r="D10" s="16" t="s">
        <v>39</v>
      </c>
      <c r="E10" s="15" t="s">
        <v>32</v>
      </c>
      <c r="F10" s="15" t="s">
        <v>31</v>
      </c>
      <c r="G10" s="22">
        <f>'[10]YJW-parameter'!B$45/('[10]ZJQ-new veh FE'!H10*'[10]YJW-parameter'!$C32)</f>
        <v>2.324065103043514E-4</v>
      </c>
      <c r="H10" s="22">
        <f>'[10]YJW-parameter'!C$45/('[10]ZJQ-new veh FE'!I10*'[10]YJW-parameter'!$C32)</f>
        <v>2.324065103043514E-4</v>
      </c>
      <c r="I10" s="22">
        <f>'[10]YJW-parameter'!C$45/('[10]ZJQ-new veh FE'!J10*'[10]YJW-parameter'!$C32)</f>
        <v>2.324065103043514E-4</v>
      </c>
      <c r="J10" s="22">
        <f>'[10]YJW-parameter'!D$45/('[10]ZJQ-new veh FE'!K10*'[10]YJW-parameter'!$C32)</f>
        <v>2.324065103043514E-4</v>
      </c>
      <c r="K10" s="22">
        <f>'[10]YJW-parameter'!E$45/('[10]ZJQ-new veh FE'!L10*'[10]YJW-parameter'!$C32)</f>
        <v>2.324065103043514E-4</v>
      </c>
      <c r="L10" s="22">
        <f>'[10]YJW-parameter'!F$45/('[10]ZJQ-new veh FE'!M10*'[10]YJW-parameter'!$C32)</f>
        <v>2.324065103043514E-4</v>
      </c>
      <c r="M10" s="22">
        <f>'[10]YJW-parameter'!G$45/('[10]ZJQ-new veh FE'!N10*'[10]YJW-parameter'!$C32)</f>
        <v>2.324065103043514E-4</v>
      </c>
      <c r="N10" s="22">
        <f>'[10]YJW-parameter'!H$45/('[10]ZJQ-new veh FE'!O10*'[10]YJW-parameter'!$C32)</f>
        <v>2.324065103043514E-4</v>
      </c>
      <c r="O10" s="22">
        <f>'[10]YJW-parameter'!I$45/('[10]ZJQ-new veh FE'!P10*'[10]YJW-parameter'!$C32)</f>
        <v>2.324065103043514E-4</v>
      </c>
      <c r="P10" s="22">
        <f>'[10]YJW-parameter'!J$45/('[10]ZJQ-new veh FE'!Q10*'[10]YJW-parameter'!$C32)</f>
        <v>2.324065103043514E-4</v>
      </c>
      <c r="Q10" s="22">
        <f>'[10]YJW-parameter'!K$45/('[10]ZJQ-new veh FE'!R10*'[10]YJW-parameter'!$C32)</f>
        <v>2.324065103043514E-4</v>
      </c>
      <c r="R10" s="22">
        <f>'[10]YJW-parameter'!L$45/('[10]ZJQ-new veh FE'!S10*'[10]YJW-parameter'!$C32)</f>
        <v>2.324065103043514E-4</v>
      </c>
      <c r="S10" s="22">
        <f>'[10]YJW-parameter'!M$45/('[10]ZJQ-new veh FE'!T10*'[10]YJW-parameter'!$C32)</f>
        <v>2.324065103043514E-4</v>
      </c>
      <c r="T10" s="22">
        <f>'[10]YJW-parameter'!N$45/('[10]ZJQ-new veh FE'!U10*'[10]YJW-parameter'!$C32)</f>
        <v>2.324065103043514E-4</v>
      </c>
      <c r="U10" s="22">
        <f>'[10]YJW-parameter'!O$45/('[10]ZJQ-new veh FE'!V10*'[10]YJW-parameter'!$C32)</f>
        <v>2.324065103043514E-4</v>
      </c>
      <c r="V10" s="22">
        <f>'[10]YJW-parameter'!P$45/('[10]ZJQ-new veh FE'!W10*'[10]YJW-parameter'!$C32)</f>
        <v>2.324065103043514E-4</v>
      </c>
      <c r="W10" s="22">
        <f>'[10]YJW-parameter'!Q$45/('[10]ZJQ-new veh FE'!X10*'[10]YJW-parameter'!$C32)</f>
        <v>2.324065103043514E-4</v>
      </c>
      <c r="X10" s="22">
        <f>'[10]YJW-parameter'!R$45/('[10]ZJQ-new veh FE'!Y10*'[10]YJW-parameter'!$C32)</f>
        <v>2.324065103043514E-4</v>
      </c>
      <c r="Y10" s="22">
        <f>'[10]YJW-parameter'!S$45/('[10]ZJQ-new veh FE'!Z10*'[10]YJW-parameter'!$C32)</f>
        <v>2.324065103043514E-4</v>
      </c>
      <c r="Z10" s="22">
        <f>'[10]YJW-parameter'!T$45/('[10]ZJQ-new veh FE'!AA10*'[10]YJW-parameter'!$C32)</f>
        <v>2.324065103043514E-4</v>
      </c>
      <c r="AA10" s="22">
        <f>'[10]YJW-parameter'!U$45/('[10]ZJQ-new veh FE'!AB10*'[10]YJW-parameter'!$C32)</f>
        <v>2.324065103043514E-4</v>
      </c>
      <c r="AB10" s="22">
        <f>'[10]YJW-parameter'!V$45/('[10]ZJQ-new veh FE'!AC10*'[10]YJW-parameter'!$C32)</f>
        <v>2.324065103043514E-4</v>
      </c>
      <c r="AC10" s="22">
        <f>'[10]YJW-parameter'!W$45/('[10]ZJQ-new veh FE'!AD10*'[10]YJW-parameter'!$C32)</f>
        <v>2.324065103043514E-4</v>
      </c>
      <c r="AD10" s="22">
        <f>'[10]YJW-parameter'!X$45/('[10]ZJQ-new veh FE'!AE10*'[10]YJW-parameter'!$C32)</f>
        <v>2.324065103043514E-4</v>
      </c>
      <c r="AE10" s="22">
        <f>'[10]YJW-parameter'!Y$45/('[10]ZJQ-new veh FE'!AF10*'[10]YJW-parameter'!$C32)</f>
        <v>2.324065103043514E-4</v>
      </c>
      <c r="AF10" s="22">
        <f>'[10]YJW-parameter'!Z$45/('[10]ZJQ-new veh FE'!AG10*'[10]YJW-parameter'!$C32)</f>
        <v>2.324065103043514E-4</v>
      </c>
      <c r="AG10" s="22">
        <f>'[10]YJW-parameter'!AA$45/('[10]ZJQ-new veh FE'!AH10*'[10]YJW-parameter'!$C32)</f>
        <v>2.324065103043514E-4</v>
      </c>
      <c r="AH10" s="22">
        <f>'[10]YJW-parameter'!AB$45/('[10]ZJQ-new veh FE'!AI10*'[10]YJW-parameter'!$C32)</f>
        <v>2.324065103043514E-4</v>
      </c>
      <c r="AI10" s="22">
        <f>'[10]YJW-parameter'!AC$45/('[10]ZJQ-new veh FE'!AJ10*'[10]YJW-parameter'!$C32)</f>
        <v>2.324065103043514E-4</v>
      </c>
      <c r="AJ10" s="22">
        <f>'[10]YJW-parameter'!AD$45/('[10]ZJQ-new veh FE'!AK10*'[10]YJW-parameter'!$C32)</f>
        <v>2.324065103043514E-4</v>
      </c>
      <c r="AK10" s="22">
        <f>'[10]YJW-parameter'!AE$45/('[10]ZJQ-new veh FE'!AL10*'[10]YJW-parameter'!$C32)</f>
        <v>2.324065103043514E-4</v>
      </c>
      <c r="AL10" s="22">
        <f>'[10]YJW-parameter'!AF$45/('[10]ZJQ-new veh FE'!AM10*'[10]YJW-parameter'!$C32)</f>
        <v>2.324065103043514E-4</v>
      </c>
      <c r="AM10" s="22">
        <f>'[10]YJW-parameter'!AG$45/('[10]ZJQ-new veh FE'!AN10*'[10]YJW-parameter'!$C32)</f>
        <v>2.324065103043514E-4</v>
      </c>
      <c r="AN10" s="22">
        <f>'[10]YJW-parameter'!AH$45/('[10]ZJQ-new veh FE'!AO10*'[10]YJW-parameter'!$C32)</f>
        <v>2.324065103043514E-4</v>
      </c>
      <c r="AO10" s="22">
        <f>'[10]YJW-parameter'!AI$45/('[10]ZJQ-new veh FE'!AP10*'[10]YJW-parameter'!$C32)</f>
        <v>2.324065103043514E-4</v>
      </c>
      <c r="AP10" s="22">
        <f>'[10]YJW-parameter'!AJ$45/('[10]ZJQ-new veh FE'!AQ10*'[10]YJW-parameter'!$C32)</f>
        <v>2.324065103043514E-4</v>
      </c>
      <c r="AQ10" s="22">
        <f>'[10]YJW-parameter'!AK$45/('[10]ZJQ-new veh FE'!AR10*'[10]YJW-parameter'!$C32)</f>
        <v>2.324065103043514E-4</v>
      </c>
      <c r="AR10" s="22">
        <f>'[10]YJW-parameter'!AL$45/('[10]ZJQ-new veh FE'!AS10*'[10]YJW-parameter'!$C32)</f>
        <v>2.324065103043514E-4</v>
      </c>
      <c r="AS10" s="22">
        <f>'[10]YJW-parameter'!AM$45/('[10]ZJQ-new veh FE'!AT10*'[10]YJW-parameter'!$C32)</f>
        <v>2.324065103043514E-4</v>
      </c>
      <c r="AT10" s="22">
        <f>'[10]YJW-parameter'!AN$45/('[10]ZJQ-new veh FE'!AU10*'[10]YJW-parameter'!$C32)</f>
        <v>2.324065103043514E-4</v>
      </c>
      <c r="AU10" s="22">
        <f>'[10]YJW-parameter'!AO$45/('[10]ZJQ-new veh FE'!AV10*'[10]YJW-parameter'!$C32)</f>
        <v>2.324065103043514E-4</v>
      </c>
      <c r="AV10" s="22">
        <f>'[10]YJW-parameter'!AP$45/('[10]ZJQ-new veh FE'!AW10*'[10]YJW-parameter'!$C32)</f>
        <v>2.324065103043514E-4</v>
      </c>
    </row>
    <row r="11" spans="1:48">
      <c r="A11" s="15" t="s">
        <v>38</v>
      </c>
      <c r="B11" s="16" t="s">
        <v>3</v>
      </c>
      <c r="C11" s="15" t="s">
        <v>28</v>
      </c>
      <c r="D11" s="16" t="s">
        <v>39</v>
      </c>
      <c r="E11" s="15" t="s">
        <v>33</v>
      </c>
      <c r="F11" s="15" t="s">
        <v>31</v>
      </c>
      <c r="G11" s="23">
        <f>G33</f>
        <v>2.7123321432210586E-4</v>
      </c>
      <c r="H11" s="23">
        <f>H33</f>
        <v>2.7123321432210586E-4</v>
      </c>
      <c r="I11" s="23">
        <f t="shared" ref="I11:AV12" si="1">I33</f>
        <v>2.7123321432210586E-4</v>
      </c>
      <c r="J11" s="23">
        <f t="shared" si="1"/>
        <v>2.789438575386206E-4</v>
      </c>
      <c r="K11" s="23">
        <f t="shared" si="1"/>
        <v>2.8710572600360615E-4</v>
      </c>
      <c r="L11" s="23">
        <f t="shared" si="1"/>
        <v>2.957596220001687E-4</v>
      </c>
      <c r="M11" s="23">
        <f t="shared" si="1"/>
        <v>3.049514201244884E-4</v>
      </c>
      <c r="N11" s="23">
        <f t="shared" si="1"/>
        <v>3.1478039479184621E-4</v>
      </c>
      <c r="O11" s="23">
        <f t="shared" si="1"/>
        <v>3.1597292545858301E-4</v>
      </c>
      <c r="P11" s="23">
        <f t="shared" si="1"/>
        <v>3.1717452617906742E-4</v>
      </c>
      <c r="Q11" s="23">
        <f t="shared" si="1"/>
        <v>3.1838530082473494E-4</v>
      </c>
      <c r="R11" s="23">
        <f t="shared" si="1"/>
        <v>3.1960535485916455E-4</v>
      </c>
      <c r="S11" s="23">
        <f t="shared" si="1"/>
        <v>3.2083479536870122E-4</v>
      </c>
      <c r="T11" s="23">
        <f t="shared" si="1"/>
        <v>3.2269679410372042E-4</v>
      </c>
      <c r="U11" s="23">
        <f t="shared" si="1"/>
        <v>3.2458053161600077E-4</v>
      </c>
      <c r="V11" s="23">
        <f t="shared" si="1"/>
        <v>3.2648639084023942E-4</v>
      </c>
      <c r="W11" s="23">
        <f t="shared" si="1"/>
        <v>3.2841476375825934E-4</v>
      </c>
      <c r="X11" s="23">
        <f t="shared" si="1"/>
        <v>3.3036605166777939E-4</v>
      </c>
      <c r="Y11" s="23">
        <f t="shared" si="1"/>
        <v>3.3234066546082076E-4</v>
      </c>
      <c r="Z11" s="23">
        <f t="shared" si="1"/>
        <v>3.3433902591216056E-4</v>
      </c>
      <c r="AA11" s="23">
        <f t="shared" si="1"/>
        <v>3.363615639782528E-4</v>
      </c>
      <c r="AB11" s="23">
        <f t="shared" si="1"/>
        <v>3.3840872110706637E-4</v>
      </c>
      <c r="AC11" s="23">
        <f t="shared" si="1"/>
        <v>3.4048094955930585E-4</v>
      </c>
      <c r="AD11" s="23">
        <f t="shared" si="1"/>
        <v>3.4257871274150813E-4</v>
      </c>
      <c r="AE11" s="23">
        <f t="shared" si="1"/>
        <v>3.4470248555152732E-4</v>
      </c>
      <c r="AF11" s="23">
        <f t="shared" si="1"/>
        <v>3.4685275473695233E-4</v>
      </c>
      <c r="AG11" s="23">
        <f t="shared" si="1"/>
        <v>3.4903001926702191E-4</v>
      </c>
      <c r="AH11" s="23">
        <f t="shared" si="1"/>
        <v>3.5123479071863718E-4</v>
      </c>
      <c r="AI11" s="23">
        <f t="shared" si="1"/>
        <v>3.5346759367709598E-4</v>
      </c>
      <c r="AJ11" s="23">
        <f t="shared" si="1"/>
        <v>3.5572896615221182E-4</v>
      </c>
      <c r="AK11" s="23">
        <f t="shared" si="1"/>
        <v>3.5801946001050636E-4</v>
      </c>
      <c r="AL11" s="23">
        <f t="shared" si="1"/>
        <v>3.6033964142421002E-4</v>
      </c>
      <c r="AM11" s="23">
        <f t="shared" si="1"/>
        <v>3.6199745401062312E-4</v>
      </c>
      <c r="AN11" s="23">
        <f t="shared" si="1"/>
        <v>3.6199745401062312E-4</v>
      </c>
      <c r="AO11" s="23">
        <f t="shared" si="1"/>
        <v>3.6199745401062312E-4</v>
      </c>
      <c r="AP11" s="23">
        <f t="shared" si="1"/>
        <v>3.6199745401062312E-4</v>
      </c>
      <c r="AQ11" s="23">
        <f t="shared" si="1"/>
        <v>3.6199745401062312E-4</v>
      </c>
      <c r="AR11" s="23">
        <f t="shared" si="1"/>
        <v>3.6199745401062312E-4</v>
      </c>
      <c r="AS11" s="23">
        <f t="shared" si="1"/>
        <v>3.6199745401062312E-4</v>
      </c>
      <c r="AT11" s="23">
        <f t="shared" si="1"/>
        <v>3.6199745401062312E-4</v>
      </c>
      <c r="AU11" s="23">
        <f t="shared" si="1"/>
        <v>3.6199745401062312E-4</v>
      </c>
      <c r="AV11" s="23">
        <f t="shared" si="1"/>
        <v>3.6199745401062312E-4</v>
      </c>
    </row>
    <row r="12" spans="1:48">
      <c r="A12" s="15" t="s">
        <v>38</v>
      </c>
      <c r="B12" s="16" t="s">
        <v>4</v>
      </c>
      <c r="C12" s="15" t="s">
        <v>28</v>
      </c>
      <c r="D12" s="16" t="s">
        <v>39</v>
      </c>
      <c r="E12" s="15" t="s">
        <v>34</v>
      </c>
      <c r="F12" s="15" t="s">
        <v>31</v>
      </c>
      <c r="G12" s="23">
        <f>G34</f>
        <v>2.9336401943689746E-4</v>
      </c>
      <c r="H12" s="23">
        <f>H34</f>
        <v>2.9336401943689746E-4</v>
      </c>
      <c r="I12" s="23">
        <f t="shared" si="1"/>
        <v>2.9336401943689746E-4</v>
      </c>
      <c r="J12" s="23">
        <f t="shared" si="1"/>
        <v>3.01115507755352E-4</v>
      </c>
      <c r="K12" s="23">
        <f t="shared" si="1"/>
        <v>3.092877449178146E-4</v>
      </c>
      <c r="L12" s="23">
        <f t="shared" si="1"/>
        <v>3.179159438103717E-4</v>
      </c>
      <c r="M12" s="23">
        <f t="shared" si="1"/>
        <v>3.270393594164088E-4</v>
      </c>
      <c r="N12" s="23">
        <f t="shared" si="1"/>
        <v>3.3670188594462085E-4</v>
      </c>
      <c r="O12" s="23">
        <f t="shared" si="1"/>
        <v>3.3823933747861461E-4</v>
      </c>
      <c r="P12" s="23">
        <f t="shared" si="1"/>
        <v>3.3979089407255316E-4</v>
      </c>
      <c r="Q12" s="23">
        <f t="shared" si="1"/>
        <v>3.4135675072726542E-4</v>
      </c>
      <c r="R12" s="23">
        <f t="shared" si="1"/>
        <v>3.4293710605470644E-4</v>
      </c>
      <c r="S12" s="23">
        <f t="shared" si="1"/>
        <v>3.4453216236193774E-4</v>
      </c>
      <c r="T12" s="23">
        <f t="shared" si="1"/>
        <v>3.4614212573746039E-4</v>
      </c>
      <c r="U12" s="23">
        <f t="shared" si="1"/>
        <v>3.4776720613998363E-4</v>
      </c>
      <c r="V12" s="23">
        <f t="shared" si="1"/>
        <v>3.4940761748970052E-4</v>
      </c>
      <c r="W12" s="23">
        <f t="shared" si="1"/>
        <v>3.5106357776216356E-4</v>
      </c>
      <c r="X12" s="23">
        <f t="shared" si="1"/>
        <v>3.5273530908484058E-4</v>
      </c>
      <c r="Y12" s="23">
        <f t="shared" si="1"/>
        <v>3.5442303783644267E-4</v>
      </c>
      <c r="Z12" s="23">
        <f t="shared" si="1"/>
        <v>3.5612699474911783E-4</v>
      </c>
      <c r="AA12" s="23">
        <f t="shared" si="1"/>
        <v>3.5784741501360633E-4</v>
      </c>
      <c r="AB12" s="23">
        <f t="shared" si="1"/>
        <v>3.5958453838745872E-4</v>
      </c>
      <c r="AC12" s="23">
        <f t="shared" si="1"/>
        <v>3.61338609306422E-4</v>
      </c>
      <c r="AD12" s="23">
        <f t="shared" si="1"/>
        <v>3.6355541059051054E-4</v>
      </c>
      <c r="AE12" s="23">
        <f t="shared" si="1"/>
        <v>3.6579957979168643E-4</v>
      </c>
      <c r="AF12" s="23">
        <f t="shared" si="1"/>
        <v>3.6807162687113788E-4</v>
      </c>
      <c r="AG12" s="23">
        <f t="shared" si="1"/>
        <v>3.7037207453908248E-4</v>
      </c>
      <c r="AH12" s="23">
        <f t="shared" si="1"/>
        <v>3.7270145865568051E-4</v>
      </c>
      <c r="AI12" s="23">
        <f t="shared" si="1"/>
        <v>3.7506032864717212E-4</v>
      </c>
      <c r="AJ12" s="23">
        <f t="shared" si="1"/>
        <v>3.7744924793791843E-4</v>
      </c>
      <c r="AK12" s="23">
        <f t="shared" si="1"/>
        <v>3.7986879439905902E-4</v>
      </c>
      <c r="AL12" s="23">
        <f t="shared" si="1"/>
        <v>3.8231956081453679E-4</v>
      </c>
      <c r="AM12" s="23">
        <f t="shared" si="1"/>
        <v>3.8480215536528054E-4</v>
      </c>
      <c r="AN12" s="23">
        <f t="shared" si="1"/>
        <v>3.858042443115448E-4</v>
      </c>
      <c r="AO12" s="23">
        <f t="shared" si="1"/>
        <v>3.858042443115448E-4</v>
      </c>
      <c r="AP12" s="23">
        <f t="shared" si="1"/>
        <v>3.858042443115448E-4</v>
      </c>
      <c r="AQ12" s="23">
        <f t="shared" si="1"/>
        <v>3.858042443115448E-4</v>
      </c>
      <c r="AR12" s="23">
        <f t="shared" si="1"/>
        <v>3.858042443115448E-4</v>
      </c>
      <c r="AS12" s="23">
        <f t="shared" si="1"/>
        <v>3.858042443115448E-4</v>
      </c>
      <c r="AT12" s="23">
        <f t="shared" si="1"/>
        <v>3.858042443115448E-4</v>
      </c>
      <c r="AU12" s="23">
        <f t="shared" si="1"/>
        <v>3.858042443115448E-4</v>
      </c>
      <c r="AV12" s="23">
        <f t="shared" si="1"/>
        <v>3.858042443115448E-4</v>
      </c>
    </row>
    <row r="13" spans="1:48">
      <c r="A13" s="15" t="s">
        <v>38</v>
      </c>
      <c r="B13" s="16" t="s">
        <v>5</v>
      </c>
      <c r="C13" s="15" t="s">
        <v>28</v>
      </c>
      <c r="D13" s="16" t="s">
        <v>39</v>
      </c>
      <c r="E13" s="15" t="s">
        <v>35</v>
      </c>
      <c r="F13" s="15" t="s">
        <v>31</v>
      </c>
      <c r="G13" s="22">
        <f>'[10]YJW-parameter'!B$45/('[10]ZJQ-new veh FE'!H13*'[10]YJW-parameter'!$C35)</f>
        <v>3.706853939499305E-4</v>
      </c>
      <c r="H13" s="22">
        <f>'[10]YJW-parameter'!C$45/('[10]ZJQ-new veh FE'!I13*'[10]YJW-parameter'!$C35)</f>
        <v>3.706853939499305E-4</v>
      </c>
      <c r="I13" s="22">
        <f>'[10]YJW-parameter'!D$45/('[10]ZJQ-new veh FE'!J13*'[10]YJW-parameter'!$C35)</f>
        <v>3.8136357402256219E-4</v>
      </c>
      <c r="J13" s="22">
        <f>'[10]YJW-parameter'!E$45/('[10]ZJQ-new veh FE'!K13*'[10]YJW-parameter'!$C35)</f>
        <v>3.9267520545543483E-4</v>
      </c>
      <c r="K13" s="22">
        <f>'[10]YJW-parameter'!F$45/('[10]ZJQ-new veh FE'!L13*'[10]YJW-parameter'!$C35)</f>
        <v>4.0467837767459657E-4</v>
      </c>
      <c r="L13" s="22">
        <f>'[10]YJW-parameter'!G$45/('[10]ZJQ-new veh FE'!M13*'[10]YJW-parameter'!$C35)</f>
        <v>4.1743850670037215E-4</v>
      </c>
      <c r="M13" s="22">
        <f>'[10]YJW-parameter'!H$45/('[10]ZJQ-new veh FE'!N13*'[10]YJW-parameter'!$C35)</f>
        <v>4.3102952784875639E-4</v>
      </c>
      <c r="N13" s="22">
        <f>'[10]YJW-parameter'!I$45/('[10]ZJQ-new veh FE'!O13*'[10]YJW-parameter'!$C35)</f>
        <v>4.3712900229944635E-4</v>
      </c>
      <c r="O13" s="22">
        <f>'[10]YJW-parameter'!J$45/('[10]ZJQ-new veh FE'!P13*'[10]YJW-parameter'!$C35)</f>
        <v>4.4340358127982113E-4</v>
      </c>
      <c r="P13" s="22">
        <f>'[10]YJW-parameter'!K$45/('[10]ZJQ-new veh FE'!Q13*'[10]YJW-parameter'!$C35)</f>
        <v>4.4986091498777967E-4</v>
      </c>
      <c r="Q13" s="22">
        <f>'[10]YJW-parameter'!L$45/('[10]ZJQ-new veh FE'!R13*'[10]YJW-parameter'!$C35)</f>
        <v>4.5650910584966808E-4</v>
      </c>
      <c r="R13" s="22">
        <f>'[10]YJW-parameter'!M$45/('[10]ZJQ-new veh FE'!S13*'[10]YJW-parameter'!$C35)</f>
        <v>4.6335674243741309E-4</v>
      </c>
      <c r="S13" s="22">
        <f>'[10]YJW-parameter'!N$45/('[10]ZJQ-new veh FE'!T13*'[10]YJW-parameter'!$C35)</f>
        <v>4.6803711357314452E-4</v>
      </c>
      <c r="T13" s="22">
        <f>'[10]YJW-parameter'!O$45/('[10]ZJQ-new veh FE'!U13*'[10]YJW-parameter'!$C35)</f>
        <v>4.7281300248715619E-4</v>
      </c>
      <c r="U13" s="22">
        <f>'[10]YJW-parameter'!P$45/('[10]ZJQ-new veh FE'!V13*'[10]YJW-parameter'!$C35)</f>
        <v>4.7768736333753928E-4</v>
      </c>
      <c r="V13" s="22">
        <f>'[10]YJW-parameter'!Q$45/('[10]ZJQ-new veh FE'!W13*'[10]YJW-parameter'!$C35)</f>
        <v>4.8266327337230535E-4</v>
      </c>
      <c r="W13" s="22">
        <f>'[10]YJW-parameter'!R$45/('[10]ZJQ-new veh FE'!X13*'[10]YJW-parameter'!$C35)</f>
        <v>4.8774393940780324E-4</v>
      </c>
      <c r="X13" s="22">
        <f>'[10]YJW-parameter'!S$45/('[10]ZJQ-new veh FE'!Y13*'[10]YJW-parameter'!$C35)</f>
        <v>4.8774393940780324E-4</v>
      </c>
      <c r="Y13" s="22">
        <f>'[10]YJW-parameter'!T$45/('[10]ZJQ-new veh FE'!Z13*'[10]YJW-parameter'!$C35)</f>
        <v>4.8774393940780324E-4</v>
      </c>
      <c r="Z13" s="22">
        <f>'[10]YJW-parameter'!U$45/('[10]ZJQ-new veh FE'!AA13*'[10]YJW-parameter'!$C35)</f>
        <v>4.8774393940780324E-4</v>
      </c>
      <c r="AA13" s="22">
        <f>'[10]YJW-parameter'!V$45/('[10]ZJQ-new veh FE'!AB13*'[10]YJW-parameter'!$C35)</f>
        <v>4.8774393940780324E-4</v>
      </c>
      <c r="AB13" s="22">
        <f>'[10]YJW-parameter'!W$45/('[10]ZJQ-new veh FE'!AC13*'[10]YJW-parameter'!$C35)</f>
        <v>4.8774393940780324E-4</v>
      </c>
      <c r="AC13" s="22">
        <f>'[10]YJW-parameter'!X$45/('[10]ZJQ-new veh FE'!AD13*'[10]YJW-parameter'!$C35)</f>
        <v>4.8774393940780324E-4</v>
      </c>
      <c r="AD13" s="22">
        <f>'[10]YJW-parameter'!Y$45/('[10]ZJQ-new veh FE'!AE13*'[10]YJW-parameter'!$C35)</f>
        <v>4.8774393940780324E-4</v>
      </c>
      <c r="AE13" s="22">
        <f>'[10]YJW-parameter'!Z$45/('[10]ZJQ-new veh FE'!AF13*'[10]YJW-parameter'!$C35)</f>
        <v>4.8774393940780324E-4</v>
      </c>
      <c r="AF13" s="22">
        <f>'[10]YJW-parameter'!AA$45/('[10]ZJQ-new veh FE'!AG13*'[10]YJW-parameter'!$C35)</f>
        <v>4.8774393940780324E-4</v>
      </c>
      <c r="AG13" s="22">
        <f>'[10]YJW-parameter'!AB$45/('[10]ZJQ-new veh FE'!AH13*'[10]YJW-parameter'!$C35)</f>
        <v>4.8774393940780324E-4</v>
      </c>
      <c r="AH13" s="22">
        <f>'[10]YJW-parameter'!AC$45/('[10]ZJQ-new veh FE'!AI13*'[10]YJW-parameter'!$C35)</f>
        <v>4.8774393940780324E-4</v>
      </c>
      <c r="AI13" s="22">
        <f>'[10]YJW-parameter'!AD$45/('[10]ZJQ-new veh FE'!AJ13*'[10]YJW-parameter'!$C35)</f>
        <v>4.8774393940780324E-4</v>
      </c>
      <c r="AJ13" s="22">
        <f>'[10]YJW-parameter'!AE$45/('[10]ZJQ-new veh FE'!AK13*'[10]YJW-parameter'!$C35)</f>
        <v>4.8774393940780324E-4</v>
      </c>
      <c r="AK13" s="22">
        <f>'[10]YJW-parameter'!AF$45/('[10]ZJQ-new veh FE'!AL13*'[10]YJW-parameter'!$C35)</f>
        <v>4.8774393940780324E-4</v>
      </c>
      <c r="AL13" s="22">
        <f>'[10]YJW-parameter'!AG$45/('[10]ZJQ-new veh FE'!AM13*'[10]YJW-parameter'!$C35)</f>
        <v>4.8774393940780324E-4</v>
      </c>
      <c r="AM13" s="22">
        <f>'[10]YJW-parameter'!AH$45/('[10]ZJQ-new veh FE'!AN13*'[10]YJW-parameter'!$C35)</f>
        <v>4.8774393940780324E-4</v>
      </c>
      <c r="AN13" s="22">
        <f>'[10]YJW-parameter'!AI$45/('[10]ZJQ-new veh FE'!AO13*'[10]YJW-parameter'!$C35)</f>
        <v>4.8774393940780324E-4</v>
      </c>
      <c r="AO13" s="22">
        <f>'[10]YJW-parameter'!AJ$45/('[10]ZJQ-new veh FE'!AP13*'[10]YJW-parameter'!$C35)</f>
        <v>4.8774393940780324E-4</v>
      </c>
      <c r="AP13" s="22">
        <f>'[10]YJW-parameter'!AK$45/('[10]ZJQ-new veh FE'!AQ13*'[10]YJW-parameter'!$C35)</f>
        <v>4.8774393940780324E-4</v>
      </c>
      <c r="AQ13" s="22">
        <f>'[10]YJW-parameter'!AL$45/('[10]ZJQ-new veh FE'!AR13*'[10]YJW-parameter'!$C35)</f>
        <v>4.8774393940780324E-4</v>
      </c>
      <c r="AR13" s="22">
        <f>'[10]YJW-parameter'!AM$45/('[10]ZJQ-new veh FE'!AS13*'[10]YJW-parameter'!$C35)</f>
        <v>4.8774393940780324E-4</v>
      </c>
      <c r="AS13" s="22">
        <f>'[10]YJW-parameter'!AN$45/('[10]ZJQ-new veh FE'!AT13*'[10]YJW-parameter'!$C35)</f>
        <v>4.8774393940780324E-4</v>
      </c>
      <c r="AT13" s="22">
        <f>'[10]YJW-parameter'!AO$45/('[10]ZJQ-new veh FE'!AU13*'[10]YJW-parameter'!$C35)</f>
        <v>4.8774393940780324E-4</v>
      </c>
      <c r="AU13" s="22">
        <f>'[10]YJW-parameter'!AP$45/('[10]ZJQ-new veh FE'!AV13*'[10]YJW-parameter'!$C35)</f>
        <v>4.8774393940780324E-4</v>
      </c>
      <c r="AV13" s="22">
        <f>'[10]YJW-parameter'!AQ$45/('[10]ZJQ-new veh FE'!AW13*'[10]YJW-parameter'!$C35)</f>
        <v>4.8774393940780324E-4</v>
      </c>
    </row>
    <row r="14" spans="1:48">
      <c r="A14" s="15" t="s">
        <v>38</v>
      </c>
      <c r="B14" s="16" t="s">
        <v>6</v>
      </c>
      <c r="C14" s="15" t="s">
        <v>28</v>
      </c>
      <c r="D14" s="16" t="s">
        <v>39</v>
      </c>
      <c r="E14" s="15" t="s">
        <v>36</v>
      </c>
      <c r="F14" s="15" t="s">
        <v>31</v>
      </c>
      <c r="G14" s="22">
        <f>1/('[10]ZJQ-new veh FE'!H14*'[10]YJW-parameter'!$C36)*'[10]YJW-parameter'!B$45</f>
        <v>9.0102269098586051E-5</v>
      </c>
      <c r="H14" s="22">
        <f>1/('[10]ZJQ-new veh FE'!I14*'[10]YJW-parameter'!$C36)*'[10]YJW-parameter'!C$45</f>
        <v>9.0102269098586051E-5</v>
      </c>
      <c r="I14" s="22">
        <f>1/('[10]ZJQ-new veh FE'!J14*'[10]YJW-parameter'!$C36)*'[10]YJW-parameter'!D$45</f>
        <v>9.0102269098586051E-5</v>
      </c>
      <c r="J14" s="22">
        <f>1/('[10]ZJQ-new veh FE'!K14*'[10]YJW-parameter'!$C36)*'[10]YJW-parameter'!E$45</f>
        <v>9.0102269098586051E-5</v>
      </c>
      <c r="K14" s="22">
        <f>1/('[10]ZJQ-new veh FE'!L14*'[10]YJW-parameter'!$C36)*'[10]YJW-parameter'!F$45</f>
        <v>9.0102269098586051E-5</v>
      </c>
      <c r="L14" s="22">
        <f>1/('[10]ZJQ-new veh FE'!M14*'[10]YJW-parameter'!$C36)*'[10]YJW-parameter'!G$45</f>
        <v>9.0102269098586051E-5</v>
      </c>
      <c r="M14" s="22">
        <f>1/('[10]ZJQ-new veh FE'!N14*'[10]YJW-parameter'!$C36)*'[10]YJW-parameter'!H$45</f>
        <v>9.0102269098586051E-5</v>
      </c>
      <c r="N14" s="22">
        <f>1/('[10]ZJQ-new veh FE'!O14*'[10]YJW-parameter'!$C36)*'[10]YJW-parameter'!I$45</f>
        <v>9.0102269098586051E-5</v>
      </c>
      <c r="O14" s="22">
        <f>1/('[10]ZJQ-new veh FE'!P14*'[10]YJW-parameter'!$C36)*'[10]YJW-parameter'!J$45</f>
        <v>9.0102269098586051E-5</v>
      </c>
      <c r="P14" s="22">
        <f>1/('[10]ZJQ-new veh FE'!Q14*'[10]YJW-parameter'!$C36)*'[10]YJW-parameter'!K$45</f>
        <v>9.0102269098586051E-5</v>
      </c>
      <c r="Q14" s="22">
        <f>1/('[10]ZJQ-new veh FE'!R14*'[10]YJW-parameter'!$C36)*'[10]YJW-parameter'!L$45</f>
        <v>9.0102269098586051E-5</v>
      </c>
      <c r="R14" s="22">
        <f>1/('[10]ZJQ-new veh FE'!S14*'[10]YJW-parameter'!$C36)*'[10]YJW-parameter'!M$45</f>
        <v>9.0102269098586051E-5</v>
      </c>
      <c r="S14" s="22">
        <f>1/('[10]ZJQ-new veh FE'!T14*'[10]YJW-parameter'!$C36)*'[10]YJW-parameter'!N$45</f>
        <v>9.0102269098586051E-5</v>
      </c>
      <c r="T14" s="22">
        <f>1/('[10]ZJQ-new veh FE'!U14*'[10]YJW-parameter'!$C36)*'[10]YJW-parameter'!O$45</f>
        <v>9.0102269098586051E-5</v>
      </c>
      <c r="U14" s="22">
        <f>1/('[10]ZJQ-new veh FE'!V14*'[10]YJW-parameter'!$C36)*'[10]YJW-parameter'!P$45</f>
        <v>9.0102269098586051E-5</v>
      </c>
      <c r="V14" s="22">
        <f>1/('[10]ZJQ-new veh FE'!W14*'[10]YJW-parameter'!$C36)*'[10]YJW-parameter'!Q$45</f>
        <v>9.0102269098586051E-5</v>
      </c>
      <c r="W14" s="22">
        <f>1/('[10]ZJQ-new veh FE'!X14*'[10]YJW-parameter'!$C36)*'[10]YJW-parameter'!R$45</f>
        <v>9.0102269098586051E-5</v>
      </c>
      <c r="X14" s="22">
        <f>1/('[10]ZJQ-new veh FE'!Y14*'[10]YJW-parameter'!$C36)*'[10]YJW-parameter'!S$45</f>
        <v>9.0102269098586051E-5</v>
      </c>
      <c r="Y14" s="22">
        <f>1/('[10]ZJQ-new veh FE'!Z14*'[10]YJW-parameter'!$C36)*'[10]YJW-parameter'!T$45</f>
        <v>9.0102269098586051E-5</v>
      </c>
      <c r="Z14" s="22">
        <f>1/('[10]ZJQ-new veh FE'!AA14*'[10]YJW-parameter'!$C36)*'[10]YJW-parameter'!U$45</f>
        <v>9.0102269098586051E-5</v>
      </c>
      <c r="AA14" s="22">
        <f>1/('[10]ZJQ-new veh FE'!AB14*'[10]YJW-parameter'!$C36)*'[10]YJW-parameter'!V$45</f>
        <v>9.0102269098586051E-5</v>
      </c>
      <c r="AB14" s="22">
        <f>1/('[10]ZJQ-new veh FE'!AC14*'[10]YJW-parameter'!$C36)*'[10]YJW-parameter'!W$45</f>
        <v>9.0102269098586051E-5</v>
      </c>
      <c r="AC14" s="22">
        <f>1/('[10]ZJQ-new veh FE'!AD14*'[10]YJW-parameter'!$C36)*'[10]YJW-parameter'!X$45</f>
        <v>9.0102269098586051E-5</v>
      </c>
      <c r="AD14" s="22">
        <f>1/('[10]ZJQ-new veh FE'!AE14*'[10]YJW-parameter'!$C36)*'[10]YJW-parameter'!Y$45</f>
        <v>9.0102269098586051E-5</v>
      </c>
      <c r="AE14" s="22">
        <f>1/('[10]ZJQ-new veh FE'!AF14*'[10]YJW-parameter'!$C36)*'[10]YJW-parameter'!Z$45</f>
        <v>9.0102269098586051E-5</v>
      </c>
      <c r="AF14" s="22">
        <f>1/('[10]ZJQ-new veh FE'!AG14*'[10]YJW-parameter'!$C36)*'[10]YJW-parameter'!AA$45</f>
        <v>9.0102269098586051E-5</v>
      </c>
      <c r="AG14" s="22">
        <f>1/('[10]ZJQ-new veh FE'!AH14*'[10]YJW-parameter'!$C36)*'[10]YJW-parameter'!AB$45</f>
        <v>9.0102269098586051E-5</v>
      </c>
      <c r="AH14" s="22">
        <f>1/('[10]ZJQ-new veh FE'!AI14*'[10]YJW-parameter'!$C36)*'[10]YJW-parameter'!AC$45</f>
        <v>9.0102269098586051E-5</v>
      </c>
      <c r="AI14" s="22">
        <f>1/('[10]ZJQ-new veh FE'!AJ14*'[10]YJW-parameter'!$C36)*'[10]YJW-parameter'!AD$45</f>
        <v>9.0102269098586051E-5</v>
      </c>
      <c r="AJ14" s="22">
        <f>1/('[10]ZJQ-new veh FE'!AK14*'[10]YJW-parameter'!$C36)*'[10]YJW-parameter'!AE$45</f>
        <v>9.0102269098586051E-5</v>
      </c>
      <c r="AK14" s="22">
        <f>1/('[10]ZJQ-new veh FE'!AL14*'[10]YJW-parameter'!$C36)*'[10]YJW-parameter'!AF$45</f>
        <v>9.0102269098586051E-5</v>
      </c>
      <c r="AL14" s="22">
        <f>1/('[10]ZJQ-new veh FE'!AM14*'[10]YJW-parameter'!$C36)*'[10]YJW-parameter'!AG$45</f>
        <v>9.0102269098586051E-5</v>
      </c>
      <c r="AM14" s="22">
        <f>1/('[10]ZJQ-new veh FE'!AN14*'[10]YJW-parameter'!$C36)*'[10]YJW-parameter'!AH$45</f>
        <v>9.0102269098586051E-5</v>
      </c>
      <c r="AN14" s="22">
        <f>1/('[10]ZJQ-new veh FE'!AO14*'[10]YJW-parameter'!$C36)*'[10]YJW-parameter'!AI$45</f>
        <v>9.0102269098586051E-5</v>
      </c>
      <c r="AO14" s="22">
        <f>1/('[10]ZJQ-new veh FE'!AP14*'[10]YJW-parameter'!$C36)*'[10]YJW-parameter'!AJ$45</f>
        <v>9.0102269098586051E-5</v>
      </c>
      <c r="AP14" s="22">
        <f>1/('[10]ZJQ-new veh FE'!AQ14*'[10]YJW-parameter'!$C36)*'[10]YJW-parameter'!AK$45</f>
        <v>9.0102269098586051E-5</v>
      </c>
      <c r="AQ14" s="22">
        <f>1/('[10]ZJQ-new veh FE'!AR14*'[10]YJW-parameter'!$C36)*'[10]YJW-parameter'!AL$45</f>
        <v>9.0102269098586051E-5</v>
      </c>
      <c r="AR14" s="22">
        <f>1/('[10]ZJQ-new veh FE'!AS14*'[10]YJW-parameter'!$C36)*'[10]YJW-parameter'!AM$45</f>
        <v>9.0102269098586051E-5</v>
      </c>
      <c r="AS14" s="22">
        <f>1/('[10]ZJQ-new veh FE'!AT14*'[10]YJW-parameter'!$C36)*'[10]YJW-parameter'!AN$45</f>
        <v>9.0102269098586051E-5</v>
      </c>
      <c r="AT14" s="22">
        <f>1/('[10]ZJQ-new veh FE'!AU14*'[10]YJW-parameter'!$C36)*'[10]YJW-parameter'!AO$45</f>
        <v>9.0102269098586051E-5</v>
      </c>
      <c r="AU14" s="22">
        <f>1/('[10]ZJQ-new veh FE'!AV14*'[10]YJW-parameter'!$C36)*'[10]YJW-parameter'!AP$45</f>
        <v>9.0102269098586051E-5</v>
      </c>
      <c r="AV14" s="22">
        <f>1/('[10]ZJQ-new veh FE'!AW14*'[10]YJW-parameter'!$C36)*'[10]YJW-parameter'!AQ$45</f>
        <v>9.0102269098586051E-5</v>
      </c>
    </row>
    <row r="15" spans="1:48">
      <c r="A15" s="15" t="s">
        <v>38</v>
      </c>
      <c r="B15" s="16" t="s">
        <v>7</v>
      </c>
      <c r="C15" s="15" t="s">
        <v>28</v>
      </c>
      <c r="D15" s="16" t="s">
        <v>39</v>
      </c>
      <c r="E15" s="15" t="s">
        <v>37</v>
      </c>
      <c r="F15" s="15" t="s">
        <v>31</v>
      </c>
      <c r="G15" s="22">
        <f>'[10]YJW-parameter'!B$45/('[10]ZJQ-new veh FE'!H15*'[10]YJW-parameter'!$C37)</f>
        <v>2.4622725083913718E-4</v>
      </c>
      <c r="H15" s="22">
        <f>'[10]YJW-parameter'!C$45/('[10]ZJQ-new veh FE'!I15*'[10]YJW-parameter'!$C37)</f>
        <v>2.4622725083913718E-4</v>
      </c>
      <c r="I15" s="22">
        <f>'[10]YJW-parameter'!D$45/('[10]ZJQ-new veh FE'!J15*'[10]YJW-parameter'!$C37)</f>
        <v>2.5471784569565913E-4</v>
      </c>
      <c r="J15" s="22">
        <f>'[10]YJW-parameter'!E$45/('[10]ZJQ-new veh FE'!K15*'[10]YJW-parameter'!$C37)</f>
        <v>2.6381491161336126E-4</v>
      </c>
      <c r="K15" s="22">
        <f>'[10]YJW-parameter'!F$45/('[10]ZJQ-new veh FE'!L15*'[10]YJW-parameter'!$C37)</f>
        <v>2.7358583426570797E-4</v>
      </c>
      <c r="L15" s="22">
        <f>'[10]YJW-parameter'!G$45/('[10]ZJQ-new veh FE'!M15*'[10]YJW-parameter'!$C37)</f>
        <v>2.841083663528506E-4</v>
      </c>
      <c r="M15" s="22">
        <f>'[10]YJW-parameter'!H$45/('[10]ZJQ-new veh FE'!N15*'[10]YJW-parameter'!$C37)</f>
        <v>2.9547270100696457E-4</v>
      </c>
      <c r="N15" s="22">
        <f>'[10]YJW-parameter'!I$45/('[10]ZJQ-new veh FE'!O15*'[10]YJW-parameter'!$C37)</f>
        <v>2.9547270100696457E-4</v>
      </c>
      <c r="O15" s="22">
        <f>'[10]YJW-parameter'!J$45/('[10]ZJQ-new veh FE'!P15*'[10]YJW-parameter'!$C37)</f>
        <v>2.9547270100696457E-4</v>
      </c>
      <c r="P15" s="22">
        <f>'[10]YJW-parameter'!K$45/('[10]ZJQ-new veh FE'!Q15*'[10]YJW-parameter'!$C37)</f>
        <v>2.9547270100696457E-4</v>
      </c>
      <c r="Q15" s="22">
        <f>'[10]YJW-parameter'!L$45/('[10]ZJQ-new veh FE'!R15*'[10]YJW-parameter'!$C37)</f>
        <v>2.9547270100696457E-4</v>
      </c>
      <c r="R15" s="22">
        <f>'[10]YJW-parameter'!M$45/('[10]ZJQ-new veh FE'!S15*'[10]YJW-parameter'!$C37)</f>
        <v>2.9547270100696457E-4</v>
      </c>
      <c r="S15" s="22">
        <f>'[10]YJW-parameter'!N$45/('[10]ZJQ-new veh FE'!T15*'[10]YJW-parameter'!$C37)</f>
        <v>2.9547270100696457E-4</v>
      </c>
      <c r="T15" s="22">
        <f>'[10]YJW-parameter'!O$45/('[10]ZJQ-new veh FE'!U15*'[10]YJW-parameter'!$C37)</f>
        <v>2.9547270100696457E-4</v>
      </c>
      <c r="U15" s="22">
        <f>'[10]YJW-parameter'!P$45/('[10]ZJQ-new veh FE'!V15*'[10]YJW-parameter'!$C37)</f>
        <v>2.9547270100696457E-4</v>
      </c>
      <c r="V15" s="22">
        <f>'[10]YJW-parameter'!Q$45/('[10]ZJQ-new veh FE'!W15*'[10]YJW-parameter'!$C37)</f>
        <v>2.9547270100696457E-4</v>
      </c>
      <c r="W15" s="22">
        <f>'[10]YJW-parameter'!R$45/('[10]ZJQ-new veh FE'!X15*'[10]YJW-parameter'!$C37)</f>
        <v>2.9547270100696457E-4</v>
      </c>
      <c r="X15" s="22">
        <f>'[10]YJW-parameter'!S$45/('[10]ZJQ-new veh FE'!Y15*'[10]YJW-parameter'!$C37)</f>
        <v>2.9547270100696457E-4</v>
      </c>
      <c r="Y15" s="22">
        <f>'[10]YJW-parameter'!T$45/('[10]ZJQ-new veh FE'!Z15*'[10]YJW-parameter'!$C37)</f>
        <v>2.9547270100696457E-4</v>
      </c>
      <c r="Z15" s="22">
        <f>'[10]YJW-parameter'!U$45/('[10]ZJQ-new veh FE'!AA15*'[10]YJW-parameter'!$C37)</f>
        <v>2.9547270100696457E-4</v>
      </c>
      <c r="AA15" s="22">
        <f>'[10]YJW-parameter'!V$45/('[10]ZJQ-new veh FE'!AB15*'[10]YJW-parameter'!$C37)</f>
        <v>2.9547270100696457E-4</v>
      </c>
      <c r="AB15" s="22">
        <f>'[10]YJW-parameter'!W$45/('[10]ZJQ-new veh FE'!AC15*'[10]YJW-parameter'!$C37)</f>
        <v>2.9547270100696457E-4</v>
      </c>
      <c r="AC15" s="22">
        <f>'[10]YJW-parameter'!X$45/('[10]ZJQ-new veh FE'!AD15*'[10]YJW-parameter'!$C37)</f>
        <v>2.9547270100696457E-4</v>
      </c>
      <c r="AD15" s="22">
        <f>'[10]YJW-parameter'!Y$45/('[10]ZJQ-new veh FE'!AE15*'[10]YJW-parameter'!$C37)</f>
        <v>2.9547270100696457E-4</v>
      </c>
      <c r="AE15" s="22">
        <f>'[10]YJW-parameter'!Z$45/('[10]ZJQ-new veh FE'!AF15*'[10]YJW-parameter'!$C37)</f>
        <v>2.9547270100696457E-4</v>
      </c>
      <c r="AF15" s="22">
        <f>'[10]YJW-parameter'!AA$45/('[10]ZJQ-new veh FE'!AG15*'[10]YJW-parameter'!$C37)</f>
        <v>2.9547270100696457E-4</v>
      </c>
      <c r="AG15" s="22">
        <f>'[10]YJW-parameter'!AB$45/('[10]ZJQ-new veh FE'!AH15*'[10]YJW-parameter'!$C37)</f>
        <v>2.9547270100696457E-4</v>
      </c>
      <c r="AH15" s="22">
        <f>'[10]YJW-parameter'!AC$45/('[10]ZJQ-new veh FE'!AI15*'[10]YJW-parameter'!$C37)</f>
        <v>2.9547270100696457E-4</v>
      </c>
      <c r="AI15" s="22">
        <f>'[10]YJW-parameter'!AD$45/('[10]ZJQ-new veh FE'!AJ15*'[10]YJW-parameter'!$C37)</f>
        <v>2.9547270100696457E-4</v>
      </c>
      <c r="AJ15" s="22">
        <f>'[10]YJW-parameter'!AE$45/('[10]ZJQ-new veh FE'!AK15*'[10]YJW-parameter'!$C37)</f>
        <v>2.9547270100696457E-4</v>
      </c>
      <c r="AK15" s="22">
        <f>'[10]YJW-parameter'!AF$45/('[10]ZJQ-new veh FE'!AL15*'[10]YJW-parameter'!$C37)</f>
        <v>2.9547270100696457E-4</v>
      </c>
      <c r="AL15" s="22">
        <f>'[10]YJW-parameter'!AG$45/('[10]ZJQ-new veh FE'!AM15*'[10]YJW-parameter'!$C37)</f>
        <v>2.9547270100696457E-4</v>
      </c>
      <c r="AM15" s="22">
        <f>'[10]YJW-parameter'!AH$45/('[10]ZJQ-new veh FE'!AN15*'[10]YJW-parameter'!$C37)</f>
        <v>2.9547270100696457E-4</v>
      </c>
      <c r="AN15" s="22">
        <f>'[10]YJW-parameter'!AI$45/('[10]ZJQ-new veh FE'!AO15*'[10]YJW-parameter'!$C37)</f>
        <v>2.9547270100696457E-4</v>
      </c>
      <c r="AO15" s="22">
        <f>'[10]YJW-parameter'!AJ$45/('[10]ZJQ-new veh FE'!AP15*'[10]YJW-parameter'!$C37)</f>
        <v>2.9547270100696457E-4</v>
      </c>
      <c r="AP15" s="22">
        <f>'[10]YJW-parameter'!AK$45/('[10]ZJQ-new veh FE'!AQ15*'[10]YJW-parameter'!$C37)</f>
        <v>2.9547270100696457E-4</v>
      </c>
      <c r="AQ15" s="22">
        <f>'[10]YJW-parameter'!AL$45/('[10]ZJQ-new veh FE'!AR15*'[10]YJW-parameter'!$C37)</f>
        <v>2.9547270100696457E-4</v>
      </c>
      <c r="AR15" s="22">
        <f>'[10]YJW-parameter'!AM$45/('[10]ZJQ-new veh FE'!AS15*'[10]YJW-parameter'!$C37)</f>
        <v>2.9547270100696457E-4</v>
      </c>
      <c r="AS15" s="22">
        <f>'[10]YJW-parameter'!AN$45/('[10]ZJQ-new veh FE'!AT15*'[10]YJW-parameter'!$C37)</f>
        <v>2.9547270100696457E-4</v>
      </c>
      <c r="AT15" s="22">
        <f>'[10]YJW-parameter'!AO$45/('[10]ZJQ-new veh FE'!AU15*'[10]YJW-parameter'!$C37)</f>
        <v>2.9547270100696457E-4</v>
      </c>
      <c r="AU15" s="22">
        <f>'[10]YJW-parameter'!AP$45/('[10]ZJQ-new veh FE'!AV15*'[10]YJW-parameter'!$C37)</f>
        <v>2.9547270100696457E-4</v>
      </c>
      <c r="AV15" s="22">
        <f>'[10]YJW-parameter'!AQ$45/('[10]ZJQ-new veh FE'!AW15*'[10]YJW-parameter'!$C37)</f>
        <v>2.9547270100696457E-4</v>
      </c>
    </row>
    <row r="16" spans="1:48">
      <c r="A16" s="18" t="s">
        <v>40</v>
      </c>
      <c r="B16" s="19" t="s">
        <v>1</v>
      </c>
      <c r="C16" s="18" t="s">
        <v>41</v>
      </c>
      <c r="D16" s="18" t="s">
        <v>29</v>
      </c>
      <c r="E16" s="18" t="s">
        <v>30</v>
      </c>
      <c r="F16" s="18" t="s">
        <v>31</v>
      </c>
      <c r="G16" s="22">
        <f>'[10]YJW-parameter'!B$42/('[10]ZJQ-new veh FE'!H16*'[10]YJW-parameter'!$C31)</f>
        <v>6.2930482298171088E-3</v>
      </c>
      <c r="H16" s="22">
        <f>'[10]YJW-parameter'!C$42/('[10]ZJQ-new veh FE'!I16*'[10]YJW-parameter'!$C31)</f>
        <v>7.1050544530193169E-3</v>
      </c>
      <c r="I16" s="22">
        <f>'[10]YJW-parameter'!C$42/('[10]ZJQ-new veh FE'!J16*'[10]YJW-parameter'!$C31)</f>
        <v>7.1979309818169541E-3</v>
      </c>
      <c r="J16" s="22">
        <f>'[10]YJW-parameter'!D$42/('[10]ZJQ-new veh FE'!K16*'[10]YJW-parameter'!$C31)</f>
        <v>7.2932678160132049E-3</v>
      </c>
      <c r="K16" s="22">
        <f>'[10]YJW-parameter'!E$42/('[10]ZJQ-new veh FE'!L16*'[10]YJW-parameter'!$C31)</f>
        <v>7.3911640283086839E-3</v>
      </c>
      <c r="L16" s="22">
        <f>'[10]YJW-parameter'!F$42/('[10]ZJQ-new veh FE'!M16*'[10]YJW-parameter'!$C31)</f>
        <v>7.4917240831156046E-3</v>
      </c>
      <c r="M16" s="22">
        <f>'[10]YJW-parameter'!G$42/('[10]ZJQ-new veh FE'!N16*'[10]YJW-parameter'!$C31)</f>
        <v>7.5950582083999588E-3</v>
      </c>
      <c r="N16" s="22">
        <f>'[10]YJW-parameter'!H$42/('[10]ZJQ-new veh FE'!O16*'[10]YJW-parameter'!$C31)</f>
        <v>7.6744490607525721E-3</v>
      </c>
      <c r="O16" s="22">
        <f>'[10]YJW-parameter'!I$42/('[10]ZJQ-new veh FE'!P16*'[10]YJW-parameter'!$C31)</f>
        <v>7.7555171846337614E-3</v>
      </c>
      <c r="P16" s="22">
        <f>'[10]YJW-parameter'!J$42/('[10]ZJQ-new veh FE'!Q16*'[10]YJW-parameter'!$C31)</f>
        <v>7.838316300483943E-3</v>
      </c>
      <c r="Q16" s="22">
        <f>'[10]YJW-parameter'!K$42/('[10]ZJQ-new veh FE'!R16*'[10]YJW-parameter'!$C31)</f>
        <v>7.9229024476114695E-3</v>
      </c>
      <c r="R16" s="22">
        <f>'[10]YJW-parameter'!L$42/('[10]ZJQ-new veh FE'!S16*'[10]YJW-parameter'!$C31)</f>
        <v>8.0093341106763204E-3</v>
      </c>
      <c r="S16" s="22">
        <f>'[10]YJW-parameter'!M$42/('[10]ZJQ-new veh FE'!T16*'[10]YJW-parameter'!$C31)</f>
        <v>8.0680105510475761E-3</v>
      </c>
      <c r="T16" s="22">
        <f>'[10]YJW-parameter'!N$42/('[10]ZJQ-new veh FE'!U16*'[10]YJW-parameter'!$C31)</f>
        <v>8.1275530643394392E-3</v>
      </c>
      <c r="U16" s="22">
        <f>'[10]YJW-parameter'!O$42/('[10]ZJQ-new veh FE'!V16*'[10]YJW-parameter'!$C31)</f>
        <v>8.1879809681635243E-3</v>
      </c>
      <c r="V16" s="22">
        <f>'[10]YJW-parameter'!P$42/('[10]ZJQ-new veh FE'!W16*'[10]YJW-parameter'!$C31)</f>
        <v>8.2493141589362832E-3</v>
      </c>
      <c r="W16" s="22">
        <f>'[10]YJW-parameter'!Q$42/('[10]ZJQ-new veh FE'!X16*'[10]YJW-parameter'!$C31)</f>
        <v>8.3115731337207108E-3</v>
      </c>
      <c r="X16" s="22">
        <f>'[10]YJW-parameter'!R$42/('[10]ZJQ-new veh FE'!Y16*'[10]YJW-parameter'!$C31)</f>
        <v>8.3115731337207108E-3</v>
      </c>
      <c r="Y16" s="22">
        <f>'[10]YJW-parameter'!S$42/('[10]ZJQ-new veh FE'!Z16*'[10]YJW-parameter'!$C31)</f>
        <v>8.3115731337207108E-3</v>
      </c>
      <c r="Z16" s="22">
        <f>'[10]YJW-parameter'!T$42/('[10]ZJQ-new veh FE'!AA16*'[10]YJW-parameter'!$C31)</f>
        <v>8.3115731337207108E-3</v>
      </c>
      <c r="AA16" s="22">
        <f>'[10]YJW-parameter'!U$42/('[10]ZJQ-new veh FE'!AB16*'[10]YJW-parameter'!$C31)</f>
        <v>8.3115731337207108E-3</v>
      </c>
      <c r="AB16" s="22">
        <f>'[10]YJW-parameter'!V$42/('[10]ZJQ-new veh FE'!AC16*'[10]YJW-parameter'!$C31)</f>
        <v>8.3115731337207108E-3</v>
      </c>
      <c r="AC16" s="22">
        <f>'[10]YJW-parameter'!W$42/('[10]ZJQ-new veh FE'!AD16*'[10]YJW-parameter'!$C31)</f>
        <v>8.3115731337207108E-3</v>
      </c>
      <c r="AD16" s="22">
        <f>'[10]YJW-parameter'!X$42/('[10]ZJQ-new veh FE'!AE16*'[10]YJW-parameter'!$C31)</f>
        <v>8.3115731337207108E-3</v>
      </c>
      <c r="AE16" s="22">
        <f>'[10]YJW-parameter'!Y$42/('[10]ZJQ-new veh FE'!AF16*'[10]YJW-parameter'!$C31)</f>
        <v>8.3115731337207108E-3</v>
      </c>
      <c r="AF16" s="22">
        <f>'[10]YJW-parameter'!Z$42/('[10]ZJQ-new veh FE'!AG16*'[10]YJW-parameter'!$C31)</f>
        <v>8.3115731337207108E-3</v>
      </c>
      <c r="AG16" s="22">
        <f>'[10]YJW-parameter'!AA$42/('[10]ZJQ-new veh FE'!AH16*'[10]YJW-parameter'!$C31)</f>
        <v>8.3115731337207108E-3</v>
      </c>
      <c r="AH16" s="22">
        <f>'[10]YJW-parameter'!AB$42/('[10]ZJQ-new veh FE'!AI16*'[10]YJW-parameter'!$C31)</f>
        <v>8.3115731337207108E-3</v>
      </c>
      <c r="AI16" s="22">
        <f>'[10]YJW-parameter'!AC$42/('[10]ZJQ-new veh FE'!AJ16*'[10]YJW-parameter'!$C31)</f>
        <v>8.3115731337207108E-3</v>
      </c>
      <c r="AJ16" s="22">
        <f>'[10]YJW-parameter'!AD$42/('[10]ZJQ-new veh FE'!AK16*'[10]YJW-parameter'!$C31)</f>
        <v>8.3115731337207108E-3</v>
      </c>
      <c r="AK16" s="22">
        <f>'[10]YJW-parameter'!AE$42/('[10]ZJQ-new veh FE'!AL16*'[10]YJW-parameter'!$C31)</f>
        <v>8.3115731337207108E-3</v>
      </c>
      <c r="AL16" s="22">
        <f>'[10]YJW-parameter'!AF$42/('[10]ZJQ-new veh FE'!AM16*'[10]YJW-parameter'!$C31)</f>
        <v>8.3115731337207108E-3</v>
      </c>
      <c r="AM16" s="22">
        <f>'[10]YJW-parameter'!AG$42/('[10]ZJQ-new veh FE'!AN16*'[10]YJW-parameter'!$C31)</f>
        <v>8.3115731337207108E-3</v>
      </c>
      <c r="AN16" s="22">
        <f>'[10]YJW-parameter'!AH$42/('[10]ZJQ-new veh FE'!AO16*'[10]YJW-parameter'!$C31)</f>
        <v>8.3115731337207108E-3</v>
      </c>
      <c r="AO16" s="22">
        <f>'[10]YJW-parameter'!AI$42/('[10]ZJQ-new veh FE'!AP16*'[10]YJW-parameter'!$C31)</f>
        <v>8.3115731337207108E-3</v>
      </c>
      <c r="AP16" s="22">
        <f>'[10]YJW-parameter'!AJ$42/('[10]ZJQ-new veh FE'!AQ16*'[10]YJW-parameter'!$C31)</f>
        <v>8.3115731337207108E-3</v>
      </c>
      <c r="AQ16" s="22">
        <f>'[10]YJW-parameter'!AK$42/('[10]ZJQ-new veh FE'!AR16*'[10]YJW-parameter'!$C31)</f>
        <v>8.3115731337207108E-3</v>
      </c>
      <c r="AR16" s="22">
        <f>'[10]YJW-parameter'!AL$42/('[10]ZJQ-new veh FE'!AS16*'[10]YJW-parameter'!$C31)</f>
        <v>8.3115731337207108E-3</v>
      </c>
      <c r="AS16" s="22">
        <f>'[10]YJW-parameter'!AM$42/('[10]ZJQ-new veh FE'!AT16*'[10]YJW-parameter'!$C31)</f>
        <v>8.3115731337207108E-3</v>
      </c>
      <c r="AT16" s="22">
        <f>'[10]YJW-parameter'!AN$42/('[10]ZJQ-new veh FE'!AU16*'[10]YJW-parameter'!$C31)</f>
        <v>8.3115731337207108E-3</v>
      </c>
      <c r="AU16" s="22">
        <f>'[10]YJW-parameter'!AO$42/('[10]ZJQ-new veh FE'!AV16*'[10]YJW-parameter'!$C31)</f>
        <v>8.3115731337207108E-3</v>
      </c>
      <c r="AV16" s="22">
        <f>'[10]YJW-parameter'!AP$42/('[10]ZJQ-new veh FE'!AW16*'[10]YJW-parameter'!$C31)</f>
        <v>8.3115731337207108E-3</v>
      </c>
    </row>
    <row r="17" spans="1:48">
      <c r="A17" s="18" t="s">
        <v>40</v>
      </c>
      <c r="B17" s="19" t="s">
        <v>2</v>
      </c>
      <c r="C17" s="18" t="s">
        <v>41</v>
      </c>
      <c r="D17" s="18" t="s">
        <v>29</v>
      </c>
      <c r="E17" s="18" t="s">
        <v>32</v>
      </c>
      <c r="F17" s="18" t="s">
        <v>31</v>
      </c>
      <c r="G17" s="22">
        <f>'[10]YJW-parameter'!B$42/('[10]ZJQ-new veh FE'!H17*'[10]YJW-parameter'!$C32)</f>
        <v>2.0152079585131263E-3</v>
      </c>
      <c r="H17" s="22">
        <f>'[10]YJW-parameter'!C$42/('[10]ZJQ-new veh FE'!I17*'[10]YJW-parameter'!$C32)</f>
        <v>3.1144122995202862E-3</v>
      </c>
      <c r="I17" s="22">
        <f>'[10]YJW-parameter'!C$42/('[10]ZJQ-new veh FE'!J17*'[10]YJW-parameter'!$C32)</f>
        <v>3.1144122995202862E-3</v>
      </c>
      <c r="J17" s="22">
        <f>'[10]YJW-parameter'!D$42/('[10]ZJQ-new veh FE'!K17*'[10]YJW-parameter'!$C32)</f>
        <v>3.1144122995202862E-3</v>
      </c>
      <c r="K17" s="22">
        <f>'[10]YJW-parameter'!E$42/('[10]ZJQ-new veh FE'!L17*'[10]YJW-parameter'!$C32)</f>
        <v>3.1144122995202862E-3</v>
      </c>
      <c r="L17" s="22">
        <f>'[10]YJW-parameter'!F$42/('[10]ZJQ-new veh FE'!M17*'[10]YJW-parameter'!$C32)</f>
        <v>3.1144122995202862E-3</v>
      </c>
      <c r="M17" s="22">
        <f>'[10]YJW-parameter'!G$42/('[10]ZJQ-new veh FE'!N17*'[10]YJW-parameter'!$C32)</f>
        <v>3.1144122995202862E-3</v>
      </c>
      <c r="N17" s="22">
        <f>'[10]YJW-parameter'!H$42/('[10]ZJQ-new veh FE'!O17*'[10]YJW-parameter'!$C32)</f>
        <v>3.1144122995202862E-3</v>
      </c>
      <c r="O17" s="22">
        <f>'[10]YJW-parameter'!I$42/('[10]ZJQ-new veh FE'!P17*'[10]YJW-parameter'!$C32)</f>
        <v>3.1144122995202862E-3</v>
      </c>
      <c r="P17" s="22">
        <f>'[10]YJW-parameter'!J$42/('[10]ZJQ-new veh FE'!Q17*'[10]YJW-parameter'!$C32)</f>
        <v>3.1144122995202862E-3</v>
      </c>
      <c r="Q17" s="22">
        <f>'[10]YJW-parameter'!K$42/('[10]ZJQ-new veh FE'!R17*'[10]YJW-parameter'!$C32)</f>
        <v>3.1144122995202862E-3</v>
      </c>
      <c r="R17" s="22">
        <f>'[10]YJW-parameter'!L$42/('[10]ZJQ-new veh FE'!S17*'[10]YJW-parameter'!$C32)</f>
        <v>3.1144122995202862E-3</v>
      </c>
      <c r="S17" s="22">
        <f>'[10]YJW-parameter'!M$42/('[10]ZJQ-new veh FE'!T17*'[10]YJW-parameter'!$C32)</f>
        <v>3.1144122995202862E-3</v>
      </c>
      <c r="T17" s="22">
        <f>'[10]YJW-parameter'!N$42/('[10]ZJQ-new veh FE'!U17*'[10]YJW-parameter'!$C32)</f>
        <v>3.1144122995202862E-3</v>
      </c>
      <c r="U17" s="22">
        <f>'[10]YJW-parameter'!O$42/('[10]ZJQ-new veh FE'!V17*'[10]YJW-parameter'!$C32)</f>
        <v>3.1144122995202862E-3</v>
      </c>
      <c r="V17" s="22">
        <f>'[10]YJW-parameter'!P$42/('[10]ZJQ-new veh FE'!W17*'[10]YJW-parameter'!$C32)</f>
        <v>3.1144122995202862E-3</v>
      </c>
      <c r="W17" s="22">
        <f>'[10]YJW-parameter'!Q$42/('[10]ZJQ-new veh FE'!X17*'[10]YJW-parameter'!$C32)</f>
        <v>3.1144122995202862E-3</v>
      </c>
      <c r="X17" s="22">
        <f>'[10]YJW-parameter'!R$42/('[10]ZJQ-new veh FE'!Y17*'[10]YJW-parameter'!$C32)</f>
        <v>3.1144122995202862E-3</v>
      </c>
      <c r="Y17" s="22">
        <f>'[10]YJW-parameter'!S$42/('[10]ZJQ-new veh FE'!Z17*'[10]YJW-parameter'!$C32)</f>
        <v>3.1144122995202862E-3</v>
      </c>
      <c r="Z17" s="22">
        <f>'[10]YJW-parameter'!T$42/('[10]ZJQ-new veh FE'!AA17*'[10]YJW-parameter'!$C32)</f>
        <v>3.1144122995202862E-3</v>
      </c>
      <c r="AA17" s="22">
        <f>'[10]YJW-parameter'!U$42/('[10]ZJQ-new veh FE'!AB17*'[10]YJW-parameter'!$C32)</f>
        <v>3.1144122995202862E-3</v>
      </c>
      <c r="AB17" s="22">
        <f>'[10]YJW-parameter'!V$42/('[10]ZJQ-new veh FE'!AC17*'[10]YJW-parameter'!$C32)</f>
        <v>3.1144122995202862E-3</v>
      </c>
      <c r="AC17" s="22">
        <f>'[10]YJW-parameter'!W$42/('[10]ZJQ-new veh FE'!AD17*'[10]YJW-parameter'!$C32)</f>
        <v>3.1144122995202862E-3</v>
      </c>
      <c r="AD17" s="22">
        <f>'[10]YJW-parameter'!X$42/('[10]ZJQ-new veh FE'!AE17*'[10]YJW-parameter'!$C32)</f>
        <v>3.1144122995202862E-3</v>
      </c>
      <c r="AE17" s="22">
        <f>'[10]YJW-parameter'!Y$42/('[10]ZJQ-new veh FE'!AF17*'[10]YJW-parameter'!$C32)</f>
        <v>3.1144122995202862E-3</v>
      </c>
      <c r="AF17" s="22">
        <f>'[10]YJW-parameter'!Z$42/('[10]ZJQ-new veh FE'!AG17*'[10]YJW-parameter'!$C32)</f>
        <v>3.1144122995202862E-3</v>
      </c>
      <c r="AG17" s="22">
        <f>'[10]YJW-parameter'!AA$42/('[10]ZJQ-new veh FE'!AH17*'[10]YJW-parameter'!$C32)</f>
        <v>3.1144122995202862E-3</v>
      </c>
      <c r="AH17" s="22">
        <f>'[10]YJW-parameter'!AB$42/('[10]ZJQ-new veh FE'!AI17*'[10]YJW-parameter'!$C32)</f>
        <v>3.1144122995202862E-3</v>
      </c>
      <c r="AI17" s="22">
        <f>'[10]YJW-parameter'!AC$42/('[10]ZJQ-new veh FE'!AJ17*'[10]YJW-parameter'!$C32)</f>
        <v>3.1144122995202862E-3</v>
      </c>
      <c r="AJ17" s="22">
        <f>'[10]YJW-parameter'!AD$42/('[10]ZJQ-new veh FE'!AK17*'[10]YJW-parameter'!$C32)</f>
        <v>3.1144122995202862E-3</v>
      </c>
      <c r="AK17" s="22">
        <f>'[10]YJW-parameter'!AE$42/('[10]ZJQ-new veh FE'!AL17*'[10]YJW-parameter'!$C32)</f>
        <v>3.1144122995202862E-3</v>
      </c>
      <c r="AL17" s="22">
        <f>'[10]YJW-parameter'!AF$42/('[10]ZJQ-new veh FE'!AM17*'[10]YJW-parameter'!$C32)</f>
        <v>3.1144122995202862E-3</v>
      </c>
      <c r="AM17" s="22">
        <f>'[10]YJW-parameter'!AG$42/('[10]ZJQ-new veh FE'!AN17*'[10]YJW-parameter'!$C32)</f>
        <v>3.1144122995202862E-3</v>
      </c>
      <c r="AN17" s="22">
        <f>'[10]YJW-parameter'!AH$42/('[10]ZJQ-new veh FE'!AO17*'[10]YJW-parameter'!$C32)</f>
        <v>3.1144122995202862E-3</v>
      </c>
      <c r="AO17" s="22">
        <f>'[10]YJW-parameter'!AI$42/('[10]ZJQ-new veh FE'!AP17*'[10]YJW-parameter'!$C32)</f>
        <v>3.1144122995202862E-3</v>
      </c>
      <c r="AP17" s="22">
        <f>'[10]YJW-parameter'!AJ$42/('[10]ZJQ-new veh FE'!AQ17*'[10]YJW-parameter'!$C32)</f>
        <v>3.1144122995202862E-3</v>
      </c>
      <c r="AQ17" s="22">
        <f>'[10]YJW-parameter'!AK$42/('[10]ZJQ-new veh FE'!AR17*'[10]YJW-parameter'!$C32)</f>
        <v>3.1144122995202862E-3</v>
      </c>
      <c r="AR17" s="22">
        <f>'[10]YJW-parameter'!AL$42/('[10]ZJQ-new veh FE'!AS17*'[10]YJW-parameter'!$C32)</f>
        <v>3.1144122995202862E-3</v>
      </c>
      <c r="AS17" s="22">
        <f>'[10]YJW-parameter'!AM$42/('[10]ZJQ-new veh FE'!AT17*'[10]YJW-parameter'!$C32)</f>
        <v>3.1144122995202862E-3</v>
      </c>
      <c r="AT17" s="22">
        <f>'[10]YJW-parameter'!AN$42/('[10]ZJQ-new veh FE'!AU17*'[10]YJW-parameter'!$C32)</f>
        <v>3.1144122995202862E-3</v>
      </c>
      <c r="AU17" s="22">
        <f>'[10]YJW-parameter'!AO$42/('[10]ZJQ-new veh FE'!AV17*'[10]YJW-parameter'!$C32)</f>
        <v>3.1144122995202862E-3</v>
      </c>
      <c r="AV17" s="22">
        <f>'[10]YJW-parameter'!AP$42/('[10]ZJQ-new veh FE'!AW17*'[10]YJW-parameter'!$C32)</f>
        <v>3.1144122995202862E-3</v>
      </c>
    </row>
    <row r="18" spans="1:48">
      <c r="A18" s="18" t="s">
        <v>40</v>
      </c>
      <c r="B18" s="19" t="s">
        <v>3</v>
      </c>
      <c r="C18" s="18" t="s">
        <v>41</v>
      </c>
      <c r="D18" s="18" t="s">
        <v>29</v>
      </c>
      <c r="E18" s="18" t="s">
        <v>33</v>
      </c>
      <c r="F18" s="18" t="s">
        <v>31</v>
      </c>
      <c r="G18" s="22">
        <f>'[10]YJW-parameter'!B$42/('[10]ZJQ-new veh FE'!H18*'[10]YJW-parameter'!$C33)</f>
        <v>2.1666107473378268E-3</v>
      </c>
      <c r="H18" s="22">
        <f>'[10]YJW-parameter'!C$42/('[10]ZJQ-new veh FE'!I18*'[10]YJW-parameter'!$C33)</f>
        <v>2.1666107473378264E-3</v>
      </c>
      <c r="I18" s="22">
        <f>'[10]YJW-parameter'!C$42/('[10]ZJQ-new veh FE'!J18*'[10]YJW-parameter'!$C33)</f>
        <v>2.2221648690644376E-3</v>
      </c>
      <c r="J18" s="22">
        <f>'[10]YJW-parameter'!D$42/('[10]ZJQ-new veh FE'!K18*'[10]YJW-parameter'!$C33)</f>
        <v>2.2806428919345543E-3</v>
      </c>
      <c r="K18" s="22">
        <f>'[10]YJW-parameter'!E$42/('[10]ZJQ-new veh FE'!L18*'[10]YJW-parameter'!$C33)</f>
        <v>2.3422818890138667E-3</v>
      </c>
      <c r="L18" s="22">
        <f>'[10]YJW-parameter'!F$42/('[10]ZJQ-new veh FE'!M18*'[10]YJW-parameter'!$C33)</f>
        <v>2.4073452748198071E-3</v>
      </c>
      <c r="M18" s="22">
        <f>'[10]YJW-parameter'!G$42/('[10]ZJQ-new veh FE'!N18*'[10]YJW-parameter'!$C33)</f>
        <v>2.4761265683860873E-3</v>
      </c>
      <c r="N18" s="22">
        <f>'[10]YJW-parameter'!H$42/('[10]ZJQ-new veh FE'!O18*'[10]YJW-parameter'!$C33)</f>
        <v>2.5047523090610709E-3</v>
      </c>
      <c r="O18" s="22">
        <f>'[10]YJW-parameter'!I$42/('[10]ZJQ-new veh FE'!P18*'[10]YJW-parameter'!$C33)</f>
        <v>2.5340476577050603E-3</v>
      </c>
      <c r="P18" s="22">
        <f>'[10]YJW-parameter'!J$42/('[10]ZJQ-new veh FE'!Q18*'[10]YJW-parameter'!$C33)</f>
        <v>2.5640363873820427E-3</v>
      </c>
      <c r="Q18" s="22">
        <f>'[10]YJW-parameter'!K$42/('[10]ZJQ-new veh FE'!R18*'[10]YJW-parameter'!$C33)</f>
        <v>2.5947434099854207E-3</v>
      </c>
      <c r="R18" s="22">
        <f>'[10]YJW-parameter'!L$42/('[10]ZJQ-new veh FE'!S18*'[10]YJW-parameter'!$C33)</f>
        <v>2.6261948452579714E-3</v>
      </c>
      <c r="S18" s="22">
        <f>'[10]YJW-parameter'!M$42/('[10]ZJQ-new veh FE'!T18*'[10]YJW-parameter'!$C33)</f>
        <v>2.6584180948930388E-3</v>
      </c>
      <c r="T18" s="22">
        <f>'[10]YJW-parameter'!N$42/('[10]ZJQ-new veh FE'!U18*'[10]YJW-parameter'!$C33)</f>
        <v>2.6914419221587909E-3</v>
      </c>
      <c r="U18" s="22">
        <f>'[10]YJW-parameter'!O$42/('[10]ZJQ-new veh FE'!V18*'[10]YJW-parameter'!$C33)</f>
        <v>2.7252965375318574E-3</v>
      </c>
      <c r="V18" s="22">
        <f>'[10]YJW-parameter'!P$42/('[10]ZJQ-new veh FE'!W18*'[10]YJW-parameter'!$C33)</f>
        <v>2.7600136908762125E-3</v>
      </c>
      <c r="W18" s="22">
        <f>'[10]YJW-parameter'!Q$42/('[10]ZJQ-new veh FE'!X18*'[10]YJW-parameter'!$C33)</f>
        <v>2.795626770758486E-3</v>
      </c>
      <c r="X18" s="22">
        <f>'[10]YJW-parameter'!R$42/('[10]ZJQ-new veh FE'!Y18*'[10]YJW-parameter'!$C33)</f>
        <v>2.7954408418697685E-3</v>
      </c>
      <c r="Y18" s="22">
        <f>'[10]YJW-parameter'!S$42/('[10]ZJQ-new veh FE'!Z18*'[10]YJW-parameter'!$C33)</f>
        <v>2.7952549377105694E-3</v>
      </c>
      <c r="Z18" s="22">
        <f>'[10]YJW-parameter'!T$42/('[10]ZJQ-new veh FE'!AA18*'[10]YJW-parameter'!$C33)</f>
        <v>2.7950690582759568E-3</v>
      </c>
      <c r="AA18" s="22">
        <f>'[10]YJW-parameter'!U$42/('[10]ZJQ-new veh FE'!AB18*'[10]YJW-parameter'!$C33)</f>
        <v>2.7948832035609968E-3</v>
      </c>
      <c r="AB18" s="22">
        <f>'[10]YJW-parameter'!V$42/('[10]ZJQ-new veh FE'!AC18*'[10]YJW-parameter'!$C33)</f>
        <v>2.7946973735607605E-3</v>
      </c>
      <c r="AC18" s="22">
        <f>'[10]YJW-parameter'!W$42/('[10]ZJQ-new veh FE'!AD18*'[10]YJW-parameter'!$C33)</f>
        <v>2.7946973735607605E-3</v>
      </c>
      <c r="AD18" s="22">
        <f>'[10]YJW-parameter'!X$42/('[10]ZJQ-new veh FE'!AE18*'[10]YJW-parameter'!$C33)</f>
        <v>2.7946973735607605E-3</v>
      </c>
      <c r="AE18" s="22">
        <f>'[10]YJW-parameter'!Y$42/('[10]ZJQ-new veh FE'!AF18*'[10]YJW-parameter'!$C33)</f>
        <v>2.7946973735607605E-3</v>
      </c>
      <c r="AF18" s="22">
        <f>'[10]YJW-parameter'!Z$42/('[10]ZJQ-new veh FE'!AG18*'[10]YJW-parameter'!$C33)</f>
        <v>2.7946973735607605E-3</v>
      </c>
      <c r="AG18" s="22">
        <f>'[10]YJW-parameter'!AA$42/('[10]ZJQ-new veh FE'!AH18*'[10]YJW-parameter'!$C33)</f>
        <v>2.7946973735607605E-3</v>
      </c>
      <c r="AH18" s="22">
        <f>'[10]YJW-parameter'!AB$42/('[10]ZJQ-new veh FE'!AI18*'[10]YJW-parameter'!$C33)</f>
        <v>2.7946973735607605E-3</v>
      </c>
      <c r="AI18" s="22">
        <f>'[10]YJW-parameter'!AC$42/('[10]ZJQ-new veh FE'!AJ18*'[10]YJW-parameter'!$C33)</f>
        <v>2.7946973735607605E-3</v>
      </c>
      <c r="AJ18" s="22">
        <f>'[10]YJW-parameter'!AD$42/('[10]ZJQ-new veh FE'!AK18*'[10]YJW-parameter'!$C33)</f>
        <v>2.7946973735607605E-3</v>
      </c>
      <c r="AK18" s="22">
        <f>'[10]YJW-parameter'!AE$42/('[10]ZJQ-new veh FE'!AL18*'[10]YJW-parameter'!$C33)</f>
        <v>2.7946973735607605E-3</v>
      </c>
      <c r="AL18" s="22">
        <f>'[10]YJW-parameter'!AF$42/('[10]ZJQ-new veh FE'!AM18*'[10]YJW-parameter'!$C33)</f>
        <v>2.7946973735607605E-3</v>
      </c>
      <c r="AM18" s="22">
        <f>'[10]YJW-parameter'!AG$42/('[10]ZJQ-new veh FE'!AN18*'[10]YJW-parameter'!$C33)</f>
        <v>2.7946973735607605E-3</v>
      </c>
      <c r="AN18" s="22">
        <f>'[10]YJW-parameter'!AH$42/('[10]ZJQ-new veh FE'!AO18*'[10]YJW-parameter'!$C33)</f>
        <v>2.7946973735607605E-3</v>
      </c>
      <c r="AO18" s="22">
        <f>'[10]YJW-parameter'!AI$42/('[10]ZJQ-new veh FE'!AP18*'[10]YJW-parameter'!$C33)</f>
        <v>2.7946973735607605E-3</v>
      </c>
      <c r="AP18" s="22">
        <f>'[10]YJW-parameter'!AJ$42/('[10]ZJQ-new veh FE'!AQ18*'[10]YJW-parameter'!$C33)</f>
        <v>2.7946973735607605E-3</v>
      </c>
      <c r="AQ18" s="22">
        <f>'[10]YJW-parameter'!AK$42/('[10]ZJQ-new veh FE'!AR18*'[10]YJW-parameter'!$C33)</f>
        <v>2.7946973735607605E-3</v>
      </c>
      <c r="AR18" s="22">
        <f>'[10]YJW-parameter'!AL$42/('[10]ZJQ-new veh FE'!AS18*'[10]YJW-parameter'!$C33)</f>
        <v>2.7946973735607605E-3</v>
      </c>
      <c r="AS18" s="22">
        <f>'[10]YJW-parameter'!AM$42/('[10]ZJQ-new veh FE'!AT18*'[10]YJW-parameter'!$C33)</f>
        <v>2.7946973735607605E-3</v>
      </c>
      <c r="AT18" s="22">
        <f>'[10]YJW-parameter'!AN$42/('[10]ZJQ-new veh FE'!AU18*'[10]YJW-parameter'!$C33)</f>
        <v>2.7946973735607605E-3</v>
      </c>
      <c r="AU18" s="22">
        <f>'[10]YJW-parameter'!AO$42/('[10]ZJQ-new veh FE'!AV18*'[10]YJW-parameter'!$C33)</f>
        <v>2.7946973735607605E-3</v>
      </c>
      <c r="AV18" s="22">
        <f>'[10]YJW-parameter'!AP$42/('[10]ZJQ-new veh FE'!AW18*'[10]YJW-parameter'!$C33)</f>
        <v>2.7946973735607605E-3</v>
      </c>
    </row>
    <row r="19" spans="1:48">
      <c r="A19" s="18" t="s">
        <v>40</v>
      </c>
      <c r="B19" s="19" t="s">
        <v>4</v>
      </c>
      <c r="C19" s="18" t="s">
        <v>41</v>
      </c>
      <c r="D19" s="18" t="s">
        <v>29</v>
      </c>
      <c r="E19" s="18" t="s">
        <v>34</v>
      </c>
      <c r="F19" s="18" t="s">
        <v>31</v>
      </c>
      <c r="G19" s="23">
        <f>G35</f>
        <v>2.5481918522714622E-3</v>
      </c>
      <c r="H19" s="23">
        <f>H35</f>
        <v>2.5675831624841126E-3</v>
      </c>
      <c r="I19" s="23">
        <f t="shared" ref="I19:AV19" si="2">I35</f>
        <v>2.6387866548675865E-3</v>
      </c>
      <c r="J19" s="23">
        <f t="shared" si="2"/>
        <v>2.7914903365055285E-3</v>
      </c>
      <c r="K19" s="23">
        <f t="shared" si="2"/>
        <v>3.0684137812315476E-3</v>
      </c>
      <c r="L19" s="23">
        <f t="shared" si="2"/>
        <v>3.4053511521753691E-3</v>
      </c>
      <c r="M19" s="23">
        <f t="shared" si="2"/>
        <v>3.8463003690266482E-3</v>
      </c>
      <c r="N19" s="23">
        <f t="shared" si="2"/>
        <v>4.3896371985108432E-3</v>
      </c>
      <c r="O19" s="23">
        <f t="shared" si="2"/>
        <v>4.3795851441219323E-3</v>
      </c>
      <c r="P19" s="23">
        <f t="shared" si="2"/>
        <v>4.3689374907154689E-3</v>
      </c>
      <c r="Q19" s="23">
        <f t="shared" si="2"/>
        <v>4.3718544473474877E-3</v>
      </c>
      <c r="R19" s="23">
        <f t="shared" si="2"/>
        <v>4.3877357295457695E-3</v>
      </c>
      <c r="S19" s="23">
        <f t="shared" si="2"/>
        <v>4.3834871403104275E-3</v>
      </c>
      <c r="T19" s="23">
        <f t="shared" si="2"/>
        <v>4.3720533834400964E-3</v>
      </c>
      <c r="U19" s="23">
        <f t="shared" si="2"/>
        <v>4.3697572324026901E-3</v>
      </c>
      <c r="V19" s="23">
        <f t="shared" si="2"/>
        <v>4.376965278744426E-3</v>
      </c>
      <c r="W19" s="23">
        <f t="shared" si="2"/>
        <v>4.3850276755113132E-3</v>
      </c>
      <c r="X19" s="23">
        <f t="shared" si="2"/>
        <v>4.3822103960237235E-3</v>
      </c>
      <c r="Y19" s="23">
        <f t="shared" si="2"/>
        <v>4.3732781240978886E-3</v>
      </c>
      <c r="Z19" s="23">
        <f t="shared" si="2"/>
        <v>4.3720125576593013E-3</v>
      </c>
      <c r="AA19" s="23">
        <f t="shared" si="2"/>
        <v>4.3852659060324159E-3</v>
      </c>
      <c r="AB19" s="23">
        <f t="shared" si="2"/>
        <v>4.3879835073246977E-3</v>
      </c>
      <c r="AC19" s="23">
        <f t="shared" si="2"/>
        <v>4.37912169254081E-3</v>
      </c>
      <c r="AD19" s="23">
        <f t="shared" si="2"/>
        <v>4.3711750159245522E-3</v>
      </c>
      <c r="AE19" s="23">
        <f t="shared" si="2"/>
        <v>4.3735085817993655E-3</v>
      </c>
      <c r="AF19" s="23">
        <f t="shared" si="2"/>
        <v>4.3806360949735961E-3</v>
      </c>
      <c r="AG19" s="23">
        <f t="shared" si="2"/>
        <v>4.3821058859749599E-3</v>
      </c>
      <c r="AH19" s="23">
        <f t="shared" si="2"/>
        <v>4.3765852460791281E-3</v>
      </c>
      <c r="AI19" s="23">
        <f t="shared" si="2"/>
        <v>4.3724199191582857E-3</v>
      </c>
      <c r="AJ19" s="23">
        <f t="shared" si="2"/>
        <v>4.3808784257852564E-3</v>
      </c>
      <c r="AK19" s="23">
        <f t="shared" si="2"/>
        <v>4.3872768681651421E-3</v>
      </c>
      <c r="AL19" s="23">
        <f t="shared" si="2"/>
        <v>4.3836683358727414E-3</v>
      </c>
      <c r="AM19" s="23">
        <f t="shared" si="2"/>
        <v>4.3754334672547347E-3</v>
      </c>
      <c r="AN19" s="23">
        <f t="shared" si="2"/>
        <v>4.3734616565455969E-3</v>
      </c>
      <c r="AO19" s="23">
        <f t="shared" si="2"/>
        <v>4.3787367308297338E-3</v>
      </c>
      <c r="AP19" s="23">
        <f t="shared" si="2"/>
        <v>4.3819281949646809E-3</v>
      </c>
      <c r="AQ19" s="23">
        <f t="shared" si="2"/>
        <v>4.3790082680517251E-3</v>
      </c>
      <c r="AR19" s="23">
        <f t="shared" si="2"/>
        <v>4.3739943830210662E-3</v>
      </c>
      <c r="AS19" s="23">
        <f t="shared" si="2"/>
        <v>4.3774295495989162E-3</v>
      </c>
      <c r="AT19" s="23">
        <f t="shared" si="2"/>
        <v>4.3845205465504623E-3</v>
      </c>
      <c r="AU19" s="23">
        <f t="shared" si="2"/>
        <v>4.3849496642043616E-3</v>
      </c>
      <c r="AV19" s="23">
        <f t="shared" si="2"/>
        <v>4.3790861712817717E-3</v>
      </c>
    </row>
    <row r="20" spans="1:48">
      <c r="A20" s="18" t="s">
        <v>40</v>
      </c>
      <c r="B20" s="19" t="s">
        <v>5</v>
      </c>
      <c r="C20" s="18" t="s">
        <v>41</v>
      </c>
      <c r="D20" s="18" t="s">
        <v>29</v>
      </c>
      <c r="E20" s="18" t="s">
        <v>35</v>
      </c>
      <c r="F20" s="18" t="s">
        <v>31</v>
      </c>
      <c r="G20" s="22">
        <f>'[10]YJW-parameter'!B$42/('[10]ZJQ-new veh FE'!H20*'[10]YJW-parameter'!$C35)</f>
        <v>2.5219349099012303E-3</v>
      </c>
      <c r="H20" s="22">
        <f>'[10]YJW-parameter'!C$42/('[10]ZJQ-new veh FE'!I20*'[10]YJW-parameter'!$C35)</f>
        <v>2.5219349099012303E-3</v>
      </c>
      <c r="I20" s="22">
        <f>'[10]YJW-parameter'!C$42/('[10]ZJQ-new veh FE'!J20*'[10]YJW-parameter'!$C35)</f>
        <v>2.5945832406391255E-3</v>
      </c>
      <c r="J20" s="22">
        <f>'[10]YJW-parameter'!D$42/('[10]ZJQ-new veh FE'!K20*'[10]YJW-parameter'!$C35)</f>
        <v>2.6715412181157099E-3</v>
      </c>
      <c r="K20" s="22">
        <f>'[10]YJW-parameter'!E$42/('[10]ZJQ-new veh FE'!L20*'[10]YJW-parameter'!$C35)</f>
        <v>2.7532040501105134E-3</v>
      </c>
      <c r="L20" s="22">
        <f>'[10]YJW-parameter'!F$42/('[10]ZJQ-new veh FE'!M20*'[10]YJW-parameter'!$C35)</f>
        <v>2.840016790429313E-3</v>
      </c>
      <c r="M20" s="22">
        <f>'[10]YJW-parameter'!G$42/('[10]ZJQ-new veh FE'!N20*'[10]YJW-parameter'!$C35)</f>
        <v>2.9324824533735233E-3</v>
      </c>
      <c r="N20" s="22">
        <f>'[10]YJW-parameter'!H$42/('[10]ZJQ-new veh FE'!O20*'[10]YJW-parameter'!$C35)</f>
        <v>2.9739798465816393E-3</v>
      </c>
      <c r="O20" s="22">
        <f>'[10]YJW-parameter'!I$42/('[10]ZJQ-new veh FE'!P20*'[10]YJW-parameter'!$C35)</f>
        <v>3.0166685525134331E-3</v>
      </c>
      <c r="P20" s="22">
        <f>'[10]YJW-parameter'!J$42/('[10]ZJQ-new veh FE'!Q20*'[10]YJW-parameter'!$C35)</f>
        <v>3.0606006188121722E-3</v>
      </c>
      <c r="Q20" s="22">
        <f>'[10]YJW-parameter'!K$42/('[10]ZJQ-new veh FE'!R20*'[10]YJW-parameter'!$C35)</f>
        <v>3.1058311698291012E-3</v>
      </c>
      <c r="R20" s="22">
        <f>'[10]YJW-parameter'!L$42/('[10]ZJQ-new veh FE'!S20*'[10]YJW-parameter'!$C35)</f>
        <v>3.1524186373765375E-3</v>
      </c>
      <c r="S20" s="22">
        <f>'[10]YJW-parameter'!M$42/('[10]ZJQ-new veh FE'!T20*'[10]YJW-parameter'!$C35)</f>
        <v>3.1842612498752905E-3</v>
      </c>
      <c r="T20" s="22">
        <f>'[10]YJW-parameter'!N$42/('[10]ZJQ-new veh FE'!U20*'[10]YJW-parameter'!$C35)</f>
        <v>3.2167537116087118E-3</v>
      </c>
      <c r="U20" s="22">
        <f>'[10]YJW-parameter'!O$42/('[10]ZJQ-new veh FE'!V20*'[10]YJW-parameter'!$C35)</f>
        <v>3.2499161210067396E-3</v>
      </c>
      <c r="V20" s="22">
        <f>'[10]YJW-parameter'!P$42/('[10]ZJQ-new veh FE'!W20*'[10]YJW-parameter'!$C35)</f>
        <v>3.2837694139338934E-3</v>
      </c>
      <c r="W20" s="22">
        <f>'[10]YJW-parameter'!Q$42/('[10]ZJQ-new veh FE'!X20*'[10]YJW-parameter'!$C35)</f>
        <v>3.3183354077647768E-3</v>
      </c>
      <c r="X20" s="22">
        <f>'[10]YJW-parameter'!R$42/('[10]ZJQ-new veh FE'!Y20*'[10]YJW-parameter'!$C35)</f>
        <v>3.3183354077647768E-3</v>
      </c>
      <c r="Y20" s="22">
        <f>'[10]YJW-parameter'!S$42/('[10]ZJQ-new veh FE'!Z20*'[10]YJW-parameter'!$C35)</f>
        <v>3.3183354077647768E-3</v>
      </c>
      <c r="Z20" s="22">
        <f>'[10]YJW-parameter'!T$42/('[10]ZJQ-new veh FE'!AA20*'[10]YJW-parameter'!$C35)</f>
        <v>3.3183354077647768E-3</v>
      </c>
      <c r="AA20" s="22">
        <f>'[10]YJW-parameter'!U$42/('[10]ZJQ-new veh FE'!AB20*'[10]YJW-parameter'!$C35)</f>
        <v>3.3183354077647768E-3</v>
      </c>
      <c r="AB20" s="22">
        <f>'[10]YJW-parameter'!V$42/('[10]ZJQ-new veh FE'!AC20*'[10]YJW-parameter'!$C35)</f>
        <v>3.3183354077647768E-3</v>
      </c>
      <c r="AC20" s="22">
        <f>'[10]YJW-parameter'!W$42/('[10]ZJQ-new veh FE'!AD20*'[10]YJW-parameter'!$C35)</f>
        <v>3.3183354077647768E-3</v>
      </c>
      <c r="AD20" s="22">
        <f>'[10]YJW-parameter'!X$42/('[10]ZJQ-new veh FE'!AE20*'[10]YJW-parameter'!$C35)</f>
        <v>3.3183354077647768E-3</v>
      </c>
      <c r="AE20" s="22">
        <f>'[10]YJW-parameter'!Y$42/('[10]ZJQ-new veh FE'!AF20*'[10]YJW-parameter'!$C35)</f>
        <v>3.3183354077647768E-3</v>
      </c>
      <c r="AF20" s="22">
        <f>'[10]YJW-parameter'!Z$42/('[10]ZJQ-new veh FE'!AG20*'[10]YJW-parameter'!$C35)</f>
        <v>3.3183354077647768E-3</v>
      </c>
      <c r="AG20" s="22">
        <f>'[10]YJW-parameter'!AA$42/('[10]ZJQ-new veh FE'!AH20*'[10]YJW-parameter'!$C35)</f>
        <v>3.3183354077647768E-3</v>
      </c>
      <c r="AH20" s="22">
        <f>'[10]YJW-parameter'!AB$42/('[10]ZJQ-new veh FE'!AI20*'[10]YJW-parameter'!$C35)</f>
        <v>3.3183354077647768E-3</v>
      </c>
      <c r="AI20" s="22">
        <f>'[10]YJW-parameter'!AC$42/('[10]ZJQ-new veh FE'!AJ20*'[10]YJW-parameter'!$C35)</f>
        <v>3.3183354077647768E-3</v>
      </c>
      <c r="AJ20" s="22">
        <f>'[10]YJW-parameter'!AD$42/('[10]ZJQ-new veh FE'!AK20*'[10]YJW-parameter'!$C35)</f>
        <v>3.3183354077647768E-3</v>
      </c>
      <c r="AK20" s="22">
        <f>'[10]YJW-parameter'!AE$42/('[10]ZJQ-new veh FE'!AL20*'[10]YJW-parameter'!$C35)</f>
        <v>3.3183354077647768E-3</v>
      </c>
      <c r="AL20" s="22">
        <f>'[10]YJW-parameter'!AF$42/('[10]ZJQ-new veh FE'!AM20*'[10]YJW-parameter'!$C35)</f>
        <v>3.3183354077647768E-3</v>
      </c>
      <c r="AM20" s="22">
        <f>'[10]YJW-parameter'!AG$42/('[10]ZJQ-new veh FE'!AN20*'[10]YJW-parameter'!$C35)</f>
        <v>3.3183354077647768E-3</v>
      </c>
      <c r="AN20" s="22">
        <f>'[10]YJW-parameter'!AH$42/('[10]ZJQ-new veh FE'!AO20*'[10]YJW-parameter'!$C35)</f>
        <v>3.3183354077647768E-3</v>
      </c>
      <c r="AO20" s="22">
        <f>'[10]YJW-parameter'!AI$42/('[10]ZJQ-new veh FE'!AP20*'[10]YJW-parameter'!$C35)</f>
        <v>3.3183354077647768E-3</v>
      </c>
      <c r="AP20" s="22">
        <f>'[10]YJW-parameter'!AJ$42/('[10]ZJQ-new veh FE'!AQ20*'[10]YJW-parameter'!$C35)</f>
        <v>3.3183354077647768E-3</v>
      </c>
      <c r="AQ20" s="22">
        <f>'[10]YJW-parameter'!AK$42/('[10]ZJQ-new veh FE'!AR20*'[10]YJW-parameter'!$C35)</f>
        <v>3.3183354077647768E-3</v>
      </c>
      <c r="AR20" s="22">
        <f>'[10]YJW-parameter'!AL$42/('[10]ZJQ-new veh FE'!AS20*'[10]YJW-parameter'!$C35)</f>
        <v>3.3183354077647768E-3</v>
      </c>
      <c r="AS20" s="22">
        <f>'[10]YJW-parameter'!AM$42/('[10]ZJQ-new veh FE'!AT20*'[10]YJW-parameter'!$C35)</f>
        <v>3.3183354077647768E-3</v>
      </c>
      <c r="AT20" s="22">
        <f>'[10]YJW-parameter'!AN$42/('[10]ZJQ-new veh FE'!AU20*'[10]YJW-parameter'!$C35)</f>
        <v>3.3183354077647768E-3</v>
      </c>
      <c r="AU20" s="22">
        <f>'[10]YJW-parameter'!AO$42/('[10]ZJQ-new veh FE'!AV20*'[10]YJW-parameter'!$C35)</f>
        <v>3.3183354077647768E-3</v>
      </c>
      <c r="AV20" s="22">
        <f>'[10]YJW-parameter'!AP$42/('[10]ZJQ-new veh FE'!AW20*'[10]YJW-parameter'!$C35)</f>
        <v>3.3183354077647768E-3</v>
      </c>
    </row>
    <row r="21" spans="1:48">
      <c r="A21" s="18" t="s">
        <v>40</v>
      </c>
      <c r="B21" s="19" t="s">
        <v>6</v>
      </c>
      <c r="C21" s="18" t="s">
        <v>41</v>
      </c>
      <c r="D21" s="18" t="s">
        <v>29</v>
      </c>
      <c r="E21" s="18" t="s">
        <v>36</v>
      </c>
      <c r="F21" s="18" t="s">
        <v>31</v>
      </c>
      <c r="G21" s="22">
        <f>'[10]YJW-parameter'!B$42/('[10]ZJQ-new veh FE'!H21*'[10]YJW-parameter'!$C36)</f>
        <v>9.0815578728949868E-4</v>
      </c>
      <c r="H21" s="22">
        <f>'[10]YJW-parameter'!C$42/('[10]ZJQ-new veh FE'!I21*'[10]YJW-parameter'!$C36)</f>
        <v>9.0815578728949868E-4</v>
      </c>
      <c r="I21" s="22">
        <f>'[10]YJW-parameter'!C$42/('[10]ZJQ-new veh FE'!J21*'[10]YJW-parameter'!$C36)</f>
        <v>9.0815578728949868E-4</v>
      </c>
      <c r="J21" s="22">
        <f>'[10]YJW-parameter'!D$42/('[10]ZJQ-new veh FE'!K21*'[10]YJW-parameter'!$C36)</f>
        <v>9.0815578728949868E-4</v>
      </c>
      <c r="K21" s="22">
        <f>'[10]YJW-parameter'!E$42/('[10]ZJQ-new veh FE'!L21*'[10]YJW-parameter'!$C36)</f>
        <v>9.0815578728949868E-4</v>
      </c>
      <c r="L21" s="22">
        <f>'[10]YJW-parameter'!F$42/('[10]ZJQ-new veh FE'!M21*'[10]YJW-parameter'!$C36)</f>
        <v>9.0815578728949868E-4</v>
      </c>
      <c r="M21" s="22">
        <f>'[10]YJW-parameter'!G$42/('[10]ZJQ-new veh FE'!N21*'[10]YJW-parameter'!$C36)</f>
        <v>9.0815578728949868E-4</v>
      </c>
      <c r="N21" s="22">
        <f>'[10]YJW-parameter'!H$42/('[10]ZJQ-new veh FE'!O21*'[10]YJW-parameter'!$C36)</f>
        <v>9.0815578728949868E-4</v>
      </c>
      <c r="O21" s="22">
        <f>'[10]YJW-parameter'!I$42/('[10]ZJQ-new veh FE'!P21*'[10]YJW-parameter'!$C36)</f>
        <v>9.0815578728949868E-4</v>
      </c>
      <c r="P21" s="22">
        <f>'[10]YJW-parameter'!J$42/('[10]ZJQ-new veh FE'!Q21*'[10]YJW-parameter'!$C36)</f>
        <v>9.0815578728949868E-4</v>
      </c>
      <c r="Q21" s="22">
        <f>'[10]YJW-parameter'!K$42/('[10]ZJQ-new veh FE'!R21*'[10]YJW-parameter'!$C36)</f>
        <v>9.0815578728949868E-4</v>
      </c>
      <c r="R21" s="22">
        <f>'[10]YJW-parameter'!L$42/('[10]ZJQ-new veh FE'!S21*'[10]YJW-parameter'!$C36)</f>
        <v>9.0815578728949868E-4</v>
      </c>
      <c r="S21" s="22">
        <f>'[10]YJW-parameter'!M$42/('[10]ZJQ-new veh FE'!T21*'[10]YJW-parameter'!$C36)</f>
        <v>9.0815578728949868E-4</v>
      </c>
      <c r="T21" s="22">
        <f>'[10]YJW-parameter'!N$42/('[10]ZJQ-new veh FE'!U21*'[10]YJW-parameter'!$C36)</f>
        <v>9.0815578728949868E-4</v>
      </c>
      <c r="U21" s="22">
        <f>'[10]YJW-parameter'!O$42/('[10]ZJQ-new veh FE'!V21*'[10]YJW-parameter'!$C36)</f>
        <v>9.0815578728949868E-4</v>
      </c>
      <c r="V21" s="22">
        <f>'[10]YJW-parameter'!P$42/('[10]ZJQ-new veh FE'!W21*'[10]YJW-parameter'!$C36)</f>
        <v>9.0815578728949868E-4</v>
      </c>
      <c r="W21" s="22">
        <f>'[10]YJW-parameter'!Q$42/('[10]ZJQ-new veh FE'!X21*'[10]YJW-parameter'!$C36)</f>
        <v>9.0815578728949868E-4</v>
      </c>
      <c r="X21" s="22">
        <f>'[10]YJW-parameter'!R$42/('[10]ZJQ-new veh FE'!Y21*'[10]YJW-parameter'!$C36)</f>
        <v>9.0815578728949868E-4</v>
      </c>
      <c r="Y21" s="22">
        <f>'[10]YJW-parameter'!S$42/('[10]ZJQ-new veh FE'!Z21*'[10]YJW-parameter'!$C36)</f>
        <v>9.0815578728949868E-4</v>
      </c>
      <c r="Z21" s="22">
        <f>'[10]YJW-parameter'!T$42/('[10]ZJQ-new veh FE'!AA21*'[10]YJW-parameter'!$C36)</f>
        <v>9.0815578728949868E-4</v>
      </c>
      <c r="AA21" s="22">
        <f>'[10]YJW-parameter'!U$42/('[10]ZJQ-new veh FE'!AB21*'[10]YJW-parameter'!$C36)</f>
        <v>9.0815578728949868E-4</v>
      </c>
      <c r="AB21" s="22">
        <f>'[10]YJW-parameter'!V$42/('[10]ZJQ-new veh FE'!AC21*'[10]YJW-parameter'!$C36)</f>
        <v>9.0815578728949868E-4</v>
      </c>
      <c r="AC21" s="22">
        <f>'[10]YJW-parameter'!W$42/('[10]ZJQ-new veh FE'!AD21*'[10]YJW-parameter'!$C36)</f>
        <v>9.0815578728949868E-4</v>
      </c>
      <c r="AD21" s="22">
        <f>'[10]YJW-parameter'!X$42/('[10]ZJQ-new veh FE'!AE21*'[10]YJW-parameter'!$C36)</f>
        <v>9.0815578728949868E-4</v>
      </c>
      <c r="AE21" s="22">
        <f>'[10]YJW-parameter'!Y$42/('[10]ZJQ-new veh FE'!AF21*'[10]YJW-parameter'!$C36)</f>
        <v>9.0815578728949868E-4</v>
      </c>
      <c r="AF21" s="22">
        <f>'[10]YJW-parameter'!Z$42/('[10]ZJQ-new veh FE'!AG21*'[10]YJW-parameter'!$C36)</f>
        <v>9.0815578728949868E-4</v>
      </c>
      <c r="AG21" s="22">
        <f>'[10]YJW-parameter'!AA$42/('[10]ZJQ-new veh FE'!AH21*'[10]YJW-parameter'!$C36)</f>
        <v>9.0815578728949868E-4</v>
      </c>
      <c r="AH21" s="22">
        <f>'[10]YJW-parameter'!AB$42/('[10]ZJQ-new veh FE'!AI21*'[10]YJW-parameter'!$C36)</f>
        <v>9.0815578728949868E-4</v>
      </c>
      <c r="AI21" s="22">
        <f>'[10]YJW-parameter'!AC$42/('[10]ZJQ-new veh FE'!AJ21*'[10]YJW-parameter'!$C36)</f>
        <v>9.0815578728949868E-4</v>
      </c>
      <c r="AJ21" s="22">
        <f>'[10]YJW-parameter'!AD$42/('[10]ZJQ-new veh FE'!AK21*'[10]YJW-parameter'!$C36)</f>
        <v>9.0815578728949868E-4</v>
      </c>
      <c r="AK21" s="22">
        <f>'[10]YJW-parameter'!AE$42/('[10]ZJQ-new veh FE'!AL21*'[10]YJW-parameter'!$C36)</f>
        <v>9.0815578728949868E-4</v>
      </c>
      <c r="AL21" s="22">
        <f>'[10]YJW-parameter'!AF$42/('[10]ZJQ-new veh FE'!AM21*'[10]YJW-parameter'!$C36)</f>
        <v>9.0815578728949868E-4</v>
      </c>
      <c r="AM21" s="22">
        <f>'[10]YJW-parameter'!AG$42/('[10]ZJQ-new veh FE'!AN21*'[10]YJW-parameter'!$C36)</f>
        <v>9.0815578728949868E-4</v>
      </c>
      <c r="AN21" s="22">
        <f>'[10]YJW-parameter'!AH$42/('[10]ZJQ-new veh FE'!AO21*'[10]YJW-parameter'!$C36)</f>
        <v>9.0815578728949868E-4</v>
      </c>
      <c r="AO21" s="22">
        <f>'[10]YJW-parameter'!AI$42/('[10]ZJQ-new veh FE'!AP21*'[10]YJW-parameter'!$C36)</f>
        <v>9.0815578728949868E-4</v>
      </c>
      <c r="AP21" s="22">
        <f>'[10]YJW-parameter'!AJ$42/('[10]ZJQ-new veh FE'!AQ21*'[10]YJW-parameter'!$C36)</f>
        <v>9.0815578728949868E-4</v>
      </c>
      <c r="AQ21" s="22">
        <f>'[10]YJW-parameter'!AK$42/('[10]ZJQ-new veh FE'!AR21*'[10]YJW-parameter'!$C36)</f>
        <v>9.0815578728949868E-4</v>
      </c>
      <c r="AR21" s="22">
        <f>'[10]YJW-parameter'!AL$42/('[10]ZJQ-new veh FE'!AS21*'[10]YJW-parameter'!$C36)</f>
        <v>9.0815578728949868E-4</v>
      </c>
      <c r="AS21" s="22">
        <f>'[10]YJW-parameter'!AM$42/('[10]ZJQ-new veh FE'!AT21*'[10]YJW-parameter'!$C36)</f>
        <v>9.0815578728949868E-4</v>
      </c>
      <c r="AT21" s="22">
        <f>'[10]YJW-parameter'!AN$42/('[10]ZJQ-new veh FE'!AU21*'[10]YJW-parameter'!$C36)</f>
        <v>9.0815578728949868E-4</v>
      </c>
      <c r="AU21" s="22">
        <f>'[10]YJW-parameter'!AO$42/('[10]ZJQ-new veh FE'!AV21*'[10]YJW-parameter'!$C36)</f>
        <v>9.0815578728949868E-4</v>
      </c>
      <c r="AV21" s="22">
        <f>'[10]YJW-parameter'!AP$42/('[10]ZJQ-new veh FE'!AW21*'[10]YJW-parameter'!$C36)</f>
        <v>9.0815578728949868E-4</v>
      </c>
    </row>
    <row r="22" spans="1:48">
      <c r="A22" s="18" t="s">
        <v>40</v>
      </c>
      <c r="B22" s="19" t="s">
        <v>7</v>
      </c>
      <c r="C22" s="18" t="s">
        <v>41</v>
      </c>
      <c r="D22" s="18" t="s">
        <v>29</v>
      </c>
      <c r="E22" s="18" t="s">
        <v>37</v>
      </c>
      <c r="F22" s="18" t="s">
        <v>31</v>
      </c>
      <c r="G22" s="22">
        <f>'[10]YJW-parameter'!B$42/('[10]ZJQ-new veh FE'!H22*'[10]YJW-parameter'!$C37)</f>
        <v>1.8613241243121026E-3</v>
      </c>
      <c r="H22" s="22">
        <f>'[10]YJW-parameter'!C$42/('[10]ZJQ-new veh FE'!I22*'[10]YJW-parameter'!$C37)</f>
        <v>1.8613241243121026E-3</v>
      </c>
      <c r="I22" s="22">
        <f>'[10]YJW-parameter'!C$42/('[10]ZJQ-new veh FE'!J22*'[10]YJW-parameter'!$C37)</f>
        <v>1.8928719908258668E-3</v>
      </c>
      <c r="J22" s="22">
        <f>'[10]YJW-parameter'!D$42/('[10]ZJQ-new veh FE'!K22*'[10]YJW-parameter'!$C37)</f>
        <v>1.9255077148056235E-3</v>
      </c>
      <c r="K22" s="22">
        <f>'[10]YJW-parameter'!E$42/('[10]ZJQ-new veh FE'!L22*'[10]YJW-parameter'!$C37)</f>
        <v>1.9592885519074763E-3</v>
      </c>
      <c r="L22" s="22">
        <f>'[10]YJW-parameter'!F$42/('[10]ZJQ-new veh FE'!M22*'[10]YJW-parameter'!$C37)</f>
        <v>1.9942758474772531E-3</v>
      </c>
      <c r="M22" s="22">
        <f>'[10]YJW-parameter'!G$42/('[10]ZJQ-new veh FE'!N22*'[10]YJW-parameter'!$C37)</f>
        <v>2.0305354083404756E-3</v>
      </c>
      <c r="N22" s="22">
        <f>'[10]YJW-parameter'!H$42/('[10]ZJQ-new veh FE'!O22*'[10]YJW-parameter'!$C37)</f>
        <v>2.0305354083404756E-3</v>
      </c>
      <c r="O22" s="22">
        <f>'[10]YJW-parameter'!I$42/('[10]ZJQ-new veh FE'!P22*'[10]YJW-parameter'!$C37)</f>
        <v>2.0305354083404756E-3</v>
      </c>
      <c r="P22" s="22">
        <f>'[10]YJW-parameter'!J$42/('[10]ZJQ-new veh FE'!Q22*'[10]YJW-parameter'!$C37)</f>
        <v>2.0305354083404756E-3</v>
      </c>
      <c r="Q22" s="22">
        <f>'[10]YJW-parameter'!K$42/('[10]ZJQ-new veh FE'!R22*'[10]YJW-parameter'!$C37)</f>
        <v>2.0305354083404756E-3</v>
      </c>
      <c r="R22" s="22">
        <f>'[10]YJW-parameter'!L$42/('[10]ZJQ-new veh FE'!S22*'[10]YJW-parameter'!$C37)</f>
        <v>2.0305354083404756E-3</v>
      </c>
      <c r="S22" s="22">
        <f>'[10]YJW-parameter'!M$42/('[10]ZJQ-new veh FE'!T22*'[10]YJW-parameter'!$C37)</f>
        <v>2.0305354083404756E-3</v>
      </c>
      <c r="T22" s="22">
        <f>'[10]YJW-parameter'!N$42/('[10]ZJQ-new veh FE'!U22*'[10]YJW-parameter'!$C37)</f>
        <v>2.0305354083404756E-3</v>
      </c>
      <c r="U22" s="22">
        <f>'[10]YJW-parameter'!O$42/('[10]ZJQ-new veh FE'!V22*'[10]YJW-parameter'!$C37)</f>
        <v>2.0305354083404756E-3</v>
      </c>
      <c r="V22" s="22">
        <f>'[10]YJW-parameter'!P$42/('[10]ZJQ-new veh FE'!W22*'[10]YJW-parameter'!$C37)</f>
        <v>2.0305354083404756E-3</v>
      </c>
      <c r="W22" s="22">
        <f>'[10]YJW-parameter'!Q$42/('[10]ZJQ-new veh FE'!X22*'[10]YJW-parameter'!$C37)</f>
        <v>2.0305354083404756E-3</v>
      </c>
      <c r="X22" s="22">
        <f>'[10]YJW-parameter'!R$42/('[10]ZJQ-new veh FE'!Y22*'[10]YJW-parameter'!$C37)</f>
        <v>2.0305354083404756E-3</v>
      </c>
      <c r="Y22" s="22">
        <f>'[10]YJW-parameter'!S$42/('[10]ZJQ-new veh FE'!Z22*'[10]YJW-parameter'!$C37)</f>
        <v>2.0305354083404756E-3</v>
      </c>
      <c r="Z22" s="22">
        <f>'[10]YJW-parameter'!T$42/('[10]ZJQ-new veh FE'!AA22*'[10]YJW-parameter'!$C37)</f>
        <v>2.0305354083404756E-3</v>
      </c>
      <c r="AA22" s="22">
        <f>'[10]YJW-parameter'!U$42/('[10]ZJQ-new veh FE'!AB22*'[10]YJW-parameter'!$C37)</f>
        <v>2.0305354083404756E-3</v>
      </c>
      <c r="AB22" s="22">
        <f>'[10]YJW-parameter'!V$42/('[10]ZJQ-new veh FE'!AC22*'[10]YJW-parameter'!$C37)</f>
        <v>2.0305354083404756E-3</v>
      </c>
      <c r="AC22" s="22">
        <f>'[10]YJW-parameter'!W$42/('[10]ZJQ-new veh FE'!AD22*'[10]YJW-parameter'!$C37)</f>
        <v>2.0305354083404756E-3</v>
      </c>
      <c r="AD22" s="22">
        <f>'[10]YJW-parameter'!X$42/('[10]ZJQ-new veh FE'!AE22*'[10]YJW-parameter'!$C37)</f>
        <v>2.0305354083404756E-3</v>
      </c>
      <c r="AE22" s="22">
        <f>'[10]YJW-parameter'!Y$42/('[10]ZJQ-new veh FE'!AF22*'[10]YJW-parameter'!$C37)</f>
        <v>2.0305354083404756E-3</v>
      </c>
      <c r="AF22" s="22">
        <f>'[10]YJW-parameter'!Z$42/('[10]ZJQ-new veh FE'!AG22*'[10]YJW-parameter'!$C37)</f>
        <v>2.0305354083404756E-3</v>
      </c>
      <c r="AG22" s="22">
        <f>'[10]YJW-parameter'!AA$42/('[10]ZJQ-new veh FE'!AH22*'[10]YJW-parameter'!$C37)</f>
        <v>2.0305354083404756E-3</v>
      </c>
      <c r="AH22" s="22">
        <f>'[10]YJW-parameter'!AB$42/('[10]ZJQ-new veh FE'!AI22*'[10]YJW-parameter'!$C37)</f>
        <v>2.0305354083404756E-3</v>
      </c>
      <c r="AI22" s="22">
        <f>'[10]YJW-parameter'!AC$42/('[10]ZJQ-new veh FE'!AJ22*'[10]YJW-parameter'!$C37)</f>
        <v>2.0305354083404756E-3</v>
      </c>
      <c r="AJ22" s="22">
        <f>'[10]YJW-parameter'!AD$42/('[10]ZJQ-new veh FE'!AK22*'[10]YJW-parameter'!$C37)</f>
        <v>2.0305354083404756E-3</v>
      </c>
      <c r="AK22" s="22">
        <f>'[10]YJW-parameter'!AE$42/('[10]ZJQ-new veh FE'!AL22*'[10]YJW-parameter'!$C37)</f>
        <v>2.0305354083404756E-3</v>
      </c>
      <c r="AL22" s="22">
        <f>'[10]YJW-parameter'!AF$42/('[10]ZJQ-new veh FE'!AM22*'[10]YJW-parameter'!$C37)</f>
        <v>2.0305354083404756E-3</v>
      </c>
      <c r="AM22" s="22">
        <f>'[10]YJW-parameter'!AG$42/('[10]ZJQ-new veh FE'!AN22*'[10]YJW-parameter'!$C37)</f>
        <v>2.0305354083404756E-3</v>
      </c>
      <c r="AN22" s="22">
        <f>'[10]YJW-parameter'!AH$42/('[10]ZJQ-new veh FE'!AO22*'[10]YJW-parameter'!$C37)</f>
        <v>2.0305354083404756E-3</v>
      </c>
      <c r="AO22" s="22">
        <f>'[10]YJW-parameter'!AI$42/('[10]ZJQ-new veh FE'!AP22*'[10]YJW-parameter'!$C37)</f>
        <v>2.0305354083404756E-3</v>
      </c>
      <c r="AP22" s="22">
        <f>'[10]YJW-parameter'!AJ$42/('[10]ZJQ-new veh FE'!AQ22*'[10]YJW-parameter'!$C37)</f>
        <v>2.0305354083404756E-3</v>
      </c>
      <c r="AQ22" s="22">
        <f>'[10]YJW-parameter'!AK$42/('[10]ZJQ-new veh FE'!AR22*'[10]YJW-parameter'!$C37)</f>
        <v>2.0305354083404756E-3</v>
      </c>
      <c r="AR22" s="22">
        <f>'[10]YJW-parameter'!AL$42/('[10]ZJQ-new veh FE'!AS22*'[10]YJW-parameter'!$C37)</f>
        <v>2.0305354083404756E-3</v>
      </c>
      <c r="AS22" s="22">
        <f>'[10]YJW-parameter'!AM$42/('[10]ZJQ-new veh FE'!AT22*'[10]YJW-parameter'!$C37)</f>
        <v>2.0305354083404756E-3</v>
      </c>
      <c r="AT22" s="22">
        <f>'[10]YJW-parameter'!AN$42/('[10]ZJQ-new veh FE'!AU22*'[10]YJW-parameter'!$C37)</f>
        <v>2.0305354083404756E-3</v>
      </c>
      <c r="AU22" s="22">
        <f>'[10]YJW-parameter'!AO$42/('[10]ZJQ-new veh FE'!AV22*'[10]YJW-parameter'!$C37)</f>
        <v>2.0305354083404756E-3</v>
      </c>
      <c r="AV22" s="22">
        <f>'[10]YJW-parameter'!AP$42/('[10]ZJQ-new veh FE'!AW22*'[10]YJW-parameter'!$C37)</f>
        <v>2.0305354083404756E-3</v>
      </c>
    </row>
    <row r="23" spans="1:48">
      <c r="A23" s="20" t="s">
        <v>42</v>
      </c>
      <c r="B23" s="21" t="s">
        <v>1</v>
      </c>
      <c r="C23" s="20" t="s">
        <v>41</v>
      </c>
      <c r="D23" s="21" t="s">
        <v>39</v>
      </c>
      <c r="E23" s="20" t="s">
        <v>30</v>
      </c>
      <c r="F23" s="20" t="s">
        <v>31</v>
      </c>
      <c r="G23" s="22">
        <f>'[10]YJW-parameter'!B$46/('[10]ZJQ-new veh FE'!H23*'[10]YJW-parameter'!$C31)</f>
        <v>1.424625889530575E-3</v>
      </c>
      <c r="H23" s="22">
        <f>'[10]YJW-parameter'!C$46/('[10]ZJQ-new veh FE'!I23*'[10]YJW-parameter'!$C31)</f>
        <v>1.424625889530575E-3</v>
      </c>
      <c r="I23" s="22">
        <f>'[10]YJW-parameter'!C$46/('[10]ZJQ-new veh FE'!J23*'[10]YJW-parameter'!$C31)</f>
        <v>1.4452726415527589E-3</v>
      </c>
      <c r="J23" s="22">
        <f>'[10]YJW-parameter'!D$46/('[10]ZJQ-new veh FE'!K23*'[10]YJW-parameter'!$C31)</f>
        <v>1.4665266509873601E-3</v>
      </c>
      <c r="K23" s="22">
        <f>'[10]YJW-parameter'!E$46/('[10]ZJQ-new veh FE'!L23*'[10]YJW-parameter'!$C31)</f>
        <v>1.488415108464785E-3</v>
      </c>
      <c r="L23" s="22">
        <f>'[10]YJW-parameter'!F$46/('[10]ZJQ-new veh FE'!M23*'[10]YJW-parameter'!$C31)</f>
        <v>1.510966852532423E-3</v>
      </c>
      <c r="M23" s="22">
        <f>'[10]YJW-parameter'!G$46/('[10]ZJQ-new veh FE'!N23*'[10]YJW-parameter'!$C31)</f>
        <v>1.5342124964175387E-3</v>
      </c>
      <c r="N23" s="22">
        <f>'[10]YJW-parameter'!H$46/('[10]ZJQ-new veh FE'!O23*'[10]YJW-parameter'!$C31)</f>
        <v>1.5581845666740647E-3</v>
      </c>
      <c r="O23" s="22">
        <f>'[10]YJW-parameter'!I$46/('[10]ZJQ-new veh FE'!P23*'[10]YJW-parameter'!$C31)</f>
        <v>1.5829176550339723E-3</v>
      </c>
      <c r="P23" s="22">
        <f>'[10]YJW-parameter'!J$46/('[10]ZJQ-new veh FE'!Q23*'[10]YJW-parameter'!$C31)</f>
        <v>1.6084485849538772E-3</v>
      </c>
      <c r="Q23" s="22">
        <f>'[10]YJW-parameter'!K$46/('[10]ZJQ-new veh FE'!R23*'[10]YJW-parameter'!$C31)</f>
        <v>1.6348165945432871E-3</v>
      </c>
      <c r="R23" s="22">
        <f>'[10]YJW-parameter'!L$46/('[10]ZJQ-new veh FE'!S23*'[10]YJW-parameter'!$C31)</f>
        <v>1.6620635377856774E-3</v>
      </c>
      <c r="S23" s="22">
        <f>'[10]YJW-parameter'!M$46/('[10]ZJQ-new veh FE'!T23*'[10]YJW-parameter'!$C31)</f>
        <v>1.6902341062227098E-3</v>
      </c>
      <c r="T23" s="22">
        <f>'[10]YJW-parameter'!N$46/('[10]ZJQ-new veh FE'!U23*'[10]YJW-parameter'!$C31)</f>
        <v>1.7193760735713791E-3</v>
      </c>
      <c r="U23" s="22">
        <f>'[10]YJW-parameter'!O$46/('[10]ZJQ-new veh FE'!V23*'[10]YJW-parameter'!$C31)</f>
        <v>1.7495405660901773E-3</v>
      </c>
      <c r="V23" s="22">
        <f>'[10]YJW-parameter'!P$46/('[10]ZJQ-new veh FE'!W23*'[10]YJW-parameter'!$C31)</f>
        <v>1.7807823619132186E-3</v>
      </c>
      <c r="W23" s="22">
        <f>'[10]YJW-parameter'!Q$46/('[10]ZJQ-new veh FE'!X23*'[10]YJW-parameter'!$C31)</f>
        <v>1.8131602230389162E-3</v>
      </c>
      <c r="X23" s="22">
        <f>'[10]YJW-parameter'!R$46/('[10]ZJQ-new veh FE'!Y23*'[10]YJW-parameter'!$C31)</f>
        <v>1.8131703666493513E-3</v>
      </c>
      <c r="Y23" s="22">
        <f>'[10]YJW-parameter'!S$46/('[10]ZJQ-new veh FE'!Z23*'[10]YJW-parameter'!$C31)</f>
        <v>1.8131805103733007E-3</v>
      </c>
      <c r="Z23" s="22">
        <f>'[10]YJW-parameter'!T$46/('[10]ZJQ-new veh FE'!AA23*'[10]YJW-parameter'!$C31)</f>
        <v>1.8131906542107304E-3</v>
      </c>
      <c r="AA23" s="22">
        <f>'[10]YJW-parameter'!U$46/('[10]ZJQ-new veh FE'!AB23*'[10]YJW-parameter'!$C31)</f>
        <v>1.8132007981616774E-3</v>
      </c>
      <c r="AB23" s="22">
        <f>'[10]YJW-parameter'!V$46/('[10]ZJQ-new veh FE'!AC23*'[10]YJW-parameter'!$C31)</f>
        <v>1.8132109422261088E-3</v>
      </c>
      <c r="AC23" s="22">
        <f>'[10]YJW-parameter'!W$46/('[10]ZJQ-new veh FE'!AD23*'[10]YJW-parameter'!$C31)</f>
        <v>1.8132109422261088E-3</v>
      </c>
      <c r="AD23" s="22">
        <f>'[10]YJW-parameter'!X$46/('[10]ZJQ-new veh FE'!AE23*'[10]YJW-parameter'!$C31)</f>
        <v>1.8132109422261088E-3</v>
      </c>
      <c r="AE23" s="22">
        <f>'[10]YJW-parameter'!Y$46/('[10]ZJQ-new veh FE'!AF23*'[10]YJW-parameter'!$C31)</f>
        <v>1.8132109422261088E-3</v>
      </c>
      <c r="AF23" s="22">
        <f>'[10]YJW-parameter'!Z$46/('[10]ZJQ-new veh FE'!AG23*'[10]YJW-parameter'!$C31)</f>
        <v>1.8132109422261088E-3</v>
      </c>
      <c r="AG23" s="22">
        <f>'[10]YJW-parameter'!AA$46/('[10]ZJQ-new veh FE'!AH23*'[10]YJW-parameter'!$C31)</f>
        <v>1.8132109422261088E-3</v>
      </c>
      <c r="AH23" s="22">
        <f>'[10]YJW-parameter'!AB$46/('[10]ZJQ-new veh FE'!AI23*'[10]YJW-parameter'!$C31)</f>
        <v>1.8132109422261088E-3</v>
      </c>
      <c r="AI23" s="22">
        <f>'[10]YJW-parameter'!AC$46/('[10]ZJQ-new veh FE'!AJ23*'[10]YJW-parameter'!$C31)</f>
        <v>1.8132109422261088E-3</v>
      </c>
      <c r="AJ23" s="22">
        <f>'[10]YJW-parameter'!AD$46/('[10]ZJQ-new veh FE'!AK23*'[10]YJW-parameter'!$C31)</f>
        <v>1.8132109422261088E-3</v>
      </c>
      <c r="AK23" s="22">
        <f>'[10]YJW-parameter'!AE$46/('[10]ZJQ-new veh FE'!AL23*'[10]YJW-parameter'!$C31)</f>
        <v>1.8132109422261088E-3</v>
      </c>
      <c r="AL23" s="22">
        <f>'[10]YJW-parameter'!AF$46/('[10]ZJQ-new veh FE'!AM23*'[10]YJW-parameter'!$C31)</f>
        <v>1.8132109422261088E-3</v>
      </c>
      <c r="AM23" s="22">
        <f>'[10]YJW-parameter'!AG$46/('[10]ZJQ-new veh FE'!AN23*'[10]YJW-parameter'!$C31)</f>
        <v>1.8132109422261088E-3</v>
      </c>
      <c r="AN23" s="22">
        <f>'[10]YJW-parameter'!AH$46/('[10]ZJQ-new veh FE'!AO23*'[10]YJW-parameter'!$C31)</f>
        <v>1.8132109422261088E-3</v>
      </c>
      <c r="AO23" s="22">
        <f>'[10]YJW-parameter'!AI$46/('[10]ZJQ-new veh FE'!AP23*'[10]YJW-parameter'!$C31)</f>
        <v>1.8132109422261088E-3</v>
      </c>
      <c r="AP23" s="22">
        <f>'[10]YJW-parameter'!AJ$46/('[10]ZJQ-new veh FE'!AQ23*'[10]YJW-parameter'!$C31)</f>
        <v>1.8132109422261088E-3</v>
      </c>
      <c r="AQ23" s="22">
        <f>'[10]YJW-parameter'!AK$46/('[10]ZJQ-new veh FE'!AR23*'[10]YJW-parameter'!$C31)</f>
        <v>1.8132109422261088E-3</v>
      </c>
      <c r="AR23" s="22">
        <f>'[10]YJW-parameter'!AL$46/('[10]ZJQ-new veh FE'!AS23*'[10]YJW-parameter'!$C31)</f>
        <v>1.8132109422261088E-3</v>
      </c>
      <c r="AS23" s="22">
        <f>'[10]YJW-parameter'!AM$46/('[10]ZJQ-new veh FE'!AT23*'[10]YJW-parameter'!$C31)</f>
        <v>1.8132109422261088E-3</v>
      </c>
      <c r="AT23" s="22">
        <f>'[10]YJW-parameter'!AN$46/('[10]ZJQ-new veh FE'!AU23*'[10]YJW-parameter'!$C31)</f>
        <v>1.8132109422261088E-3</v>
      </c>
      <c r="AU23" s="22">
        <f>'[10]YJW-parameter'!AO$46/('[10]ZJQ-new veh FE'!AV23*'[10]YJW-parameter'!$C31)</f>
        <v>1.8132109422261088E-3</v>
      </c>
      <c r="AV23" s="22">
        <f>'[10]YJW-parameter'!AP$46/('[10]ZJQ-new veh FE'!AW23*'[10]YJW-parameter'!$C31)</f>
        <v>1.8132109422261088E-3</v>
      </c>
    </row>
    <row r="24" spans="1:48">
      <c r="A24" s="20" t="s">
        <v>42</v>
      </c>
      <c r="B24" s="21" t="s">
        <v>2</v>
      </c>
      <c r="C24" s="20" t="s">
        <v>41</v>
      </c>
      <c r="D24" s="21" t="s">
        <v>39</v>
      </c>
      <c r="E24" s="20" t="s">
        <v>32</v>
      </c>
      <c r="F24" s="20" t="s">
        <v>31</v>
      </c>
      <c r="G24" s="22">
        <f>'[10]YJW-parameter'!B$46/('[10]ZJQ-new veh FE'!H24*'[10]YJW-parameter'!$C32)</f>
        <v>7.9482568973771061E-4</v>
      </c>
      <c r="H24" s="22">
        <f>'[10]YJW-parameter'!C$46/('[10]ZJQ-new veh FE'!I24*'[10]YJW-parameter'!$C32)</f>
        <v>7.9482568973771061E-4</v>
      </c>
      <c r="I24" s="22">
        <f>'[10]YJW-parameter'!C$46/('[10]ZJQ-new veh FE'!J24*'[10]YJW-parameter'!$C32)</f>
        <v>7.9483439623140458E-4</v>
      </c>
      <c r="J24" s="22">
        <f>'[10]YJW-parameter'!D$46/('[10]ZJQ-new veh FE'!K24*'[10]YJW-parameter'!$C32)</f>
        <v>7.9484310291584191E-4</v>
      </c>
      <c r="K24" s="22">
        <f>'[10]YJW-parameter'!E$46/('[10]ZJQ-new veh FE'!L24*'[10]YJW-parameter'!$C32)</f>
        <v>7.94851809791029E-4</v>
      </c>
      <c r="L24" s="22">
        <f>'[10]YJW-parameter'!F$46/('[10]ZJQ-new veh FE'!M24*'[10]YJW-parameter'!$C32)</f>
        <v>7.9486051685697192E-4</v>
      </c>
      <c r="M24" s="22">
        <f>'[10]YJW-parameter'!G$46/('[10]ZJQ-new veh FE'!N24*'[10]YJW-parameter'!$C32)</f>
        <v>7.9486922411367686E-4</v>
      </c>
      <c r="N24" s="22">
        <f>'[10]YJW-parameter'!H$46/('[10]ZJQ-new veh FE'!O24*'[10]YJW-parameter'!$C32)</f>
        <v>7.9486922411367686E-4</v>
      </c>
      <c r="O24" s="22">
        <f>'[10]YJW-parameter'!I$46/('[10]ZJQ-new veh FE'!P24*'[10]YJW-parameter'!$C32)</f>
        <v>7.9486922411367686E-4</v>
      </c>
      <c r="P24" s="22">
        <f>'[10]YJW-parameter'!J$46/('[10]ZJQ-new veh FE'!Q24*'[10]YJW-parameter'!$C32)</f>
        <v>7.9486922411367686E-4</v>
      </c>
      <c r="Q24" s="22">
        <f>'[10]YJW-parameter'!K$46/('[10]ZJQ-new veh FE'!R24*'[10]YJW-parameter'!$C32)</f>
        <v>7.9486922411367686E-4</v>
      </c>
      <c r="R24" s="22">
        <f>'[10]YJW-parameter'!L$46/('[10]ZJQ-new veh FE'!S24*'[10]YJW-parameter'!$C32)</f>
        <v>7.9486922411367686E-4</v>
      </c>
      <c r="S24" s="22">
        <f>'[10]YJW-parameter'!M$46/('[10]ZJQ-new veh FE'!T24*'[10]YJW-parameter'!$C32)</f>
        <v>7.9486922411367686E-4</v>
      </c>
      <c r="T24" s="22">
        <f>'[10]YJW-parameter'!N$46/('[10]ZJQ-new veh FE'!U24*'[10]YJW-parameter'!$C32)</f>
        <v>7.9486922411367686E-4</v>
      </c>
      <c r="U24" s="22">
        <f>'[10]YJW-parameter'!O$46/('[10]ZJQ-new veh FE'!V24*'[10]YJW-parameter'!$C32)</f>
        <v>7.9486922411367686E-4</v>
      </c>
      <c r="V24" s="22">
        <f>'[10]YJW-parameter'!P$46/('[10]ZJQ-new veh FE'!W24*'[10]YJW-parameter'!$C32)</f>
        <v>7.9486922411367686E-4</v>
      </c>
      <c r="W24" s="22">
        <f>'[10]YJW-parameter'!Q$46/('[10]ZJQ-new veh FE'!X24*'[10]YJW-parameter'!$C32)</f>
        <v>7.9486922411367686E-4</v>
      </c>
      <c r="X24" s="22">
        <f>'[10]YJW-parameter'!R$46/('[10]ZJQ-new veh FE'!Y24*'[10]YJW-parameter'!$C32)</f>
        <v>7.9486922411367686E-4</v>
      </c>
      <c r="Y24" s="22">
        <f>'[10]YJW-parameter'!S$46/('[10]ZJQ-new veh FE'!Z24*'[10]YJW-parameter'!$C32)</f>
        <v>7.9486922411367686E-4</v>
      </c>
      <c r="Z24" s="22">
        <f>'[10]YJW-parameter'!T$46/('[10]ZJQ-new veh FE'!AA24*'[10]YJW-parameter'!$C32)</f>
        <v>7.9486922411367686E-4</v>
      </c>
      <c r="AA24" s="22">
        <f>'[10]YJW-parameter'!U$46/('[10]ZJQ-new veh FE'!AB24*'[10]YJW-parameter'!$C32)</f>
        <v>7.9486922411367686E-4</v>
      </c>
      <c r="AB24" s="22">
        <f>'[10]YJW-parameter'!V$46/('[10]ZJQ-new veh FE'!AC24*'[10]YJW-parameter'!$C32)</f>
        <v>7.9486922411367686E-4</v>
      </c>
      <c r="AC24" s="22">
        <f>'[10]YJW-parameter'!W$46/('[10]ZJQ-new veh FE'!AD24*'[10]YJW-parameter'!$C32)</f>
        <v>7.9486922411367686E-4</v>
      </c>
      <c r="AD24" s="22">
        <f>'[10]YJW-parameter'!X$46/('[10]ZJQ-new veh FE'!AE24*'[10]YJW-parameter'!$C32)</f>
        <v>7.9486922411367686E-4</v>
      </c>
      <c r="AE24" s="22">
        <f>'[10]YJW-parameter'!Y$46/('[10]ZJQ-new veh FE'!AF24*'[10]YJW-parameter'!$C32)</f>
        <v>7.9486922411367686E-4</v>
      </c>
      <c r="AF24" s="22">
        <f>'[10]YJW-parameter'!Z$46/('[10]ZJQ-new veh FE'!AG24*'[10]YJW-parameter'!$C32)</f>
        <v>7.9486922411367686E-4</v>
      </c>
      <c r="AG24" s="22">
        <f>'[10]YJW-parameter'!AA$46/('[10]ZJQ-new veh FE'!AH24*'[10]YJW-parameter'!$C32)</f>
        <v>7.9486922411367686E-4</v>
      </c>
      <c r="AH24" s="22">
        <f>'[10]YJW-parameter'!AB$46/('[10]ZJQ-new veh FE'!AI24*'[10]YJW-parameter'!$C32)</f>
        <v>7.9486922411367686E-4</v>
      </c>
      <c r="AI24" s="22">
        <f>'[10]YJW-parameter'!AC$46/('[10]ZJQ-new veh FE'!AJ24*'[10]YJW-parameter'!$C32)</f>
        <v>7.9486922411367686E-4</v>
      </c>
      <c r="AJ24" s="22">
        <f>'[10]YJW-parameter'!AD$46/('[10]ZJQ-new veh FE'!AK24*'[10]YJW-parameter'!$C32)</f>
        <v>7.9486922411367686E-4</v>
      </c>
      <c r="AK24" s="22">
        <f>'[10]YJW-parameter'!AE$46/('[10]ZJQ-new veh FE'!AL24*'[10]YJW-parameter'!$C32)</f>
        <v>7.9486922411367686E-4</v>
      </c>
      <c r="AL24" s="22">
        <f>'[10]YJW-parameter'!AF$46/('[10]ZJQ-new veh FE'!AM24*'[10]YJW-parameter'!$C32)</f>
        <v>7.9486922411367686E-4</v>
      </c>
      <c r="AM24" s="22">
        <f>'[10]YJW-parameter'!AG$46/('[10]ZJQ-new veh FE'!AN24*'[10]YJW-parameter'!$C32)</f>
        <v>7.9486922411367686E-4</v>
      </c>
      <c r="AN24" s="22">
        <f>'[10]YJW-parameter'!AH$46/('[10]ZJQ-new veh FE'!AO24*'[10]YJW-parameter'!$C32)</f>
        <v>7.9486922411367686E-4</v>
      </c>
      <c r="AO24" s="22">
        <f>'[10]YJW-parameter'!AI$46/('[10]ZJQ-new veh FE'!AP24*'[10]YJW-parameter'!$C32)</f>
        <v>7.9486922411367686E-4</v>
      </c>
      <c r="AP24" s="22">
        <f>'[10]YJW-parameter'!AJ$46/('[10]ZJQ-new veh FE'!AQ24*'[10]YJW-parameter'!$C32)</f>
        <v>7.9486922411367686E-4</v>
      </c>
      <c r="AQ24" s="22">
        <f>'[10]YJW-parameter'!AK$46/('[10]ZJQ-new veh FE'!AR24*'[10]YJW-parameter'!$C32)</f>
        <v>7.9486922411367686E-4</v>
      </c>
      <c r="AR24" s="22">
        <f>'[10]YJW-parameter'!AL$46/('[10]ZJQ-new veh FE'!AS24*'[10]YJW-parameter'!$C32)</f>
        <v>7.9486922411367686E-4</v>
      </c>
      <c r="AS24" s="22">
        <f>'[10]YJW-parameter'!AM$46/('[10]ZJQ-new veh FE'!AT24*'[10]YJW-parameter'!$C32)</f>
        <v>7.9486922411367686E-4</v>
      </c>
      <c r="AT24" s="22">
        <f>'[10]YJW-parameter'!AN$46/('[10]ZJQ-new veh FE'!AU24*'[10]YJW-parameter'!$C32)</f>
        <v>7.9486922411367686E-4</v>
      </c>
      <c r="AU24" s="22">
        <f>'[10]YJW-parameter'!AO$46/('[10]ZJQ-new veh FE'!AV24*'[10]YJW-parameter'!$C32)</f>
        <v>7.9486922411367686E-4</v>
      </c>
      <c r="AV24" s="22">
        <f>'[10]YJW-parameter'!AP$46/('[10]ZJQ-new veh FE'!AW24*'[10]YJW-parameter'!$C32)</f>
        <v>7.9486922411367686E-4</v>
      </c>
    </row>
    <row r="25" spans="1:48">
      <c r="A25" s="20" t="s">
        <v>42</v>
      </c>
      <c r="B25" s="21" t="s">
        <v>3</v>
      </c>
      <c r="C25" s="20" t="s">
        <v>41</v>
      </c>
      <c r="D25" s="21" t="s">
        <v>39</v>
      </c>
      <c r="E25" s="20" t="s">
        <v>33</v>
      </c>
      <c r="F25" s="20" t="s">
        <v>31</v>
      </c>
      <c r="G25" s="22">
        <f>'[10]YJW-parameter'!B$46/('[10]ZJQ-new veh FE'!H25*'[10]YJW-parameter'!$C33)</f>
        <v>6.051804029009192E-4</v>
      </c>
      <c r="H25" s="22">
        <f>'[10]YJW-parameter'!C$46/('[10]ZJQ-new veh FE'!I25*'[10]YJW-parameter'!$C33)</f>
        <v>6.051804029009192E-4</v>
      </c>
      <c r="I25" s="22">
        <f>'[10]YJW-parameter'!C$46/('[10]ZJQ-new veh FE'!J25*'[10]YJW-parameter'!$C33)</f>
        <v>6.1627332270969358E-4</v>
      </c>
      <c r="J25" s="22">
        <f>'[10]YJW-parameter'!D$46/('[10]ZJQ-new veh FE'!K25*'[10]YJW-parameter'!$C33)</f>
        <v>6.2778050093456345E-4</v>
      </c>
      <c r="K25" s="22">
        <f>'[10]YJW-parameter'!E$46/('[10]ZJQ-new veh FE'!L25*'[10]YJW-parameter'!$C33)</f>
        <v>6.397255844618595E-4</v>
      </c>
      <c r="L25" s="22">
        <f>'[10]YJW-parameter'!F$46/('[10]ZJQ-new veh FE'!M25*'[10]YJW-parameter'!$C33)</f>
        <v>6.5213405485012841E-4</v>
      </c>
      <c r="M25" s="22">
        <f>'[10]YJW-parameter'!G$46/('[10]ZJQ-new veh FE'!N25*'[10]YJW-parameter'!$C33)</f>
        <v>6.6503340978122988E-4</v>
      </c>
      <c r="N25" s="22">
        <f>'[10]YJW-parameter'!H$46/('[10]ZJQ-new veh FE'!O25*'[10]YJW-parameter'!$C33)</f>
        <v>6.7018870753147194E-4</v>
      </c>
      <c r="O25" s="22">
        <f>'[10]YJW-parameter'!I$46/('[10]ZJQ-new veh FE'!P25*'[10]YJW-parameter'!$C33)</f>
        <v>6.7542455680906163E-4</v>
      </c>
      <c r="P25" s="22">
        <f>'[10]YJW-parameter'!J$46/('[10]ZJQ-new veh FE'!Q25*'[10]YJW-parameter'!$C33)</f>
        <v>6.8074286040598335E-4</v>
      </c>
      <c r="Q25" s="22">
        <f>'[10]YJW-parameter'!K$46/('[10]ZJQ-new veh FE'!R25*'[10]YJW-parameter'!$C33)</f>
        <v>6.8614558152031648E-4</v>
      </c>
      <c r="R25" s="22">
        <f>'[10]YJW-parameter'!L$46/('[10]ZJQ-new veh FE'!S25*'[10]YJW-parameter'!$C33)</f>
        <v>6.9163474617247906E-4</v>
      </c>
      <c r="S25" s="22">
        <f>'[10]YJW-parameter'!M$46/('[10]ZJQ-new veh FE'!T25*'[10]YJW-parameter'!$C33)</f>
        <v>6.9963052358487762E-4</v>
      </c>
      <c r="T25" s="22">
        <f>'[10]YJW-parameter'!N$46/('[10]ZJQ-new veh FE'!U25*'[10]YJW-parameter'!$C33)</f>
        <v>7.078133367262213E-4</v>
      </c>
      <c r="U25" s="22">
        <f>'[10]YJW-parameter'!O$46/('[10]ZJQ-new veh FE'!V25*'[10]YJW-parameter'!$C33)</f>
        <v>7.1618982591824764E-4</v>
      </c>
      <c r="V25" s="22">
        <f>'[10]YJW-parameter'!P$46/('[10]ZJQ-new veh FE'!W25*'[10]YJW-parameter'!$C33)</f>
        <v>7.2476694958193918E-4</v>
      </c>
      <c r="W25" s="22">
        <f>'[10]YJW-parameter'!Q$46/('[10]ZJQ-new veh FE'!X25*'[10]YJW-parameter'!$C33)</f>
        <v>7.3355200351626557E-4</v>
      </c>
      <c r="X25" s="22">
        <f>'[10]YJW-parameter'!R$46/('[10]ZJQ-new veh FE'!Y25*'[10]YJW-parameter'!$C33)</f>
        <v>7.3355200351626557E-4</v>
      </c>
      <c r="Y25" s="22">
        <f>'[10]YJW-parameter'!S$46/('[10]ZJQ-new veh FE'!Z25*'[10]YJW-parameter'!$C33)</f>
        <v>7.3355200351626557E-4</v>
      </c>
      <c r="Z25" s="22">
        <f>'[10]YJW-parameter'!T$46/('[10]ZJQ-new veh FE'!AA25*'[10]YJW-parameter'!$C33)</f>
        <v>7.3355200351626557E-4</v>
      </c>
      <c r="AA25" s="22">
        <f>'[10]YJW-parameter'!U$46/('[10]ZJQ-new veh FE'!AB25*'[10]YJW-parameter'!$C33)</f>
        <v>7.3355200351626557E-4</v>
      </c>
      <c r="AB25" s="22">
        <f>'[10]YJW-parameter'!V$46/('[10]ZJQ-new veh FE'!AC25*'[10]YJW-parameter'!$C33)</f>
        <v>7.3355200351626557E-4</v>
      </c>
      <c r="AC25" s="22">
        <f>'[10]YJW-parameter'!W$46/('[10]ZJQ-new veh FE'!AD25*'[10]YJW-parameter'!$C33)</f>
        <v>7.3355200351626557E-4</v>
      </c>
      <c r="AD25" s="22">
        <f>'[10]YJW-parameter'!X$46/('[10]ZJQ-new veh FE'!AE25*'[10]YJW-parameter'!$C33)</f>
        <v>7.3355200351626557E-4</v>
      </c>
      <c r="AE25" s="22">
        <f>'[10]YJW-parameter'!Y$46/('[10]ZJQ-new veh FE'!AF25*'[10]YJW-parameter'!$C33)</f>
        <v>7.3355200351626557E-4</v>
      </c>
      <c r="AF25" s="22">
        <f>'[10]YJW-parameter'!Z$46/('[10]ZJQ-new veh FE'!AG25*'[10]YJW-parameter'!$C33)</f>
        <v>7.3355200351626557E-4</v>
      </c>
      <c r="AG25" s="22">
        <f>'[10]YJW-parameter'!AA$46/('[10]ZJQ-new veh FE'!AH25*'[10]YJW-parameter'!$C33)</f>
        <v>7.3355200351626557E-4</v>
      </c>
      <c r="AH25" s="22">
        <f>'[10]YJW-parameter'!AB$46/('[10]ZJQ-new veh FE'!AI25*'[10]YJW-parameter'!$C33)</f>
        <v>7.3355200351626557E-4</v>
      </c>
      <c r="AI25" s="22">
        <f>'[10]YJW-parameter'!AC$46/('[10]ZJQ-new veh FE'!AJ25*'[10]YJW-parameter'!$C33)</f>
        <v>7.3355200351626557E-4</v>
      </c>
      <c r="AJ25" s="22">
        <f>'[10]YJW-parameter'!AD$46/('[10]ZJQ-new veh FE'!AK25*'[10]YJW-parameter'!$C33)</f>
        <v>7.3355200351626557E-4</v>
      </c>
      <c r="AK25" s="22">
        <f>'[10]YJW-parameter'!AE$46/('[10]ZJQ-new veh FE'!AL25*'[10]YJW-parameter'!$C33)</f>
        <v>7.3355200351626557E-4</v>
      </c>
      <c r="AL25" s="22">
        <f>'[10]YJW-parameter'!AF$46/('[10]ZJQ-new veh FE'!AM25*'[10]YJW-parameter'!$C33)</f>
        <v>7.3355200351626557E-4</v>
      </c>
      <c r="AM25" s="22">
        <f>'[10]YJW-parameter'!AG$46/('[10]ZJQ-new veh FE'!AN25*'[10]YJW-parameter'!$C33)</f>
        <v>7.3355200351626557E-4</v>
      </c>
      <c r="AN25" s="22">
        <f>'[10]YJW-parameter'!AH$46/('[10]ZJQ-new veh FE'!AO25*'[10]YJW-parameter'!$C33)</f>
        <v>7.3355200351626557E-4</v>
      </c>
      <c r="AO25" s="22">
        <f>'[10]YJW-parameter'!AI$46/('[10]ZJQ-new veh FE'!AP25*'[10]YJW-parameter'!$C33)</f>
        <v>7.3355200351626557E-4</v>
      </c>
      <c r="AP25" s="22">
        <f>'[10]YJW-parameter'!AJ$46/('[10]ZJQ-new veh FE'!AQ25*'[10]YJW-parameter'!$C33)</f>
        <v>7.3355200351626557E-4</v>
      </c>
      <c r="AQ25" s="22">
        <f>'[10]YJW-parameter'!AK$46/('[10]ZJQ-new veh FE'!AR25*'[10]YJW-parameter'!$C33)</f>
        <v>7.3355200351626557E-4</v>
      </c>
      <c r="AR25" s="22">
        <f>'[10]YJW-parameter'!AL$46/('[10]ZJQ-new veh FE'!AS25*'[10]YJW-parameter'!$C33)</f>
        <v>7.3355200351626557E-4</v>
      </c>
      <c r="AS25" s="22">
        <f>'[10]YJW-parameter'!AM$46/('[10]ZJQ-new veh FE'!AT25*'[10]YJW-parameter'!$C33)</f>
        <v>7.3355200351626557E-4</v>
      </c>
      <c r="AT25" s="22">
        <f>'[10]YJW-parameter'!AN$46/('[10]ZJQ-new veh FE'!AU25*'[10]YJW-parameter'!$C33)</f>
        <v>7.3355200351626557E-4</v>
      </c>
      <c r="AU25" s="22">
        <f>'[10]YJW-parameter'!AO$46/('[10]ZJQ-new veh FE'!AV25*'[10]YJW-parameter'!$C33)</f>
        <v>7.3355200351626557E-4</v>
      </c>
      <c r="AV25" s="22">
        <f>'[10]YJW-parameter'!AP$46/('[10]ZJQ-new veh FE'!AW25*'[10]YJW-parameter'!$C33)</f>
        <v>7.3355200351626557E-4</v>
      </c>
    </row>
    <row r="26" spans="1:48">
      <c r="A26" s="20" t="s">
        <v>42</v>
      </c>
      <c r="B26" s="21" t="s">
        <v>4</v>
      </c>
      <c r="C26" s="20" t="s">
        <v>41</v>
      </c>
      <c r="D26" s="21" t="s">
        <v>39</v>
      </c>
      <c r="E26" s="20" t="s">
        <v>34</v>
      </c>
      <c r="F26" s="20" t="s">
        <v>31</v>
      </c>
      <c r="G26" s="23">
        <f>G36</f>
        <v>6.3728504241452547E-4</v>
      </c>
      <c r="H26" s="23">
        <f>H36</f>
        <v>6.1792740090763965E-4</v>
      </c>
      <c r="I26" s="23">
        <f t="shared" ref="I26:AV26" si="3">I36</f>
        <v>6.1496789131848019E-4</v>
      </c>
      <c r="J26" s="23">
        <f t="shared" si="3"/>
        <v>6.8649777002723392E-4</v>
      </c>
      <c r="K26" s="23">
        <f t="shared" si="3"/>
        <v>6.7352893208534571E-4</v>
      </c>
      <c r="L26" s="23">
        <f t="shared" si="3"/>
        <v>7.0383059433667223E-4</v>
      </c>
      <c r="M26" s="23">
        <f t="shared" si="3"/>
        <v>7.2950662783505488E-4</v>
      </c>
      <c r="N26" s="23">
        <f t="shared" si="3"/>
        <v>7.5643984518147453E-4</v>
      </c>
      <c r="O26" s="23">
        <f t="shared" si="3"/>
        <v>7.5159274196700101E-4</v>
      </c>
      <c r="P26" s="23">
        <f t="shared" si="3"/>
        <v>7.5187134868029935E-4</v>
      </c>
      <c r="Q26" s="23">
        <f t="shared" si="3"/>
        <v>7.5298385890597719E-4</v>
      </c>
      <c r="R26" s="23">
        <f t="shared" si="3"/>
        <v>7.5787577224640298E-4</v>
      </c>
      <c r="S26" s="23">
        <f t="shared" si="3"/>
        <v>7.5679232682093875E-4</v>
      </c>
      <c r="T26" s="23">
        <f t="shared" si="3"/>
        <v>7.6455536862220837E-4</v>
      </c>
      <c r="U26" s="23">
        <f t="shared" si="3"/>
        <v>7.7126334164682531E-4</v>
      </c>
      <c r="V26" s="23">
        <f t="shared" si="3"/>
        <v>7.7739742288536744E-4</v>
      </c>
      <c r="W26" s="23">
        <f t="shared" si="3"/>
        <v>7.8065365758908515E-4</v>
      </c>
      <c r="X26" s="23">
        <f t="shared" si="3"/>
        <v>7.8496954571319235E-4</v>
      </c>
      <c r="Y26" s="23">
        <f t="shared" si="3"/>
        <v>7.8883241605233738E-4</v>
      </c>
      <c r="Z26" s="23">
        <f t="shared" si="3"/>
        <v>7.9297419810111321E-4</v>
      </c>
      <c r="AA26" s="23">
        <f t="shared" si="3"/>
        <v>7.9629783445178323E-4</v>
      </c>
      <c r="AB26" s="23">
        <f t="shared" si="3"/>
        <v>8.00848695907293E-4</v>
      </c>
      <c r="AC26" s="23">
        <f t="shared" si="3"/>
        <v>8.0453051085513784E-4</v>
      </c>
      <c r="AD26" s="23">
        <f t="shared" si="3"/>
        <v>8.093660663898197E-4</v>
      </c>
      <c r="AE26" s="23">
        <f t="shared" si="3"/>
        <v>8.137652247198529E-4</v>
      </c>
      <c r="AF26" s="23">
        <f t="shared" si="3"/>
        <v>8.1845687035833191E-4</v>
      </c>
      <c r="AG26" s="23">
        <f t="shared" si="3"/>
        <v>8.231749866102015E-4</v>
      </c>
      <c r="AH26" s="23">
        <f t="shared" si="3"/>
        <v>8.2785111385531786E-4</v>
      </c>
      <c r="AI26" s="23">
        <f t="shared" si="3"/>
        <v>8.3223666362898074E-4</v>
      </c>
      <c r="AJ26" s="23">
        <f t="shared" si="3"/>
        <v>8.3679125445288555E-4</v>
      </c>
      <c r="AK26" s="23">
        <f t="shared" si="3"/>
        <v>8.4144910607248324E-4</v>
      </c>
      <c r="AL26" s="23">
        <f t="shared" si="3"/>
        <v>8.4619656579807973E-4</v>
      </c>
      <c r="AM26" s="23">
        <f t="shared" si="3"/>
        <v>8.509488383393615E-4</v>
      </c>
      <c r="AN26" s="23">
        <f t="shared" si="3"/>
        <v>8.5303624626809689E-4</v>
      </c>
      <c r="AO26" s="23">
        <f t="shared" si="3"/>
        <v>8.5306107366655453E-4</v>
      </c>
      <c r="AP26" s="23">
        <f t="shared" si="3"/>
        <v>8.5310403384507251E-4</v>
      </c>
      <c r="AQ26" s="23">
        <f t="shared" si="3"/>
        <v>8.5313290964597469E-4</v>
      </c>
      <c r="AR26" s="23">
        <f t="shared" si="3"/>
        <v>8.5318874113096829E-4</v>
      </c>
      <c r="AS26" s="23">
        <f t="shared" si="3"/>
        <v>8.5322290892893044E-4</v>
      </c>
      <c r="AT26" s="23">
        <f t="shared" si="3"/>
        <v>8.5322883711403839E-4</v>
      </c>
      <c r="AU26" s="23">
        <f t="shared" si="3"/>
        <v>8.5320642992497162E-4</v>
      </c>
      <c r="AV26" s="23">
        <f t="shared" si="3"/>
        <v>8.5318116253463457E-4</v>
      </c>
    </row>
    <row r="27" spans="1:48">
      <c r="A27" s="20" t="s">
        <v>42</v>
      </c>
      <c r="B27" s="21" t="s">
        <v>5</v>
      </c>
      <c r="C27" s="20" t="s">
        <v>41</v>
      </c>
      <c r="D27" s="21" t="s">
        <v>39</v>
      </c>
      <c r="E27" s="20" t="s">
        <v>35</v>
      </c>
      <c r="F27" s="20" t="s">
        <v>31</v>
      </c>
      <c r="G27" s="22">
        <f>'[10]YJW-parameter'!B$46/('[10]ZJQ-new veh FE'!H27*'[10]YJW-parameter'!$C35)</f>
        <v>8.5437233350718004E-4</v>
      </c>
      <c r="H27" s="22">
        <f>'[10]YJW-parameter'!C$46/('[10]ZJQ-new veh FE'!I27*'[10]YJW-parameter'!$C35)</f>
        <v>8.5437233350718004E-4</v>
      </c>
      <c r="I27" s="22">
        <f>'[10]YJW-parameter'!C$46/('[10]ZJQ-new veh FE'!J27*'[10]YJW-parameter'!$C35)</f>
        <v>8.789838822090331E-4</v>
      </c>
      <c r="J27" s="22">
        <f>'[10]YJW-parameter'!D$46/('[10]ZJQ-new veh FE'!K27*'[10]YJW-parameter'!$C35)</f>
        <v>9.0505543803726704E-4</v>
      </c>
      <c r="K27" s="22">
        <f>'[10]YJW-parameter'!E$46/('[10]ZJQ-new veh FE'!L27*'[10]YJW-parameter'!$C35)</f>
        <v>9.3272088810827524E-4</v>
      </c>
      <c r="L27" s="22">
        <f>'[10]YJW-parameter'!F$46/('[10]ZJQ-new veh FE'!M27*'[10]YJW-parameter'!$C35)</f>
        <v>9.6213100620177929E-4</v>
      </c>
      <c r="M27" s="22">
        <f>'[10]YJW-parameter'!G$46/('[10]ZJQ-new veh FE'!N27*'[10]YJW-parameter'!$C35)</f>
        <v>9.9345620175253502E-4</v>
      </c>
      <c r="N27" s="22">
        <f>'[10]YJW-parameter'!H$46/('[10]ZJQ-new veh FE'!O27*'[10]YJW-parameter'!$C35)</f>
        <v>1.0075145442301652E-3</v>
      </c>
      <c r="O27" s="22">
        <f>'[10]YJW-parameter'!I$46/('[10]ZJQ-new veh FE'!P27*'[10]YJW-parameter'!$C35)</f>
        <v>1.0219764754870575E-3</v>
      </c>
      <c r="P27" s="22">
        <f>'[10]YJW-parameter'!J$46/('[10]ZJQ-new veh FE'!Q27*'[10]YJW-parameter'!$C35)</f>
        <v>1.0368596280426942E-3</v>
      </c>
      <c r="Q27" s="22">
        <f>'[10]YJW-parameter'!K$46/('[10]ZJQ-new veh FE'!R27*'[10]YJW-parameter'!$C35)</f>
        <v>1.0521826767329802E-3</v>
      </c>
      <c r="R27" s="22">
        <f>'[10]YJW-parameter'!L$46/('[10]ZJQ-new veh FE'!S27*'[10]YJW-parameter'!$C35)</f>
        <v>1.067965416883975E-3</v>
      </c>
      <c r="S27" s="22">
        <f>'[10]YJW-parameter'!M$46/('[10]ZJQ-new veh FE'!T27*'[10]YJW-parameter'!$C35)</f>
        <v>1.0787529463474495E-3</v>
      </c>
      <c r="T27" s="22">
        <f>'[10]YJW-parameter'!N$46/('[10]ZJQ-new veh FE'!U27*'[10]YJW-parameter'!$C35)</f>
        <v>1.089760629473444E-3</v>
      </c>
      <c r="U27" s="22">
        <f>'[10]YJW-parameter'!O$46/('[10]ZJQ-new veh FE'!V27*'[10]YJW-parameter'!$C35)</f>
        <v>1.1009952751381185E-3</v>
      </c>
      <c r="V27" s="22">
        <f>'[10]YJW-parameter'!P$46/('[10]ZJQ-new veh FE'!W27*'[10]YJW-parameter'!$C35)</f>
        <v>1.1124639759208074E-3</v>
      </c>
      <c r="W27" s="22">
        <f>'[10]YJW-parameter'!Q$46/('[10]ZJQ-new veh FE'!X27*'[10]YJW-parameter'!$C35)</f>
        <v>1.1241741230357634E-3</v>
      </c>
      <c r="X27" s="22">
        <f>'[10]YJW-parameter'!R$46/('[10]ZJQ-new veh FE'!Y27*'[10]YJW-parameter'!$C35)</f>
        <v>1.1242122658667864E-3</v>
      </c>
      <c r="Y27" s="22">
        <f>'[10]YJW-parameter'!S$46/('[10]ZJQ-new veh FE'!Z27*'[10]YJW-parameter'!$C35)</f>
        <v>1.1242504112862425E-3</v>
      </c>
      <c r="Z27" s="22">
        <f>'[10]YJW-parameter'!T$46/('[10]ZJQ-new veh FE'!AA27*'[10]YJW-parameter'!$C35)</f>
        <v>1.1242885592943961E-3</v>
      </c>
      <c r="AA27" s="22">
        <f>'[10]YJW-parameter'!U$46/('[10]ZJQ-new veh FE'!AB27*'[10]YJW-parameter'!$C35)</f>
        <v>1.1243267098915099E-3</v>
      </c>
      <c r="AB27" s="22">
        <f>'[10]YJW-parameter'!V$46/('[10]ZJQ-new veh FE'!AC27*'[10]YJW-parameter'!$C35)</f>
        <v>1.1243648630778478E-3</v>
      </c>
      <c r="AC27" s="22">
        <f>'[10]YJW-parameter'!W$46/('[10]ZJQ-new veh FE'!AD27*'[10]YJW-parameter'!$C35)</f>
        <v>1.1243648630778478E-3</v>
      </c>
      <c r="AD27" s="22">
        <f>'[10]YJW-parameter'!X$46/('[10]ZJQ-new veh FE'!AE27*'[10]YJW-parameter'!$C35)</f>
        <v>1.1243648630778478E-3</v>
      </c>
      <c r="AE27" s="22">
        <f>'[10]YJW-parameter'!Y$46/('[10]ZJQ-new veh FE'!AF27*'[10]YJW-parameter'!$C35)</f>
        <v>1.1243648630778478E-3</v>
      </c>
      <c r="AF27" s="22">
        <f>'[10]YJW-parameter'!Z$46/('[10]ZJQ-new veh FE'!AG27*'[10]YJW-parameter'!$C35)</f>
        <v>1.1243648630778478E-3</v>
      </c>
      <c r="AG27" s="22">
        <f>'[10]YJW-parameter'!AA$46/('[10]ZJQ-new veh FE'!AH27*'[10]YJW-parameter'!$C35)</f>
        <v>1.1243648630778478E-3</v>
      </c>
      <c r="AH27" s="22">
        <f>'[10]YJW-parameter'!AB$46/('[10]ZJQ-new veh FE'!AI27*'[10]YJW-parameter'!$C35)</f>
        <v>1.1243648630778478E-3</v>
      </c>
      <c r="AI27" s="22">
        <f>'[10]YJW-parameter'!AC$46/('[10]ZJQ-new veh FE'!AJ27*'[10]YJW-parameter'!$C35)</f>
        <v>1.1243648630778478E-3</v>
      </c>
      <c r="AJ27" s="22">
        <f>'[10]YJW-parameter'!AD$46/('[10]ZJQ-new veh FE'!AK27*'[10]YJW-parameter'!$C35)</f>
        <v>1.1243648630778478E-3</v>
      </c>
      <c r="AK27" s="22">
        <f>'[10]YJW-parameter'!AE$46/('[10]ZJQ-new veh FE'!AL27*'[10]YJW-parameter'!$C35)</f>
        <v>1.1243648630778478E-3</v>
      </c>
      <c r="AL27" s="22">
        <f>'[10]YJW-parameter'!AF$46/('[10]ZJQ-new veh FE'!AM27*'[10]YJW-parameter'!$C35)</f>
        <v>1.1243648630778478E-3</v>
      </c>
      <c r="AM27" s="22">
        <f>'[10]YJW-parameter'!AG$46/('[10]ZJQ-new veh FE'!AN27*'[10]YJW-parameter'!$C35)</f>
        <v>1.1243648630778478E-3</v>
      </c>
      <c r="AN27" s="22">
        <f>'[10]YJW-parameter'!AH$46/('[10]ZJQ-new veh FE'!AO27*'[10]YJW-parameter'!$C35)</f>
        <v>1.1243648630778478E-3</v>
      </c>
      <c r="AO27" s="22">
        <f>'[10]YJW-parameter'!AI$46/('[10]ZJQ-new veh FE'!AP27*'[10]YJW-parameter'!$C35)</f>
        <v>1.1243648630778478E-3</v>
      </c>
      <c r="AP27" s="22">
        <f>'[10]YJW-parameter'!AJ$46/('[10]ZJQ-new veh FE'!AQ27*'[10]YJW-parameter'!$C35)</f>
        <v>1.1243648630778478E-3</v>
      </c>
      <c r="AQ27" s="22">
        <f>'[10]YJW-parameter'!AK$46/('[10]ZJQ-new veh FE'!AR27*'[10]YJW-parameter'!$C35)</f>
        <v>1.1243648630778478E-3</v>
      </c>
      <c r="AR27" s="22">
        <f>'[10]YJW-parameter'!AL$46/('[10]ZJQ-new veh FE'!AS27*'[10]YJW-parameter'!$C35)</f>
        <v>1.1243648630778478E-3</v>
      </c>
      <c r="AS27" s="22">
        <f>'[10]YJW-parameter'!AM$46/('[10]ZJQ-new veh FE'!AT27*'[10]YJW-parameter'!$C35)</f>
        <v>1.1243648630778478E-3</v>
      </c>
      <c r="AT27" s="22">
        <f>'[10]YJW-parameter'!AN$46/('[10]ZJQ-new veh FE'!AU27*'[10]YJW-parameter'!$C35)</f>
        <v>1.1243648630778478E-3</v>
      </c>
      <c r="AU27" s="22">
        <f>'[10]YJW-parameter'!AO$46/('[10]ZJQ-new veh FE'!AV27*'[10]YJW-parameter'!$C35)</f>
        <v>1.1243648630778478E-3</v>
      </c>
      <c r="AV27" s="22">
        <f>'[10]YJW-parameter'!AP$46/('[10]ZJQ-new veh FE'!AW27*'[10]YJW-parameter'!$C35)</f>
        <v>1.1243648630778478E-3</v>
      </c>
    </row>
    <row r="28" spans="1:48">
      <c r="A28" s="20" t="s">
        <v>42</v>
      </c>
      <c r="B28" s="21" t="s">
        <v>6</v>
      </c>
      <c r="C28" s="20" t="s">
        <v>41</v>
      </c>
      <c r="D28" s="21" t="s">
        <v>39</v>
      </c>
      <c r="E28" s="20" t="s">
        <v>36</v>
      </c>
      <c r="F28" s="20" t="s">
        <v>31</v>
      </c>
      <c r="G28" s="22">
        <f>'[10]YJW-parameter'!B$46/('[10]ZJQ-new veh FE'!H28*'[10]YJW-parameter'!$C36)</f>
        <v>3.9159832339000857E-4</v>
      </c>
      <c r="H28" s="22">
        <f>'[10]YJW-parameter'!C$46/('[10]ZJQ-new veh FE'!I28*'[10]YJW-parameter'!$C36)</f>
        <v>3.9159832339000857E-4</v>
      </c>
      <c r="I28" s="22">
        <f>'[10]YJW-parameter'!C$46/('[10]ZJQ-new veh FE'!J28*'[10]YJW-parameter'!$C36)</f>
        <v>3.9159832339000857E-4</v>
      </c>
      <c r="J28" s="22">
        <f>'[10]YJW-parameter'!D$46/('[10]ZJQ-new veh FE'!K28*'[10]YJW-parameter'!$C36)</f>
        <v>3.9159832339000857E-4</v>
      </c>
      <c r="K28" s="22">
        <f>'[10]YJW-parameter'!E$46/('[10]ZJQ-new veh FE'!L28*'[10]YJW-parameter'!$C36)</f>
        <v>3.9159832339000857E-4</v>
      </c>
      <c r="L28" s="22">
        <f>'[10]YJW-parameter'!F$46/('[10]ZJQ-new veh FE'!M28*'[10]YJW-parameter'!$C36)</f>
        <v>3.9159832339000857E-4</v>
      </c>
      <c r="M28" s="22">
        <f>'[10]YJW-parameter'!G$46/('[10]ZJQ-new veh FE'!N28*'[10]YJW-parameter'!$C36)</f>
        <v>3.9159832339000857E-4</v>
      </c>
      <c r="N28" s="22">
        <f>'[10]YJW-parameter'!H$46/('[10]ZJQ-new veh FE'!O28*'[10]YJW-parameter'!$C36)</f>
        <v>3.9159832339000857E-4</v>
      </c>
      <c r="O28" s="22">
        <f>'[10]YJW-parameter'!I$46/('[10]ZJQ-new veh FE'!P28*'[10]YJW-parameter'!$C36)</f>
        <v>3.9159832339000857E-4</v>
      </c>
      <c r="P28" s="22">
        <f>'[10]YJW-parameter'!J$46/('[10]ZJQ-new veh FE'!Q28*'[10]YJW-parameter'!$C36)</f>
        <v>3.9159832339000857E-4</v>
      </c>
      <c r="Q28" s="22">
        <f>'[10]YJW-parameter'!K$46/('[10]ZJQ-new veh FE'!R28*'[10]YJW-parameter'!$C36)</f>
        <v>3.9159832339000857E-4</v>
      </c>
      <c r="R28" s="22">
        <f>'[10]YJW-parameter'!L$46/('[10]ZJQ-new veh FE'!S28*'[10]YJW-parameter'!$C36)</f>
        <v>3.9159832339000857E-4</v>
      </c>
      <c r="S28" s="22">
        <f>'[10]YJW-parameter'!M$46/('[10]ZJQ-new veh FE'!T28*'[10]YJW-parameter'!$C36)</f>
        <v>3.9159832339000857E-4</v>
      </c>
      <c r="T28" s="22">
        <f>'[10]YJW-parameter'!N$46/('[10]ZJQ-new veh FE'!U28*'[10]YJW-parameter'!$C36)</f>
        <v>3.9159832339000857E-4</v>
      </c>
      <c r="U28" s="22">
        <f>'[10]YJW-parameter'!O$46/('[10]ZJQ-new veh FE'!V28*'[10]YJW-parameter'!$C36)</f>
        <v>3.9159832339000857E-4</v>
      </c>
      <c r="V28" s="22">
        <f>'[10]YJW-parameter'!P$46/('[10]ZJQ-new veh FE'!W28*'[10]YJW-parameter'!$C36)</f>
        <v>3.9159832339000857E-4</v>
      </c>
      <c r="W28" s="22">
        <f>'[10]YJW-parameter'!Q$46/('[10]ZJQ-new veh FE'!X28*'[10]YJW-parameter'!$C36)</f>
        <v>3.9159832339000857E-4</v>
      </c>
      <c r="X28" s="22">
        <f>'[10]YJW-parameter'!R$46/('[10]ZJQ-new veh FE'!Y28*'[10]YJW-parameter'!$C36)</f>
        <v>3.9159832339000857E-4</v>
      </c>
      <c r="Y28" s="22">
        <f>'[10]YJW-parameter'!S$46/('[10]ZJQ-new veh FE'!Z28*'[10]YJW-parameter'!$C36)</f>
        <v>3.9159832339000857E-4</v>
      </c>
      <c r="Z28" s="22">
        <f>'[10]YJW-parameter'!T$46/('[10]ZJQ-new veh FE'!AA28*'[10]YJW-parameter'!$C36)</f>
        <v>3.9159832339000857E-4</v>
      </c>
      <c r="AA28" s="22">
        <f>'[10]YJW-parameter'!U$46/('[10]ZJQ-new veh FE'!AB28*'[10]YJW-parameter'!$C36)</f>
        <v>3.9159832339000857E-4</v>
      </c>
      <c r="AB28" s="22">
        <f>'[10]YJW-parameter'!V$46/('[10]ZJQ-new veh FE'!AC28*'[10]YJW-parameter'!$C36)</f>
        <v>3.9159832339000857E-4</v>
      </c>
      <c r="AC28" s="22">
        <f>'[10]YJW-parameter'!W$46/('[10]ZJQ-new veh FE'!AD28*'[10]YJW-parameter'!$C36)</f>
        <v>3.9159832339000857E-4</v>
      </c>
      <c r="AD28" s="22">
        <f>'[10]YJW-parameter'!X$46/('[10]ZJQ-new veh FE'!AE28*'[10]YJW-parameter'!$C36)</f>
        <v>3.9159832339000857E-4</v>
      </c>
      <c r="AE28" s="22">
        <f>'[10]YJW-parameter'!Y$46/('[10]ZJQ-new veh FE'!AF28*'[10]YJW-parameter'!$C36)</f>
        <v>3.9159832339000857E-4</v>
      </c>
      <c r="AF28" s="22">
        <f>'[10]YJW-parameter'!Z$46/('[10]ZJQ-new veh FE'!AG28*'[10]YJW-parameter'!$C36)</f>
        <v>3.9159832339000857E-4</v>
      </c>
      <c r="AG28" s="22">
        <f>'[10]YJW-parameter'!AA$46/('[10]ZJQ-new veh FE'!AH28*'[10]YJW-parameter'!$C36)</f>
        <v>3.9159832339000857E-4</v>
      </c>
      <c r="AH28" s="22">
        <f>'[10]YJW-parameter'!AB$46/('[10]ZJQ-new veh FE'!AI28*'[10]YJW-parameter'!$C36)</f>
        <v>3.9159832339000857E-4</v>
      </c>
      <c r="AI28" s="22">
        <f>'[10]YJW-parameter'!AC$46/('[10]ZJQ-new veh FE'!AJ28*'[10]YJW-parameter'!$C36)</f>
        <v>3.9159832339000857E-4</v>
      </c>
      <c r="AJ28" s="22">
        <f>'[10]YJW-parameter'!AD$46/('[10]ZJQ-new veh FE'!AK28*'[10]YJW-parameter'!$C36)</f>
        <v>3.9159832339000857E-4</v>
      </c>
      <c r="AK28" s="22">
        <f>'[10]YJW-parameter'!AE$46/('[10]ZJQ-new veh FE'!AL28*'[10]YJW-parameter'!$C36)</f>
        <v>3.9159832339000857E-4</v>
      </c>
      <c r="AL28" s="22">
        <f>'[10]YJW-parameter'!AF$46/('[10]ZJQ-new veh FE'!AM28*'[10]YJW-parameter'!$C36)</f>
        <v>3.9159832339000857E-4</v>
      </c>
      <c r="AM28" s="22">
        <f>'[10]YJW-parameter'!AG$46/('[10]ZJQ-new veh FE'!AN28*'[10]YJW-parameter'!$C36)</f>
        <v>3.9159832339000857E-4</v>
      </c>
      <c r="AN28" s="22">
        <f>'[10]YJW-parameter'!AH$46/('[10]ZJQ-new veh FE'!AO28*'[10]YJW-parameter'!$C36)</f>
        <v>3.9159832339000857E-4</v>
      </c>
      <c r="AO28" s="22">
        <f>'[10]YJW-parameter'!AI$46/('[10]ZJQ-new veh FE'!AP28*'[10]YJW-parameter'!$C36)</f>
        <v>3.9159832339000857E-4</v>
      </c>
      <c r="AP28" s="22">
        <f>'[10]YJW-parameter'!AJ$46/('[10]ZJQ-new veh FE'!AQ28*'[10]YJW-parameter'!$C36)</f>
        <v>3.9159832339000857E-4</v>
      </c>
      <c r="AQ28" s="22">
        <f>'[10]YJW-parameter'!AK$46/('[10]ZJQ-new veh FE'!AR28*'[10]YJW-parameter'!$C36)</f>
        <v>3.9159832339000857E-4</v>
      </c>
      <c r="AR28" s="22">
        <f>'[10]YJW-parameter'!AL$46/('[10]ZJQ-new veh FE'!AS28*'[10]YJW-parameter'!$C36)</f>
        <v>3.9159832339000857E-4</v>
      </c>
      <c r="AS28" s="22">
        <f>'[10]YJW-parameter'!AM$46/('[10]ZJQ-new veh FE'!AT28*'[10]YJW-parameter'!$C36)</f>
        <v>3.9159832339000857E-4</v>
      </c>
      <c r="AT28" s="22">
        <f>'[10]YJW-parameter'!AN$46/('[10]ZJQ-new veh FE'!AU28*'[10]YJW-parameter'!$C36)</f>
        <v>3.9159832339000857E-4</v>
      </c>
      <c r="AU28" s="22">
        <f>'[10]YJW-parameter'!AO$46/('[10]ZJQ-new veh FE'!AV28*'[10]YJW-parameter'!$C36)</f>
        <v>3.9159832339000857E-4</v>
      </c>
      <c r="AV28" s="22">
        <f>'[10]YJW-parameter'!AP$46/('[10]ZJQ-new veh FE'!AW28*'[10]YJW-parameter'!$C36)</f>
        <v>3.9159832339000857E-4</v>
      </c>
    </row>
    <row r="29" spans="1:48">
      <c r="A29" s="20" t="s">
        <v>42</v>
      </c>
      <c r="B29" s="21" t="s">
        <v>7</v>
      </c>
      <c r="C29" s="20" t="s">
        <v>41</v>
      </c>
      <c r="D29" s="21" t="s">
        <v>39</v>
      </c>
      <c r="E29" s="20" t="s">
        <v>37</v>
      </c>
      <c r="F29" s="20" t="s">
        <v>31</v>
      </c>
      <c r="G29" s="22">
        <f>'[10]YJW-parameter'!B$46/('[10]ZJQ-new veh FE'!H29*'[10]YJW-parameter'!$C37)</f>
        <v>3.9127049078656643E-4</v>
      </c>
      <c r="H29" s="22">
        <f>'[10]YJW-parameter'!C$46/('[10]ZJQ-new veh FE'!I29*'[10]YJW-parameter'!$C37)</f>
        <v>3.9127049078656643E-4</v>
      </c>
      <c r="I29" s="22">
        <f>'[10]YJW-parameter'!C$46/('[10]ZJQ-new veh FE'!J29*'[10]YJW-parameter'!$C37)</f>
        <v>3.9790219402023694E-4</v>
      </c>
      <c r="J29" s="22">
        <f>'[10]YJW-parameter'!D$46/('[10]ZJQ-new veh FE'!K29*'[10]YJW-parameter'!$C37)</f>
        <v>4.0476257667575833E-4</v>
      </c>
      <c r="K29" s="22">
        <f>'[10]YJW-parameter'!E$46/('[10]ZJQ-new veh FE'!L29*'[10]YJW-parameter'!$C37)</f>
        <v>4.1186367451217517E-4</v>
      </c>
      <c r="L29" s="22">
        <f>'[10]YJW-parameter'!F$46/('[10]ZJQ-new veh FE'!M29*'[10]YJW-parameter'!$C37)</f>
        <v>4.1921838298560689E-4</v>
      </c>
      <c r="M29" s="22">
        <f>'[10]YJW-parameter'!G$46/('[10]ZJQ-new veh FE'!N29*'[10]YJW-parameter'!$C37)</f>
        <v>4.2684053540352696E-4</v>
      </c>
      <c r="N29" s="22">
        <f>'[10]YJW-parameter'!H$46/('[10]ZJQ-new veh FE'!O29*'[10]YJW-parameter'!$C37)</f>
        <v>4.3075650361823822E-4</v>
      </c>
      <c r="O29" s="22">
        <f>'[10]YJW-parameter'!I$46/('[10]ZJQ-new veh FE'!P29*'[10]YJW-parameter'!$C37)</f>
        <v>4.3474498976285152E-4</v>
      </c>
      <c r="P29" s="22">
        <f>'[10]YJW-parameter'!J$46/('[10]ZJQ-new veh FE'!Q29*'[10]YJW-parameter'!$C37)</f>
        <v>4.3880802705035491E-4</v>
      </c>
      <c r="Q29" s="22">
        <f>'[10]YJW-parameter'!K$46/('[10]ZJQ-new veh FE'!R29*'[10]YJW-parameter'!$C37)</f>
        <v>4.4294772541875443E-4</v>
      </c>
      <c r="R29" s="22">
        <f>'[10]YJW-parameter'!L$46/('[10]ZJQ-new veh FE'!S29*'[10]YJW-parameter'!$C37)</f>
        <v>4.4716627518464729E-4</v>
      </c>
      <c r="S29" s="22">
        <f>'[10]YJW-parameter'!M$46/('[10]ZJQ-new veh FE'!T29*'[10]YJW-parameter'!$C37)</f>
        <v>4.514659509075766E-4</v>
      </c>
      <c r="T29" s="22">
        <f>'[10]YJW-parameter'!N$46/('[10]ZJQ-new veh FE'!U29*'[10]YJW-parameter'!$C37)</f>
        <v>4.5584911547949476E-4</v>
      </c>
      <c r="U29" s="22">
        <f>'[10]YJW-parameter'!O$46/('[10]ZJQ-new veh FE'!V29*'[10]YJW-parameter'!$C37)</f>
        <v>4.60318224454784E-4</v>
      </c>
      <c r="V29" s="22">
        <f>'[10]YJW-parameter'!P$46/('[10]ZJQ-new veh FE'!W29*'[10]YJW-parameter'!$C37)</f>
        <v>4.6487583063750464E-4</v>
      </c>
      <c r="W29" s="22">
        <f>'[10]YJW-parameter'!Q$46/('[10]ZJQ-new veh FE'!X29*'[10]YJW-parameter'!$C37)</f>
        <v>4.6952458894387964E-4</v>
      </c>
      <c r="X29" s="22">
        <f>'[10]YJW-parameter'!R$46/('[10]ZJQ-new veh FE'!Y29*'[10]YJW-parameter'!$C37)</f>
        <v>4.6952458894387964E-4</v>
      </c>
      <c r="Y29" s="22">
        <f>'[10]YJW-parameter'!S$46/('[10]ZJQ-new veh FE'!Z29*'[10]YJW-parameter'!$C37)</f>
        <v>4.6952458894387964E-4</v>
      </c>
      <c r="Z29" s="22">
        <f>'[10]YJW-parameter'!T$46/('[10]ZJQ-new veh FE'!AA29*'[10]YJW-parameter'!$C37)</f>
        <v>4.6952458894387964E-4</v>
      </c>
      <c r="AA29" s="22">
        <f>'[10]YJW-parameter'!U$46/('[10]ZJQ-new veh FE'!AB29*'[10]YJW-parameter'!$C37)</f>
        <v>4.6952458894387964E-4</v>
      </c>
      <c r="AB29" s="22">
        <f>'[10]YJW-parameter'!V$46/('[10]ZJQ-new veh FE'!AC29*'[10]YJW-parameter'!$C37)</f>
        <v>4.6952458894387964E-4</v>
      </c>
      <c r="AC29" s="22">
        <f>'[10]YJW-parameter'!W$46/('[10]ZJQ-new veh FE'!AD29*'[10]YJW-parameter'!$C37)</f>
        <v>4.6952458894387964E-4</v>
      </c>
      <c r="AD29" s="22">
        <f>'[10]YJW-parameter'!X$46/('[10]ZJQ-new veh FE'!AE29*'[10]YJW-parameter'!$C37)</f>
        <v>4.6952458894387964E-4</v>
      </c>
      <c r="AE29" s="22">
        <f>'[10]YJW-parameter'!Y$46/('[10]ZJQ-new veh FE'!AF29*'[10]YJW-parameter'!$C37)</f>
        <v>4.6952458894387964E-4</v>
      </c>
      <c r="AF29" s="22">
        <f>'[10]YJW-parameter'!Z$46/('[10]ZJQ-new veh FE'!AG29*'[10]YJW-parameter'!$C37)</f>
        <v>4.6952458894387964E-4</v>
      </c>
      <c r="AG29" s="22">
        <f>'[10]YJW-parameter'!AA$46/('[10]ZJQ-new veh FE'!AH29*'[10]YJW-parameter'!$C37)</f>
        <v>4.6952458894387964E-4</v>
      </c>
      <c r="AH29" s="22">
        <f>'[10]YJW-parameter'!AB$46/('[10]ZJQ-new veh FE'!AI29*'[10]YJW-parameter'!$C37)</f>
        <v>4.6952458894387964E-4</v>
      </c>
      <c r="AI29" s="22">
        <f>'[10]YJW-parameter'!AC$46/('[10]ZJQ-new veh FE'!AJ29*'[10]YJW-parameter'!$C37)</f>
        <v>4.6952458894387964E-4</v>
      </c>
      <c r="AJ29" s="22">
        <f>'[10]YJW-parameter'!AD$46/('[10]ZJQ-new veh FE'!AK29*'[10]YJW-parameter'!$C37)</f>
        <v>4.6952458894387964E-4</v>
      </c>
      <c r="AK29" s="22">
        <f>'[10]YJW-parameter'!AE$46/('[10]ZJQ-new veh FE'!AL29*'[10]YJW-parameter'!$C37)</f>
        <v>4.6952458894387964E-4</v>
      </c>
      <c r="AL29" s="22">
        <f>'[10]YJW-parameter'!AF$46/('[10]ZJQ-new veh FE'!AM29*'[10]YJW-parameter'!$C37)</f>
        <v>4.6952458894387964E-4</v>
      </c>
      <c r="AM29" s="22">
        <f>'[10]YJW-parameter'!AG$46/('[10]ZJQ-new veh FE'!AN29*'[10]YJW-parameter'!$C37)</f>
        <v>4.6952458894387964E-4</v>
      </c>
      <c r="AN29" s="22">
        <f>'[10]YJW-parameter'!AH$46/('[10]ZJQ-new veh FE'!AO29*'[10]YJW-parameter'!$C37)</f>
        <v>4.6952458894387964E-4</v>
      </c>
      <c r="AO29" s="22">
        <f>'[10]YJW-parameter'!AI$46/('[10]ZJQ-new veh FE'!AP29*'[10]YJW-parameter'!$C37)</f>
        <v>4.6952458894387964E-4</v>
      </c>
      <c r="AP29" s="22">
        <f>'[10]YJW-parameter'!AJ$46/('[10]ZJQ-new veh FE'!AQ29*'[10]YJW-parameter'!$C37)</f>
        <v>4.6952458894387964E-4</v>
      </c>
      <c r="AQ29" s="22">
        <f>'[10]YJW-parameter'!AK$46/('[10]ZJQ-new veh FE'!AR29*'[10]YJW-parameter'!$C37)</f>
        <v>4.6952458894387964E-4</v>
      </c>
      <c r="AR29" s="22">
        <f>'[10]YJW-parameter'!AL$46/('[10]ZJQ-new veh FE'!AS29*'[10]YJW-parameter'!$C37)</f>
        <v>4.6952458894387964E-4</v>
      </c>
      <c r="AS29" s="22">
        <f>'[10]YJW-parameter'!AM$46/('[10]ZJQ-new veh FE'!AT29*'[10]YJW-parameter'!$C37)</f>
        <v>4.6952458894387964E-4</v>
      </c>
      <c r="AT29" s="22">
        <f>'[10]YJW-parameter'!AN$46/('[10]ZJQ-new veh FE'!AU29*'[10]YJW-parameter'!$C37)</f>
        <v>4.6952458894387964E-4</v>
      </c>
      <c r="AU29" s="22">
        <f>'[10]YJW-parameter'!AO$46/('[10]ZJQ-new veh FE'!AV29*'[10]YJW-parameter'!$C37)</f>
        <v>4.6952458894387964E-4</v>
      </c>
      <c r="AV29" s="22">
        <f>'[10]YJW-parameter'!AP$46/('[10]ZJQ-new veh FE'!AW29*'[10]YJW-parameter'!$C37)</f>
        <v>4.6952458894387964E-4</v>
      </c>
    </row>
    <row r="32" spans="1:48">
      <c r="A32" s="106" t="s">
        <v>43</v>
      </c>
      <c r="B32" s="106"/>
      <c r="C32" s="14" t="s">
        <v>28</v>
      </c>
      <c r="D32" s="14" t="s">
        <v>29</v>
      </c>
      <c r="E32" s="14" t="s">
        <v>33</v>
      </c>
      <c r="F32" s="14" t="s">
        <v>31</v>
      </c>
      <c r="G32" s="22">
        <f>'[10]YJW-new veh FE'!U67</f>
        <v>3.1028353200910551E-4</v>
      </c>
      <c r="H32" s="22">
        <f>'[10]YJW-new veh FE'!V67</f>
        <v>3.2579770860956085E-4</v>
      </c>
      <c r="I32" s="22">
        <f>'[10]YJW-new veh FE'!W67</f>
        <v>3.4249430602844764E-4</v>
      </c>
      <c r="J32" s="22">
        <f>'[10]YJW-new veh FE'!X67</f>
        <v>3.7828471246393127E-4</v>
      </c>
      <c r="K32" s="22">
        <f>'[10]YJW-new veh FE'!Y67</f>
        <v>4.2242814730575139E-4</v>
      </c>
      <c r="L32" s="22">
        <f>'[10]YJW-new veh FE'!Z67</f>
        <v>4.7823516860119012E-4</v>
      </c>
      <c r="M32" s="22">
        <f>'[10]YJW-new veh FE'!AA67</f>
        <v>5.5103206530158263E-4</v>
      </c>
      <c r="N32" s="22">
        <f>'[10]YJW-new veh FE'!AB67</f>
        <v>6.515954172191217E-4</v>
      </c>
      <c r="O32" s="22">
        <f>'[10]YJW-new veh FE'!AC67</f>
        <v>6.515954172191217E-4</v>
      </c>
      <c r="P32" s="22">
        <f>'[10]YJW-new veh FE'!AD67</f>
        <v>6.515954172191217E-4</v>
      </c>
      <c r="Q32" s="22">
        <f>'[10]YJW-new veh FE'!AE67</f>
        <v>6.515954172191217E-4</v>
      </c>
      <c r="R32" s="22">
        <f>'[10]YJW-new veh FE'!AF67</f>
        <v>6.515954172191217E-4</v>
      </c>
      <c r="S32" s="22">
        <f>'[10]YJW-new veh FE'!AG67</f>
        <v>6.515954172191217E-4</v>
      </c>
      <c r="T32" s="22">
        <f>'[10]YJW-new veh FE'!AH67</f>
        <v>6.515954172191217E-4</v>
      </c>
      <c r="U32" s="22">
        <f>'[10]YJW-new veh FE'!AI67</f>
        <v>6.515954172191217E-4</v>
      </c>
      <c r="V32" s="22">
        <f>'[10]YJW-new veh FE'!AJ67</f>
        <v>6.515954172191217E-4</v>
      </c>
      <c r="W32" s="22">
        <f>'[10]YJW-new veh FE'!AK67</f>
        <v>6.515954172191217E-4</v>
      </c>
      <c r="X32" s="22">
        <f>'[10]YJW-new veh FE'!AL67</f>
        <v>6.515954172191217E-4</v>
      </c>
      <c r="Y32" s="22">
        <f>'[10]YJW-new veh FE'!AM67</f>
        <v>6.515954172191217E-4</v>
      </c>
      <c r="Z32" s="22">
        <f>'[10]YJW-new veh FE'!AN67</f>
        <v>6.515954172191217E-4</v>
      </c>
      <c r="AA32" s="22">
        <f>'[10]YJW-new veh FE'!AO67</f>
        <v>6.515954172191217E-4</v>
      </c>
      <c r="AB32" s="22">
        <f>'[10]YJW-new veh FE'!AP67</f>
        <v>6.515954172191217E-4</v>
      </c>
      <c r="AC32" s="22">
        <f>'[10]YJW-new veh FE'!AQ67</f>
        <v>6.515954172191217E-4</v>
      </c>
      <c r="AD32" s="22">
        <f>'[10]YJW-new veh FE'!AR67</f>
        <v>6.515954172191217E-4</v>
      </c>
      <c r="AE32" s="22">
        <f>'[10]YJW-new veh FE'!AS67</f>
        <v>6.515954172191217E-4</v>
      </c>
      <c r="AF32" s="22">
        <f>'[10]YJW-new veh FE'!AT67</f>
        <v>6.515954172191217E-4</v>
      </c>
      <c r="AG32" s="22">
        <f>'[10]YJW-new veh FE'!AU67</f>
        <v>6.515954172191217E-4</v>
      </c>
      <c r="AH32" s="22">
        <f>'[10]YJW-new veh FE'!AV67</f>
        <v>6.515954172191217E-4</v>
      </c>
      <c r="AI32" s="22">
        <f>'[10]YJW-new veh FE'!AW67</f>
        <v>6.515954172191217E-4</v>
      </c>
      <c r="AJ32" s="22">
        <f>'[10]YJW-new veh FE'!AX67</f>
        <v>6.515954172191217E-4</v>
      </c>
      <c r="AK32" s="22">
        <f>'[10]YJW-new veh FE'!AY67</f>
        <v>6.515954172191217E-4</v>
      </c>
      <c r="AL32" s="22">
        <f>'[10]YJW-new veh FE'!AZ67</f>
        <v>6.515954172191217E-4</v>
      </c>
      <c r="AM32" s="22">
        <f>'[10]YJW-new veh FE'!BA67</f>
        <v>6.515954172191217E-4</v>
      </c>
      <c r="AN32" s="22">
        <f>'[10]YJW-new veh FE'!BB67</f>
        <v>6.515954172191217E-4</v>
      </c>
      <c r="AO32" s="22">
        <f>'[10]YJW-new veh FE'!BC67</f>
        <v>6.515954172191217E-4</v>
      </c>
      <c r="AP32" s="22">
        <f>'[10]YJW-new veh FE'!BD67</f>
        <v>6.515954172191217E-4</v>
      </c>
      <c r="AQ32" s="22">
        <f>'[10]YJW-new veh FE'!BE67</f>
        <v>6.515954172191217E-4</v>
      </c>
      <c r="AR32" s="22">
        <f>'[10]YJW-new veh FE'!BF67</f>
        <v>6.515954172191217E-4</v>
      </c>
      <c r="AS32" s="22">
        <f>'[10]YJW-new veh FE'!BG67</f>
        <v>6.515954172191217E-4</v>
      </c>
      <c r="AT32" s="22">
        <f>'[10]YJW-new veh FE'!BH67</f>
        <v>6.515954172191217E-4</v>
      </c>
      <c r="AU32" s="22">
        <f>'[10]YJW-new veh FE'!BI67</f>
        <v>6.515954172191217E-4</v>
      </c>
      <c r="AV32" s="22">
        <f>'[10]YJW-new veh FE'!BJ67</f>
        <v>6.515954172191217E-4</v>
      </c>
    </row>
    <row r="33" spans="1:48">
      <c r="A33" s="106"/>
      <c r="B33" s="106"/>
      <c r="C33" s="15" t="s">
        <v>28</v>
      </c>
      <c r="D33" s="16" t="s">
        <v>39</v>
      </c>
      <c r="E33" s="15" t="s">
        <v>33</v>
      </c>
      <c r="F33" s="15" t="s">
        <v>31</v>
      </c>
      <c r="G33" s="22">
        <f>'[10]YJW-new veh FE'!U69</f>
        <v>2.7123321432210586E-4</v>
      </c>
      <c r="H33" s="22">
        <f>'[10]YJW-new veh FE'!V69</f>
        <v>2.7123321432210586E-4</v>
      </c>
      <c r="I33" s="22">
        <f>'[10]YJW-new veh FE'!W69</f>
        <v>2.7123321432210586E-4</v>
      </c>
      <c r="J33" s="22">
        <f>'[10]YJW-new veh FE'!X69</f>
        <v>2.789438575386206E-4</v>
      </c>
      <c r="K33" s="22">
        <f>'[10]YJW-new veh FE'!Y69</f>
        <v>2.8710572600360615E-4</v>
      </c>
      <c r="L33" s="22">
        <f>'[10]YJW-new veh FE'!Z69</f>
        <v>2.957596220001687E-4</v>
      </c>
      <c r="M33" s="22">
        <f>'[10]YJW-new veh FE'!AA69</f>
        <v>3.049514201244884E-4</v>
      </c>
      <c r="N33" s="22">
        <f>'[10]YJW-new veh FE'!AB69</f>
        <v>3.1478039479184621E-4</v>
      </c>
      <c r="O33" s="22">
        <f>'[10]YJW-new veh FE'!AC69</f>
        <v>3.1597292545858301E-4</v>
      </c>
      <c r="P33" s="22">
        <f>'[10]YJW-new veh FE'!AD69</f>
        <v>3.1717452617906742E-4</v>
      </c>
      <c r="Q33" s="22">
        <f>'[10]YJW-new veh FE'!AE69</f>
        <v>3.1838530082473494E-4</v>
      </c>
      <c r="R33" s="22">
        <f>'[10]YJW-new veh FE'!AF69</f>
        <v>3.1960535485916455E-4</v>
      </c>
      <c r="S33" s="22">
        <f>'[10]YJW-new veh FE'!AG69</f>
        <v>3.2083479536870122E-4</v>
      </c>
      <c r="T33" s="22">
        <f>'[10]YJW-new veh FE'!AH69</f>
        <v>3.2269679410372042E-4</v>
      </c>
      <c r="U33" s="22">
        <f>'[10]YJW-new veh FE'!AI69</f>
        <v>3.2458053161600077E-4</v>
      </c>
      <c r="V33" s="22">
        <f>'[10]YJW-new veh FE'!AJ69</f>
        <v>3.2648639084023942E-4</v>
      </c>
      <c r="W33" s="22">
        <f>'[10]YJW-new veh FE'!AK69</f>
        <v>3.2841476375825934E-4</v>
      </c>
      <c r="X33" s="22">
        <f>'[10]YJW-new veh FE'!AL69</f>
        <v>3.3036605166777939E-4</v>
      </c>
      <c r="Y33" s="22">
        <f>'[10]YJW-new veh FE'!AM69</f>
        <v>3.3234066546082076E-4</v>
      </c>
      <c r="Z33" s="22">
        <f>'[10]YJW-new veh FE'!AN69</f>
        <v>3.3433902591216056E-4</v>
      </c>
      <c r="AA33" s="22">
        <f>'[10]YJW-new veh FE'!AO69</f>
        <v>3.363615639782528E-4</v>
      </c>
      <c r="AB33" s="22">
        <f>'[10]YJW-new veh FE'!AP69</f>
        <v>3.3840872110706637E-4</v>
      </c>
      <c r="AC33" s="22">
        <f>'[10]YJW-new veh FE'!AQ69</f>
        <v>3.4048094955930585E-4</v>
      </c>
      <c r="AD33" s="22">
        <f>'[10]YJW-new veh FE'!AR69</f>
        <v>3.4257871274150813E-4</v>
      </c>
      <c r="AE33" s="22">
        <f>'[10]YJW-new veh FE'!AS69</f>
        <v>3.4470248555152732E-4</v>
      </c>
      <c r="AF33" s="22">
        <f>'[10]YJW-new veh FE'!AT69</f>
        <v>3.4685275473695233E-4</v>
      </c>
      <c r="AG33" s="22">
        <f>'[10]YJW-new veh FE'!AU69</f>
        <v>3.4903001926702191E-4</v>
      </c>
      <c r="AH33" s="22">
        <f>'[10]YJW-new veh FE'!AV69</f>
        <v>3.5123479071863718E-4</v>
      </c>
      <c r="AI33" s="22">
        <f>'[10]YJW-new veh FE'!AW69</f>
        <v>3.5346759367709598E-4</v>
      </c>
      <c r="AJ33" s="22">
        <f>'[10]YJW-new veh FE'!AX69</f>
        <v>3.5572896615221182E-4</v>
      </c>
      <c r="AK33" s="22">
        <f>'[10]YJW-new veh FE'!AY69</f>
        <v>3.5801946001050636E-4</v>
      </c>
      <c r="AL33" s="22">
        <f>'[10]YJW-new veh FE'!AZ69</f>
        <v>3.6033964142421002E-4</v>
      </c>
      <c r="AM33" s="22">
        <f>'[10]YJW-new veh FE'!BA69</f>
        <v>3.6199745401062312E-4</v>
      </c>
      <c r="AN33" s="22">
        <f>'[10]YJW-new veh FE'!BB69</f>
        <v>3.6199745401062312E-4</v>
      </c>
      <c r="AO33" s="22">
        <f>'[10]YJW-new veh FE'!BC69</f>
        <v>3.6199745401062312E-4</v>
      </c>
      <c r="AP33" s="22">
        <f>'[10]YJW-new veh FE'!BD69</f>
        <v>3.6199745401062312E-4</v>
      </c>
      <c r="AQ33" s="22">
        <f>'[10]YJW-new veh FE'!BE69</f>
        <v>3.6199745401062312E-4</v>
      </c>
      <c r="AR33" s="22">
        <f>'[10]YJW-new veh FE'!BF69</f>
        <v>3.6199745401062312E-4</v>
      </c>
      <c r="AS33" s="22">
        <f>'[10]YJW-new veh FE'!BG69</f>
        <v>3.6199745401062312E-4</v>
      </c>
      <c r="AT33" s="22">
        <f>'[10]YJW-new veh FE'!BH69</f>
        <v>3.6199745401062312E-4</v>
      </c>
      <c r="AU33" s="22">
        <f>'[10]YJW-new veh FE'!BI69</f>
        <v>3.6199745401062312E-4</v>
      </c>
      <c r="AV33" s="22">
        <f>'[10]YJW-new veh FE'!BJ69</f>
        <v>3.6199745401062312E-4</v>
      </c>
    </row>
    <row r="34" spans="1:48">
      <c r="A34" s="106"/>
      <c r="B34" s="106"/>
      <c r="C34" s="15" t="s">
        <v>28</v>
      </c>
      <c r="D34" s="16" t="s">
        <v>39</v>
      </c>
      <c r="E34" s="15" t="s">
        <v>34</v>
      </c>
      <c r="F34" s="15" t="s">
        <v>31</v>
      </c>
      <c r="G34" s="22">
        <f>'[10]YJW-new veh FE'!U70</f>
        <v>2.9336401943689746E-4</v>
      </c>
      <c r="H34" s="22">
        <f>'[10]YJW-new veh FE'!V70</f>
        <v>2.9336401943689746E-4</v>
      </c>
      <c r="I34" s="22">
        <f>'[10]YJW-new veh FE'!W70</f>
        <v>2.9336401943689746E-4</v>
      </c>
      <c r="J34" s="22">
        <f>'[10]YJW-new veh FE'!X70</f>
        <v>3.01115507755352E-4</v>
      </c>
      <c r="K34" s="22">
        <f>'[10]YJW-new veh FE'!Y70</f>
        <v>3.092877449178146E-4</v>
      </c>
      <c r="L34" s="22">
        <f>'[10]YJW-new veh FE'!Z70</f>
        <v>3.179159438103717E-4</v>
      </c>
      <c r="M34" s="22">
        <f>'[10]YJW-new veh FE'!AA70</f>
        <v>3.270393594164088E-4</v>
      </c>
      <c r="N34" s="22">
        <f>'[10]YJW-new veh FE'!AB70</f>
        <v>3.3670188594462085E-4</v>
      </c>
      <c r="O34" s="22">
        <f>'[10]YJW-new veh FE'!AC70</f>
        <v>3.3823933747861461E-4</v>
      </c>
      <c r="P34" s="22">
        <f>'[10]YJW-new veh FE'!AD70</f>
        <v>3.3979089407255316E-4</v>
      </c>
      <c r="Q34" s="22">
        <f>'[10]YJW-new veh FE'!AE70</f>
        <v>3.4135675072726542E-4</v>
      </c>
      <c r="R34" s="22">
        <f>'[10]YJW-new veh FE'!AF70</f>
        <v>3.4293710605470644E-4</v>
      </c>
      <c r="S34" s="22">
        <f>'[10]YJW-new veh FE'!AG70</f>
        <v>3.4453216236193774E-4</v>
      </c>
      <c r="T34" s="22">
        <f>'[10]YJW-new veh FE'!AH70</f>
        <v>3.4614212573746039E-4</v>
      </c>
      <c r="U34" s="22">
        <f>'[10]YJW-new veh FE'!AI70</f>
        <v>3.4776720613998363E-4</v>
      </c>
      <c r="V34" s="22">
        <f>'[10]YJW-new veh FE'!AJ70</f>
        <v>3.4940761748970052E-4</v>
      </c>
      <c r="W34" s="22">
        <f>'[10]YJW-new veh FE'!AK70</f>
        <v>3.5106357776216356E-4</v>
      </c>
      <c r="X34" s="22">
        <f>'[10]YJW-new veh FE'!AL70</f>
        <v>3.5273530908484058E-4</v>
      </c>
      <c r="Y34" s="22">
        <f>'[10]YJW-new veh FE'!AM70</f>
        <v>3.5442303783644267E-4</v>
      </c>
      <c r="Z34" s="22">
        <f>'[10]YJW-new veh FE'!AN70</f>
        <v>3.5612699474911783E-4</v>
      </c>
      <c r="AA34" s="22">
        <f>'[10]YJW-new veh FE'!AO70</f>
        <v>3.5784741501360633E-4</v>
      </c>
      <c r="AB34" s="22">
        <f>'[10]YJW-new veh FE'!AP70</f>
        <v>3.5958453838745872E-4</v>
      </c>
      <c r="AC34" s="22">
        <f>'[10]YJW-new veh FE'!AQ70</f>
        <v>3.61338609306422E-4</v>
      </c>
      <c r="AD34" s="22">
        <f>'[10]YJW-new veh FE'!AR70</f>
        <v>3.6355541059051054E-4</v>
      </c>
      <c r="AE34" s="22">
        <f>'[10]YJW-new veh FE'!AS70</f>
        <v>3.6579957979168643E-4</v>
      </c>
      <c r="AF34" s="22">
        <f>'[10]YJW-new veh FE'!AT70</f>
        <v>3.6807162687113788E-4</v>
      </c>
      <c r="AG34" s="22">
        <f>'[10]YJW-new veh FE'!AU70</f>
        <v>3.7037207453908248E-4</v>
      </c>
      <c r="AH34" s="22">
        <f>'[10]YJW-new veh FE'!AV70</f>
        <v>3.7270145865568051E-4</v>
      </c>
      <c r="AI34" s="22">
        <f>'[10]YJW-new veh FE'!AW70</f>
        <v>3.7506032864717212E-4</v>
      </c>
      <c r="AJ34" s="22">
        <f>'[10]YJW-new veh FE'!AX70</f>
        <v>3.7744924793791843E-4</v>
      </c>
      <c r="AK34" s="22">
        <f>'[10]YJW-new veh FE'!AY70</f>
        <v>3.7986879439905902E-4</v>
      </c>
      <c r="AL34" s="22">
        <f>'[10]YJW-new veh FE'!AZ70</f>
        <v>3.8231956081453679E-4</v>
      </c>
      <c r="AM34" s="22">
        <f>'[10]YJW-new veh FE'!BA70</f>
        <v>3.8480215536528054E-4</v>
      </c>
      <c r="AN34" s="22">
        <f>'[10]YJW-new veh FE'!BB70</f>
        <v>3.858042443115448E-4</v>
      </c>
      <c r="AO34" s="22">
        <f>'[10]YJW-new veh FE'!BC70</f>
        <v>3.858042443115448E-4</v>
      </c>
      <c r="AP34" s="22">
        <f>'[10]YJW-new veh FE'!BD70</f>
        <v>3.858042443115448E-4</v>
      </c>
      <c r="AQ34" s="22">
        <f>'[10]YJW-new veh FE'!BE70</f>
        <v>3.858042443115448E-4</v>
      </c>
      <c r="AR34" s="22">
        <f>'[10]YJW-new veh FE'!BF70</f>
        <v>3.858042443115448E-4</v>
      </c>
      <c r="AS34" s="22">
        <f>'[10]YJW-new veh FE'!BG70</f>
        <v>3.858042443115448E-4</v>
      </c>
      <c r="AT34" s="22">
        <f>'[10]YJW-new veh FE'!BH70</f>
        <v>3.858042443115448E-4</v>
      </c>
      <c r="AU34" s="22">
        <f>'[10]YJW-new veh FE'!BI70</f>
        <v>3.858042443115448E-4</v>
      </c>
      <c r="AV34" s="22">
        <f>'[10]YJW-new veh FE'!BJ70</f>
        <v>3.858042443115448E-4</v>
      </c>
    </row>
    <row r="35" spans="1:48">
      <c r="A35" s="106"/>
      <c r="B35" s="106"/>
      <c r="C35" s="18" t="s">
        <v>41</v>
      </c>
      <c r="D35" s="18" t="s">
        <v>29</v>
      </c>
      <c r="E35" s="18" t="s">
        <v>34</v>
      </c>
      <c r="F35" s="18" t="s">
        <v>31</v>
      </c>
      <c r="G35" s="22">
        <f>'[10]YJW-new veh FE'!U68</f>
        <v>2.5481918522714622E-3</v>
      </c>
      <c r="H35" s="22">
        <f>'[10]YJW-new veh FE'!V68</f>
        <v>2.5675831624841126E-3</v>
      </c>
      <c r="I35" s="22">
        <f>'[10]YJW-new veh FE'!W68</f>
        <v>2.6387866548675865E-3</v>
      </c>
      <c r="J35" s="22">
        <f>'[10]YJW-new veh FE'!X68</f>
        <v>2.7914903365055285E-3</v>
      </c>
      <c r="K35" s="22">
        <f>'[10]YJW-new veh FE'!Y68</f>
        <v>3.0684137812315476E-3</v>
      </c>
      <c r="L35" s="22">
        <f>'[10]YJW-new veh FE'!Z68</f>
        <v>3.4053511521753691E-3</v>
      </c>
      <c r="M35" s="22">
        <f>'[10]YJW-new veh FE'!AA68</f>
        <v>3.8463003690266482E-3</v>
      </c>
      <c r="N35" s="22">
        <f>'[10]YJW-new veh FE'!AB68</f>
        <v>4.3896371985108432E-3</v>
      </c>
      <c r="O35" s="22">
        <f>'[10]YJW-new veh FE'!AC68</f>
        <v>4.3795851441219323E-3</v>
      </c>
      <c r="P35" s="22">
        <f>'[10]YJW-new veh FE'!AD68</f>
        <v>4.3689374907154689E-3</v>
      </c>
      <c r="Q35" s="22">
        <f>'[10]YJW-new veh FE'!AE68</f>
        <v>4.3718544473474877E-3</v>
      </c>
      <c r="R35" s="22">
        <f>'[10]YJW-new veh FE'!AF68</f>
        <v>4.3877357295457695E-3</v>
      </c>
      <c r="S35" s="22">
        <f>'[10]YJW-new veh FE'!AG68</f>
        <v>4.3834871403104275E-3</v>
      </c>
      <c r="T35" s="22">
        <f>'[10]YJW-new veh FE'!AH68</f>
        <v>4.3720533834400964E-3</v>
      </c>
      <c r="U35" s="22">
        <f>'[10]YJW-new veh FE'!AI68</f>
        <v>4.3697572324026901E-3</v>
      </c>
      <c r="V35" s="22">
        <f>'[10]YJW-new veh FE'!AJ68</f>
        <v>4.376965278744426E-3</v>
      </c>
      <c r="W35" s="22">
        <f>'[10]YJW-new veh FE'!AK68</f>
        <v>4.3850276755113132E-3</v>
      </c>
      <c r="X35" s="22">
        <f>'[10]YJW-new veh FE'!AL68</f>
        <v>4.3822103960237235E-3</v>
      </c>
      <c r="Y35" s="22">
        <f>'[10]YJW-new veh FE'!AM68</f>
        <v>4.3732781240978886E-3</v>
      </c>
      <c r="Z35" s="22">
        <f>'[10]YJW-new veh FE'!AN68</f>
        <v>4.3720125576593013E-3</v>
      </c>
      <c r="AA35" s="22">
        <f>'[10]YJW-new veh FE'!AO68</f>
        <v>4.3852659060324159E-3</v>
      </c>
      <c r="AB35" s="22">
        <f>'[10]YJW-new veh FE'!AP68</f>
        <v>4.3879835073246977E-3</v>
      </c>
      <c r="AC35" s="22">
        <f>'[10]YJW-new veh FE'!AQ68</f>
        <v>4.37912169254081E-3</v>
      </c>
      <c r="AD35" s="22">
        <f>'[10]YJW-new veh FE'!AR68</f>
        <v>4.3711750159245522E-3</v>
      </c>
      <c r="AE35" s="22">
        <f>'[10]YJW-new veh FE'!AS68</f>
        <v>4.3735085817993655E-3</v>
      </c>
      <c r="AF35" s="22">
        <f>'[10]YJW-new veh FE'!AT68</f>
        <v>4.3806360949735961E-3</v>
      </c>
      <c r="AG35" s="22">
        <f>'[10]YJW-new veh FE'!AU68</f>
        <v>4.3821058859749599E-3</v>
      </c>
      <c r="AH35" s="22">
        <f>'[10]YJW-new veh FE'!AV68</f>
        <v>4.3765852460791281E-3</v>
      </c>
      <c r="AI35" s="22">
        <f>'[10]YJW-new veh FE'!AW68</f>
        <v>4.3724199191582857E-3</v>
      </c>
      <c r="AJ35" s="22">
        <f>'[10]YJW-new veh FE'!AX68</f>
        <v>4.3808784257852564E-3</v>
      </c>
      <c r="AK35" s="22">
        <f>'[10]YJW-new veh FE'!AY68</f>
        <v>4.3872768681651421E-3</v>
      </c>
      <c r="AL35" s="22">
        <f>'[10]YJW-new veh FE'!AZ68</f>
        <v>4.3836683358727414E-3</v>
      </c>
      <c r="AM35" s="22">
        <f>'[10]YJW-new veh FE'!BA68</f>
        <v>4.3754334672547347E-3</v>
      </c>
      <c r="AN35" s="22">
        <f>'[10]YJW-new veh FE'!BB68</f>
        <v>4.3734616565455969E-3</v>
      </c>
      <c r="AO35" s="22">
        <f>'[10]YJW-new veh FE'!BC68</f>
        <v>4.3787367308297338E-3</v>
      </c>
      <c r="AP35" s="22">
        <f>'[10]YJW-new veh FE'!BD68</f>
        <v>4.3819281949646809E-3</v>
      </c>
      <c r="AQ35" s="22">
        <f>'[10]YJW-new veh FE'!BE68</f>
        <v>4.3790082680517251E-3</v>
      </c>
      <c r="AR35" s="22">
        <f>'[10]YJW-new veh FE'!BF68</f>
        <v>4.3739943830210662E-3</v>
      </c>
      <c r="AS35" s="22">
        <f>'[10]YJW-new veh FE'!BG68</f>
        <v>4.3774295495989162E-3</v>
      </c>
      <c r="AT35" s="22">
        <f>'[10]YJW-new veh FE'!BH68</f>
        <v>4.3845205465504623E-3</v>
      </c>
      <c r="AU35" s="22">
        <f>'[10]YJW-new veh FE'!BI68</f>
        <v>4.3849496642043616E-3</v>
      </c>
      <c r="AV35" s="22">
        <f>'[10]YJW-new veh FE'!BJ68</f>
        <v>4.3790861712817717E-3</v>
      </c>
    </row>
    <row r="36" spans="1:48">
      <c r="A36" s="106"/>
      <c r="B36" s="106"/>
      <c r="C36" s="20" t="s">
        <v>41</v>
      </c>
      <c r="D36" s="21" t="s">
        <v>39</v>
      </c>
      <c r="E36" s="20" t="s">
        <v>34</v>
      </c>
      <c r="F36" s="20" t="s">
        <v>31</v>
      </c>
      <c r="G36" s="22">
        <f>'[10]YJW-new veh FE'!U71</f>
        <v>6.3728504241452547E-4</v>
      </c>
      <c r="H36" s="22">
        <f>'[10]YJW-new veh FE'!V71</f>
        <v>6.1792740090763965E-4</v>
      </c>
      <c r="I36" s="22">
        <f>'[10]YJW-new veh FE'!W71</f>
        <v>6.1496789131848019E-4</v>
      </c>
      <c r="J36" s="22">
        <f>'[10]YJW-new veh FE'!X71</f>
        <v>6.8649777002723392E-4</v>
      </c>
      <c r="K36" s="22">
        <f>'[10]YJW-new veh FE'!Y71</f>
        <v>6.7352893208534571E-4</v>
      </c>
      <c r="L36" s="22">
        <f>'[10]YJW-new veh FE'!Z71</f>
        <v>7.0383059433667223E-4</v>
      </c>
      <c r="M36" s="22">
        <f>'[10]YJW-new veh FE'!AA71</f>
        <v>7.2950662783505488E-4</v>
      </c>
      <c r="N36" s="22">
        <f>'[10]YJW-new veh FE'!AB71</f>
        <v>7.5643984518147453E-4</v>
      </c>
      <c r="O36" s="22">
        <f>'[10]YJW-new veh FE'!AC71</f>
        <v>7.5159274196700101E-4</v>
      </c>
      <c r="P36" s="22">
        <f>'[10]YJW-new veh FE'!AD71</f>
        <v>7.5187134868029935E-4</v>
      </c>
      <c r="Q36" s="22">
        <f>'[10]YJW-new veh FE'!AE71</f>
        <v>7.5298385890597719E-4</v>
      </c>
      <c r="R36" s="22">
        <f>'[10]YJW-new veh FE'!AF71</f>
        <v>7.5787577224640298E-4</v>
      </c>
      <c r="S36" s="22">
        <f>'[10]YJW-new veh FE'!AG71</f>
        <v>7.5679232682093875E-4</v>
      </c>
      <c r="T36" s="22">
        <f>'[10]YJW-new veh FE'!AH71</f>
        <v>7.6455536862220837E-4</v>
      </c>
      <c r="U36" s="22">
        <f>'[10]YJW-new veh FE'!AI71</f>
        <v>7.7126334164682531E-4</v>
      </c>
      <c r="V36" s="22">
        <f>'[10]YJW-new veh FE'!AJ71</f>
        <v>7.7739742288536744E-4</v>
      </c>
      <c r="W36" s="22">
        <f>'[10]YJW-new veh FE'!AK71</f>
        <v>7.8065365758908515E-4</v>
      </c>
      <c r="X36" s="22">
        <f>'[10]YJW-new veh FE'!AL71</f>
        <v>7.8496954571319235E-4</v>
      </c>
      <c r="Y36" s="22">
        <f>'[10]YJW-new veh FE'!AM71</f>
        <v>7.8883241605233738E-4</v>
      </c>
      <c r="Z36" s="22">
        <f>'[10]YJW-new veh FE'!AN71</f>
        <v>7.9297419810111321E-4</v>
      </c>
      <c r="AA36" s="22">
        <f>'[10]YJW-new veh FE'!AO71</f>
        <v>7.9629783445178323E-4</v>
      </c>
      <c r="AB36" s="22">
        <f>'[10]YJW-new veh FE'!AP71</f>
        <v>8.00848695907293E-4</v>
      </c>
      <c r="AC36" s="22">
        <f>'[10]YJW-new veh FE'!AQ71</f>
        <v>8.0453051085513784E-4</v>
      </c>
      <c r="AD36" s="22">
        <f>'[10]YJW-new veh FE'!AR71</f>
        <v>8.093660663898197E-4</v>
      </c>
      <c r="AE36" s="22">
        <f>'[10]YJW-new veh FE'!AS71</f>
        <v>8.137652247198529E-4</v>
      </c>
      <c r="AF36" s="22">
        <f>'[10]YJW-new veh FE'!AT71</f>
        <v>8.1845687035833191E-4</v>
      </c>
      <c r="AG36" s="22">
        <f>'[10]YJW-new veh FE'!AU71</f>
        <v>8.231749866102015E-4</v>
      </c>
      <c r="AH36" s="22">
        <f>'[10]YJW-new veh FE'!AV71</f>
        <v>8.2785111385531786E-4</v>
      </c>
      <c r="AI36" s="22">
        <f>'[10]YJW-new veh FE'!AW71</f>
        <v>8.3223666362898074E-4</v>
      </c>
      <c r="AJ36" s="22">
        <f>'[10]YJW-new veh FE'!AX71</f>
        <v>8.3679125445288555E-4</v>
      </c>
      <c r="AK36" s="22">
        <f>'[10]YJW-new veh FE'!AY71</f>
        <v>8.4144910607248324E-4</v>
      </c>
      <c r="AL36" s="22">
        <f>'[10]YJW-new veh FE'!AZ71</f>
        <v>8.4619656579807973E-4</v>
      </c>
      <c r="AM36" s="22">
        <f>'[10]YJW-new veh FE'!BA71</f>
        <v>8.509488383393615E-4</v>
      </c>
      <c r="AN36" s="22">
        <f>'[10]YJW-new veh FE'!BB71</f>
        <v>8.5303624626809689E-4</v>
      </c>
      <c r="AO36" s="22">
        <f>'[10]YJW-new veh FE'!BC71</f>
        <v>8.5306107366655453E-4</v>
      </c>
      <c r="AP36" s="22">
        <f>'[10]YJW-new veh FE'!BD71</f>
        <v>8.5310403384507251E-4</v>
      </c>
      <c r="AQ36" s="22">
        <f>'[10]YJW-new veh FE'!BE71</f>
        <v>8.5313290964597469E-4</v>
      </c>
      <c r="AR36" s="22">
        <f>'[10]YJW-new veh FE'!BF71</f>
        <v>8.5318874113096829E-4</v>
      </c>
      <c r="AS36" s="22">
        <f>'[10]YJW-new veh FE'!BG71</f>
        <v>8.5322290892893044E-4</v>
      </c>
      <c r="AT36" s="22">
        <f>'[10]YJW-new veh FE'!BH71</f>
        <v>8.5322883711403839E-4</v>
      </c>
      <c r="AU36" s="22">
        <f>'[10]YJW-new veh FE'!BI71</f>
        <v>8.5320642992497162E-4</v>
      </c>
      <c r="AV36" s="22">
        <f>'[10]YJW-new veh FE'!BJ71</f>
        <v>8.5318116253463457E-4</v>
      </c>
    </row>
    <row r="38" spans="1:48">
      <c r="A38" s="106" t="s">
        <v>44</v>
      </c>
      <c r="B38" s="106"/>
      <c r="C38" s="14" t="s">
        <v>28</v>
      </c>
      <c r="D38" s="14" t="s">
        <v>29</v>
      </c>
      <c r="E38" s="14" t="s">
        <v>33</v>
      </c>
      <c r="F38" s="14" t="s">
        <v>31</v>
      </c>
      <c r="G38" s="24">
        <f>G4/G32</f>
        <v>1</v>
      </c>
      <c r="H38" s="24">
        <f>H4/H32</f>
        <v>1</v>
      </c>
      <c r="I38" s="24">
        <f t="shared" ref="I38:AV38" si="4">I4/I32</f>
        <v>1</v>
      </c>
      <c r="J38" s="24">
        <f t="shared" si="4"/>
        <v>1</v>
      </c>
      <c r="K38" s="24">
        <f t="shared" si="4"/>
        <v>1</v>
      </c>
      <c r="L38" s="24">
        <f t="shared" si="4"/>
        <v>1</v>
      </c>
      <c r="M38" s="24">
        <f t="shared" si="4"/>
        <v>1</v>
      </c>
      <c r="N38" s="24">
        <f t="shared" si="4"/>
        <v>1</v>
      </c>
      <c r="O38" s="24">
        <f t="shared" si="4"/>
        <v>1</v>
      </c>
      <c r="P38" s="24">
        <f t="shared" si="4"/>
        <v>1</v>
      </c>
      <c r="Q38" s="24">
        <f t="shared" si="4"/>
        <v>1</v>
      </c>
      <c r="R38" s="24">
        <f t="shared" si="4"/>
        <v>1</v>
      </c>
      <c r="S38" s="24">
        <f t="shared" si="4"/>
        <v>1</v>
      </c>
      <c r="T38" s="24">
        <f t="shared" si="4"/>
        <v>1</v>
      </c>
      <c r="U38" s="24">
        <f t="shared" si="4"/>
        <v>1</v>
      </c>
      <c r="V38" s="24">
        <f t="shared" si="4"/>
        <v>1</v>
      </c>
      <c r="W38" s="24">
        <f t="shared" si="4"/>
        <v>1</v>
      </c>
      <c r="X38" s="24">
        <f t="shared" si="4"/>
        <v>1</v>
      </c>
      <c r="Y38" s="24">
        <f t="shared" si="4"/>
        <v>1</v>
      </c>
      <c r="Z38" s="24">
        <f t="shared" si="4"/>
        <v>1</v>
      </c>
      <c r="AA38" s="24">
        <f t="shared" si="4"/>
        <v>1</v>
      </c>
      <c r="AB38" s="24">
        <f t="shared" si="4"/>
        <v>1</v>
      </c>
      <c r="AC38" s="24">
        <f t="shared" si="4"/>
        <v>1</v>
      </c>
      <c r="AD38" s="24">
        <f t="shared" si="4"/>
        <v>1</v>
      </c>
      <c r="AE38" s="24">
        <f t="shared" si="4"/>
        <v>1</v>
      </c>
      <c r="AF38" s="24">
        <f t="shared" si="4"/>
        <v>1</v>
      </c>
      <c r="AG38" s="24">
        <f t="shared" si="4"/>
        <v>1</v>
      </c>
      <c r="AH38" s="24">
        <f t="shared" si="4"/>
        <v>1</v>
      </c>
      <c r="AI38" s="24">
        <f t="shared" si="4"/>
        <v>1</v>
      </c>
      <c r="AJ38" s="24">
        <f t="shared" si="4"/>
        <v>1</v>
      </c>
      <c r="AK38" s="24">
        <f t="shared" si="4"/>
        <v>1</v>
      </c>
      <c r="AL38" s="24">
        <f t="shared" si="4"/>
        <v>1</v>
      </c>
      <c r="AM38" s="24">
        <f t="shared" si="4"/>
        <v>1</v>
      </c>
      <c r="AN38" s="24">
        <f t="shared" si="4"/>
        <v>1</v>
      </c>
      <c r="AO38" s="24">
        <f t="shared" si="4"/>
        <v>1</v>
      </c>
      <c r="AP38" s="24">
        <f t="shared" si="4"/>
        <v>1</v>
      </c>
      <c r="AQ38" s="24">
        <f t="shared" si="4"/>
        <v>1</v>
      </c>
      <c r="AR38" s="24">
        <f t="shared" si="4"/>
        <v>1</v>
      </c>
      <c r="AS38" s="24">
        <f t="shared" si="4"/>
        <v>1</v>
      </c>
      <c r="AT38" s="24">
        <f t="shared" si="4"/>
        <v>1</v>
      </c>
      <c r="AU38" s="24">
        <f t="shared" si="4"/>
        <v>1</v>
      </c>
      <c r="AV38" s="24">
        <f t="shared" si="4"/>
        <v>1</v>
      </c>
    </row>
    <row r="39" spans="1:48">
      <c r="A39" s="106"/>
      <c r="B39" s="106"/>
      <c r="C39" s="15" t="s">
        <v>28</v>
      </c>
      <c r="D39" s="16" t="s">
        <v>39</v>
      </c>
      <c r="E39" s="15" t="s">
        <v>33</v>
      </c>
      <c r="F39" s="15" t="s">
        <v>31</v>
      </c>
      <c r="G39" s="24">
        <f>G33/G11</f>
        <v>1</v>
      </c>
      <c r="H39" s="24">
        <f>H33/H11</f>
        <v>1</v>
      </c>
      <c r="I39" s="24">
        <f t="shared" ref="I39:AV39" si="5">I33/I11</f>
        <v>1</v>
      </c>
      <c r="J39" s="24">
        <f t="shared" si="5"/>
        <v>1</v>
      </c>
      <c r="K39" s="24">
        <f t="shared" si="5"/>
        <v>1</v>
      </c>
      <c r="L39" s="24">
        <f t="shared" si="5"/>
        <v>1</v>
      </c>
      <c r="M39" s="24">
        <f t="shared" si="5"/>
        <v>1</v>
      </c>
      <c r="N39" s="24">
        <f t="shared" si="5"/>
        <v>1</v>
      </c>
      <c r="O39" s="24">
        <f t="shared" si="5"/>
        <v>1</v>
      </c>
      <c r="P39" s="24">
        <f t="shared" si="5"/>
        <v>1</v>
      </c>
      <c r="Q39" s="24">
        <f t="shared" si="5"/>
        <v>1</v>
      </c>
      <c r="R39" s="24">
        <f t="shared" si="5"/>
        <v>1</v>
      </c>
      <c r="S39" s="24">
        <f t="shared" si="5"/>
        <v>1</v>
      </c>
      <c r="T39" s="24">
        <f t="shared" si="5"/>
        <v>1</v>
      </c>
      <c r="U39" s="24">
        <f t="shared" si="5"/>
        <v>1</v>
      </c>
      <c r="V39" s="24">
        <f t="shared" si="5"/>
        <v>1</v>
      </c>
      <c r="W39" s="24">
        <f t="shared" si="5"/>
        <v>1</v>
      </c>
      <c r="X39" s="24">
        <f t="shared" si="5"/>
        <v>1</v>
      </c>
      <c r="Y39" s="24">
        <f t="shared" si="5"/>
        <v>1</v>
      </c>
      <c r="Z39" s="24">
        <f t="shared" si="5"/>
        <v>1</v>
      </c>
      <c r="AA39" s="24">
        <f t="shared" si="5"/>
        <v>1</v>
      </c>
      <c r="AB39" s="24">
        <f t="shared" si="5"/>
        <v>1</v>
      </c>
      <c r="AC39" s="24">
        <f t="shared" si="5"/>
        <v>1</v>
      </c>
      <c r="AD39" s="24">
        <f t="shared" si="5"/>
        <v>1</v>
      </c>
      <c r="AE39" s="24">
        <f t="shared" si="5"/>
        <v>1</v>
      </c>
      <c r="AF39" s="24">
        <f t="shared" si="5"/>
        <v>1</v>
      </c>
      <c r="AG39" s="24">
        <f t="shared" si="5"/>
        <v>1</v>
      </c>
      <c r="AH39" s="24">
        <f t="shared" si="5"/>
        <v>1</v>
      </c>
      <c r="AI39" s="24">
        <f t="shared" si="5"/>
        <v>1</v>
      </c>
      <c r="AJ39" s="24">
        <f t="shared" si="5"/>
        <v>1</v>
      </c>
      <c r="AK39" s="24">
        <f t="shared" si="5"/>
        <v>1</v>
      </c>
      <c r="AL39" s="24">
        <f t="shared" si="5"/>
        <v>1</v>
      </c>
      <c r="AM39" s="24">
        <f t="shared" si="5"/>
        <v>1</v>
      </c>
      <c r="AN39" s="24">
        <f t="shared" si="5"/>
        <v>1</v>
      </c>
      <c r="AO39" s="24">
        <f t="shared" si="5"/>
        <v>1</v>
      </c>
      <c r="AP39" s="24">
        <f t="shared" si="5"/>
        <v>1</v>
      </c>
      <c r="AQ39" s="24">
        <f t="shared" si="5"/>
        <v>1</v>
      </c>
      <c r="AR39" s="24">
        <f t="shared" si="5"/>
        <v>1</v>
      </c>
      <c r="AS39" s="24">
        <f t="shared" si="5"/>
        <v>1</v>
      </c>
      <c r="AT39" s="24">
        <f t="shared" si="5"/>
        <v>1</v>
      </c>
      <c r="AU39" s="24">
        <f t="shared" si="5"/>
        <v>1</v>
      </c>
      <c r="AV39" s="24">
        <f t="shared" si="5"/>
        <v>1</v>
      </c>
    </row>
    <row r="40" spans="1:48">
      <c r="A40" s="106"/>
      <c r="B40" s="106"/>
      <c r="C40" s="15" t="s">
        <v>28</v>
      </c>
      <c r="D40" s="16" t="s">
        <v>39</v>
      </c>
      <c r="E40" s="15" t="s">
        <v>34</v>
      </c>
      <c r="F40" s="15" t="s">
        <v>31</v>
      </c>
      <c r="G40" s="24">
        <f>G12/G34</f>
        <v>1</v>
      </c>
      <c r="H40" s="24">
        <f>H12/H34</f>
        <v>1</v>
      </c>
      <c r="I40" s="24">
        <f t="shared" ref="I40:AV40" si="6">I12/I34</f>
        <v>1</v>
      </c>
      <c r="J40" s="24">
        <f t="shared" si="6"/>
        <v>1</v>
      </c>
      <c r="K40" s="24">
        <f t="shared" si="6"/>
        <v>1</v>
      </c>
      <c r="L40" s="24">
        <f t="shared" si="6"/>
        <v>1</v>
      </c>
      <c r="M40" s="24">
        <f t="shared" si="6"/>
        <v>1</v>
      </c>
      <c r="N40" s="24">
        <f t="shared" si="6"/>
        <v>1</v>
      </c>
      <c r="O40" s="24">
        <f t="shared" si="6"/>
        <v>1</v>
      </c>
      <c r="P40" s="24">
        <f t="shared" si="6"/>
        <v>1</v>
      </c>
      <c r="Q40" s="24">
        <f t="shared" si="6"/>
        <v>1</v>
      </c>
      <c r="R40" s="24">
        <f t="shared" si="6"/>
        <v>1</v>
      </c>
      <c r="S40" s="24">
        <f t="shared" si="6"/>
        <v>1</v>
      </c>
      <c r="T40" s="24">
        <f t="shared" si="6"/>
        <v>1</v>
      </c>
      <c r="U40" s="24">
        <f t="shared" si="6"/>
        <v>1</v>
      </c>
      <c r="V40" s="24">
        <f t="shared" si="6"/>
        <v>1</v>
      </c>
      <c r="W40" s="24">
        <f t="shared" si="6"/>
        <v>1</v>
      </c>
      <c r="X40" s="24">
        <f t="shared" si="6"/>
        <v>1</v>
      </c>
      <c r="Y40" s="24">
        <f t="shared" si="6"/>
        <v>1</v>
      </c>
      <c r="Z40" s="24">
        <f t="shared" si="6"/>
        <v>1</v>
      </c>
      <c r="AA40" s="24">
        <f t="shared" si="6"/>
        <v>1</v>
      </c>
      <c r="AB40" s="24">
        <f t="shared" si="6"/>
        <v>1</v>
      </c>
      <c r="AC40" s="24">
        <f t="shared" si="6"/>
        <v>1</v>
      </c>
      <c r="AD40" s="24">
        <f t="shared" si="6"/>
        <v>1</v>
      </c>
      <c r="AE40" s="24">
        <f t="shared" si="6"/>
        <v>1</v>
      </c>
      <c r="AF40" s="24">
        <f t="shared" si="6"/>
        <v>1</v>
      </c>
      <c r="AG40" s="24">
        <f t="shared" si="6"/>
        <v>1</v>
      </c>
      <c r="AH40" s="24">
        <f t="shared" si="6"/>
        <v>1</v>
      </c>
      <c r="AI40" s="24">
        <f t="shared" si="6"/>
        <v>1</v>
      </c>
      <c r="AJ40" s="24">
        <f t="shared" si="6"/>
        <v>1</v>
      </c>
      <c r="AK40" s="24">
        <f t="shared" si="6"/>
        <v>1</v>
      </c>
      <c r="AL40" s="24">
        <f t="shared" si="6"/>
        <v>1</v>
      </c>
      <c r="AM40" s="24">
        <f t="shared" si="6"/>
        <v>1</v>
      </c>
      <c r="AN40" s="24">
        <f t="shared" si="6"/>
        <v>1</v>
      </c>
      <c r="AO40" s="24">
        <f t="shared" si="6"/>
        <v>1</v>
      </c>
      <c r="AP40" s="24">
        <f t="shared" si="6"/>
        <v>1</v>
      </c>
      <c r="AQ40" s="24">
        <f t="shared" si="6"/>
        <v>1</v>
      </c>
      <c r="AR40" s="24">
        <f t="shared" si="6"/>
        <v>1</v>
      </c>
      <c r="AS40" s="24">
        <f t="shared" si="6"/>
        <v>1</v>
      </c>
      <c r="AT40" s="24">
        <f t="shared" si="6"/>
        <v>1</v>
      </c>
      <c r="AU40" s="24">
        <f t="shared" si="6"/>
        <v>1</v>
      </c>
      <c r="AV40" s="24">
        <f t="shared" si="6"/>
        <v>1</v>
      </c>
    </row>
    <row r="41" spans="1:48">
      <c r="A41" s="106"/>
      <c r="B41" s="106"/>
      <c r="C41" s="18" t="s">
        <v>41</v>
      </c>
      <c r="D41" s="18" t="s">
        <v>29</v>
      </c>
      <c r="E41" s="18" t="s">
        <v>34</v>
      </c>
      <c r="F41" s="18" t="s">
        <v>31</v>
      </c>
      <c r="G41" s="24">
        <f>G19/G35</f>
        <v>1</v>
      </c>
      <c r="H41" s="24">
        <f>H19/H35</f>
        <v>1</v>
      </c>
      <c r="I41" s="24">
        <f t="shared" ref="I41:AV41" si="7">I19/I35</f>
        <v>1</v>
      </c>
      <c r="J41" s="24">
        <f t="shared" si="7"/>
        <v>1</v>
      </c>
      <c r="K41" s="24">
        <f t="shared" si="7"/>
        <v>1</v>
      </c>
      <c r="L41" s="24">
        <f t="shared" si="7"/>
        <v>1</v>
      </c>
      <c r="M41" s="24">
        <f t="shared" si="7"/>
        <v>1</v>
      </c>
      <c r="N41" s="24">
        <f t="shared" si="7"/>
        <v>1</v>
      </c>
      <c r="O41" s="24">
        <f t="shared" si="7"/>
        <v>1</v>
      </c>
      <c r="P41" s="24">
        <f t="shared" si="7"/>
        <v>1</v>
      </c>
      <c r="Q41" s="24">
        <f t="shared" si="7"/>
        <v>1</v>
      </c>
      <c r="R41" s="24">
        <f t="shared" si="7"/>
        <v>1</v>
      </c>
      <c r="S41" s="24">
        <f t="shared" si="7"/>
        <v>1</v>
      </c>
      <c r="T41" s="24">
        <f t="shared" si="7"/>
        <v>1</v>
      </c>
      <c r="U41" s="24">
        <f t="shared" si="7"/>
        <v>1</v>
      </c>
      <c r="V41" s="24">
        <f t="shared" si="7"/>
        <v>1</v>
      </c>
      <c r="W41" s="24">
        <f t="shared" si="7"/>
        <v>1</v>
      </c>
      <c r="X41" s="24">
        <f t="shared" si="7"/>
        <v>1</v>
      </c>
      <c r="Y41" s="24">
        <f t="shared" si="7"/>
        <v>1</v>
      </c>
      <c r="Z41" s="24">
        <f t="shared" si="7"/>
        <v>1</v>
      </c>
      <c r="AA41" s="24">
        <f t="shared" si="7"/>
        <v>1</v>
      </c>
      <c r="AB41" s="24">
        <f t="shared" si="7"/>
        <v>1</v>
      </c>
      <c r="AC41" s="24">
        <f t="shared" si="7"/>
        <v>1</v>
      </c>
      <c r="AD41" s="24">
        <f t="shared" si="7"/>
        <v>1</v>
      </c>
      <c r="AE41" s="24">
        <f t="shared" si="7"/>
        <v>1</v>
      </c>
      <c r="AF41" s="24">
        <f t="shared" si="7"/>
        <v>1</v>
      </c>
      <c r="AG41" s="24">
        <f t="shared" si="7"/>
        <v>1</v>
      </c>
      <c r="AH41" s="24">
        <f t="shared" si="7"/>
        <v>1</v>
      </c>
      <c r="AI41" s="24">
        <f t="shared" si="7"/>
        <v>1</v>
      </c>
      <c r="AJ41" s="24">
        <f t="shared" si="7"/>
        <v>1</v>
      </c>
      <c r="AK41" s="24">
        <f t="shared" si="7"/>
        <v>1</v>
      </c>
      <c r="AL41" s="24">
        <f t="shared" si="7"/>
        <v>1</v>
      </c>
      <c r="AM41" s="24">
        <f t="shared" si="7"/>
        <v>1</v>
      </c>
      <c r="AN41" s="24">
        <f t="shared" si="7"/>
        <v>1</v>
      </c>
      <c r="AO41" s="24">
        <f t="shared" si="7"/>
        <v>1</v>
      </c>
      <c r="AP41" s="24">
        <f t="shared" si="7"/>
        <v>1</v>
      </c>
      <c r="AQ41" s="24">
        <f t="shared" si="7"/>
        <v>1</v>
      </c>
      <c r="AR41" s="24">
        <f t="shared" si="7"/>
        <v>1</v>
      </c>
      <c r="AS41" s="24">
        <f t="shared" si="7"/>
        <v>1</v>
      </c>
      <c r="AT41" s="24">
        <f t="shared" si="7"/>
        <v>1</v>
      </c>
      <c r="AU41" s="24">
        <f t="shared" si="7"/>
        <v>1</v>
      </c>
      <c r="AV41" s="24">
        <f t="shared" si="7"/>
        <v>1</v>
      </c>
    </row>
    <row r="42" spans="1:48">
      <c r="A42" s="106"/>
      <c r="B42" s="106"/>
      <c r="C42" s="20" t="s">
        <v>41</v>
      </c>
      <c r="D42" s="21" t="s">
        <v>39</v>
      </c>
      <c r="E42" s="20" t="s">
        <v>34</v>
      </c>
      <c r="F42" s="20" t="s">
        <v>31</v>
      </c>
      <c r="G42" s="24">
        <f>G26/G36</f>
        <v>1</v>
      </c>
      <c r="H42" s="24">
        <f>H26/H36</f>
        <v>1</v>
      </c>
      <c r="I42" s="24">
        <f t="shared" ref="I42:AV42" si="8">I26/I36</f>
        <v>1</v>
      </c>
      <c r="J42" s="24">
        <f t="shared" si="8"/>
        <v>1</v>
      </c>
      <c r="K42" s="24">
        <f t="shared" si="8"/>
        <v>1</v>
      </c>
      <c r="L42" s="24">
        <f t="shared" si="8"/>
        <v>1</v>
      </c>
      <c r="M42" s="24">
        <f t="shared" si="8"/>
        <v>1</v>
      </c>
      <c r="N42" s="24">
        <f t="shared" si="8"/>
        <v>1</v>
      </c>
      <c r="O42" s="24">
        <f t="shared" si="8"/>
        <v>1</v>
      </c>
      <c r="P42" s="24">
        <f t="shared" si="8"/>
        <v>1</v>
      </c>
      <c r="Q42" s="24">
        <f t="shared" si="8"/>
        <v>1</v>
      </c>
      <c r="R42" s="24">
        <f t="shared" si="8"/>
        <v>1</v>
      </c>
      <c r="S42" s="24">
        <f t="shared" si="8"/>
        <v>1</v>
      </c>
      <c r="T42" s="24">
        <f t="shared" si="8"/>
        <v>1</v>
      </c>
      <c r="U42" s="24">
        <f t="shared" si="8"/>
        <v>1</v>
      </c>
      <c r="V42" s="24">
        <f t="shared" si="8"/>
        <v>1</v>
      </c>
      <c r="W42" s="24">
        <f t="shared" si="8"/>
        <v>1</v>
      </c>
      <c r="X42" s="24">
        <f t="shared" si="8"/>
        <v>1</v>
      </c>
      <c r="Y42" s="24">
        <f t="shared" si="8"/>
        <v>1</v>
      </c>
      <c r="Z42" s="24">
        <f t="shared" si="8"/>
        <v>1</v>
      </c>
      <c r="AA42" s="24">
        <f t="shared" si="8"/>
        <v>1</v>
      </c>
      <c r="AB42" s="24">
        <f t="shared" si="8"/>
        <v>1</v>
      </c>
      <c r="AC42" s="24">
        <f t="shared" si="8"/>
        <v>1</v>
      </c>
      <c r="AD42" s="24">
        <f t="shared" si="8"/>
        <v>1</v>
      </c>
      <c r="AE42" s="24">
        <f t="shared" si="8"/>
        <v>1</v>
      </c>
      <c r="AF42" s="24">
        <f t="shared" si="8"/>
        <v>1</v>
      </c>
      <c r="AG42" s="24">
        <f t="shared" si="8"/>
        <v>1</v>
      </c>
      <c r="AH42" s="24">
        <f t="shared" si="8"/>
        <v>1</v>
      </c>
      <c r="AI42" s="24">
        <f t="shared" si="8"/>
        <v>1</v>
      </c>
      <c r="AJ42" s="24">
        <f t="shared" si="8"/>
        <v>1</v>
      </c>
      <c r="AK42" s="24">
        <f t="shared" si="8"/>
        <v>1</v>
      </c>
      <c r="AL42" s="24">
        <f t="shared" si="8"/>
        <v>1</v>
      </c>
      <c r="AM42" s="24">
        <f t="shared" si="8"/>
        <v>1</v>
      </c>
      <c r="AN42" s="24">
        <f t="shared" si="8"/>
        <v>1</v>
      </c>
      <c r="AO42" s="24">
        <f t="shared" si="8"/>
        <v>1</v>
      </c>
      <c r="AP42" s="24">
        <f t="shared" si="8"/>
        <v>1</v>
      </c>
      <c r="AQ42" s="24">
        <f t="shared" si="8"/>
        <v>1</v>
      </c>
      <c r="AR42" s="24">
        <f t="shared" si="8"/>
        <v>1</v>
      </c>
      <c r="AS42" s="24">
        <f t="shared" si="8"/>
        <v>1</v>
      </c>
      <c r="AT42" s="24">
        <f t="shared" si="8"/>
        <v>1</v>
      </c>
      <c r="AU42" s="24">
        <f t="shared" si="8"/>
        <v>1</v>
      </c>
      <c r="AV42" s="24">
        <f t="shared" si="8"/>
        <v>1</v>
      </c>
    </row>
  </sheetData>
  <mergeCells count="2">
    <mergeCell ref="A32:B36"/>
    <mergeCell ref="A38:B4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1A66-F0DE-4CE7-A286-9A56E87ADAA5}">
  <dimension ref="A1:AN196"/>
  <sheetViews>
    <sheetView topLeftCell="A47" workbookViewId="0">
      <selection activeCell="D63" sqref="D63"/>
    </sheetView>
  </sheetViews>
  <sheetFormatPr defaultColWidth="9" defaultRowHeight="12.9"/>
  <cols>
    <col min="1" max="1" width="17.625" style="54" customWidth="1"/>
    <col min="2" max="2" width="19.25" style="54" customWidth="1"/>
    <col min="3" max="6" width="13.125" style="54" customWidth="1"/>
    <col min="7" max="7" width="13.125" style="54" hidden="1" customWidth="1"/>
    <col min="8" max="9" width="13.125" style="54" customWidth="1"/>
    <col min="10" max="12" width="9" style="54"/>
    <col min="13" max="13" width="20.5" style="54" bestFit="1" customWidth="1"/>
    <col min="14" max="14" width="21.25" style="54" customWidth="1"/>
    <col min="15" max="21" width="10.875" style="54" customWidth="1"/>
    <col min="22" max="24" width="9" style="54"/>
    <col min="25" max="31" width="9.5" style="54" bestFit="1" customWidth="1"/>
    <col min="32" max="32" width="9" style="54"/>
    <col min="33" max="33" width="9.5" style="54" bestFit="1" customWidth="1"/>
    <col min="34" max="16384" width="9" style="54"/>
  </cols>
  <sheetData>
    <row r="1" spans="1:12" ht="25.85">
      <c r="C1" s="55" t="s">
        <v>129</v>
      </c>
      <c r="D1" s="54" t="s">
        <v>130</v>
      </c>
      <c r="E1" s="56" t="s">
        <v>131</v>
      </c>
      <c r="F1" s="56" t="s">
        <v>132</v>
      </c>
      <c r="H1" s="54" t="s">
        <v>133</v>
      </c>
      <c r="I1" s="54" t="s">
        <v>134</v>
      </c>
    </row>
    <row r="2" spans="1:12">
      <c r="C2" s="57">
        <v>3412.14</v>
      </c>
      <c r="D2" s="58">
        <f>487500258872.552/10^7</f>
        <v>48750.0258872552</v>
      </c>
      <c r="E2" s="58">
        <f>40822.4834732683*0.73</f>
        <v>29800.41293548586</v>
      </c>
      <c r="F2" s="58">
        <f>40426.2959159935*0.83</f>
        <v>33553.825610274602</v>
      </c>
      <c r="H2" s="58">
        <f>475605153983.081/10^7</f>
        <v>47560.515398308096</v>
      </c>
      <c r="I2" s="58">
        <f>142081/1.055</f>
        <v>134673.9336492891</v>
      </c>
    </row>
    <row r="3" spans="1:12" hidden="1">
      <c r="C3" s="57"/>
      <c r="D3" s="58"/>
      <c r="E3" s="58"/>
      <c r="F3" s="58"/>
      <c r="H3" s="58"/>
      <c r="I3" s="58"/>
    </row>
    <row r="4" spans="1:12" s="55" customFormat="1" ht="38.75" hidden="1">
      <c r="B4" s="55" t="s">
        <v>0</v>
      </c>
      <c r="C4" s="55" t="s">
        <v>1</v>
      </c>
      <c r="D4" s="55" t="s">
        <v>2</v>
      </c>
      <c r="E4" s="55" t="s">
        <v>3</v>
      </c>
      <c r="F4" s="55" t="s">
        <v>4</v>
      </c>
      <c r="G4" s="55" t="s">
        <v>5</v>
      </c>
      <c r="H4" s="55" t="s">
        <v>6</v>
      </c>
      <c r="I4" s="55" t="s">
        <v>7</v>
      </c>
      <c r="K4" s="54" t="s">
        <v>135</v>
      </c>
      <c r="L4" s="54">
        <v>2020</v>
      </c>
    </row>
    <row r="5" spans="1:12" hidden="1">
      <c r="A5" s="54" t="s">
        <v>136</v>
      </c>
      <c r="B5" s="54" t="s">
        <v>8</v>
      </c>
      <c r="C5" s="56">
        <v>4.9899999999999999E-4</v>
      </c>
      <c r="D5" s="56">
        <v>2.04E-4</v>
      </c>
      <c r="E5" s="56">
        <v>2.1699999999999999E-4</v>
      </c>
      <c r="F5" s="56">
        <v>1.92E-4</v>
      </c>
      <c r="G5" s="56">
        <v>3.0299999999999999E-4</v>
      </c>
      <c r="H5" s="56">
        <v>2.04E-4</v>
      </c>
      <c r="I5" s="56">
        <v>4.1199999999999999E-4</v>
      </c>
      <c r="K5" s="54" t="s">
        <v>8</v>
      </c>
      <c r="L5" s="54">
        <v>1</v>
      </c>
    </row>
    <row r="6" spans="1:12" hidden="1">
      <c r="A6" s="54" t="s">
        <v>136</v>
      </c>
      <c r="B6" s="54" t="s">
        <v>9</v>
      </c>
      <c r="C6" s="56">
        <v>1.9580000000000001E-3</v>
      </c>
      <c r="D6" s="56">
        <v>1.0939999999999999E-3</v>
      </c>
      <c r="E6" s="56">
        <v>1.039E-3</v>
      </c>
      <c r="F6" s="56">
        <v>1.039E-3</v>
      </c>
      <c r="G6" s="56">
        <v>1.358E-3</v>
      </c>
      <c r="H6" s="56">
        <v>1.0939999999999999E-3</v>
      </c>
      <c r="I6" s="56">
        <v>9.6299999999999999E-4</v>
      </c>
      <c r="K6" s="54" t="s">
        <v>9</v>
      </c>
      <c r="L6" s="54">
        <v>14.86</v>
      </c>
    </row>
    <row r="7" spans="1:12" hidden="1">
      <c r="A7" s="54" t="s">
        <v>136</v>
      </c>
      <c r="B7" s="54" t="s">
        <v>10</v>
      </c>
      <c r="C7" s="56">
        <v>8.0000000000000007E-5</v>
      </c>
      <c r="D7" s="56">
        <v>0</v>
      </c>
      <c r="E7" s="56">
        <v>0</v>
      </c>
      <c r="F7" s="56">
        <v>5.0000000000000002E-5</v>
      </c>
      <c r="G7" s="56">
        <v>0</v>
      </c>
      <c r="H7" s="56">
        <v>0</v>
      </c>
      <c r="I7" s="56">
        <v>1.25E-4</v>
      </c>
      <c r="K7" s="54" t="s">
        <v>10</v>
      </c>
      <c r="L7" s="54">
        <v>60</v>
      </c>
    </row>
    <row r="8" spans="1:12" hidden="1">
      <c r="A8" s="54" t="s">
        <v>136</v>
      </c>
      <c r="B8" s="54" t="s">
        <v>11</v>
      </c>
      <c r="C8" s="56">
        <v>1.6289999999999999E-2</v>
      </c>
      <c r="D8" s="56">
        <v>4.6189999999999998E-3</v>
      </c>
      <c r="E8" s="56">
        <v>4.6189999999999998E-3</v>
      </c>
      <c r="F8" s="56">
        <v>4.6189999999999998E-3</v>
      </c>
      <c r="G8" s="56">
        <v>0</v>
      </c>
      <c r="H8" s="56">
        <v>0</v>
      </c>
      <c r="I8" s="56">
        <v>1.1547999999999999E-2</v>
      </c>
      <c r="K8" s="54" t="s">
        <v>11</v>
      </c>
      <c r="L8" s="54">
        <v>4000</v>
      </c>
    </row>
    <row r="9" spans="1:12" hidden="1">
      <c r="A9" s="54" t="s">
        <v>136</v>
      </c>
      <c r="B9" s="54" t="s">
        <v>12</v>
      </c>
      <c r="C9" s="56">
        <v>1.4767000000000001E-2</v>
      </c>
      <c r="D9" s="56">
        <v>0</v>
      </c>
      <c r="E9" s="56">
        <v>0</v>
      </c>
      <c r="F9" s="56">
        <v>9.2499999999999995E-3</v>
      </c>
      <c r="G9" s="56">
        <v>0</v>
      </c>
      <c r="H9" s="56">
        <v>0</v>
      </c>
      <c r="I9" s="56">
        <v>2.3123999999999999E-2</v>
      </c>
      <c r="K9" s="54" t="s">
        <v>12</v>
      </c>
      <c r="L9" s="54">
        <v>2020</v>
      </c>
    </row>
    <row r="10" spans="1:12" hidden="1">
      <c r="A10" s="54" t="s">
        <v>136</v>
      </c>
      <c r="B10" s="54" t="s">
        <v>13</v>
      </c>
      <c r="C10" s="56">
        <v>0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K10" s="54" t="s">
        <v>13</v>
      </c>
      <c r="L10" s="54">
        <v>1.1499999999999999</v>
      </c>
    </row>
    <row r="11" spans="1:12" hidden="1">
      <c r="C11" s="56"/>
      <c r="D11" s="56"/>
      <c r="E11" s="56"/>
      <c r="F11" s="56"/>
      <c r="G11" s="56"/>
      <c r="H11" s="56"/>
      <c r="I11" s="56"/>
    </row>
    <row r="12" spans="1:12" hidden="1">
      <c r="C12" s="59">
        <f t="shared" ref="C12:I13" si="0">C5/$E5</f>
        <v>2.2995391705069124</v>
      </c>
      <c r="D12" s="59">
        <f t="shared" si="0"/>
        <v>0.94009216589861755</v>
      </c>
      <c r="E12" s="59">
        <f t="shared" si="0"/>
        <v>1</v>
      </c>
      <c r="F12" s="59">
        <f t="shared" si="0"/>
        <v>0.88479262672811065</v>
      </c>
      <c r="G12" s="59">
        <f t="shared" si="0"/>
        <v>1.3963133640552996</v>
      </c>
      <c r="H12" s="59">
        <f t="shared" si="0"/>
        <v>0.94009216589861755</v>
      </c>
      <c r="I12" s="59">
        <f t="shared" si="0"/>
        <v>1.8986175115207373</v>
      </c>
    </row>
    <row r="13" spans="1:12" hidden="1">
      <c r="C13" s="59">
        <f t="shared" si="0"/>
        <v>1.8845043310875844</v>
      </c>
      <c r="D13" s="59">
        <f t="shared" si="0"/>
        <v>1.0529355149181905</v>
      </c>
      <c r="E13" s="59">
        <f t="shared" si="0"/>
        <v>1</v>
      </c>
      <c r="F13" s="59">
        <f t="shared" si="0"/>
        <v>1</v>
      </c>
      <c r="G13" s="59">
        <f t="shared" si="0"/>
        <v>1.3070259865255054</v>
      </c>
      <c r="H13" s="59">
        <f t="shared" si="0"/>
        <v>1.0529355149181905</v>
      </c>
      <c r="I13" s="59">
        <f t="shared" si="0"/>
        <v>0.92685274302213672</v>
      </c>
    </row>
    <row r="14" spans="1:12" hidden="1"/>
    <row r="15" spans="1:12" s="55" customFormat="1" ht="38.75" hidden="1">
      <c r="B15" s="55" t="s">
        <v>14</v>
      </c>
      <c r="C15" s="55" t="s">
        <v>1</v>
      </c>
      <c r="D15" s="55" t="s">
        <v>2</v>
      </c>
      <c r="E15" s="55" t="s">
        <v>3</v>
      </c>
      <c r="F15" s="55" t="s">
        <v>4</v>
      </c>
      <c r="G15" s="55" t="s">
        <v>5</v>
      </c>
      <c r="H15" s="55" t="s">
        <v>6</v>
      </c>
      <c r="I15" s="55" t="s">
        <v>7</v>
      </c>
      <c r="K15" s="54" t="s">
        <v>137</v>
      </c>
      <c r="L15" s="54">
        <v>2020</v>
      </c>
    </row>
    <row r="16" spans="1:12" hidden="1">
      <c r="A16" s="54" t="s">
        <v>138</v>
      </c>
      <c r="B16" s="54" t="s">
        <v>8</v>
      </c>
      <c r="C16" s="56">
        <v>1.2110000000000001E-3</v>
      </c>
      <c r="D16" s="56">
        <v>3.7399999999999998E-4</v>
      </c>
      <c r="E16" s="56">
        <v>5.13E-4</v>
      </c>
      <c r="F16" s="56">
        <v>4.1100000000000002E-4</v>
      </c>
      <c r="G16" s="56">
        <v>6.9800000000000005E-4</v>
      </c>
      <c r="H16" s="56">
        <v>3.7399999999999998E-4</v>
      </c>
      <c r="I16" s="56">
        <v>8.2990000000000008E-3</v>
      </c>
      <c r="K16" s="54" t="s">
        <v>8</v>
      </c>
      <c r="L16" s="54">
        <v>1.33</v>
      </c>
    </row>
    <row r="17" spans="1:12" hidden="1">
      <c r="A17" s="54" t="s">
        <v>138</v>
      </c>
      <c r="B17" s="54" t="s">
        <v>9</v>
      </c>
      <c r="C17" s="56">
        <v>3.039E-3</v>
      </c>
      <c r="D17" s="56">
        <v>1.6100000000000001E-3</v>
      </c>
      <c r="E17" s="56">
        <v>1.6130000000000001E-3</v>
      </c>
      <c r="F17" s="56">
        <v>1.6130000000000001E-3</v>
      </c>
      <c r="G17" s="56">
        <v>2.1069999999999999E-3</v>
      </c>
      <c r="H17" s="56">
        <v>1.6100000000000001E-3</v>
      </c>
      <c r="I17" s="56">
        <v>1.495E-3</v>
      </c>
      <c r="K17" s="54" t="s">
        <v>9</v>
      </c>
      <c r="L17" s="54">
        <v>21.2</v>
      </c>
    </row>
    <row r="18" spans="1:12" hidden="1">
      <c r="A18" s="54" t="s">
        <v>138</v>
      </c>
      <c r="B18" s="54" t="s">
        <v>10</v>
      </c>
      <c r="C18" s="56">
        <v>8.8699999999999998E-4</v>
      </c>
      <c r="D18" s="56">
        <v>0</v>
      </c>
      <c r="E18" s="56">
        <v>0</v>
      </c>
      <c r="F18" s="56">
        <v>5.5599999999999996E-4</v>
      </c>
      <c r="G18" s="56">
        <v>0</v>
      </c>
      <c r="H18" s="56">
        <v>0</v>
      </c>
      <c r="I18" s="56">
        <v>0</v>
      </c>
      <c r="K18" s="54" t="s">
        <v>10</v>
      </c>
      <c r="L18" s="54">
        <v>120</v>
      </c>
    </row>
    <row r="19" spans="1:12" hidden="1">
      <c r="A19" s="54" t="s">
        <v>138</v>
      </c>
      <c r="B19" s="54" t="s">
        <v>11</v>
      </c>
      <c r="C19" s="56">
        <v>1.6289999999999999E-2</v>
      </c>
      <c r="D19" s="56">
        <v>4.6189999999999998E-3</v>
      </c>
      <c r="E19" s="56">
        <v>4.6189999999999998E-3</v>
      </c>
      <c r="F19" s="56">
        <v>4.6189999999999998E-3</v>
      </c>
      <c r="G19" s="56">
        <v>0</v>
      </c>
      <c r="H19" s="56">
        <v>0</v>
      </c>
      <c r="I19" s="56">
        <v>1.1547999999999999E-2</v>
      </c>
      <c r="K19" s="54" t="s">
        <v>11</v>
      </c>
      <c r="L19" s="54">
        <v>1167.75</v>
      </c>
    </row>
    <row r="20" spans="1:12" hidden="1">
      <c r="A20" s="54" t="s">
        <v>138</v>
      </c>
      <c r="B20" s="54" t="s">
        <v>12</v>
      </c>
      <c r="C20" s="56">
        <v>1.477E-3</v>
      </c>
      <c r="D20" s="56">
        <v>9.2500000000000004E-4</v>
      </c>
      <c r="E20" s="56">
        <v>9.2500000000000004E-4</v>
      </c>
      <c r="F20" s="56">
        <v>9.2500000000000004E-4</v>
      </c>
      <c r="G20" s="56">
        <v>0</v>
      </c>
      <c r="H20" s="56">
        <v>0</v>
      </c>
      <c r="I20" s="56">
        <v>2.3119999999999998E-3</v>
      </c>
      <c r="K20" s="54" t="s">
        <v>12</v>
      </c>
      <c r="L20" s="54">
        <v>166.88</v>
      </c>
    </row>
    <row r="21" spans="1:12" hidden="1">
      <c r="A21" s="54" t="s">
        <v>138</v>
      </c>
      <c r="B21" s="54" t="s">
        <v>13</v>
      </c>
      <c r="C21" s="56">
        <v>1.786E-3</v>
      </c>
      <c r="D21" s="56">
        <v>1.091E-3</v>
      </c>
      <c r="E21" s="56">
        <v>1.091E-3</v>
      </c>
      <c r="F21" s="56">
        <v>1.091E-3</v>
      </c>
      <c r="G21" s="56">
        <v>1.4729999999999999E-3</v>
      </c>
      <c r="H21" s="56">
        <v>8.4500000000000005E-4</v>
      </c>
      <c r="I21" s="56">
        <v>2.7269999999999998E-3</v>
      </c>
      <c r="K21" s="54" t="s">
        <v>13</v>
      </c>
      <c r="L21" s="54">
        <v>1.1499999999999999</v>
      </c>
    </row>
    <row r="22" spans="1:12" hidden="1"/>
    <row r="23" spans="1:12" hidden="1">
      <c r="C23" s="59">
        <f t="shared" ref="C23:I24" si="1">C16/$E16</f>
        <v>2.3606237816764133</v>
      </c>
      <c r="D23" s="59">
        <f t="shared" si="1"/>
        <v>0.72904483430799216</v>
      </c>
      <c r="E23" s="59">
        <f t="shared" si="1"/>
        <v>1</v>
      </c>
      <c r="F23" s="59">
        <f t="shared" si="1"/>
        <v>0.80116959064327486</v>
      </c>
      <c r="G23" s="59">
        <f t="shared" si="1"/>
        <v>1.3606237816764133</v>
      </c>
      <c r="H23" s="59">
        <f t="shared" si="1"/>
        <v>0.72904483430799216</v>
      </c>
      <c r="I23" s="59">
        <f t="shared" si="1"/>
        <v>16.177387914230021</v>
      </c>
    </row>
    <row r="24" spans="1:12" hidden="1">
      <c r="C24" s="59">
        <f t="shared" si="1"/>
        <v>1.8840669559826411</v>
      </c>
      <c r="D24" s="59">
        <f t="shared" si="1"/>
        <v>0.9981401115933044</v>
      </c>
      <c r="E24" s="59">
        <f t="shared" si="1"/>
        <v>1</v>
      </c>
      <c r="F24" s="59">
        <f t="shared" si="1"/>
        <v>1</v>
      </c>
      <c r="G24" s="59">
        <f t="shared" si="1"/>
        <v>1.3062616243025418</v>
      </c>
      <c r="H24" s="59">
        <f t="shared" si="1"/>
        <v>0.9981401115933044</v>
      </c>
      <c r="I24" s="59">
        <f t="shared" si="1"/>
        <v>0.92684438933663982</v>
      </c>
    </row>
    <row r="25" spans="1:12" hidden="1"/>
    <row r="26" spans="1:12" ht="38.75" hidden="1">
      <c r="A26" s="55"/>
      <c r="B26" s="55" t="s">
        <v>0</v>
      </c>
      <c r="C26" s="55" t="s">
        <v>1</v>
      </c>
      <c r="D26" s="55" t="s">
        <v>2</v>
      </c>
      <c r="E26" s="55" t="s">
        <v>3</v>
      </c>
      <c r="F26" s="55" t="s">
        <v>4</v>
      </c>
      <c r="G26" s="55" t="s">
        <v>5</v>
      </c>
      <c r="H26" s="55" t="s">
        <v>6</v>
      </c>
      <c r="I26" s="55" t="s">
        <v>7</v>
      </c>
      <c r="J26" s="55"/>
      <c r="K26" s="54" t="s">
        <v>135</v>
      </c>
      <c r="L26" s="54">
        <v>2020</v>
      </c>
    </row>
    <row r="27" spans="1:12" hidden="1">
      <c r="A27" s="54" t="s">
        <v>139</v>
      </c>
      <c r="B27" s="54" t="s">
        <v>8</v>
      </c>
      <c r="C27" s="56">
        <v>1.21E-4</v>
      </c>
      <c r="D27" s="56">
        <v>6.8529999999999996E-5</v>
      </c>
      <c r="E27" s="56">
        <v>1.044E-4</v>
      </c>
      <c r="F27" s="56">
        <v>7.3949999999999995E-5</v>
      </c>
      <c r="G27" s="56">
        <v>2.3149999999999999E-4</v>
      </c>
      <c r="H27" s="56">
        <v>4.0200000000000001E-5</v>
      </c>
      <c r="I27" s="56">
        <v>2.0739999999999999E-3</v>
      </c>
      <c r="K27" s="54" t="s">
        <v>8</v>
      </c>
      <c r="L27" s="54">
        <v>1</v>
      </c>
    </row>
    <row r="28" spans="1:12" hidden="1">
      <c r="A28" s="54" t="s">
        <v>139</v>
      </c>
      <c r="B28" s="54" t="s">
        <v>9</v>
      </c>
      <c r="C28" s="56">
        <v>2.2209999999999999E-3</v>
      </c>
      <c r="D28" s="56">
        <v>4.7350000000000002E-4</v>
      </c>
      <c r="E28" s="56">
        <v>6.7840000000000001E-3</v>
      </c>
      <c r="F28" s="56">
        <v>6.912E-4</v>
      </c>
      <c r="G28" s="56">
        <v>1.0870000000000001E-3</v>
      </c>
      <c r="H28" s="56">
        <v>2.931E-3</v>
      </c>
      <c r="I28" s="56">
        <v>2.761E-3</v>
      </c>
      <c r="K28" s="54" t="s">
        <v>9</v>
      </c>
      <c r="L28" s="54">
        <v>16</v>
      </c>
    </row>
    <row r="29" spans="1:12" hidden="1">
      <c r="A29" s="54" t="s">
        <v>139</v>
      </c>
      <c r="B29" s="54" t="s">
        <v>10</v>
      </c>
      <c r="C29" s="56">
        <v>3.6519999999999999E-4</v>
      </c>
      <c r="D29" s="56">
        <v>1.137E-4</v>
      </c>
      <c r="E29" s="56">
        <v>1.137E-4</v>
      </c>
      <c r="F29" s="56">
        <v>1.137E-4</v>
      </c>
      <c r="G29" s="56">
        <v>0</v>
      </c>
      <c r="H29" s="56">
        <v>0</v>
      </c>
      <c r="I29" s="56">
        <v>3.4099999999999999E-4</v>
      </c>
      <c r="K29" s="54" t="s">
        <v>10</v>
      </c>
      <c r="L29" s="54">
        <v>42</v>
      </c>
    </row>
    <row r="30" spans="1:12" hidden="1">
      <c r="A30" s="54" t="s">
        <v>139</v>
      </c>
      <c r="B30" s="54" t="s">
        <v>11</v>
      </c>
      <c r="C30" s="56">
        <v>1.1140000000000001E-2</v>
      </c>
      <c r="D30" s="56">
        <v>3.467E-3</v>
      </c>
      <c r="E30" s="56">
        <v>3.467E-3</v>
      </c>
      <c r="F30" s="56">
        <v>3.467E-3</v>
      </c>
      <c r="G30" s="56">
        <v>0</v>
      </c>
      <c r="H30" s="56">
        <v>0</v>
      </c>
      <c r="I30" s="56">
        <v>1.04E-2</v>
      </c>
      <c r="K30" s="54" t="s">
        <v>11</v>
      </c>
      <c r="L30" s="54">
        <v>3512</v>
      </c>
    </row>
    <row r="31" spans="1:12" hidden="1">
      <c r="A31" s="54" t="s">
        <v>139</v>
      </c>
      <c r="B31" s="54" t="s">
        <v>12</v>
      </c>
      <c r="C31" s="56">
        <v>1.5469999999999999E-2</v>
      </c>
      <c r="D31" s="56">
        <v>4.8129999999999996E-3</v>
      </c>
      <c r="E31" s="56">
        <v>4.8129999999999996E-3</v>
      </c>
      <c r="F31" s="56">
        <v>4.8129999999999996E-3</v>
      </c>
      <c r="G31" s="56">
        <v>0</v>
      </c>
      <c r="H31" s="56">
        <v>0</v>
      </c>
      <c r="I31" s="56">
        <v>1.444E-2</v>
      </c>
      <c r="K31" s="54" t="s">
        <v>12</v>
      </c>
      <c r="L31" s="54">
        <v>1974</v>
      </c>
    </row>
    <row r="32" spans="1:12" hidden="1">
      <c r="A32" s="54" t="s">
        <v>139</v>
      </c>
      <c r="B32" s="54" t="s">
        <v>13</v>
      </c>
      <c r="C32" s="56">
        <v>0</v>
      </c>
      <c r="D32" s="56">
        <v>0</v>
      </c>
      <c r="E32" s="56">
        <v>0</v>
      </c>
      <c r="F32" s="56">
        <v>0</v>
      </c>
      <c r="G32" s="56">
        <v>0</v>
      </c>
      <c r="H32" s="56">
        <v>0</v>
      </c>
      <c r="I32" s="56">
        <v>0</v>
      </c>
      <c r="K32" s="54" t="s">
        <v>13</v>
      </c>
      <c r="L32" s="54">
        <v>0</v>
      </c>
    </row>
    <row r="33" spans="1:31" hidden="1"/>
    <row r="34" spans="1:31" hidden="1">
      <c r="C34" s="59">
        <f t="shared" ref="C34:I35" si="2">C27/$E27</f>
        <v>1.1590038314176245</v>
      </c>
      <c r="D34" s="59">
        <f t="shared" si="2"/>
        <v>0.65641762452107277</v>
      </c>
      <c r="E34" s="59">
        <f t="shared" si="2"/>
        <v>1</v>
      </c>
      <c r="F34" s="59">
        <f t="shared" si="2"/>
        <v>0.70833333333333326</v>
      </c>
      <c r="G34" s="59">
        <f t="shared" si="2"/>
        <v>2.2174329501915708</v>
      </c>
      <c r="H34" s="59">
        <f t="shared" si="2"/>
        <v>0.38505747126436779</v>
      </c>
      <c r="I34" s="59">
        <f t="shared" si="2"/>
        <v>19.86590038314176</v>
      </c>
    </row>
    <row r="35" spans="1:31" hidden="1">
      <c r="C35" s="59">
        <f t="shared" si="2"/>
        <v>0.32738797169811318</v>
      </c>
      <c r="D35" s="59">
        <f t="shared" si="2"/>
        <v>6.979658018867925E-2</v>
      </c>
      <c r="E35" s="59">
        <f t="shared" si="2"/>
        <v>1</v>
      </c>
      <c r="F35" s="59">
        <f t="shared" si="2"/>
        <v>0.10188679245283018</v>
      </c>
      <c r="G35" s="59">
        <f t="shared" si="2"/>
        <v>0.16022995283018868</v>
      </c>
      <c r="H35" s="59">
        <f t="shared" si="2"/>
        <v>0.43204599056603771</v>
      </c>
      <c r="I35" s="59">
        <f t="shared" si="2"/>
        <v>0.40698702830188677</v>
      </c>
    </row>
    <row r="36" spans="1:31" hidden="1"/>
    <row r="37" spans="1:31" ht="38.75" hidden="1">
      <c r="A37" s="55"/>
      <c r="B37" s="55" t="s">
        <v>14</v>
      </c>
      <c r="C37" s="55" t="s">
        <v>1</v>
      </c>
      <c r="D37" s="55" t="s">
        <v>2</v>
      </c>
      <c r="E37" s="55" t="s">
        <v>3</v>
      </c>
      <c r="F37" s="55" t="s">
        <v>4</v>
      </c>
      <c r="G37" s="55" t="s">
        <v>5</v>
      </c>
      <c r="H37" s="55" t="s">
        <v>6</v>
      </c>
      <c r="I37" s="55" t="s">
        <v>7</v>
      </c>
      <c r="J37" s="55"/>
      <c r="K37" s="54" t="s">
        <v>137</v>
      </c>
      <c r="L37" s="54">
        <v>2020</v>
      </c>
    </row>
    <row r="38" spans="1:31" hidden="1">
      <c r="A38" s="54" t="s">
        <v>140</v>
      </c>
      <c r="B38" s="54" t="s">
        <v>8</v>
      </c>
      <c r="C38" s="56">
        <v>1.3029999999999999E-3</v>
      </c>
      <c r="D38" s="56">
        <v>3.2679999999999997E-4</v>
      </c>
      <c r="E38" s="56">
        <v>3.165E-4</v>
      </c>
      <c r="F38" s="56">
        <v>3.9330000000000002E-4</v>
      </c>
      <c r="G38" s="56">
        <v>6.7449999999999997E-4</v>
      </c>
      <c r="H38" s="56">
        <v>2.764E-4</v>
      </c>
      <c r="I38" s="56">
        <v>5.8730000000000002E-4</v>
      </c>
      <c r="K38" s="54" t="s">
        <v>8</v>
      </c>
      <c r="L38" s="54">
        <v>1.67</v>
      </c>
    </row>
    <row r="39" spans="1:31" hidden="1">
      <c r="A39" s="54" t="s">
        <v>140</v>
      </c>
      <c r="B39" s="54" t="s">
        <v>9</v>
      </c>
      <c r="C39" s="56">
        <v>2.872E-3</v>
      </c>
      <c r="D39" s="56">
        <v>7.6570000000000002E-4</v>
      </c>
      <c r="E39" s="56">
        <v>8.9340000000000003E-4</v>
      </c>
      <c r="F39" s="56">
        <v>8.9360000000000004E-4</v>
      </c>
      <c r="G39" s="56">
        <v>1.9819999999999998E-3</v>
      </c>
      <c r="H39" s="56">
        <v>8.9360000000000004E-4</v>
      </c>
      <c r="I39" s="56">
        <v>2.6809999999999998E-3</v>
      </c>
      <c r="K39" s="54" t="s">
        <v>9</v>
      </c>
      <c r="L39" s="54">
        <v>21.2</v>
      </c>
    </row>
    <row r="40" spans="1:31" hidden="1">
      <c r="A40" s="54" t="s">
        <v>140</v>
      </c>
      <c r="B40" s="54" t="s">
        <v>10</v>
      </c>
      <c r="C40" s="56">
        <v>1.4189999999999999E-3</v>
      </c>
      <c r="D40" s="56">
        <v>4.414E-4</v>
      </c>
      <c r="E40" s="56">
        <v>4.414E-4</v>
      </c>
      <c r="F40" s="56">
        <v>4.414E-4</v>
      </c>
      <c r="G40" s="56">
        <v>0</v>
      </c>
      <c r="H40" s="56">
        <v>0</v>
      </c>
      <c r="I40" s="56">
        <v>1.3240000000000001E-3</v>
      </c>
      <c r="K40" s="54" t="s">
        <v>10</v>
      </c>
      <c r="L40" s="54">
        <v>111.39</v>
      </c>
    </row>
    <row r="41" spans="1:31" hidden="1">
      <c r="A41" s="54" t="s">
        <v>140</v>
      </c>
      <c r="B41" s="54" t="s">
        <v>11</v>
      </c>
      <c r="C41" s="56">
        <v>1.2409999999999999E-3</v>
      </c>
      <c r="D41" s="56">
        <v>4.2440000000000002E-4</v>
      </c>
      <c r="E41" s="56">
        <v>4.2440000000000002E-4</v>
      </c>
      <c r="F41" s="56">
        <v>4.2440000000000002E-4</v>
      </c>
      <c r="G41" s="56">
        <v>0</v>
      </c>
      <c r="H41" s="56">
        <v>0</v>
      </c>
      <c r="I41" s="56">
        <v>1.273E-3</v>
      </c>
      <c r="K41" s="54" t="s">
        <v>11</v>
      </c>
      <c r="L41" s="54">
        <v>486.57</v>
      </c>
    </row>
    <row r="42" spans="1:31" hidden="1">
      <c r="A42" s="54" t="s">
        <v>140</v>
      </c>
      <c r="B42" s="54" t="s">
        <v>12</v>
      </c>
      <c r="C42" s="56">
        <v>3.2289999999999997E-5</v>
      </c>
      <c r="D42" s="56">
        <v>0</v>
      </c>
      <c r="E42" s="56">
        <v>1.005E-5</v>
      </c>
      <c r="F42" s="56">
        <v>1.005E-5</v>
      </c>
      <c r="G42" s="56">
        <v>0</v>
      </c>
      <c r="H42" s="56">
        <v>0</v>
      </c>
      <c r="I42" s="56">
        <v>3.0150000000000001E-5</v>
      </c>
      <c r="K42" s="54" t="s">
        <v>12</v>
      </c>
      <c r="L42" s="54">
        <v>1</v>
      </c>
    </row>
    <row r="43" spans="1:31" hidden="1">
      <c r="A43" s="54" t="s">
        <v>140</v>
      </c>
      <c r="B43" s="54" t="s">
        <v>13</v>
      </c>
      <c r="C43" s="56">
        <v>3.5370000000000002E-3</v>
      </c>
      <c r="D43" s="56">
        <v>1.111E-3</v>
      </c>
      <c r="E43" s="56">
        <v>1.111E-3</v>
      </c>
      <c r="F43" s="56">
        <v>1.111E-3</v>
      </c>
      <c r="G43" s="56">
        <v>2.4450000000000001E-3</v>
      </c>
      <c r="H43" s="56">
        <v>8.608E-4</v>
      </c>
      <c r="I43" s="56">
        <v>3.3319999999999999E-3</v>
      </c>
      <c r="K43" s="54" t="s">
        <v>13</v>
      </c>
      <c r="L43" s="54">
        <v>1.27</v>
      </c>
    </row>
    <row r="44" spans="1:31" hidden="1">
      <c r="C44" s="60"/>
      <c r="D44" s="60"/>
      <c r="E44" s="60"/>
      <c r="F44" s="60"/>
      <c r="G44" s="60"/>
      <c r="H44" s="60"/>
      <c r="I44" s="60"/>
    </row>
    <row r="45" spans="1:31" hidden="1">
      <c r="C45" s="59">
        <f t="shared" ref="C45:I46" si="3">C38/$E38</f>
        <v>4.1169036334913107</v>
      </c>
      <c r="D45" s="59">
        <f t="shared" si="3"/>
        <v>1.0325434439178514</v>
      </c>
      <c r="E45" s="59">
        <f t="shared" si="3"/>
        <v>1</v>
      </c>
      <c r="F45" s="59">
        <f t="shared" si="3"/>
        <v>1.242654028436019</v>
      </c>
      <c r="G45" s="59">
        <f t="shared" si="3"/>
        <v>2.1311216429699842</v>
      </c>
      <c r="H45" s="59">
        <f t="shared" si="3"/>
        <v>0.87330173775671405</v>
      </c>
      <c r="I45" s="59">
        <f t="shared" si="3"/>
        <v>1.8556082148499211</v>
      </c>
    </row>
    <row r="46" spans="1:31" hidden="1">
      <c r="C46" s="59">
        <f t="shared" si="3"/>
        <v>3.2146854712334898</v>
      </c>
      <c r="D46" s="59">
        <f t="shared" si="3"/>
        <v>0.85706290575330202</v>
      </c>
      <c r="E46" s="59">
        <f t="shared" si="3"/>
        <v>1</v>
      </c>
      <c r="F46" s="59">
        <f t="shared" si="3"/>
        <v>1.0002238638907543</v>
      </c>
      <c r="G46" s="59">
        <f t="shared" si="3"/>
        <v>2.2184911573763149</v>
      </c>
      <c r="H46" s="59">
        <f t="shared" si="3"/>
        <v>1.0002238638907543</v>
      </c>
      <c r="I46" s="59">
        <f t="shared" si="3"/>
        <v>3.0008954555630174</v>
      </c>
    </row>
    <row r="48" spans="1:31" ht="38.75">
      <c r="A48" s="55"/>
      <c r="B48" s="55" t="s">
        <v>0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6</v>
      </c>
      <c r="I48" s="61" t="s">
        <v>7</v>
      </c>
      <c r="J48" s="55"/>
      <c r="K48" s="54" t="s">
        <v>135</v>
      </c>
      <c r="L48" s="54">
        <v>2022</v>
      </c>
      <c r="N48" s="54" t="s">
        <v>0</v>
      </c>
      <c r="O48" s="54" t="s">
        <v>1</v>
      </c>
      <c r="P48" s="54" t="s">
        <v>2</v>
      </c>
      <c r="Q48" s="54" t="s">
        <v>3</v>
      </c>
      <c r="R48" s="54" t="s">
        <v>4</v>
      </c>
      <c r="S48" s="54" t="s">
        <v>5</v>
      </c>
      <c r="T48" s="54" t="s">
        <v>6</v>
      </c>
      <c r="U48" s="54" t="s">
        <v>7</v>
      </c>
      <c r="X48" s="54" t="s">
        <v>0</v>
      </c>
      <c r="Y48" s="54" t="s">
        <v>1</v>
      </c>
      <c r="Z48" s="54" t="s">
        <v>2</v>
      </c>
      <c r="AA48" s="54" t="s">
        <v>3</v>
      </c>
      <c r="AB48" s="54" t="s">
        <v>4</v>
      </c>
      <c r="AC48" s="54" t="s">
        <v>5</v>
      </c>
      <c r="AD48" s="54" t="s">
        <v>6</v>
      </c>
      <c r="AE48" s="54" t="s">
        <v>7</v>
      </c>
    </row>
    <row r="49" spans="1:40">
      <c r="A49" s="54" t="s">
        <v>141</v>
      </c>
      <c r="B49" s="54" t="s">
        <v>8</v>
      </c>
      <c r="C49" s="56">
        <v>1.1625625208813242E-3</v>
      </c>
      <c r="D49" s="56">
        <v>1.56588362987776E-4</v>
      </c>
      <c r="E49" s="56">
        <v>3.1304695821218238E-4</v>
      </c>
      <c r="F49" s="56">
        <v>2.9354112202213857E-4</v>
      </c>
      <c r="G49" s="56">
        <v>2.4975642440517101E-4</v>
      </c>
      <c r="H49" s="56">
        <v>7.6336826956540702E-5</v>
      </c>
      <c r="I49" s="56">
        <v>1.6590035314152299E-4</v>
      </c>
      <c r="K49" s="54" t="s">
        <v>8</v>
      </c>
      <c r="L49" s="54">
        <v>1.6</v>
      </c>
      <c r="N49" s="54" t="s">
        <v>8</v>
      </c>
      <c r="X49" s="54" t="s">
        <v>8</v>
      </c>
      <c r="Y49" s="56">
        <f>IFERROR(C49/O49,C49)</f>
        <v>1.1625625208813242E-3</v>
      </c>
      <c r="Z49" s="56">
        <f t="shared" ref="Z49:AE54" si="4">IFERROR(D49/P49,D49)</f>
        <v>1.56588362987776E-4</v>
      </c>
      <c r="AA49" s="56">
        <f t="shared" si="4"/>
        <v>3.1304695821218238E-4</v>
      </c>
      <c r="AB49" s="56">
        <f t="shared" si="4"/>
        <v>2.9354112202213857E-4</v>
      </c>
      <c r="AC49" s="56">
        <f t="shared" si="4"/>
        <v>2.4975642440517101E-4</v>
      </c>
      <c r="AD49" s="56">
        <f t="shared" si="4"/>
        <v>7.6336826956540702E-5</v>
      </c>
      <c r="AE49" s="56">
        <f t="shared" si="4"/>
        <v>1.6590035314152299E-4</v>
      </c>
      <c r="AG49" s="62">
        <f>IFERROR('[11]SYFAFE-frgt'!B2/Y49,"")</f>
        <v>1</v>
      </c>
      <c r="AH49" s="62">
        <f>IFERROR('[11]SYFAFE-frgt'!C2/Z49,"")</f>
        <v>1</v>
      </c>
      <c r="AI49" s="62">
        <f>IFERROR('[11]SYFAFE-frgt'!D2/AA49,"")</f>
        <v>1</v>
      </c>
      <c r="AJ49" s="62">
        <f>IFERROR('[11]SYFAFE-frgt'!E2/AB49,"")</f>
        <v>1</v>
      </c>
      <c r="AK49" s="62">
        <f>IFERROR('[11]SYFAFE-frgt'!F2/AC49,"")</f>
        <v>1</v>
      </c>
      <c r="AL49" s="62">
        <f>IFERROR('[11]SYFAFE-frgt'!G2/AD49,"")</f>
        <v>1</v>
      </c>
      <c r="AM49" s="62">
        <f>IFERROR('[11]SYFAFE-frgt'!H2/AE49,"")</f>
        <v>1</v>
      </c>
    </row>
    <row r="50" spans="1:40">
      <c r="A50" s="54" t="s">
        <v>141</v>
      </c>
      <c r="B50" s="54" t="s">
        <v>9</v>
      </c>
      <c r="C50" s="56">
        <v>1.3914248587496511E-3</v>
      </c>
      <c r="D50" s="56">
        <v>4.0019875135147051E-4</v>
      </c>
      <c r="E50" s="56">
        <v>6.0942278215302896E-4</v>
      </c>
      <c r="F50" s="56">
        <v>5.8448732639934686E-4</v>
      </c>
      <c r="G50" s="56">
        <v>8.6036157480427603E-4</v>
      </c>
      <c r="H50" s="56">
        <v>4.9586314946128995E-4</v>
      </c>
      <c r="I50" s="56">
        <v>3.9401333871111701E-4</v>
      </c>
      <c r="K50" s="54" t="s">
        <v>9</v>
      </c>
      <c r="L50" s="54">
        <v>10.17</v>
      </c>
      <c r="N50" s="54" t="s">
        <v>9</v>
      </c>
      <c r="X50" s="54" t="s">
        <v>9</v>
      </c>
      <c r="Y50" s="56">
        <f t="shared" ref="Y50:Y54" si="5">IFERROR(C50/O50,C50)</f>
        <v>1.3914248587496511E-3</v>
      </c>
      <c r="Z50" s="56">
        <f t="shared" si="4"/>
        <v>4.0019875135147051E-4</v>
      </c>
      <c r="AA50" s="56">
        <f t="shared" si="4"/>
        <v>6.0942278215302896E-4</v>
      </c>
      <c r="AB50" s="56">
        <f t="shared" si="4"/>
        <v>5.8448732639934686E-4</v>
      </c>
      <c r="AC50" s="56">
        <f t="shared" si="4"/>
        <v>8.6036157480427603E-4</v>
      </c>
      <c r="AD50" s="56">
        <f t="shared" si="4"/>
        <v>4.9586314946128995E-4</v>
      </c>
      <c r="AE50" s="56">
        <f t="shared" si="4"/>
        <v>3.9401333871111701E-4</v>
      </c>
      <c r="AG50" s="62">
        <f>IFERROR('[11]SYFAFE-frgt'!B3/Y50,"")</f>
        <v>1</v>
      </c>
      <c r="AH50" s="62">
        <f>IFERROR('[11]SYFAFE-frgt'!C3/Z50,"")</f>
        <v>1</v>
      </c>
      <c r="AI50" s="62">
        <f>IFERROR('[11]SYFAFE-frgt'!D3/AA50,"")</f>
        <v>1</v>
      </c>
      <c r="AJ50" s="62">
        <f>IFERROR('[11]SYFAFE-frgt'!E3/AB50,"")</f>
        <v>1</v>
      </c>
      <c r="AK50" s="62">
        <f>IFERROR('[11]SYFAFE-frgt'!F3/AC50,"")</f>
        <v>1</v>
      </c>
      <c r="AL50" s="62">
        <f>IFERROR('[11]SYFAFE-frgt'!G3/AD50,"")</f>
        <v>1</v>
      </c>
      <c r="AM50" s="62">
        <f>IFERROR('[11]SYFAFE-frgt'!H3/AE50,"")</f>
        <v>1</v>
      </c>
    </row>
    <row r="51" spans="1:40">
      <c r="A51" s="54" t="s">
        <v>141</v>
      </c>
      <c r="B51" s="54" t="s">
        <v>10</v>
      </c>
      <c r="C51" s="56">
        <f>F51*(1-'[10]Calculations Etc'!$B$13)</f>
        <v>1.6622709179351414E-5</v>
      </c>
      <c r="D51" s="56">
        <f>E51</f>
        <v>5.3416654402987621E-5</v>
      </c>
      <c r="E51" s="56">
        <f>F51</f>
        <v>5.3416654402987621E-5</v>
      </c>
      <c r="F51" s="56">
        <f>'[10]Aircraft Fuel Economy'!K34</f>
        <v>5.3416654402987621E-5</v>
      </c>
      <c r="G51" s="56">
        <v>0</v>
      </c>
      <c r="H51" s="56">
        <v>0</v>
      </c>
      <c r="I51" s="56">
        <f>F51/'[10]Calculations Etc'!$B$39</f>
        <v>1.7805551467662544E-5</v>
      </c>
      <c r="K51" s="54" t="s">
        <v>10</v>
      </c>
      <c r="L51" s="54">
        <v>27.42</v>
      </c>
      <c r="N51" s="54" t="s">
        <v>10</v>
      </c>
      <c r="X51" s="54" t="s">
        <v>10</v>
      </c>
      <c r="Y51" s="56">
        <f t="shared" si="5"/>
        <v>1.6622709179351414E-5</v>
      </c>
      <c r="Z51" s="56">
        <f t="shared" si="4"/>
        <v>5.3416654402987621E-5</v>
      </c>
      <c r="AA51" s="56">
        <f t="shared" si="4"/>
        <v>5.3416654402987621E-5</v>
      </c>
      <c r="AB51" s="56">
        <f>IFERROR(F51/R51,F51)</f>
        <v>5.3416654402987621E-5</v>
      </c>
      <c r="AC51" s="56">
        <f t="shared" si="4"/>
        <v>0</v>
      </c>
      <c r="AD51" s="56">
        <f t="shared" si="4"/>
        <v>0</v>
      </c>
      <c r="AE51" s="56">
        <f t="shared" si="4"/>
        <v>1.7805551467662544E-5</v>
      </c>
      <c r="AG51" s="62">
        <f>IFERROR('[11]SYFAFE-frgt'!B4/Y51,"")</f>
        <v>1</v>
      </c>
      <c r="AH51" s="62">
        <f>IFERROR('[11]SYFAFE-frgt'!C4/Z51,"")</f>
        <v>1</v>
      </c>
      <c r="AI51" s="62">
        <f>IFERROR('[11]SYFAFE-frgt'!D4/AA51,"")</f>
        <v>1</v>
      </c>
      <c r="AJ51" s="62">
        <f>IFERROR('[11]SYFAFE-frgt'!E4/AB51,"")</f>
        <v>1</v>
      </c>
      <c r="AK51" s="62" t="str">
        <f>IFERROR('[11]SYFAFE-frgt'!F4/AC51,"")</f>
        <v/>
      </c>
      <c r="AL51" s="62" t="str">
        <f>IFERROR('[11]SYFAFE-frgt'!G4/AD51,"")</f>
        <v/>
      </c>
      <c r="AM51" s="62">
        <f>IFERROR('[11]SYFAFE-frgt'!H4/AE51,"")</f>
        <v>0.99999999999999978</v>
      </c>
    </row>
    <row r="52" spans="1:40">
      <c r="A52" s="54" t="s">
        <v>141</v>
      </c>
      <c r="B52" s="54" t="s">
        <v>11</v>
      </c>
      <c r="C52" s="56">
        <f>[10]Rail!G87</f>
        <v>9.4522130090967955E-3</v>
      </c>
      <c r="D52" s="56">
        <f>F52</f>
        <v>6.3281765060902275E-3</v>
      </c>
      <c r="E52" s="56">
        <f>F52</f>
        <v>6.3281765060902275E-3</v>
      </c>
      <c r="F52" s="56">
        <f>[10]Rail!E87</f>
        <v>6.3281765060902275E-3</v>
      </c>
      <c r="G52" s="56">
        <v>0</v>
      </c>
      <c r="H52" s="56">
        <v>0</v>
      </c>
      <c r="I52" s="56">
        <f>F52/'[10]Calculations Etc'!$B$39</f>
        <v>2.1093921686967426E-3</v>
      </c>
      <c r="K52" s="54" t="s">
        <v>11</v>
      </c>
      <c r="L52" s="54">
        <v>4000</v>
      </c>
      <c r="N52" s="54" t="s">
        <v>11</v>
      </c>
      <c r="X52" s="54" t="s">
        <v>11</v>
      </c>
      <c r="Y52" s="56">
        <f t="shared" si="5"/>
        <v>9.4522130090967955E-3</v>
      </c>
      <c r="Z52" s="56">
        <f t="shared" si="4"/>
        <v>6.3281765060902275E-3</v>
      </c>
      <c r="AA52" s="56">
        <f t="shared" si="4"/>
        <v>6.3281765060902275E-3</v>
      </c>
      <c r="AB52" s="56">
        <f t="shared" si="4"/>
        <v>6.3281765060902275E-3</v>
      </c>
      <c r="AC52" s="56">
        <f t="shared" si="4"/>
        <v>0</v>
      </c>
      <c r="AD52" s="56">
        <f t="shared" si="4"/>
        <v>0</v>
      </c>
      <c r="AE52" s="56">
        <f t="shared" si="4"/>
        <v>2.1093921686967426E-3</v>
      </c>
      <c r="AG52" s="62">
        <f>IFERROR('[11]SYFAFE-frgt'!B5/Y52,"")</f>
        <v>1</v>
      </c>
      <c r="AH52" s="62">
        <f>IFERROR('[11]SYFAFE-frgt'!C5/Z52,"")</f>
        <v>1</v>
      </c>
      <c r="AI52" s="62">
        <f>IFERROR('[11]SYFAFE-frgt'!D5/AA52,"")</f>
        <v>1</v>
      </c>
      <c r="AJ52" s="62">
        <f>IFERROR('[11]SYFAFE-frgt'!E5/AB52,"")</f>
        <v>1</v>
      </c>
      <c r="AK52" s="62" t="str">
        <f>IFERROR('[11]SYFAFE-frgt'!F5/AC52,"")</f>
        <v/>
      </c>
      <c r="AL52" s="62" t="str">
        <f>IFERROR('[11]SYFAFE-frgt'!G5/AD52,"")</f>
        <v/>
      </c>
      <c r="AM52" s="62">
        <f>IFERROR('[11]SYFAFE-frgt'!H5/AE52,"")</f>
        <v>1</v>
      </c>
    </row>
    <row r="53" spans="1:40">
      <c r="A53" s="54" t="s">
        <v>141</v>
      </c>
      <c r="B53" s="54" t="s">
        <v>12</v>
      </c>
      <c r="C53" s="56">
        <v>1.5489674012112001E-2</v>
      </c>
      <c r="D53" s="56">
        <v>4.8202260000000004E-3</v>
      </c>
      <c r="E53" s="56">
        <v>4.8202260000000004E-3</v>
      </c>
      <c r="F53" s="56">
        <v>4.8202260000000004E-3</v>
      </c>
      <c r="G53" s="56">
        <v>0</v>
      </c>
      <c r="H53" s="56">
        <v>0</v>
      </c>
      <c r="I53" s="56">
        <v>1.4460677999999999E-2</v>
      </c>
      <c r="K53" s="54" t="s">
        <v>12</v>
      </c>
      <c r="L53" s="54">
        <v>2258</v>
      </c>
      <c r="N53" s="54" t="s">
        <v>12</v>
      </c>
      <c r="X53" s="54" t="s">
        <v>12</v>
      </c>
      <c r="Y53" s="56">
        <f t="shared" si="5"/>
        <v>1.5489674012112001E-2</v>
      </c>
      <c r="Z53" s="56">
        <f t="shared" si="4"/>
        <v>4.8202260000000004E-3</v>
      </c>
      <c r="AA53" s="56">
        <f t="shared" si="4"/>
        <v>4.8202260000000004E-3</v>
      </c>
      <c r="AB53" s="56">
        <f t="shared" si="4"/>
        <v>4.8202260000000004E-3</v>
      </c>
      <c r="AC53" s="56">
        <f t="shared" si="4"/>
        <v>0</v>
      </c>
      <c r="AD53" s="56">
        <f t="shared" si="4"/>
        <v>0</v>
      </c>
      <c r="AE53" s="56">
        <f t="shared" si="4"/>
        <v>1.4460677999999999E-2</v>
      </c>
      <c r="AG53" s="62">
        <f>IFERROR('[11]SYFAFE-frgt'!B6/Y53,"")</f>
        <v>1</v>
      </c>
      <c r="AH53" s="62">
        <f>IFERROR('[11]SYFAFE-frgt'!C6/Z53,"")</f>
        <v>1</v>
      </c>
      <c r="AI53" s="62">
        <f>IFERROR('[11]SYFAFE-frgt'!D6/AA53,"")</f>
        <v>1</v>
      </c>
      <c r="AJ53" s="62">
        <f>IFERROR('[11]SYFAFE-frgt'!E6/AB53,"")</f>
        <v>1</v>
      </c>
      <c r="AK53" s="62" t="str">
        <f>IFERROR('[11]SYFAFE-frgt'!F6/AC53,"")</f>
        <v/>
      </c>
      <c r="AL53" s="62" t="str">
        <f>IFERROR('[11]SYFAFE-frgt'!G6/AD53,"")</f>
        <v/>
      </c>
      <c r="AM53" s="62">
        <f>IFERROR('[11]SYFAFE-frgt'!H6/AE53,"")</f>
        <v>1</v>
      </c>
    </row>
    <row r="54" spans="1:40">
      <c r="A54" s="54" t="s">
        <v>141</v>
      </c>
      <c r="B54" s="54" t="s">
        <v>13</v>
      </c>
      <c r="C54" s="56">
        <v>0</v>
      </c>
      <c r="D54" s="56">
        <v>0</v>
      </c>
      <c r="E54" s="56">
        <v>0</v>
      </c>
      <c r="F54" s="56">
        <v>0</v>
      </c>
      <c r="G54" s="56">
        <v>0</v>
      </c>
      <c r="H54" s="56">
        <v>0</v>
      </c>
      <c r="I54" s="56">
        <v>0</v>
      </c>
      <c r="K54" s="54" t="s">
        <v>13</v>
      </c>
      <c r="L54" s="54">
        <v>0.15</v>
      </c>
      <c r="N54" s="54" t="s">
        <v>13</v>
      </c>
      <c r="X54" s="54" t="s">
        <v>13</v>
      </c>
      <c r="Y54" s="56">
        <f t="shared" si="5"/>
        <v>0</v>
      </c>
      <c r="Z54" s="56">
        <f t="shared" si="4"/>
        <v>0</v>
      </c>
      <c r="AA54" s="56">
        <f t="shared" si="4"/>
        <v>0</v>
      </c>
      <c r="AB54" s="56">
        <f t="shared" si="4"/>
        <v>0</v>
      </c>
      <c r="AC54" s="56">
        <f t="shared" si="4"/>
        <v>0</v>
      </c>
      <c r="AD54" s="56">
        <f t="shared" si="4"/>
        <v>0</v>
      </c>
      <c r="AE54" s="56">
        <f t="shared" si="4"/>
        <v>0</v>
      </c>
      <c r="AG54" s="62" t="str">
        <f>IFERROR('[11]SYFAFE-frgt'!B7/Y54,"")</f>
        <v/>
      </c>
      <c r="AH54" s="62" t="str">
        <f>IFERROR('[11]SYFAFE-frgt'!C7/Z54,"")</f>
        <v/>
      </c>
      <c r="AI54" s="62" t="str">
        <f>IFERROR('[11]SYFAFE-frgt'!D7/AA54,"")</f>
        <v/>
      </c>
      <c r="AJ54" s="62" t="str">
        <f>IFERROR('[11]SYFAFE-frgt'!E7/AB54,"")</f>
        <v/>
      </c>
      <c r="AK54" s="62" t="str">
        <f>IFERROR('[11]SYFAFE-frgt'!F7/AC54,"")</f>
        <v/>
      </c>
      <c r="AL54" s="62" t="str">
        <f>IFERROR('[11]SYFAFE-frgt'!G7/AD54,"")</f>
        <v/>
      </c>
      <c r="AM54" s="62" t="str">
        <f>IFERROR('[11]SYFAFE-frgt'!H7/AE54,"")</f>
        <v/>
      </c>
    </row>
    <row r="55" spans="1:40">
      <c r="C55" s="60"/>
      <c r="D55" s="60"/>
      <c r="E55" s="60"/>
      <c r="F55" s="60"/>
      <c r="G55" s="60"/>
      <c r="H55" s="60"/>
      <c r="I55" s="60"/>
      <c r="O55" s="63">
        <f t="shared" ref="O55:U58" si="6">C49/IF(LEN(O49)&gt;0,O49,1)/($E49/IF(LEN($Q49)&gt;0,$Q49,1))</f>
        <v>3.7137001027601184</v>
      </c>
      <c r="P55" s="63">
        <f t="shared" si="6"/>
        <v>0.50020726565131113</v>
      </c>
      <c r="Q55" s="63">
        <f t="shared" si="6"/>
        <v>1</v>
      </c>
      <c r="R55" s="63">
        <f t="shared" si="6"/>
        <v>0.93769038261402682</v>
      </c>
      <c r="S55" s="63">
        <f t="shared" si="6"/>
        <v>0.79782415338432</v>
      </c>
      <c r="T55" s="63">
        <f t="shared" si="6"/>
        <v>0.24385104200501384</v>
      </c>
      <c r="U55" s="63">
        <f t="shared" si="6"/>
        <v>0.52995357018954381</v>
      </c>
      <c r="Y55" s="56"/>
      <c r="Z55" s="56"/>
      <c r="AA55" s="56"/>
      <c r="AB55" s="56"/>
      <c r="AC55" s="56"/>
      <c r="AD55" s="56"/>
      <c r="AE55" s="56"/>
      <c r="AG55" s="62"/>
      <c r="AH55" s="62"/>
      <c r="AI55" s="62"/>
      <c r="AJ55" s="62"/>
      <c r="AK55" s="62"/>
      <c r="AL55" s="62"/>
      <c r="AM55" s="62"/>
    </row>
    <row r="56" spans="1:40">
      <c r="C56" s="59">
        <f t="shared" ref="C56:I57" si="7">C49/$E49</f>
        <v>3.7137001027601184</v>
      </c>
      <c r="D56" s="59">
        <f t="shared" si="7"/>
        <v>0.50020726565131113</v>
      </c>
      <c r="E56" s="59">
        <f t="shared" si="7"/>
        <v>1</v>
      </c>
      <c r="F56" s="59">
        <f t="shared" si="7"/>
        <v>0.93769038261402682</v>
      </c>
      <c r="G56" s="59">
        <f t="shared" si="7"/>
        <v>0.79782415338432</v>
      </c>
      <c r="H56" s="59">
        <f t="shared" si="7"/>
        <v>0.24385104200501384</v>
      </c>
      <c r="I56" s="59">
        <f t="shared" si="7"/>
        <v>0.52995357018954381</v>
      </c>
      <c r="O56" s="63">
        <f t="shared" si="6"/>
        <v>2.2831848422763059</v>
      </c>
      <c r="P56" s="63">
        <f t="shared" si="6"/>
        <v>0.6566849206680605</v>
      </c>
      <c r="Q56" s="63">
        <f t="shared" si="6"/>
        <v>1</v>
      </c>
      <c r="R56" s="63">
        <f t="shared" si="6"/>
        <v>0.95908348607252969</v>
      </c>
      <c r="S56" s="63">
        <f t="shared" si="6"/>
        <v>1.4117647058823528</v>
      </c>
      <c r="T56" s="63">
        <f t="shared" si="6"/>
        <v>0.81366034218388694</v>
      </c>
      <c r="U56" s="63">
        <f t="shared" si="6"/>
        <v>0.6465352957746473</v>
      </c>
      <c r="Y56" s="56"/>
      <c r="Z56" s="56"/>
      <c r="AA56" s="56"/>
      <c r="AB56" s="56"/>
      <c r="AC56" s="56"/>
      <c r="AD56" s="56"/>
      <c r="AE56" s="56"/>
      <c r="AG56" s="62"/>
      <c r="AH56" s="62"/>
      <c r="AI56" s="62"/>
      <c r="AJ56" s="62"/>
      <c r="AK56" s="62"/>
      <c r="AL56" s="62"/>
      <c r="AM56" s="62"/>
    </row>
    <row r="57" spans="1:40">
      <c r="C57" s="59">
        <f t="shared" si="7"/>
        <v>2.2831848422763059</v>
      </c>
      <c r="D57" s="59">
        <f t="shared" si="7"/>
        <v>0.6566849206680605</v>
      </c>
      <c r="E57" s="59">
        <f t="shared" si="7"/>
        <v>1</v>
      </c>
      <c r="F57" s="59">
        <f t="shared" si="7"/>
        <v>0.95908348607252969</v>
      </c>
      <c r="G57" s="59">
        <f t="shared" si="7"/>
        <v>1.4117647058823528</v>
      </c>
      <c r="H57" s="59">
        <f t="shared" si="7"/>
        <v>0.81366034218388694</v>
      </c>
      <c r="I57" s="59">
        <f t="shared" si="7"/>
        <v>0.6465352957746473</v>
      </c>
      <c r="O57" s="63">
        <f t="shared" si="6"/>
        <v>0.31118963486454698</v>
      </c>
      <c r="P57" s="63">
        <f t="shared" si="6"/>
        <v>1</v>
      </c>
      <c r="Q57" s="63">
        <f t="shared" si="6"/>
        <v>1</v>
      </c>
      <c r="R57" s="63">
        <f t="shared" si="6"/>
        <v>1</v>
      </c>
      <c r="S57" s="63">
        <f t="shared" si="6"/>
        <v>0</v>
      </c>
      <c r="T57" s="63">
        <f t="shared" si="6"/>
        <v>0</v>
      </c>
      <c r="U57" s="63">
        <f t="shared" si="6"/>
        <v>0.33333333333333337</v>
      </c>
      <c r="Y57" s="56"/>
      <c r="Z57" s="56"/>
      <c r="AA57" s="56"/>
      <c r="AB57" s="56"/>
      <c r="AC57" s="56"/>
      <c r="AD57" s="56"/>
      <c r="AE57" s="56"/>
      <c r="AG57" s="62"/>
      <c r="AH57" s="62"/>
      <c r="AI57" s="62"/>
      <c r="AJ57" s="62"/>
      <c r="AK57" s="62"/>
      <c r="AL57" s="62"/>
      <c r="AM57" s="62"/>
    </row>
    <row r="58" spans="1:40">
      <c r="O58" s="63">
        <f t="shared" si="6"/>
        <v>1.4936708860759493</v>
      </c>
      <c r="P58" s="63">
        <f t="shared" si="6"/>
        <v>1</v>
      </c>
      <c r="Q58" s="63">
        <f t="shared" si="6"/>
        <v>1</v>
      </c>
      <c r="R58" s="63">
        <f t="shared" si="6"/>
        <v>1</v>
      </c>
      <c r="S58" s="63">
        <f t="shared" si="6"/>
        <v>0</v>
      </c>
      <c r="T58" s="63">
        <f t="shared" si="6"/>
        <v>0</v>
      </c>
      <c r="U58" s="63">
        <f t="shared" si="6"/>
        <v>0.33333333333333337</v>
      </c>
      <c r="Y58" s="56"/>
      <c r="Z58" s="56"/>
      <c r="AA58" s="56"/>
      <c r="AB58" s="56"/>
      <c r="AC58" s="56"/>
      <c r="AD58" s="56"/>
      <c r="AE58" s="56"/>
      <c r="AG58" s="62"/>
      <c r="AH58" s="62"/>
      <c r="AI58" s="62"/>
      <c r="AJ58" s="62"/>
      <c r="AK58" s="62"/>
      <c r="AL58" s="62"/>
      <c r="AM58" s="62"/>
    </row>
    <row r="59" spans="1:40" ht="38.75">
      <c r="A59" s="55"/>
      <c r="B59" s="55" t="s">
        <v>14</v>
      </c>
      <c r="C59" s="61" t="s">
        <v>1</v>
      </c>
      <c r="D59" s="61" t="s">
        <v>2</v>
      </c>
      <c r="E59" s="61" t="s">
        <v>3</v>
      </c>
      <c r="F59" s="61" t="s">
        <v>4</v>
      </c>
      <c r="G59" s="61" t="s">
        <v>5</v>
      </c>
      <c r="H59" s="61" t="s">
        <v>6</v>
      </c>
      <c r="I59" s="61" t="s">
        <v>7</v>
      </c>
      <c r="J59" s="55"/>
      <c r="K59" s="54" t="s">
        <v>137</v>
      </c>
      <c r="L59" s="54">
        <v>2022</v>
      </c>
      <c r="N59" s="54" t="s">
        <v>0</v>
      </c>
      <c r="O59" s="54" t="s">
        <v>1</v>
      </c>
      <c r="P59" s="54" t="s">
        <v>2</v>
      </c>
      <c r="Q59" s="54" t="s">
        <v>3</v>
      </c>
      <c r="R59" s="54" t="s">
        <v>4</v>
      </c>
      <c r="S59" s="54" t="s">
        <v>5</v>
      </c>
      <c r="T59" s="54" t="s">
        <v>6</v>
      </c>
      <c r="U59" s="54" t="s">
        <v>7</v>
      </c>
      <c r="X59" s="54" t="s">
        <v>0</v>
      </c>
      <c r="Y59" s="56" t="s">
        <v>1</v>
      </c>
      <c r="Z59" s="56" t="s">
        <v>2</v>
      </c>
      <c r="AA59" s="56" t="s">
        <v>3</v>
      </c>
      <c r="AB59" s="56" t="s">
        <v>4</v>
      </c>
      <c r="AC59" s="56" t="s">
        <v>5</v>
      </c>
      <c r="AD59" s="56" t="s">
        <v>6</v>
      </c>
      <c r="AE59" s="56" t="s">
        <v>7</v>
      </c>
      <c r="AG59" s="62"/>
      <c r="AH59" s="62"/>
      <c r="AI59" s="62"/>
      <c r="AJ59" s="62"/>
      <c r="AK59" s="62"/>
      <c r="AL59" s="62"/>
      <c r="AM59" s="62"/>
    </row>
    <row r="60" spans="1:40">
      <c r="A60" s="54" t="s">
        <v>142</v>
      </c>
      <c r="B60" s="54" t="s">
        <v>8</v>
      </c>
      <c r="C60" s="56">
        <v>1.5165687188417314E-3</v>
      </c>
      <c r="D60" s="56">
        <v>3.6507016328013448E-4</v>
      </c>
      <c r="E60" s="56">
        <v>3.2781855920586701E-4</v>
      </c>
      <c r="F60" s="56">
        <v>3.8278362628180841E-4</v>
      </c>
      <c r="G60" s="56">
        <v>5.3934469235771899E-4</v>
      </c>
      <c r="H60" s="56">
        <v>3.3995333604646099E-4</v>
      </c>
      <c r="I60" s="56">
        <v>5.7719497863821599E-4</v>
      </c>
      <c r="K60" s="54" t="s">
        <v>8</v>
      </c>
      <c r="L60" s="54">
        <v>1.25</v>
      </c>
      <c r="N60" s="54" t="s">
        <v>8</v>
      </c>
      <c r="X60" s="54" t="s">
        <v>8</v>
      </c>
      <c r="Y60" s="56">
        <f>IFERROR(C60/O60,C60)</f>
        <v>1.5165687188417314E-3</v>
      </c>
      <c r="Z60" s="56">
        <f t="shared" ref="Z60:AE65" si="8">IFERROR(D60/P60,D60)</f>
        <v>3.6507016328013448E-4</v>
      </c>
      <c r="AA60" s="56">
        <f t="shared" si="8"/>
        <v>3.2781855920586701E-4</v>
      </c>
      <c r="AB60" s="56">
        <f t="shared" si="8"/>
        <v>3.8278362628180841E-4</v>
      </c>
      <c r="AC60" s="56">
        <f t="shared" si="8"/>
        <v>5.3934469235771899E-4</v>
      </c>
      <c r="AD60" s="56">
        <f t="shared" si="8"/>
        <v>3.3995333604646099E-4</v>
      </c>
      <c r="AE60" s="56">
        <f t="shared" si="8"/>
        <v>5.7719497863821599E-4</v>
      </c>
      <c r="AG60" s="62">
        <f>IFERROR('[11]SYFAFE-psgr'!B2/'Model Comparison'!Y60,"")</f>
        <v>1</v>
      </c>
      <c r="AH60" s="62">
        <f>IFERROR('[11]SYFAFE-psgr'!C2/'Model Comparison'!Z60,"")</f>
        <v>1</v>
      </c>
      <c r="AI60" s="62">
        <f>IFERROR('[11]SYFAFE-psgr'!D2/'Model Comparison'!AA60,"")</f>
        <v>1</v>
      </c>
      <c r="AJ60" s="62">
        <f>IFERROR('[11]SYFAFE-psgr'!E2/'Model Comparison'!AB60,"")</f>
        <v>1</v>
      </c>
      <c r="AK60" s="62">
        <f>IFERROR('[11]SYFAFE-psgr'!F2/'Model Comparison'!AC60,"")</f>
        <v>1</v>
      </c>
      <c r="AL60" s="62">
        <f>IFERROR('[11]SYFAFE-psgr'!G2/'Model Comparison'!AD60,"")</f>
        <v>1</v>
      </c>
      <c r="AM60" s="62">
        <f>IFERROR('[11]SYFAFE-psgr'!H2/'Model Comparison'!AE60,"")</f>
        <v>1</v>
      </c>
      <c r="AN60" s="56"/>
    </row>
    <row r="61" spans="1:40">
      <c r="A61" s="54" t="s">
        <v>142</v>
      </c>
      <c r="B61" s="54" t="s">
        <v>9</v>
      </c>
      <c r="C61" s="56">
        <v>7.173489793344247E-3</v>
      </c>
      <c r="D61" s="56">
        <v>2.9082523664390905E-3</v>
      </c>
      <c r="E61" s="56">
        <v>2.2604988360247118E-3</v>
      </c>
      <c r="F61" s="56">
        <v>2.6396018038248072E-3</v>
      </c>
      <c r="G61" s="56">
        <v>1.9852017948389401E-3</v>
      </c>
      <c r="H61" s="56">
        <v>8.9891436780844701E-4</v>
      </c>
      <c r="I61" s="56">
        <v>1.4651861068476599E-3</v>
      </c>
      <c r="K61" s="54" t="s">
        <v>9</v>
      </c>
      <c r="L61" s="54">
        <v>24.19</v>
      </c>
      <c r="N61" s="54" t="s">
        <v>9</v>
      </c>
      <c r="X61" s="54" t="s">
        <v>9</v>
      </c>
      <c r="Y61" s="56">
        <f t="shared" ref="Y61:Y65" si="9">IFERROR(C61/O61,C61)</f>
        <v>7.173489793344247E-3</v>
      </c>
      <c r="Z61" s="56">
        <f t="shared" si="8"/>
        <v>2.9082523664390905E-3</v>
      </c>
      <c r="AA61" s="56">
        <f t="shared" si="8"/>
        <v>2.2604988360247118E-3</v>
      </c>
      <c r="AB61" s="56">
        <f t="shared" si="8"/>
        <v>2.6396018038248072E-3</v>
      </c>
      <c r="AC61" s="56">
        <f t="shared" si="8"/>
        <v>1.9852017948389401E-3</v>
      </c>
      <c r="AD61" s="56">
        <f t="shared" si="8"/>
        <v>8.9891436780844701E-4</v>
      </c>
      <c r="AE61" s="56">
        <f t="shared" si="8"/>
        <v>1.4651861068476599E-3</v>
      </c>
      <c r="AG61" s="62">
        <f>IFERROR('[11]SYFAFE-psgr'!B3/'Model Comparison'!Y61,"")</f>
        <v>1</v>
      </c>
      <c r="AH61" s="62">
        <f>IFERROR('[11]SYFAFE-psgr'!C3/'Model Comparison'!Z61,"")</f>
        <v>1</v>
      </c>
      <c r="AI61" s="62">
        <f>IFERROR('[11]SYFAFE-psgr'!D3/'Model Comparison'!AA61,"")</f>
        <v>1</v>
      </c>
      <c r="AJ61" s="62">
        <f>IFERROR('[11]SYFAFE-psgr'!E3/'Model Comparison'!AB61,"")</f>
        <v>1</v>
      </c>
      <c r="AK61" s="62">
        <f>IFERROR('[11]SYFAFE-psgr'!F3/'Model Comparison'!AC61,"")</f>
        <v>1</v>
      </c>
      <c r="AL61" s="62">
        <f>IFERROR('[11]SYFAFE-psgr'!G3/'Model Comparison'!AD61,"")</f>
        <v>1</v>
      </c>
      <c r="AM61" s="62">
        <f>IFERROR('[11]SYFAFE-psgr'!H3/'Model Comparison'!AE61,"")</f>
        <v>1</v>
      </c>
    </row>
    <row r="62" spans="1:40">
      <c r="A62" s="54" t="s">
        <v>142</v>
      </c>
      <c r="B62" s="54" t="s">
        <v>10</v>
      </c>
      <c r="C62" s="56">
        <f>F62/(1-'[10]Calculations Etc'!B13)</f>
        <v>1.5604824027299026E-3</v>
      </c>
      <c r="D62" s="56">
        <f>E62</f>
        <v>4.856059491180693E-4</v>
      </c>
      <c r="E62" s="56">
        <f>F62</f>
        <v>4.856059491180693E-4</v>
      </c>
      <c r="F62" s="56">
        <f>'[10]Aircraft Fuel Economy'!K35</f>
        <v>4.856059491180693E-4</v>
      </c>
      <c r="G62" s="56">
        <v>0</v>
      </c>
      <c r="H62" s="56">
        <v>0</v>
      </c>
      <c r="I62" s="56">
        <f>F62/'[10]Calculations Etc'!$B$39</f>
        <v>1.6186864970602313E-4</v>
      </c>
      <c r="K62" s="54" t="s">
        <v>10</v>
      </c>
      <c r="L62" s="54">
        <v>140</v>
      </c>
      <c r="N62" s="54" t="s">
        <v>10</v>
      </c>
      <c r="X62" s="54" t="s">
        <v>10</v>
      </c>
      <c r="Y62" s="56">
        <f>IFERROR(C62/O62,C62)</f>
        <v>1.5604824027299026E-3</v>
      </c>
      <c r="Z62" s="56">
        <f t="shared" si="8"/>
        <v>4.856059491180693E-4</v>
      </c>
      <c r="AA62" s="56">
        <f t="shared" si="8"/>
        <v>4.856059491180693E-4</v>
      </c>
      <c r="AB62" s="56">
        <f>IFERROR(F62/R62,F62)</f>
        <v>4.856059491180693E-4</v>
      </c>
      <c r="AC62" s="56">
        <f t="shared" si="8"/>
        <v>0</v>
      </c>
      <c r="AD62" s="56">
        <f t="shared" si="8"/>
        <v>0</v>
      </c>
      <c r="AE62" s="56">
        <f t="shared" si="8"/>
        <v>1.6186864970602313E-4</v>
      </c>
      <c r="AG62" s="62">
        <f>IFERROR('[11]SYFAFE-psgr'!B4/'Model Comparison'!Y62,"")</f>
        <v>1</v>
      </c>
      <c r="AH62" s="62">
        <f>IFERROR('[11]SYFAFE-psgr'!C4/'Model Comparison'!Z62,"")</f>
        <v>1</v>
      </c>
      <c r="AI62" s="62">
        <f>IFERROR('[11]SYFAFE-psgr'!D4/'Model Comparison'!AA62,"")</f>
        <v>1</v>
      </c>
      <c r="AJ62" s="62">
        <f>IFERROR('[11]SYFAFE-psgr'!E4/'Model Comparison'!AB62,"")</f>
        <v>1</v>
      </c>
      <c r="AK62" s="62" t="str">
        <f>IFERROR('[11]SYFAFE-psgr'!F4/'Model Comparison'!AC62,"")</f>
        <v/>
      </c>
      <c r="AL62" s="62" t="str">
        <f>IFERROR('[11]SYFAFE-psgr'!G4/'Model Comparison'!AD62,"")</f>
        <v/>
      </c>
      <c r="AM62" s="62">
        <f>IFERROR('[11]SYFAFE-psgr'!H4/'Model Comparison'!AE62,"")</f>
        <v>0.99999999999999978</v>
      </c>
    </row>
    <row r="63" spans="1:40">
      <c r="A63" s="54" t="s">
        <v>142</v>
      </c>
      <c r="B63" s="54" t="s">
        <v>11</v>
      </c>
      <c r="C63" s="56">
        <f>[10]Rail!M112</f>
        <v>4.4544800146568749E-3</v>
      </c>
      <c r="D63" s="56">
        <f>F63</f>
        <v>4.88055442953364E-3</v>
      </c>
      <c r="E63" s="56">
        <f>F63</f>
        <v>4.88055442953364E-3</v>
      </c>
      <c r="F63" s="56">
        <f>[10]Rail!D87</f>
        <v>4.88055442953364E-3</v>
      </c>
      <c r="G63" s="56">
        <v>0</v>
      </c>
      <c r="H63" s="56">
        <v>0</v>
      </c>
      <c r="I63" s="56">
        <f>F63/'[10]Calculations Etc'!$B$39</f>
        <v>1.6268514765112136E-3</v>
      </c>
      <c r="K63" s="54" t="s">
        <v>11</v>
      </c>
      <c r="L63" s="54">
        <v>1152</v>
      </c>
      <c r="N63" s="54" t="s">
        <v>11</v>
      </c>
      <c r="X63" s="54" t="s">
        <v>11</v>
      </c>
      <c r="Y63" s="56">
        <f t="shared" si="9"/>
        <v>4.4544800146568749E-3</v>
      </c>
      <c r="Z63" s="56">
        <f t="shared" si="8"/>
        <v>4.88055442953364E-3</v>
      </c>
      <c r="AA63" s="56">
        <f t="shared" si="8"/>
        <v>4.88055442953364E-3</v>
      </c>
      <c r="AB63" s="56">
        <f t="shared" si="8"/>
        <v>4.88055442953364E-3</v>
      </c>
      <c r="AC63" s="56">
        <f t="shared" si="8"/>
        <v>0</v>
      </c>
      <c r="AD63" s="56">
        <f t="shared" si="8"/>
        <v>0</v>
      </c>
      <c r="AE63" s="56">
        <f t="shared" si="8"/>
        <v>1.6268514765112136E-3</v>
      </c>
      <c r="AG63" s="62">
        <f>IFERROR('[11]SYFAFE-psgr'!B5/'Model Comparison'!Y63,"")</f>
        <v>1</v>
      </c>
      <c r="AH63" s="62">
        <f>IFERROR('[11]SYFAFE-psgr'!C5/'Model Comparison'!Z63,"")</f>
        <v>1</v>
      </c>
      <c r="AI63" s="62">
        <f>IFERROR('[11]SYFAFE-psgr'!D5/'Model Comparison'!AA63,"")</f>
        <v>1</v>
      </c>
      <c r="AJ63" s="62">
        <f>IFERROR('[11]SYFAFE-psgr'!E5/'Model Comparison'!AB63,"")</f>
        <v>1</v>
      </c>
      <c r="AK63" s="62" t="str">
        <f>IFERROR('[11]SYFAFE-psgr'!F5/'Model Comparison'!AC63,"")</f>
        <v/>
      </c>
      <c r="AL63" s="62" t="str">
        <f>IFERROR('[11]SYFAFE-psgr'!G5/'Model Comparison'!AD63,"")</f>
        <v/>
      </c>
      <c r="AM63" s="62">
        <f>IFERROR('[11]SYFAFE-psgr'!H5/'Model Comparison'!AE63,"")</f>
        <v>0.99999999999999989</v>
      </c>
    </row>
    <row r="64" spans="1:40">
      <c r="A64" s="54" t="s">
        <v>142</v>
      </c>
      <c r="B64" s="54" t="s">
        <v>12</v>
      </c>
      <c r="C64" s="56">
        <v>1.8445854492898E-3</v>
      </c>
      <c r="D64" s="56">
        <v>5.7401587244094803E-4</v>
      </c>
      <c r="E64" s="56">
        <v>0</v>
      </c>
      <c r="F64" s="56">
        <v>5.7401587244094803E-4</v>
      </c>
      <c r="G64" s="56">
        <v>0</v>
      </c>
      <c r="H64" s="56">
        <v>0</v>
      </c>
      <c r="I64" s="56">
        <v>1.72204761732284E-3</v>
      </c>
      <c r="K64" s="54" t="s">
        <v>12</v>
      </c>
      <c r="L64" s="54">
        <v>451</v>
      </c>
      <c r="N64" s="54" t="s">
        <v>12</v>
      </c>
      <c r="X64" s="54" t="s">
        <v>12</v>
      </c>
      <c r="Y64" s="56">
        <f t="shared" si="9"/>
        <v>1.8445854492898E-3</v>
      </c>
      <c r="Z64" s="56">
        <f>$AB64</f>
        <v>5.7401587244094803E-4</v>
      </c>
      <c r="AA64" s="56">
        <f t="shared" si="8"/>
        <v>0</v>
      </c>
      <c r="AB64" s="56">
        <f t="shared" si="8"/>
        <v>5.7401587244094803E-4</v>
      </c>
      <c r="AC64" s="56">
        <f t="shared" si="8"/>
        <v>0</v>
      </c>
      <c r="AD64" s="56">
        <f t="shared" si="8"/>
        <v>0</v>
      </c>
      <c r="AE64" s="56">
        <f t="shared" si="8"/>
        <v>1.72204761732284E-3</v>
      </c>
      <c r="AG64" s="62">
        <f>IFERROR('[11]SYFAFE-psgr'!B6/'Model Comparison'!Y64,"")</f>
        <v>1</v>
      </c>
      <c r="AH64" s="62">
        <f>IFERROR('[11]SYFAFE-psgr'!C6/'Model Comparison'!Z64,"")</f>
        <v>1</v>
      </c>
      <c r="AI64" s="62" t="str">
        <f>IFERROR('[11]SYFAFE-psgr'!D6/'Model Comparison'!AA64,"")</f>
        <v/>
      </c>
      <c r="AJ64" s="62">
        <f>IFERROR('[11]SYFAFE-psgr'!E6/'Model Comparison'!AB64,"")</f>
        <v>1</v>
      </c>
      <c r="AK64" s="62" t="str">
        <f>IFERROR('[11]SYFAFE-psgr'!F6/'Model Comparison'!AC64,"")</f>
        <v/>
      </c>
      <c r="AL64" s="62" t="str">
        <f>IFERROR('[11]SYFAFE-psgr'!G6/'Model Comparison'!AD64,"")</f>
        <v/>
      </c>
      <c r="AM64" s="62">
        <f>IFERROR('[11]SYFAFE-psgr'!H6/'Model Comparison'!AE64,"")</f>
        <v>1</v>
      </c>
    </row>
    <row r="65" spans="1:39">
      <c r="A65" s="54" t="s">
        <v>142</v>
      </c>
      <c r="B65" s="54" t="s">
        <v>13</v>
      </c>
      <c r="C65" s="56">
        <v>1.4980962356277019E-2</v>
      </c>
      <c r="D65" s="56">
        <v>5.8809562968856004E-4</v>
      </c>
      <c r="E65" s="56">
        <v>5.8809562968856004E-4</v>
      </c>
      <c r="F65" s="56">
        <v>5.8809562968856004E-4</v>
      </c>
      <c r="G65" s="56">
        <v>5.1783367814155899E-2</v>
      </c>
      <c r="H65" s="56">
        <v>1.8230964520345401E-2</v>
      </c>
      <c r="I65" s="56">
        <v>7.0571475562627203E-2</v>
      </c>
      <c r="K65" s="54" t="s">
        <v>13</v>
      </c>
      <c r="L65" s="54">
        <v>1</v>
      </c>
      <c r="N65" s="54" t="s">
        <v>13</v>
      </c>
      <c r="X65" s="54" t="s">
        <v>13</v>
      </c>
      <c r="Y65" s="56">
        <f t="shared" si="9"/>
        <v>1.4980962356277019E-2</v>
      </c>
      <c r="Z65" s="56">
        <f t="shared" si="8"/>
        <v>5.8809562968856004E-4</v>
      </c>
      <c r="AA65" s="56">
        <f t="shared" si="8"/>
        <v>5.8809562968856004E-4</v>
      </c>
      <c r="AB65" s="56">
        <f t="shared" si="8"/>
        <v>5.8809562968856004E-4</v>
      </c>
      <c r="AC65" s="56">
        <f t="shared" si="8"/>
        <v>5.1783367814155899E-2</v>
      </c>
      <c r="AD65" s="56">
        <f t="shared" si="8"/>
        <v>1.8230964520345401E-2</v>
      </c>
      <c r="AE65" s="56">
        <f t="shared" si="8"/>
        <v>7.0571475562627203E-2</v>
      </c>
      <c r="AG65" s="62">
        <f>IFERROR('[11]SYFAFE-psgr'!B7/'Model Comparison'!Y65,"")</f>
        <v>1</v>
      </c>
      <c r="AH65" s="62">
        <f>IFERROR('[11]SYFAFE-psgr'!C7/'Model Comparison'!Z65,"")</f>
        <v>1</v>
      </c>
      <c r="AI65" s="62">
        <f>IFERROR('[11]SYFAFE-psgr'!D7/'Model Comparison'!AA65,"")</f>
        <v>1</v>
      </c>
      <c r="AJ65" s="62">
        <f>IFERROR('[11]SYFAFE-psgr'!E7/'Model Comparison'!AB65,"")</f>
        <v>1</v>
      </c>
      <c r="AK65" s="62">
        <f>IFERROR('[11]SYFAFE-psgr'!F7/'Model Comparison'!AC65,"")</f>
        <v>1</v>
      </c>
      <c r="AL65" s="62">
        <f>IFERROR('[11]SYFAFE-psgr'!G7/'Model Comparison'!AD65,"")</f>
        <v>1</v>
      </c>
      <c r="AM65" s="62">
        <f>IFERROR('[11]SYFAFE-psgr'!H7/'Model Comparison'!AE65,"")</f>
        <v>1</v>
      </c>
    </row>
    <row r="66" spans="1:39">
      <c r="C66" s="60"/>
      <c r="D66" s="60"/>
      <c r="E66" s="60"/>
      <c r="F66" s="60"/>
      <c r="G66" s="60"/>
      <c r="H66" s="60"/>
      <c r="I66" s="60"/>
    </row>
    <row r="67" spans="1:39">
      <c r="C67" s="59">
        <f t="shared" ref="C67:I68" si="10">C60/$E60</f>
        <v>4.6262442325278492</v>
      </c>
      <c r="D67" s="59">
        <f t="shared" si="10"/>
        <v>1.1136348233745783</v>
      </c>
      <c r="E67" s="59">
        <f t="shared" si="10"/>
        <v>1</v>
      </c>
      <c r="F67" s="59">
        <f t="shared" si="10"/>
        <v>1.167669174097687</v>
      </c>
      <c r="G67" s="59">
        <f t="shared" si="10"/>
        <v>1.6452536844291832</v>
      </c>
      <c r="H67" s="59">
        <f t="shared" si="10"/>
        <v>1.0370167475264067</v>
      </c>
      <c r="I67" s="59">
        <f t="shared" si="10"/>
        <v>1.7607147686709919</v>
      </c>
      <c r="K67" s="54">
        <f>1.5/1.3</f>
        <v>1.1538461538461537</v>
      </c>
      <c r="O67" s="63">
        <f t="shared" ref="O67:U70" si="11">C60/IF(LEN(O60)&gt;0,O60,1)/($E60/IF(LEN($Q60)&gt;0,$Q60,1))</f>
        <v>4.6262442325278492</v>
      </c>
      <c r="P67" s="63">
        <f t="shared" si="11"/>
        <v>1.1136348233745783</v>
      </c>
      <c r="Q67" s="63">
        <f t="shared" si="11"/>
        <v>1</v>
      </c>
      <c r="R67" s="63">
        <f t="shared" si="11"/>
        <v>1.167669174097687</v>
      </c>
      <c r="S67" s="63">
        <f t="shared" si="11"/>
        <v>1.6452536844291832</v>
      </c>
      <c r="T67" s="63">
        <f t="shared" si="11"/>
        <v>1.0370167475264067</v>
      </c>
      <c r="U67" s="63">
        <f t="shared" si="11"/>
        <v>1.7607147686709919</v>
      </c>
    </row>
    <row r="68" spans="1:39">
      <c r="B68" s="56"/>
      <c r="C68" s="59">
        <f t="shared" si="10"/>
        <v>3.1734100805641052</v>
      </c>
      <c r="D68" s="59">
        <f t="shared" si="10"/>
        <v>1.2865533572021257</v>
      </c>
      <c r="E68" s="59">
        <f t="shared" si="10"/>
        <v>1</v>
      </c>
      <c r="F68" s="59">
        <f t="shared" si="10"/>
        <v>1.1677076589284079</v>
      </c>
      <c r="G68" s="59">
        <f t="shared" si="10"/>
        <v>0.87821403099242201</v>
      </c>
      <c r="H68" s="59">
        <f t="shared" si="10"/>
        <v>0.39766194677156652</v>
      </c>
      <c r="I68" s="59">
        <f t="shared" si="10"/>
        <v>0.64816937018393694</v>
      </c>
      <c r="O68" s="63">
        <f t="shared" si="11"/>
        <v>3.1734100805641052</v>
      </c>
      <c r="P68" s="63">
        <f t="shared" si="11"/>
        <v>1.2865533572021257</v>
      </c>
      <c r="Q68" s="63">
        <f t="shared" si="11"/>
        <v>1</v>
      </c>
      <c r="R68" s="63">
        <f t="shared" si="11"/>
        <v>1.1677076589284079</v>
      </c>
      <c r="S68" s="63">
        <f t="shared" si="11"/>
        <v>0.87821403099242201</v>
      </c>
      <c r="T68" s="63">
        <f t="shared" si="11"/>
        <v>0.39766194677156652</v>
      </c>
      <c r="U68" s="63">
        <f t="shared" si="11"/>
        <v>0.64816937018393694</v>
      </c>
    </row>
    <row r="69" spans="1:39">
      <c r="O69" s="63">
        <f t="shared" si="11"/>
        <v>3.2134746404239167</v>
      </c>
      <c r="P69" s="63">
        <f t="shared" si="11"/>
        <v>1</v>
      </c>
      <c r="Q69" s="63">
        <f t="shared" si="11"/>
        <v>1</v>
      </c>
      <c r="R69" s="63">
        <f t="shared" si="11"/>
        <v>1</v>
      </c>
      <c r="S69" s="63">
        <f t="shared" si="11"/>
        <v>0</v>
      </c>
      <c r="T69" s="63">
        <f t="shared" si="11"/>
        <v>0</v>
      </c>
      <c r="U69" s="63">
        <f t="shared" si="11"/>
        <v>0.33333333333333337</v>
      </c>
    </row>
    <row r="70" spans="1:39">
      <c r="C70" s="60"/>
      <c r="D70" s="60"/>
      <c r="E70" s="60"/>
      <c r="F70" s="60"/>
      <c r="G70" s="60"/>
      <c r="H70" s="60"/>
      <c r="I70" s="60"/>
      <c r="O70" s="63">
        <f t="shared" si="11"/>
        <v>0.91269958751029057</v>
      </c>
      <c r="P70" s="63">
        <f t="shared" si="11"/>
        <v>1</v>
      </c>
      <c r="Q70" s="63">
        <f t="shared" si="11"/>
        <v>1</v>
      </c>
      <c r="R70" s="63">
        <f t="shared" si="11"/>
        <v>1</v>
      </c>
      <c r="S70" s="63">
        <f t="shared" si="11"/>
        <v>0</v>
      </c>
      <c r="T70" s="63">
        <f t="shared" si="11"/>
        <v>0</v>
      </c>
      <c r="U70" s="63">
        <f t="shared" si="11"/>
        <v>0.33333333333333337</v>
      </c>
    </row>
    <row r="71" spans="1:39">
      <c r="B71" s="55" t="s">
        <v>143</v>
      </c>
      <c r="C71" s="60" t="s">
        <v>1</v>
      </c>
      <c r="D71" s="60" t="s">
        <v>2</v>
      </c>
      <c r="E71" s="60" t="s">
        <v>3</v>
      </c>
      <c r="F71" s="60" t="s">
        <v>4</v>
      </c>
      <c r="G71" s="60" t="s">
        <v>5</v>
      </c>
      <c r="H71" s="60" t="s">
        <v>6</v>
      </c>
      <c r="I71" s="60" t="s">
        <v>7</v>
      </c>
      <c r="N71" s="55" t="s">
        <v>144</v>
      </c>
      <c r="O71" s="54" t="s">
        <v>1</v>
      </c>
      <c r="P71" s="54" t="s">
        <v>2</v>
      </c>
      <c r="Q71" s="54" t="s">
        <v>3</v>
      </c>
      <c r="R71" s="54" t="s">
        <v>4</v>
      </c>
      <c r="S71" s="54" t="s">
        <v>5</v>
      </c>
      <c r="T71" s="54" t="s">
        <v>6</v>
      </c>
      <c r="U71" s="54" t="s">
        <v>7</v>
      </c>
    </row>
    <row r="72" spans="1:39">
      <c r="A72" s="54" t="s">
        <v>145</v>
      </c>
      <c r="B72" s="54" t="s">
        <v>8</v>
      </c>
      <c r="C72" s="60">
        <f t="shared" ref="C72:I77" si="12">IFERROR(1/(C5*C$2*1.609)*100,0)*IF(LEN(O5)&gt;0,O5,1)</f>
        <v>36.501992230914702</v>
      </c>
      <c r="D72" s="60">
        <f t="shared" si="12"/>
        <v>6.2494088461033046</v>
      </c>
      <c r="E72" s="60">
        <f t="shared" si="12"/>
        <v>9.6108531187805486</v>
      </c>
      <c r="F72" s="60">
        <f t="shared" si="12"/>
        <v>9.6471867165477629</v>
      </c>
      <c r="G72" s="60">
        <f t="shared" si="12"/>
        <v>0</v>
      </c>
      <c r="H72" s="60">
        <f t="shared" si="12"/>
        <v>6.4057094519714894</v>
      </c>
      <c r="I72" s="60">
        <f t="shared" si="12"/>
        <v>1.1201164991895309</v>
      </c>
      <c r="M72" s="54" t="s">
        <v>145</v>
      </c>
      <c r="N72" s="54" t="s">
        <v>8</v>
      </c>
      <c r="O72" s="64">
        <f t="shared" ref="O72:U77" si="13">C72*($L5)</f>
        <v>36.501992230914702</v>
      </c>
      <c r="P72" s="64">
        <f t="shared" si="13"/>
        <v>6.2494088461033046</v>
      </c>
      <c r="Q72" s="64">
        <f t="shared" si="13"/>
        <v>9.6108531187805486</v>
      </c>
      <c r="R72" s="64">
        <f t="shared" si="13"/>
        <v>9.6471867165477629</v>
      </c>
      <c r="S72" s="64">
        <f t="shared" si="13"/>
        <v>0</v>
      </c>
      <c r="T72" s="64">
        <f t="shared" si="13"/>
        <v>6.4057094519714894</v>
      </c>
      <c r="U72" s="64">
        <f t="shared" si="13"/>
        <v>1.1201164991895309</v>
      </c>
    </row>
    <row r="73" spans="1:39">
      <c r="A73" s="54" t="s">
        <v>145</v>
      </c>
      <c r="B73" s="54" t="s">
        <v>9</v>
      </c>
      <c r="C73" s="60">
        <f t="shared" si="12"/>
        <v>9.3026016972555841</v>
      </c>
      <c r="D73" s="60">
        <f t="shared" si="12"/>
        <v>1.1653376641728284</v>
      </c>
      <c r="E73" s="60">
        <f t="shared" si="12"/>
        <v>2.0072715368386707</v>
      </c>
      <c r="F73" s="60">
        <f t="shared" si="12"/>
        <v>1.7827332527210495</v>
      </c>
      <c r="G73" s="60">
        <f t="shared" si="12"/>
        <v>0</v>
      </c>
      <c r="H73" s="60">
        <f t="shared" si="12"/>
        <v>1.1944832981738425</v>
      </c>
      <c r="I73" s="60">
        <f t="shared" si="12"/>
        <v>0.47921910453383887</v>
      </c>
      <c r="M73" s="54" t="s">
        <v>145</v>
      </c>
      <c r="N73" s="54" t="s">
        <v>9</v>
      </c>
      <c r="O73" s="64">
        <f t="shared" si="13"/>
        <v>138.23666122121799</v>
      </c>
      <c r="P73" s="64">
        <f t="shared" si="13"/>
        <v>17.316917689608228</v>
      </c>
      <c r="Q73" s="64">
        <f t="shared" si="13"/>
        <v>29.828055037422644</v>
      </c>
      <c r="R73" s="64">
        <f t="shared" si="13"/>
        <v>26.491416135434797</v>
      </c>
      <c r="S73" s="64">
        <f t="shared" si="13"/>
        <v>0</v>
      </c>
      <c r="T73" s="64">
        <f t="shared" si="13"/>
        <v>17.750021810863299</v>
      </c>
      <c r="U73" s="64">
        <f t="shared" si="13"/>
        <v>7.1211958933728452</v>
      </c>
    </row>
    <row r="74" spans="1:39">
      <c r="A74" s="54" t="s">
        <v>145</v>
      </c>
      <c r="B74" s="54" t="s">
        <v>10</v>
      </c>
      <c r="C74" s="60">
        <f t="shared" si="12"/>
        <v>227.68117654033043</v>
      </c>
      <c r="D74" s="60">
        <f t="shared" si="12"/>
        <v>0</v>
      </c>
      <c r="E74" s="60">
        <f t="shared" si="12"/>
        <v>0</v>
      </c>
      <c r="F74" s="60">
        <f t="shared" si="12"/>
        <v>37.045196991543413</v>
      </c>
      <c r="G74" s="60">
        <f t="shared" si="12"/>
        <v>0</v>
      </c>
      <c r="H74" s="60">
        <f t="shared" si="12"/>
        <v>0</v>
      </c>
      <c r="I74" s="60">
        <f t="shared" si="12"/>
        <v>3.6919039813286947</v>
      </c>
      <c r="M74" s="54" t="s">
        <v>145</v>
      </c>
      <c r="N74" s="54" t="s">
        <v>10</v>
      </c>
      <c r="O74" s="64">
        <f t="shared" si="13"/>
        <v>13660.870592419826</v>
      </c>
      <c r="P74" s="64">
        <f t="shared" si="13"/>
        <v>0</v>
      </c>
      <c r="Q74" s="64">
        <f t="shared" si="13"/>
        <v>0</v>
      </c>
      <c r="R74" s="64">
        <f t="shared" si="13"/>
        <v>2222.7118194926047</v>
      </c>
      <c r="S74" s="64">
        <f t="shared" si="13"/>
        <v>0</v>
      </c>
      <c r="T74" s="64">
        <f t="shared" si="13"/>
        <v>0</v>
      </c>
      <c r="U74" s="64">
        <f t="shared" si="13"/>
        <v>221.51423887972169</v>
      </c>
    </row>
    <row r="75" spans="1:39">
      <c r="A75" s="54" t="s">
        <v>145</v>
      </c>
      <c r="B75" s="54" t="s">
        <v>11</v>
      </c>
      <c r="C75" s="60">
        <f t="shared" si="12"/>
        <v>1.1181396024080072</v>
      </c>
      <c r="D75" s="60">
        <f t="shared" si="12"/>
        <v>0.27600766499352114</v>
      </c>
      <c r="E75" s="60">
        <f t="shared" si="12"/>
        <v>0.45151658947291162</v>
      </c>
      <c r="F75" s="60">
        <f t="shared" si="12"/>
        <v>0.40100884381406604</v>
      </c>
      <c r="G75" s="60">
        <f t="shared" si="12"/>
        <v>0</v>
      </c>
      <c r="H75" s="60">
        <f t="shared" si="12"/>
        <v>0</v>
      </c>
      <c r="I75" s="60">
        <f t="shared" si="12"/>
        <v>3.9962590722730063E-2</v>
      </c>
      <c r="M75" s="54" t="s">
        <v>145</v>
      </c>
      <c r="N75" s="54" t="s">
        <v>11</v>
      </c>
      <c r="O75" s="64">
        <f t="shared" si="13"/>
        <v>4472.558409632029</v>
      </c>
      <c r="P75" s="64">
        <f t="shared" si="13"/>
        <v>1104.0306599740845</v>
      </c>
      <c r="Q75" s="64">
        <f t="shared" si="13"/>
        <v>1806.0663578916465</v>
      </c>
      <c r="R75" s="64">
        <f t="shared" si="13"/>
        <v>1604.0353752562642</v>
      </c>
      <c r="S75" s="64">
        <f t="shared" si="13"/>
        <v>0</v>
      </c>
      <c r="T75" s="64">
        <f t="shared" si="13"/>
        <v>0</v>
      </c>
      <c r="U75" s="64">
        <f t="shared" si="13"/>
        <v>159.85036289092025</v>
      </c>
    </row>
    <row r="76" spans="1:39">
      <c r="A76" s="54" t="s">
        <v>145</v>
      </c>
      <c r="B76" s="54" t="s">
        <v>12</v>
      </c>
      <c r="C76" s="60">
        <f t="shared" si="12"/>
        <v>1.2334593433484415</v>
      </c>
      <c r="D76" s="60">
        <f t="shared" si="12"/>
        <v>0</v>
      </c>
      <c r="E76" s="60">
        <f t="shared" si="12"/>
        <v>0</v>
      </c>
      <c r="F76" s="60">
        <f t="shared" si="12"/>
        <v>0.20024430806239685</v>
      </c>
      <c r="G76" s="60">
        <f t="shared" si="12"/>
        <v>0</v>
      </c>
      <c r="H76" s="60">
        <f t="shared" si="12"/>
        <v>0</v>
      </c>
      <c r="I76" s="60">
        <f t="shared" si="12"/>
        <v>1.9957100746673881E-2</v>
      </c>
      <c r="M76" s="54" t="s">
        <v>145</v>
      </c>
      <c r="N76" s="54" t="s">
        <v>12</v>
      </c>
      <c r="O76" s="64">
        <f t="shared" si="13"/>
        <v>2491.5878735638521</v>
      </c>
      <c r="P76" s="64">
        <f t="shared" si="13"/>
        <v>0</v>
      </c>
      <c r="Q76" s="64">
        <f t="shared" si="13"/>
        <v>0</v>
      </c>
      <c r="R76" s="64">
        <f t="shared" si="13"/>
        <v>404.49350228604163</v>
      </c>
      <c r="S76" s="64">
        <f t="shared" si="13"/>
        <v>0</v>
      </c>
      <c r="T76" s="64">
        <f t="shared" si="13"/>
        <v>0</v>
      </c>
      <c r="U76" s="64">
        <f t="shared" si="13"/>
        <v>40.313343508281243</v>
      </c>
    </row>
    <row r="77" spans="1:39">
      <c r="A77" s="54" t="s">
        <v>145</v>
      </c>
      <c r="B77" s="54" t="s">
        <v>13</v>
      </c>
      <c r="C77" s="60">
        <f t="shared" si="12"/>
        <v>0</v>
      </c>
      <c r="D77" s="60">
        <f t="shared" si="12"/>
        <v>0</v>
      </c>
      <c r="E77" s="60">
        <f t="shared" si="12"/>
        <v>0</v>
      </c>
      <c r="F77" s="60">
        <f t="shared" si="12"/>
        <v>0</v>
      </c>
      <c r="G77" s="60">
        <f t="shared" si="12"/>
        <v>0</v>
      </c>
      <c r="H77" s="60">
        <f t="shared" si="12"/>
        <v>0</v>
      </c>
      <c r="I77" s="60">
        <f t="shared" si="12"/>
        <v>0</v>
      </c>
      <c r="M77" s="54" t="s">
        <v>145</v>
      </c>
      <c r="N77" s="54" t="s">
        <v>13</v>
      </c>
      <c r="O77" s="64">
        <f t="shared" si="13"/>
        <v>0</v>
      </c>
      <c r="P77" s="64">
        <f t="shared" si="13"/>
        <v>0</v>
      </c>
      <c r="Q77" s="64">
        <f t="shared" si="13"/>
        <v>0</v>
      </c>
      <c r="R77" s="64">
        <f t="shared" si="13"/>
        <v>0</v>
      </c>
      <c r="S77" s="64">
        <f t="shared" si="13"/>
        <v>0</v>
      </c>
      <c r="T77" s="64">
        <f t="shared" si="13"/>
        <v>0</v>
      </c>
      <c r="U77" s="64">
        <f t="shared" si="13"/>
        <v>0</v>
      </c>
    </row>
    <row r="78" spans="1:39">
      <c r="C78" s="60"/>
      <c r="D78" s="60"/>
      <c r="E78" s="60"/>
      <c r="F78" s="60"/>
      <c r="G78" s="60"/>
      <c r="H78" s="60"/>
      <c r="I78" s="60"/>
      <c r="O78" s="64"/>
      <c r="P78" s="64"/>
      <c r="Q78" s="64"/>
      <c r="R78" s="64"/>
      <c r="S78" s="64"/>
      <c r="T78" s="64"/>
      <c r="U78" s="64"/>
    </row>
    <row r="79" spans="1:39">
      <c r="B79" s="54" t="s">
        <v>146</v>
      </c>
      <c r="C79" s="60" t="s">
        <v>1</v>
      </c>
      <c r="D79" s="60" t="s">
        <v>2</v>
      </c>
      <c r="E79" s="60" t="s">
        <v>3</v>
      </c>
      <c r="F79" s="60" t="s">
        <v>4</v>
      </c>
      <c r="G79" s="60" t="s">
        <v>5</v>
      </c>
      <c r="H79" s="60" t="s">
        <v>6</v>
      </c>
      <c r="I79" s="60" t="s">
        <v>7</v>
      </c>
      <c r="N79" s="55" t="s">
        <v>144</v>
      </c>
      <c r="O79" s="64" t="s">
        <v>1</v>
      </c>
      <c r="P79" s="64" t="s">
        <v>2</v>
      </c>
      <c r="Q79" s="64" t="s">
        <v>3</v>
      </c>
      <c r="R79" s="64" t="s">
        <v>4</v>
      </c>
      <c r="S79" s="64" t="s">
        <v>5</v>
      </c>
      <c r="T79" s="64" t="s">
        <v>6</v>
      </c>
      <c r="U79" s="64" t="s">
        <v>7</v>
      </c>
    </row>
    <row r="80" spans="1:39">
      <c r="A80" s="54" t="s">
        <v>147</v>
      </c>
      <c r="B80" s="54" t="s">
        <v>8</v>
      </c>
      <c r="C80" s="60">
        <f t="shared" ref="C80:I85" si="14">IFERROR(1/(C16*C$2*1.609)*100,0)*IF(LEN(O16)&gt;0,O16,1)</f>
        <v>15.040870456834382</v>
      </c>
      <c r="D80" s="60">
        <f t="shared" si="14"/>
        <v>3.4087684615108929</v>
      </c>
      <c r="E80" s="60">
        <f t="shared" si="14"/>
        <v>4.0654096038506413</v>
      </c>
      <c r="F80" s="60">
        <f t="shared" si="14"/>
        <v>4.5067149624748684</v>
      </c>
      <c r="G80" s="60">
        <f t="shared" si="14"/>
        <v>0</v>
      </c>
      <c r="H80" s="60">
        <f t="shared" si="14"/>
        <v>3.4940233374389944</v>
      </c>
      <c r="I80" s="60">
        <f t="shared" si="14"/>
        <v>5.560766329269632E-2</v>
      </c>
      <c r="M80" s="54" t="s">
        <v>147</v>
      </c>
      <c r="N80" s="54" t="s">
        <v>8</v>
      </c>
      <c r="O80" s="64">
        <f t="shared" ref="O80:U85" si="15">C80*($L16)</f>
        <v>20.00435770758973</v>
      </c>
      <c r="P80" s="64">
        <f t="shared" si="15"/>
        <v>4.5336620538094881</v>
      </c>
      <c r="Q80" s="64">
        <f t="shared" si="15"/>
        <v>5.4069947731213537</v>
      </c>
      <c r="R80" s="64">
        <f t="shared" si="15"/>
        <v>5.9939309000915753</v>
      </c>
      <c r="S80" s="64">
        <f t="shared" si="15"/>
        <v>0</v>
      </c>
      <c r="T80" s="64">
        <f t="shared" si="15"/>
        <v>4.6470510387938626</v>
      </c>
      <c r="U80" s="64">
        <f t="shared" si="15"/>
        <v>7.3958192179286106E-2</v>
      </c>
    </row>
    <row r="81" spans="1:21">
      <c r="A81" s="54" t="s">
        <v>147</v>
      </c>
      <c r="B81" s="54" t="s">
        <v>9</v>
      </c>
      <c r="C81" s="60">
        <f t="shared" si="14"/>
        <v>5.9935814818119253</v>
      </c>
      <c r="D81" s="60">
        <f t="shared" si="14"/>
        <v>0.7918505618665056</v>
      </c>
      <c r="E81" s="60">
        <f t="shared" si="14"/>
        <v>1.2929666006046987</v>
      </c>
      <c r="F81" s="60">
        <f t="shared" si="14"/>
        <v>1.1483322068054376</v>
      </c>
      <c r="G81" s="60">
        <f t="shared" si="14"/>
        <v>0</v>
      </c>
      <c r="H81" s="60">
        <f t="shared" si="14"/>
        <v>0.81165511068458618</v>
      </c>
      <c r="I81" s="60">
        <f t="shared" si="14"/>
        <v>0.30868762385691423</v>
      </c>
      <c r="M81" s="54" t="s">
        <v>147</v>
      </c>
      <c r="N81" s="54" t="s">
        <v>9</v>
      </c>
      <c r="O81" s="64">
        <f t="shared" si="15"/>
        <v>127.06392741441282</v>
      </c>
      <c r="P81" s="64">
        <f t="shared" si="15"/>
        <v>16.787231911569918</v>
      </c>
      <c r="Q81" s="64">
        <f t="shared" si="15"/>
        <v>27.410891932819613</v>
      </c>
      <c r="R81" s="64">
        <f t="shared" si="15"/>
        <v>24.344642784275276</v>
      </c>
      <c r="S81" s="64">
        <f t="shared" si="15"/>
        <v>0</v>
      </c>
      <c r="T81" s="64">
        <f t="shared" si="15"/>
        <v>17.207088346513228</v>
      </c>
      <c r="U81" s="64">
        <f t="shared" si="15"/>
        <v>6.5441776257665811</v>
      </c>
    </row>
    <row r="82" spans="1:21">
      <c r="A82" s="54" t="s">
        <v>147</v>
      </c>
      <c r="B82" s="54" t="s">
        <v>10</v>
      </c>
      <c r="C82" s="60">
        <f t="shared" si="14"/>
        <v>20.534942641743445</v>
      </c>
      <c r="D82" s="60">
        <f t="shared" si="14"/>
        <v>0</v>
      </c>
      <c r="E82" s="60">
        <f t="shared" si="14"/>
        <v>0</v>
      </c>
      <c r="F82" s="60">
        <f t="shared" si="14"/>
        <v>3.3314026071531853</v>
      </c>
      <c r="G82" s="60">
        <f t="shared" si="14"/>
        <v>0</v>
      </c>
      <c r="H82" s="60">
        <f t="shared" si="14"/>
        <v>0</v>
      </c>
      <c r="I82" s="60">
        <f t="shared" si="14"/>
        <v>0</v>
      </c>
      <c r="M82" s="54" t="s">
        <v>147</v>
      </c>
      <c r="N82" s="54" t="s">
        <v>10</v>
      </c>
      <c r="O82" s="64">
        <f t="shared" si="15"/>
        <v>2464.1931170092134</v>
      </c>
      <c r="P82" s="64">
        <f t="shared" si="15"/>
        <v>0</v>
      </c>
      <c r="Q82" s="64">
        <f t="shared" si="15"/>
        <v>0</v>
      </c>
      <c r="R82" s="64">
        <f t="shared" si="15"/>
        <v>399.76831285838222</v>
      </c>
      <c r="S82" s="64">
        <f t="shared" si="15"/>
        <v>0</v>
      </c>
      <c r="T82" s="64">
        <f t="shared" si="15"/>
        <v>0</v>
      </c>
      <c r="U82" s="64">
        <f t="shared" si="15"/>
        <v>0</v>
      </c>
    </row>
    <row r="83" spans="1:21">
      <c r="A83" s="54" t="s">
        <v>147</v>
      </c>
      <c r="B83" s="54" t="s">
        <v>11</v>
      </c>
      <c r="C83" s="60">
        <f t="shared" si="14"/>
        <v>1.1181396024080072</v>
      </c>
      <c r="D83" s="60">
        <f t="shared" si="14"/>
        <v>0.27600766499352114</v>
      </c>
      <c r="E83" s="60">
        <f t="shared" si="14"/>
        <v>0.45151658947291162</v>
      </c>
      <c r="F83" s="60">
        <f t="shared" si="14"/>
        <v>0.40100884381406604</v>
      </c>
      <c r="G83" s="60">
        <f t="shared" si="14"/>
        <v>0</v>
      </c>
      <c r="H83" s="60">
        <f t="shared" si="14"/>
        <v>0</v>
      </c>
      <c r="I83" s="60">
        <f t="shared" si="14"/>
        <v>3.9962590722730063E-2</v>
      </c>
      <c r="M83" s="54" t="s">
        <v>147</v>
      </c>
      <c r="N83" s="54" t="s">
        <v>11</v>
      </c>
      <c r="O83" s="64">
        <f t="shared" si="15"/>
        <v>1305.7075207119506</v>
      </c>
      <c r="P83" s="64">
        <f t="shared" si="15"/>
        <v>322.30795079618429</v>
      </c>
      <c r="Q83" s="64">
        <f t="shared" si="15"/>
        <v>527.25849735699251</v>
      </c>
      <c r="R83" s="64">
        <f t="shared" si="15"/>
        <v>468.27807736387564</v>
      </c>
      <c r="S83" s="64">
        <f t="shared" si="15"/>
        <v>0</v>
      </c>
      <c r="T83" s="64">
        <f t="shared" si="15"/>
        <v>0</v>
      </c>
      <c r="U83" s="64">
        <f t="shared" si="15"/>
        <v>46.66631531646803</v>
      </c>
    </row>
    <row r="84" spans="1:21">
      <c r="A84" s="54" t="s">
        <v>147</v>
      </c>
      <c r="B84" s="54" t="s">
        <v>12</v>
      </c>
      <c r="C84" s="60">
        <f t="shared" si="14"/>
        <v>12.332088099679375</v>
      </c>
      <c r="D84" s="60">
        <f t="shared" si="14"/>
        <v>1.3782480049784582</v>
      </c>
      <c r="E84" s="60">
        <f t="shared" si="14"/>
        <v>2.2546541911085178</v>
      </c>
      <c r="F84" s="60">
        <f t="shared" si="14"/>
        <v>2.0024430806239684</v>
      </c>
      <c r="G84" s="60">
        <f t="shared" si="14"/>
        <v>0</v>
      </c>
      <c r="H84" s="60">
        <f t="shared" si="14"/>
        <v>0</v>
      </c>
      <c r="I84" s="60">
        <f t="shared" si="14"/>
        <v>0.19960553532270192</v>
      </c>
      <c r="M84" s="54" t="s">
        <v>147</v>
      </c>
      <c r="N84" s="54" t="s">
        <v>12</v>
      </c>
      <c r="O84" s="64">
        <f t="shared" si="15"/>
        <v>2057.9788620744939</v>
      </c>
      <c r="P84" s="64">
        <f t="shared" si="15"/>
        <v>230.0020270708051</v>
      </c>
      <c r="Q84" s="64">
        <f t="shared" si="15"/>
        <v>376.25669141218947</v>
      </c>
      <c r="R84" s="64">
        <f t="shared" si="15"/>
        <v>334.16770129452783</v>
      </c>
      <c r="S84" s="64">
        <f t="shared" si="15"/>
        <v>0</v>
      </c>
      <c r="T84" s="64">
        <f t="shared" si="15"/>
        <v>0</v>
      </c>
      <c r="U84" s="64">
        <f t="shared" si="15"/>
        <v>33.310171734652499</v>
      </c>
    </row>
    <row r="85" spans="1:21">
      <c r="A85" s="54" t="s">
        <v>147</v>
      </c>
      <c r="B85" s="54" t="s">
        <v>13</v>
      </c>
      <c r="C85" s="60">
        <f t="shared" si="14"/>
        <v>10.198484951414578</v>
      </c>
      <c r="D85" s="60">
        <f t="shared" si="14"/>
        <v>1.1685420757150082</v>
      </c>
      <c r="E85" s="60">
        <f t="shared" si="14"/>
        <v>1.9115995662469105</v>
      </c>
      <c r="F85" s="60">
        <f t="shared" si="14"/>
        <v>1.6977633818305877</v>
      </c>
      <c r="G85" s="60">
        <f t="shared" si="14"/>
        <v>0</v>
      </c>
      <c r="H85" s="60">
        <f t="shared" si="14"/>
        <v>1.5464671339670812</v>
      </c>
      <c r="I85" s="60">
        <f t="shared" si="14"/>
        <v>0.16922918872977147</v>
      </c>
      <c r="M85" s="54" t="s">
        <v>147</v>
      </c>
      <c r="N85" s="54" t="s">
        <v>13</v>
      </c>
      <c r="O85" s="64">
        <f t="shared" si="15"/>
        <v>11.728257694126764</v>
      </c>
      <c r="P85" s="64">
        <f t="shared" si="15"/>
        <v>1.3438233870722593</v>
      </c>
      <c r="Q85" s="64">
        <f t="shared" si="15"/>
        <v>2.1983395011839471</v>
      </c>
      <c r="R85" s="64">
        <f t="shared" si="15"/>
        <v>1.9524278891051758</v>
      </c>
      <c r="S85" s="64">
        <f t="shared" si="15"/>
        <v>0</v>
      </c>
      <c r="T85" s="64">
        <f t="shared" si="15"/>
        <v>1.7784372040621432</v>
      </c>
      <c r="U85" s="64">
        <f t="shared" si="15"/>
        <v>0.19461356703923718</v>
      </c>
    </row>
    <row r="86" spans="1:21">
      <c r="C86" s="60"/>
      <c r="D86" s="60"/>
      <c r="E86" s="60"/>
      <c r="F86" s="60"/>
      <c r="G86" s="60"/>
      <c r="H86" s="60"/>
      <c r="I86" s="60"/>
      <c r="O86" s="64"/>
      <c r="P86" s="64"/>
      <c r="Q86" s="64"/>
      <c r="R86" s="64"/>
      <c r="S86" s="64"/>
      <c r="T86" s="64"/>
      <c r="U86" s="64"/>
    </row>
    <row r="87" spans="1:21">
      <c r="B87" s="55" t="s">
        <v>143</v>
      </c>
      <c r="C87" s="60" t="s">
        <v>1</v>
      </c>
      <c r="D87" s="60" t="s">
        <v>2</v>
      </c>
      <c r="E87" s="60" t="s">
        <v>3</v>
      </c>
      <c r="F87" s="60" t="s">
        <v>4</v>
      </c>
      <c r="G87" s="60" t="s">
        <v>5</v>
      </c>
      <c r="H87" s="60" t="s">
        <v>6</v>
      </c>
      <c r="I87" s="60" t="s">
        <v>7</v>
      </c>
      <c r="N87" s="55" t="s">
        <v>144</v>
      </c>
      <c r="O87" s="64" t="s">
        <v>1</v>
      </c>
      <c r="P87" s="64" t="s">
        <v>2</v>
      </c>
      <c r="Q87" s="64" t="s">
        <v>3</v>
      </c>
      <c r="R87" s="64" t="s">
        <v>4</v>
      </c>
      <c r="S87" s="64" t="s">
        <v>5</v>
      </c>
      <c r="T87" s="64" t="s">
        <v>6</v>
      </c>
      <c r="U87" s="64" t="s">
        <v>7</v>
      </c>
    </row>
    <row r="88" spans="1:21">
      <c r="A88" s="54" t="s">
        <v>139</v>
      </c>
      <c r="B88" s="54" t="s">
        <v>8</v>
      </c>
      <c r="C88" s="60">
        <f t="shared" ref="C88:I93" si="16">IFERROR(1/(C27*C$2*1.609)*100,0)*IF(LEN(O27)&gt;0,O27,1)</f>
        <v>150.53300928286313</v>
      </c>
      <c r="D88" s="60">
        <f t="shared" si="16"/>
        <v>18.603230769080316</v>
      </c>
      <c r="E88" s="60">
        <f t="shared" si="16"/>
        <v>19.976581674093666</v>
      </c>
      <c r="F88" s="60">
        <f t="shared" si="16"/>
        <v>25.047462468927261</v>
      </c>
      <c r="G88" s="60">
        <f t="shared" si="16"/>
        <v>0</v>
      </c>
      <c r="H88" s="60">
        <f t="shared" si="16"/>
        <v>32.506585278661291</v>
      </c>
      <c r="I88" s="60">
        <f t="shared" si="16"/>
        <v>0.22251108855645454</v>
      </c>
      <c r="M88" s="54" t="s">
        <v>139</v>
      </c>
      <c r="N88" s="54" t="s">
        <v>8</v>
      </c>
      <c r="O88" s="64">
        <f t="shared" ref="O88:U93" si="17">C88*($L27)</f>
        <v>150.53300928286313</v>
      </c>
      <c r="P88" s="64">
        <f t="shared" si="17"/>
        <v>18.603230769080316</v>
      </c>
      <c r="Q88" s="64">
        <f t="shared" si="17"/>
        <v>19.976581674093666</v>
      </c>
      <c r="R88" s="64">
        <f t="shared" si="17"/>
        <v>25.047462468927261</v>
      </c>
      <c r="S88" s="64">
        <f t="shared" si="17"/>
        <v>0</v>
      </c>
      <c r="T88" s="64">
        <f t="shared" si="17"/>
        <v>32.506585278661291</v>
      </c>
      <c r="U88" s="64">
        <f t="shared" si="17"/>
        <v>0.22251108855645454</v>
      </c>
    </row>
    <row r="89" spans="1:21">
      <c r="A89" s="54" t="s">
        <v>139</v>
      </c>
      <c r="B89" s="54" t="s">
        <v>9</v>
      </c>
      <c r="C89" s="60">
        <f t="shared" si="16"/>
        <v>8.201032923559854</v>
      </c>
      <c r="D89" s="60">
        <f t="shared" si="16"/>
        <v>2.6924591438333136</v>
      </c>
      <c r="E89" s="60">
        <f t="shared" si="16"/>
        <v>0.30742263071571035</v>
      </c>
      <c r="F89" s="60">
        <f t="shared" si="16"/>
        <v>2.6797740879299345</v>
      </c>
      <c r="G89" s="60">
        <f t="shared" si="16"/>
        <v>0</v>
      </c>
      <c r="H89" s="60">
        <f t="shared" si="16"/>
        <v>0.44584262306454575</v>
      </c>
      <c r="I89" s="60">
        <f t="shared" si="16"/>
        <v>0.16714523638757217</v>
      </c>
      <c r="M89" s="54" t="s">
        <v>139</v>
      </c>
      <c r="N89" s="54" t="s">
        <v>9</v>
      </c>
      <c r="O89" s="64">
        <f t="shared" si="17"/>
        <v>131.21652677695766</v>
      </c>
      <c r="P89" s="64">
        <f t="shared" si="17"/>
        <v>43.079346301333018</v>
      </c>
      <c r="Q89" s="64">
        <f t="shared" si="17"/>
        <v>4.9187620914513657</v>
      </c>
      <c r="R89" s="64">
        <f t="shared" si="17"/>
        <v>42.876385406878953</v>
      </c>
      <c r="S89" s="64">
        <f t="shared" si="17"/>
        <v>0</v>
      </c>
      <c r="T89" s="64">
        <f t="shared" si="17"/>
        <v>7.133481969032732</v>
      </c>
      <c r="U89" s="64">
        <f t="shared" si="17"/>
        <v>2.6743237822011547</v>
      </c>
    </row>
    <row r="90" spans="1:21">
      <c r="A90" s="54" t="s">
        <v>139</v>
      </c>
      <c r="B90" s="54" t="s">
        <v>10</v>
      </c>
      <c r="C90" s="60">
        <f t="shared" si="16"/>
        <v>49.875394641912479</v>
      </c>
      <c r="D90" s="60">
        <f t="shared" si="16"/>
        <v>11.212659671108829</v>
      </c>
      <c r="E90" s="60">
        <f t="shared" si="16"/>
        <v>18.342613252202103</v>
      </c>
      <c r="F90" s="60">
        <f t="shared" si="16"/>
        <v>16.29076384852393</v>
      </c>
      <c r="G90" s="60">
        <f t="shared" si="16"/>
        <v>0</v>
      </c>
      <c r="H90" s="60">
        <f t="shared" si="16"/>
        <v>0</v>
      </c>
      <c r="I90" s="60">
        <f t="shared" si="16"/>
        <v>1.3533372365574394</v>
      </c>
      <c r="M90" s="54" t="s">
        <v>139</v>
      </c>
      <c r="N90" s="54" t="s">
        <v>10</v>
      </c>
      <c r="O90" s="64">
        <f t="shared" si="17"/>
        <v>2094.7665749603243</v>
      </c>
      <c r="P90" s="64">
        <f t="shared" si="17"/>
        <v>470.93170618657081</v>
      </c>
      <c r="Q90" s="64">
        <f t="shared" si="17"/>
        <v>770.38975659248831</v>
      </c>
      <c r="R90" s="64">
        <f t="shared" si="17"/>
        <v>684.21208163800509</v>
      </c>
      <c r="S90" s="64">
        <f t="shared" si="17"/>
        <v>0</v>
      </c>
      <c r="T90" s="64">
        <f t="shared" si="17"/>
        <v>0</v>
      </c>
      <c r="U90" s="64">
        <f t="shared" si="17"/>
        <v>56.840163935412455</v>
      </c>
    </row>
    <row r="91" spans="1:21">
      <c r="A91" s="54" t="s">
        <v>139</v>
      </c>
      <c r="B91" s="54" t="s">
        <v>11</v>
      </c>
      <c r="C91" s="60">
        <f t="shared" si="16"/>
        <v>1.6350533324260712</v>
      </c>
      <c r="D91" s="60">
        <f t="shared" si="16"/>
        <v>0.36771831687484102</v>
      </c>
      <c r="E91" s="60">
        <f t="shared" si="16"/>
        <v>0.60154459958909112</v>
      </c>
      <c r="F91" s="60">
        <f t="shared" si="16"/>
        <v>0.53425435522848885</v>
      </c>
      <c r="G91" s="60">
        <f t="shared" si="16"/>
        <v>0</v>
      </c>
      <c r="H91" s="60">
        <f t="shared" si="16"/>
        <v>0</v>
      </c>
      <c r="I91" s="60">
        <f t="shared" si="16"/>
        <v>4.437384592943143E-2</v>
      </c>
      <c r="M91" s="54" t="s">
        <v>139</v>
      </c>
      <c r="N91" s="54" t="s">
        <v>11</v>
      </c>
      <c r="O91" s="64">
        <f t="shared" si="17"/>
        <v>5742.307303480362</v>
      </c>
      <c r="P91" s="64">
        <f t="shared" si="17"/>
        <v>1291.4267288644417</v>
      </c>
      <c r="Q91" s="64">
        <f t="shared" si="17"/>
        <v>2112.6246337568882</v>
      </c>
      <c r="R91" s="64">
        <f t="shared" si="17"/>
        <v>1876.3012955624529</v>
      </c>
      <c r="S91" s="64">
        <f t="shared" si="17"/>
        <v>0</v>
      </c>
      <c r="T91" s="64">
        <f t="shared" si="17"/>
        <v>0</v>
      </c>
      <c r="U91" s="64">
        <f t="shared" si="17"/>
        <v>155.84094690416319</v>
      </c>
    </row>
    <row r="92" spans="1:21">
      <c r="A92" s="54" t="s">
        <v>139</v>
      </c>
      <c r="B92" s="54" t="s">
        <v>12</v>
      </c>
      <c r="C92" s="60">
        <f t="shared" si="16"/>
        <v>1.1774075063494789</v>
      </c>
      <c r="D92" s="60">
        <f t="shared" si="16"/>
        <v>0.26488248589342911</v>
      </c>
      <c r="E92" s="60">
        <f t="shared" si="16"/>
        <v>0.43331708430820259</v>
      </c>
      <c r="F92" s="60">
        <f t="shared" si="16"/>
        <v>0.38484517963373588</v>
      </c>
      <c r="G92" s="60">
        <f t="shared" si="16"/>
        <v>0</v>
      </c>
      <c r="H92" s="60">
        <f t="shared" si="16"/>
        <v>0</v>
      </c>
      <c r="I92" s="60">
        <f t="shared" si="16"/>
        <v>3.1959002608454766E-2</v>
      </c>
      <c r="M92" s="54" t="s">
        <v>139</v>
      </c>
      <c r="N92" s="54" t="s">
        <v>12</v>
      </c>
      <c r="O92" s="64">
        <f t="shared" si="17"/>
        <v>2324.2024175338715</v>
      </c>
      <c r="P92" s="64">
        <f t="shared" si="17"/>
        <v>522.87802715362909</v>
      </c>
      <c r="Q92" s="64">
        <f t="shared" si="17"/>
        <v>855.36792442439196</v>
      </c>
      <c r="R92" s="64">
        <f t="shared" si="17"/>
        <v>759.68438459699462</v>
      </c>
      <c r="S92" s="64">
        <f t="shared" si="17"/>
        <v>0</v>
      </c>
      <c r="T92" s="64">
        <f t="shared" si="17"/>
        <v>0</v>
      </c>
      <c r="U92" s="64">
        <f t="shared" si="17"/>
        <v>63.087071149089709</v>
      </c>
    </row>
    <row r="93" spans="1:21">
      <c r="A93" s="54" t="s">
        <v>139</v>
      </c>
      <c r="B93" s="54" t="s">
        <v>13</v>
      </c>
      <c r="C93" s="60">
        <f t="shared" si="16"/>
        <v>0</v>
      </c>
      <c r="D93" s="60">
        <f t="shared" si="16"/>
        <v>0</v>
      </c>
      <c r="E93" s="60">
        <f t="shared" si="16"/>
        <v>0</v>
      </c>
      <c r="F93" s="60">
        <f t="shared" si="16"/>
        <v>0</v>
      </c>
      <c r="G93" s="60">
        <f t="shared" si="16"/>
        <v>0</v>
      </c>
      <c r="H93" s="60">
        <f t="shared" si="16"/>
        <v>0</v>
      </c>
      <c r="I93" s="60">
        <f t="shared" si="16"/>
        <v>0</v>
      </c>
      <c r="M93" s="54" t="s">
        <v>139</v>
      </c>
      <c r="N93" s="54" t="s">
        <v>13</v>
      </c>
      <c r="O93" s="64">
        <f t="shared" si="17"/>
        <v>0</v>
      </c>
      <c r="P93" s="64">
        <f t="shared" si="17"/>
        <v>0</v>
      </c>
      <c r="Q93" s="64">
        <f t="shared" si="17"/>
        <v>0</v>
      </c>
      <c r="R93" s="64">
        <f t="shared" si="17"/>
        <v>0</v>
      </c>
      <c r="S93" s="64">
        <f t="shared" si="17"/>
        <v>0</v>
      </c>
      <c r="T93" s="64">
        <f t="shared" si="17"/>
        <v>0</v>
      </c>
      <c r="U93" s="64">
        <f t="shared" si="17"/>
        <v>0</v>
      </c>
    </row>
    <row r="94" spans="1:21">
      <c r="C94" s="60"/>
      <c r="D94" s="60"/>
      <c r="E94" s="60"/>
      <c r="F94" s="60"/>
      <c r="G94" s="60"/>
      <c r="H94" s="60"/>
      <c r="I94" s="60"/>
      <c r="O94" s="64"/>
      <c r="P94" s="64"/>
      <c r="Q94" s="64"/>
      <c r="R94" s="64"/>
      <c r="S94" s="64"/>
      <c r="T94" s="64"/>
      <c r="U94" s="64"/>
    </row>
    <row r="95" spans="1:21">
      <c r="B95" s="54" t="s">
        <v>146</v>
      </c>
      <c r="C95" s="60" t="s">
        <v>1</v>
      </c>
      <c r="D95" s="60" t="s">
        <v>2</v>
      </c>
      <c r="E95" s="60" t="s">
        <v>3</v>
      </c>
      <c r="F95" s="60" t="s">
        <v>4</v>
      </c>
      <c r="G95" s="60" t="s">
        <v>5</v>
      </c>
      <c r="H95" s="60" t="s">
        <v>6</v>
      </c>
      <c r="I95" s="60" t="s">
        <v>7</v>
      </c>
      <c r="N95" s="55" t="s">
        <v>144</v>
      </c>
      <c r="O95" s="64" t="s">
        <v>1</v>
      </c>
      <c r="P95" s="64" t="s">
        <v>2</v>
      </c>
      <c r="Q95" s="64" t="s">
        <v>3</v>
      </c>
      <c r="R95" s="64" t="s">
        <v>4</v>
      </c>
      <c r="S95" s="64" t="s">
        <v>5</v>
      </c>
      <c r="T95" s="64" t="s">
        <v>6</v>
      </c>
      <c r="U95" s="64" t="s">
        <v>7</v>
      </c>
    </row>
    <row r="96" spans="1:21">
      <c r="A96" s="54" t="s">
        <v>140</v>
      </c>
      <c r="B96" s="54" t="s">
        <v>8</v>
      </c>
      <c r="C96" s="60">
        <f t="shared" ref="C96:I101" si="18">IFERROR(1/(C38*C$2*1.609)*100,0)*IF(LEN(O38)&gt;0,O38,1)</f>
        <v>13.978890347833032</v>
      </c>
      <c r="D96" s="60">
        <f t="shared" si="18"/>
        <v>3.9010997692933729</v>
      </c>
      <c r="E96" s="60">
        <f t="shared" si="18"/>
        <v>6.5894316801749735</v>
      </c>
      <c r="F96" s="60">
        <f t="shared" si="18"/>
        <v>4.709534323867711</v>
      </c>
      <c r="G96" s="60">
        <f t="shared" si="18"/>
        <v>0</v>
      </c>
      <c r="H96" s="60">
        <f t="shared" si="18"/>
        <v>4.7278029240310557</v>
      </c>
      <c r="I96" s="60">
        <f t="shared" si="18"/>
        <v>0.78577898461788986</v>
      </c>
      <c r="M96" s="54" t="s">
        <v>140</v>
      </c>
      <c r="N96" s="54" t="s">
        <v>8</v>
      </c>
      <c r="O96" s="64">
        <f t="shared" ref="O96:U101" si="19">C96*($L38)</f>
        <v>23.344746880881161</v>
      </c>
      <c r="P96" s="64">
        <f t="shared" si="19"/>
        <v>6.5148366147199326</v>
      </c>
      <c r="Q96" s="64">
        <f t="shared" si="19"/>
        <v>11.004350905892204</v>
      </c>
      <c r="R96" s="64">
        <f t="shared" si="19"/>
        <v>7.8649223208590771</v>
      </c>
      <c r="S96" s="64">
        <f t="shared" si="19"/>
        <v>0</v>
      </c>
      <c r="T96" s="64">
        <f t="shared" si="19"/>
        <v>7.8954308831318629</v>
      </c>
      <c r="U96" s="64">
        <f t="shared" si="19"/>
        <v>1.312250904311876</v>
      </c>
    </row>
    <row r="97" spans="1:21">
      <c r="A97" s="54" t="s">
        <v>140</v>
      </c>
      <c r="B97" s="54" t="s">
        <v>9</v>
      </c>
      <c r="C97" s="60">
        <f t="shared" si="18"/>
        <v>6.3420940540482027</v>
      </c>
      <c r="D97" s="60">
        <f t="shared" si="18"/>
        <v>1.6649855094750869</v>
      </c>
      <c r="E97" s="60">
        <f t="shared" si="18"/>
        <v>2.3344024253138334</v>
      </c>
      <c r="F97" s="60">
        <f t="shared" si="18"/>
        <v>2.0728064565545776</v>
      </c>
      <c r="G97" s="60">
        <f t="shared" si="18"/>
        <v>0</v>
      </c>
      <c r="H97" s="60">
        <f t="shared" si="18"/>
        <v>1.4623598122226764</v>
      </c>
      <c r="I97" s="60">
        <f t="shared" si="18"/>
        <v>0.17213278540324015</v>
      </c>
      <c r="M97" s="54" t="s">
        <v>140</v>
      </c>
      <c r="N97" s="54" t="s">
        <v>9</v>
      </c>
      <c r="O97" s="64">
        <f t="shared" si="19"/>
        <v>134.45239394582188</v>
      </c>
      <c r="P97" s="64">
        <f t="shared" si="19"/>
        <v>35.297692800871843</v>
      </c>
      <c r="Q97" s="64">
        <f t="shared" si="19"/>
        <v>49.489331416653265</v>
      </c>
      <c r="R97" s="64">
        <f t="shared" si="19"/>
        <v>43.943496878957042</v>
      </c>
      <c r="S97" s="64">
        <f t="shared" si="19"/>
        <v>0</v>
      </c>
      <c r="T97" s="64">
        <f t="shared" si="19"/>
        <v>31.00202801912074</v>
      </c>
      <c r="U97" s="64">
        <f t="shared" si="19"/>
        <v>3.6492150505486909</v>
      </c>
    </row>
    <row r="98" spans="1:21">
      <c r="A98" s="54" t="s">
        <v>140</v>
      </c>
      <c r="B98" s="54" t="s">
        <v>10</v>
      </c>
      <c r="C98" s="60">
        <f t="shared" si="18"/>
        <v>12.836148078383678</v>
      </c>
      <c r="D98" s="60">
        <f t="shared" si="18"/>
        <v>2.8882632637178838</v>
      </c>
      <c r="E98" s="60">
        <f t="shared" si="18"/>
        <v>4.7248643560837769</v>
      </c>
      <c r="F98" s="60">
        <f t="shared" si="18"/>
        <v>4.1963295187520862</v>
      </c>
      <c r="G98" s="60">
        <f t="shared" si="18"/>
        <v>0</v>
      </c>
      <c r="H98" s="60">
        <f t="shared" si="18"/>
        <v>0</v>
      </c>
      <c r="I98" s="60">
        <f t="shared" si="18"/>
        <v>0.34855588947589639</v>
      </c>
      <c r="M98" s="54" t="s">
        <v>140</v>
      </c>
      <c r="N98" s="54" t="s">
        <v>10</v>
      </c>
      <c r="O98" s="64">
        <f t="shared" si="19"/>
        <v>1429.8185344511578</v>
      </c>
      <c r="P98" s="64">
        <f t="shared" si="19"/>
        <v>321.72364494553506</v>
      </c>
      <c r="Q98" s="64">
        <f t="shared" si="19"/>
        <v>526.30264062417189</v>
      </c>
      <c r="R98" s="64">
        <f t="shared" si="19"/>
        <v>467.42914509379489</v>
      </c>
      <c r="S98" s="64">
        <f t="shared" si="19"/>
        <v>0</v>
      </c>
      <c r="T98" s="64">
        <f t="shared" si="19"/>
        <v>0</v>
      </c>
      <c r="U98" s="64">
        <f t="shared" si="19"/>
        <v>38.825640528720101</v>
      </c>
    </row>
    <row r="99" spans="1:21">
      <c r="A99" s="54" t="s">
        <v>140</v>
      </c>
      <c r="B99" s="54" t="s">
        <v>11</v>
      </c>
      <c r="C99" s="60">
        <f t="shared" si="18"/>
        <v>14.677271654493504</v>
      </c>
      <c r="D99" s="60">
        <f t="shared" si="18"/>
        <v>3.0039571267791563</v>
      </c>
      <c r="E99" s="60">
        <f t="shared" si="18"/>
        <v>4.9141261234104121</v>
      </c>
      <c r="F99" s="60">
        <f t="shared" si="18"/>
        <v>4.3644200037162362</v>
      </c>
      <c r="G99" s="60">
        <f t="shared" si="18"/>
        <v>0</v>
      </c>
      <c r="H99" s="60">
        <f t="shared" si="18"/>
        <v>0</v>
      </c>
      <c r="I99" s="60">
        <f t="shared" si="18"/>
        <v>0.36252002958844209</v>
      </c>
      <c r="M99" s="54" t="s">
        <v>140</v>
      </c>
      <c r="N99" s="54" t="s">
        <v>11</v>
      </c>
      <c r="O99" s="64">
        <f t="shared" si="19"/>
        <v>7141.5200689269041</v>
      </c>
      <c r="P99" s="64">
        <f t="shared" si="19"/>
        <v>1461.635419176934</v>
      </c>
      <c r="Q99" s="64">
        <f t="shared" si="19"/>
        <v>2391.0663478678043</v>
      </c>
      <c r="R99" s="64">
        <f t="shared" si="19"/>
        <v>2123.5958412082091</v>
      </c>
      <c r="S99" s="64">
        <f t="shared" si="19"/>
        <v>0</v>
      </c>
      <c r="T99" s="64">
        <f t="shared" si="19"/>
        <v>0</v>
      </c>
      <c r="U99" s="64">
        <f t="shared" si="19"/>
        <v>176.39137079684826</v>
      </c>
    </row>
    <row r="100" spans="1:21">
      <c r="A100" s="54" t="s">
        <v>140</v>
      </c>
      <c r="B100" s="54" t="s">
        <v>12</v>
      </c>
      <c r="C100" s="60">
        <f t="shared" si="18"/>
        <v>564.09086786083731</v>
      </c>
      <c r="D100" s="60">
        <f t="shared" si="18"/>
        <v>0</v>
      </c>
      <c r="E100" s="60">
        <f t="shared" si="18"/>
        <v>207.51792306222677</v>
      </c>
      <c r="F100" s="60">
        <f t="shared" si="18"/>
        <v>184.30446264449461</v>
      </c>
      <c r="G100" s="60">
        <f t="shared" si="18"/>
        <v>0</v>
      </c>
      <c r="H100" s="60">
        <f t="shared" si="18"/>
        <v>0</v>
      </c>
      <c r="I100" s="60">
        <f t="shared" si="18"/>
        <v>15.306401249289776</v>
      </c>
      <c r="M100" s="54" t="s">
        <v>140</v>
      </c>
      <c r="N100" s="54" t="s">
        <v>12</v>
      </c>
      <c r="O100" s="64">
        <f t="shared" si="19"/>
        <v>564.09086786083731</v>
      </c>
      <c r="P100" s="64">
        <f t="shared" si="19"/>
        <v>0</v>
      </c>
      <c r="Q100" s="64">
        <f t="shared" si="19"/>
        <v>207.51792306222677</v>
      </c>
      <c r="R100" s="64">
        <f t="shared" si="19"/>
        <v>184.30446264449461</v>
      </c>
      <c r="S100" s="64">
        <f t="shared" si="19"/>
        <v>0</v>
      </c>
      <c r="T100" s="64">
        <f t="shared" si="19"/>
        <v>0</v>
      </c>
      <c r="U100" s="64">
        <f t="shared" si="19"/>
        <v>15.306401249289776</v>
      </c>
    </row>
    <row r="101" spans="1:21">
      <c r="A101" s="54" t="s">
        <v>140</v>
      </c>
      <c r="B101" s="54" t="s">
        <v>13</v>
      </c>
      <c r="C101" s="60">
        <f t="shared" si="18"/>
        <v>5.1497014767391676</v>
      </c>
      <c r="D101" s="60">
        <f t="shared" si="18"/>
        <v>1.1475062147660431</v>
      </c>
      <c r="E101" s="60">
        <f t="shared" si="18"/>
        <v>1.8771873328311242</v>
      </c>
      <c r="F101" s="60">
        <f t="shared" si="18"/>
        <v>1.6672005846779212</v>
      </c>
      <c r="G101" s="60">
        <f t="shared" si="18"/>
        <v>0</v>
      </c>
      <c r="H101" s="60">
        <f t="shared" si="18"/>
        <v>1.5180817009783736</v>
      </c>
      <c r="I101" s="60">
        <f t="shared" si="18"/>
        <v>0.13850180001983398</v>
      </c>
      <c r="M101" s="54" t="s">
        <v>140</v>
      </c>
      <c r="N101" s="54" t="s">
        <v>13</v>
      </c>
      <c r="O101" s="64">
        <f t="shared" si="19"/>
        <v>6.5401208754587428</v>
      </c>
      <c r="P101" s="64">
        <f t="shared" si="19"/>
        <v>1.4573328927528748</v>
      </c>
      <c r="Q101" s="64">
        <f t="shared" si="19"/>
        <v>2.3840279126955277</v>
      </c>
      <c r="R101" s="64">
        <f t="shared" si="19"/>
        <v>2.1173447425409599</v>
      </c>
      <c r="S101" s="64">
        <f t="shared" si="19"/>
        <v>0</v>
      </c>
      <c r="T101" s="64">
        <f t="shared" si="19"/>
        <v>1.9279637602425346</v>
      </c>
      <c r="U101" s="64">
        <f t="shared" si="19"/>
        <v>0.17589728602518914</v>
      </c>
    </row>
    <row r="102" spans="1:21">
      <c r="C102" s="60"/>
      <c r="D102" s="60"/>
      <c r="E102" s="60"/>
      <c r="F102" s="60"/>
      <c r="G102" s="60"/>
      <c r="H102" s="60"/>
      <c r="I102" s="60"/>
      <c r="O102" s="64"/>
      <c r="P102" s="64"/>
      <c r="Q102" s="64"/>
      <c r="R102" s="64"/>
      <c r="S102" s="64"/>
      <c r="T102" s="64"/>
      <c r="U102" s="64"/>
    </row>
    <row r="103" spans="1:21">
      <c r="B103" s="55" t="s">
        <v>143</v>
      </c>
      <c r="C103" s="60" t="s">
        <v>1</v>
      </c>
      <c r="D103" s="60" t="s">
        <v>2</v>
      </c>
      <c r="E103" s="60" t="s">
        <v>3</v>
      </c>
      <c r="F103" s="60" t="s">
        <v>4</v>
      </c>
      <c r="G103" s="60" t="s">
        <v>5</v>
      </c>
      <c r="H103" s="60" t="s">
        <v>6</v>
      </c>
      <c r="I103" s="60" t="s">
        <v>7</v>
      </c>
      <c r="N103" s="55" t="s">
        <v>144</v>
      </c>
      <c r="O103" s="64" t="s">
        <v>1</v>
      </c>
      <c r="P103" s="64" t="s">
        <v>2</v>
      </c>
      <c r="Q103" s="64" t="s">
        <v>3</v>
      </c>
      <c r="R103" s="64" t="s">
        <v>4</v>
      </c>
      <c r="S103" s="64" t="s">
        <v>5</v>
      </c>
      <c r="T103" s="64" t="s">
        <v>6</v>
      </c>
      <c r="U103" s="64" t="s">
        <v>7</v>
      </c>
    </row>
    <row r="104" spans="1:21">
      <c r="A104" s="54" t="s">
        <v>141</v>
      </c>
      <c r="B104" s="54" t="s">
        <v>8</v>
      </c>
      <c r="C104" s="60">
        <f t="shared" ref="C104:I109" si="20">IFERROR(1/(C49*C$2*1.609)*100,0)*IF(LEN(O49)&gt;0,O49,1)</f>
        <v>15.667539419229046</v>
      </c>
      <c r="D104" s="60">
        <f t="shared" si="20"/>
        <v>8.1415973721150454</v>
      </c>
      <c r="E104" s="60">
        <f t="shared" si="20"/>
        <v>6.6621159288243108</v>
      </c>
      <c r="F104" s="60">
        <f t="shared" si="20"/>
        <v>6.3100523593334064</v>
      </c>
      <c r="G104" s="60">
        <f t="shared" si="20"/>
        <v>0</v>
      </c>
      <c r="H104" s="60">
        <f t="shared" si="20"/>
        <v>17.11840510408086</v>
      </c>
      <c r="I104" s="60">
        <f t="shared" si="20"/>
        <v>2.7817179947315109</v>
      </c>
      <c r="M104" s="54" t="s">
        <v>141</v>
      </c>
      <c r="N104" s="54" t="s">
        <v>8</v>
      </c>
      <c r="O104" s="65">
        <f t="shared" ref="O104:U109" si="21">C104*($L49)</f>
        <v>25.068063070766474</v>
      </c>
      <c r="P104" s="65">
        <f t="shared" si="21"/>
        <v>13.026555795384073</v>
      </c>
      <c r="Q104" s="65">
        <f t="shared" si="21"/>
        <v>10.659385486118898</v>
      </c>
      <c r="R104" s="65">
        <f t="shared" si="21"/>
        <v>10.096083774933451</v>
      </c>
      <c r="S104" s="65">
        <f t="shared" si="21"/>
        <v>0</v>
      </c>
      <c r="T104" s="65">
        <f t="shared" si="21"/>
        <v>27.389448166529377</v>
      </c>
      <c r="U104" s="65">
        <f t="shared" si="21"/>
        <v>4.450748791570418</v>
      </c>
    </row>
    <row r="105" spans="1:21">
      <c r="A105" s="54" t="s">
        <v>141</v>
      </c>
      <c r="B105" s="54" t="s">
        <v>9</v>
      </c>
      <c r="C105" s="60">
        <f t="shared" si="20"/>
        <v>13.090533785341574</v>
      </c>
      <c r="D105" s="60">
        <f t="shared" si="20"/>
        <v>3.185615647974434</v>
      </c>
      <c r="E105" s="60">
        <f t="shared" si="20"/>
        <v>3.4221810996420645</v>
      </c>
      <c r="F105" s="60">
        <f t="shared" si="20"/>
        <v>3.1690333834743019</v>
      </c>
      <c r="G105" s="60">
        <f t="shared" si="20"/>
        <v>0</v>
      </c>
      <c r="H105" s="60">
        <f t="shared" si="20"/>
        <v>2.6353334173387646</v>
      </c>
      <c r="I105" s="60">
        <f t="shared" si="20"/>
        <v>1.1712496819922151</v>
      </c>
      <c r="M105" s="54" t="s">
        <v>141</v>
      </c>
      <c r="N105" s="54" t="s">
        <v>9</v>
      </c>
      <c r="O105" s="65">
        <f t="shared" si="21"/>
        <v>133.1307285969238</v>
      </c>
      <c r="P105" s="65">
        <f t="shared" si="21"/>
        <v>32.397711139899997</v>
      </c>
      <c r="Q105" s="65">
        <f t="shared" si="21"/>
        <v>34.803581783359796</v>
      </c>
      <c r="R105" s="65">
        <f t="shared" si="21"/>
        <v>32.229069509933652</v>
      </c>
      <c r="S105" s="65">
        <f t="shared" si="21"/>
        <v>0</v>
      </c>
      <c r="T105" s="65">
        <f t="shared" si="21"/>
        <v>26.801340854335237</v>
      </c>
      <c r="U105" s="65">
        <f t="shared" si="21"/>
        <v>11.911609265860827</v>
      </c>
    </row>
    <row r="106" spans="1:21">
      <c r="A106" s="54" t="s">
        <v>141</v>
      </c>
      <c r="B106" s="54" t="s">
        <v>10</v>
      </c>
      <c r="C106" s="60">
        <f t="shared" si="20"/>
        <v>1095.7596578692676</v>
      </c>
      <c r="D106" s="60">
        <f t="shared" si="20"/>
        <v>23.866702601534875</v>
      </c>
      <c r="E106" s="60">
        <f t="shared" si="20"/>
        <v>39.043162663117528</v>
      </c>
      <c r="F106" s="60">
        <f t="shared" si="20"/>
        <v>34.675699372770396</v>
      </c>
      <c r="G106" s="60">
        <f t="shared" si="20"/>
        <v>0</v>
      </c>
      <c r="H106" s="60">
        <f t="shared" si="20"/>
        <v>0</v>
      </c>
      <c r="I106" s="60">
        <f t="shared" si="20"/>
        <v>25.918208627473049</v>
      </c>
      <c r="M106" s="54" t="s">
        <v>141</v>
      </c>
      <c r="N106" s="54" t="s">
        <v>10</v>
      </c>
      <c r="O106" s="65">
        <f t="shared" si="21"/>
        <v>30045.729818775319</v>
      </c>
      <c r="P106" s="65">
        <f t="shared" si="21"/>
        <v>654.42498533408627</v>
      </c>
      <c r="Q106" s="65">
        <f t="shared" si="21"/>
        <v>1070.5635202226827</v>
      </c>
      <c r="R106" s="65">
        <f t="shared" si="21"/>
        <v>950.80767680136432</v>
      </c>
      <c r="S106" s="65">
        <f t="shared" si="21"/>
        <v>0</v>
      </c>
      <c r="T106" s="65">
        <f t="shared" si="21"/>
        <v>0</v>
      </c>
      <c r="U106" s="65">
        <f t="shared" si="21"/>
        <v>710.67728056531109</v>
      </c>
    </row>
    <row r="107" spans="1:21">
      <c r="A107" s="54" t="s">
        <v>141</v>
      </c>
      <c r="B107" s="54" t="s">
        <v>11</v>
      </c>
      <c r="C107" s="60">
        <f t="shared" si="20"/>
        <v>1.9270084270949921</v>
      </c>
      <c r="D107" s="60">
        <f t="shared" si="20"/>
        <v>0.20146078469494835</v>
      </c>
      <c r="E107" s="60">
        <f t="shared" si="20"/>
        <v>0.329566522799774</v>
      </c>
      <c r="F107" s="60">
        <f t="shared" si="20"/>
        <v>0.29270040868717218</v>
      </c>
      <c r="G107" s="60">
        <f t="shared" si="20"/>
        <v>0</v>
      </c>
      <c r="H107" s="60">
        <f t="shared" si="20"/>
        <v>0</v>
      </c>
      <c r="I107" s="60">
        <f t="shared" si="20"/>
        <v>0.21877771450683373</v>
      </c>
      <c r="M107" s="54" t="s">
        <v>141</v>
      </c>
      <c r="N107" s="54" t="s">
        <v>11</v>
      </c>
      <c r="O107" s="65">
        <f t="shared" si="21"/>
        <v>7708.0337083799686</v>
      </c>
      <c r="P107" s="65">
        <f t="shared" si="21"/>
        <v>805.84313877979343</v>
      </c>
      <c r="Q107" s="65">
        <f t="shared" si="21"/>
        <v>1318.2660911990961</v>
      </c>
      <c r="R107" s="65">
        <f t="shared" si="21"/>
        <v>1170.8016347486887</v>
      </c>
      <c r="S107" s="65">
        <f t="shared" si="21"/>
        <v>0</v>
      </c>
      <c r="T107" s="65">
        <f t="shared" si="21"/>
        <v>0</v>
      </c>
      <c r="U107" s="65">
        <f t="shared" si="21"/>
        <v>875.11085802733487</v>
      </c>
    </row>
    <row r="108" spans="1:21">
      <c r="A108" s="54" t="s">
        <v>141</v>
      </c>
      <c r="B108" s="54" t="s">
        <v>12</v>
      </c>
      <c r="C108" s="60">
        <f t="shared" si="20"/>
        <v>1.1759120372051595</v>
      </c>
      <c r="D108" s="60">
        <f t="shared" si="20"/>
        <v>0.26448540060260117</v>
      </c>
      <c r="E108" s="60">
        <f t="shared" si="20"/>
        <v>0.43266749873872701</v>
      </c>
      <c r="F108" s="60">
        <f t="shared" si="20"/>
        <v>0.38426825828854716</v>
      </c>
      <c r="G108" s="60">
        <f t="shared" si="20"/>
        <v>0</v>
      </c>
      <c r="H108" s="60">
        <f t="shared" si="20"/>
        <v>0</v>
      </c>
      <c r="I108" s="60">
        <f t="shared" si="20"/>
        <v>3.1913302935456196E-2</v>
      </c>
      <c r="M108" s="54" t="s">
        <v>141</v>
      </c>
      <c r="N108" s="54" t="s">
        <v>12</v>
      </c>
      <c r="O108" s="65">
        <f t="shared" si="21"/>
        <v>2655.2093800092503</v>
      </c>
      <c r="P108" s="65">
        <f t="shared" si="21"/>
        <v>597.20803456067347</v>
      </c>
      <c r="Q108" s="65">
        <f t="shared" si="21"/>
        <v>976.96321215204557</v>
      </c>
      <c r="R108" s="65">
        <f t="shared" si="21"/>
        <v>867.67772721553945</v>
      </c>
      <c r="S108" s="65">
        <f t="shared" si="21"/>
        <v>0</v>
      </c>
      <c r="T108" s="65">
        <f t="shared" si="21"/>
        <v>0</v>
      </c>
      <c r="U108" s="65">
        <f t="shared" si="21"/>
        <v>72.060238028260088</v>
      </c>
    </row>
    <row r="109" spans="1:21">
      <c r="A109" s="54" t="s">
        <v>141</v>
      </c>
      <c r="B109" s="54" t="s">
        <v>13</v>
      </c>
      <c r="C109" s="60">
        <f t="shared" si="20"/>
        <v>0</v>
      </c>
      <c r="D109" s="60">
        <f t="shared" si="20"/>
        <v>0</v>
      </c>
      <c r="E109" s="60">
        <f t="shared" si="20"/>
        <v>0</v>
      </c>
      <c r="F109" s="60">
        <f t="shared" si="20"/>
        <v>0</v>
      </c>
      <c r="G109" s="60">
        <f t="shared" si="20"/>
        <v>0</v>
      </c>
      <c r="H109" s="60">
        <f t="shared" si="20"/>
        <v>0</v>
      </c>
      <c r="I109" s="60">
        <f t="shared" si="20"/>
        <v>0</v>
      </c>
      <c r="M109" s="54" t="s">
        <v>141</v>
      </c>
      <c r="N109" s="54" t="s">
        <v>13</v>
      </c>
      <c r="O109" s="65">
        <f t="shared" si="21"/>
        <v>0</v>
      </c>
      <c r="P109" s="65">
        <f t="shared" si="21"/>
        <v>0</v>
      </c>
      <c r="Q109" s="65">
        <f t="shared" si="21"/>
        <v>0</v>
      </c>
      <c r="R109" s="65">
        <f t="shared" si="21"/>
        <v>0</v>
      </c>
      <c r="S109" s="65">
        <f t="shared" si="21"/>
        <v>0</v>
      </c>
      <c r="T109" s="65">
        <f t="shared" si="21"/>
        <v>0</v>
      </c>
      <c r="U109" s="65">
        <f t="shared" si="21"/>
        <v>0</v>
      </c>
    </row>
    <row r="110" spans="1:21">
      <c r="C110" s="60"/>
      <c r="D110" s="60"/>
      <c r="E110" s="60"/>
      <c r="F110" s="60"/>
      <c r="G110" s="60"/>
      <c r="H110" s="60"/>
      <c r="I110" s="60"/>
      <c r="O110" s="64"/>
      <c r="P110" s="64"/>
      <c r="Q110" s="64"/>
      <c r="R110" s="64"/>
      <c r="S110" s="64"/>
      <c r="T110" s="64"/>
      <c r="U110" s="64"/>
    </row>
    <row r="111" spans="1:21" s="55" customFormat="1" ht="38.75">
      <c r="B111" s="54" t="s">
        <v>146</v>
      </c>
      <c r="C111" s="61" t="s">
        <v>1</v>
      </c>
      <c r="D111" s="61" t="s">
        <v>2</v>
      </c>
      <c r="E111" s="61" t="s">
        <v>3</v>
      </c>
      <c r="F111" s="61" t="s">
        <v>4</v>
      </c>
      <c r="G111" s="61" t="s">
        <v>5</v>
      </c>
      <c r="H111" s="61" t="s">
        <v>6</v>
      </c>
      <c r="I111" s="61" t="s">
        <v>7</v>
      </c>
      <c r="N111" s="55" t="s">
        <v>144</v>
      </c>
      <c r="O111" s="66" t="s">
        <v>1</v>
      </c>
      <c r="P111" s="66" t="s">
        <v>2</v>
      </c>
      <c r="Q111" s="66" t="s">
        <v>3</v>
      </c>
      <c r="R111" s="66" t="s">
        <v>4</v>
      </c>
      <c r="S111" s="66" t="s">
        <v>5</v>
      </c>
      <c r="T111" s="66" t="s">
        <v>6</v>
      </c>
      <c r="U111" s="66" t="s">
        <v>7</v>
      </c>
    </row>
    <row r="112" spans="1:21">
      <c r="A112" s="54" t="s">
        <v>142</v>
      </c>
      <c r="B112" s="54" t="s">
        <v>8</v>
      </c>
      <c r="C112" s="60">
        <f t="shared" ref="C112:I117" si="22">IFERROR(1/(C60*C$2*1.609)*100,0)*IF(LEN(O60)&gt;0,O60,1)</f>
        <v>12.010332203830254</v>
      </c>
      <c r="D112" s="60">
        <f t="shared" si="22"/>
        <v>3.4921489971964723</v>
      </c>
      <c r="E112" s="60">
        <f t="shared" si="22"/>
        <v>6.3619190195563942</v>
      </c>
      <c r="F112" s="60">
        <f t="shared" si="22"/>
        <v>4.838921318472285</v>
      </c>
      <c r="G112" s="60">
        <f t="shared" si="22"/>
        <v>0</v>
      </c>
      <c r="H112" s="60">
        <f t="shared" si="22"/>
        <v>3.8439532419343272</v>
      </c>
      <c r="I112" s="60">
        <f t="shared" si="22"/>
        <v>0.7995357110605531</v>
      </c>
      <c r="M112" s="54" t="s">
        <v>142</v>
      </c>
      <c r="N112" s="54" t="s">
        <v>8</v>
      </c>
      <c r="O112" s="65">
        <f t="shared" ref="O112:U117" si="23">C112*($L60)</f>
        <v>15.012915254787817</v>
      </c>
      <c r="P112" s="65">
        <f t="shared" si="23"/>
        <v>4.3651862464955906</v>
      </c>
      <c r="Q112" s="65">
        <f t="shared" si="23"/>
        <v>7.9523987744454931</v>
      </c>
      <c r="R112" s="65">
        <f t="shared" si="23"/>
        <v>6.048651648090356</v>
      </c>
      <c r="S112" s="65">
        <f t="shared" si="23"/>
        <v>0</v>
      </c>
      <c r="T112" s="65">
        <f t="shared" si="23"/>
        <v>4.8049415524179091</v>
      </c>
      <c r="U112" s="65">
        <f t="shared" si="23"/>
        <v>0.9994196388256914</v>
      </c>
    </row>
    <row r="113" spans="1:21">
      <c r="A113" s="54" t="s">
        <v>142</v>
      </c>
      <c r="B113" s="54" t="s">
        <v>9</v>
      </c>
      <c r="C113" s="60">
        <f t="shared" si="22"/>
        <v>2.5391398953583688</v>
      </c>
      <c r="D113" s="60">
        <f t="shared" si="22"/>
        <v>0.43836615395453327</v>
      </c>
      <c r="E113" s="60">
        <f t="shared" si="22"/>
        <v>0.92260836127790857</v>
      </c>
      <c r="F113" s="60">
        <f t="shared" si="22"/>
        <v>0.7017194210479889</v>
      </c>
      <c r="G113" s="60">
        <f t="shared" si="22"/>
        <v>0</v>
      </c>
      <c r="H113" s="60">
        <f t="shared" si="22"/>
        <v>1.4537143636807985</v>
      </c>
      <c r="I113" s="60">
        <f t="shared" si="22"/>
        <v>0.31496885993478041</v>
      </c>
      <c r="M113" s="54" t="s">
        <v>142</v>
      </c>
      <c r="N113" s="54" t="s">
        <v>9</v>
      </c>
      <c r="O113" s="65">
        <f t="shared" si="23"/>
        <v>61.421794068718945</v>
      </c>
      <c r="P113" s="65">
        <f t="shared" si="23"/>
        <v>10.604077264160161</v>
      </c>
      <c r="Q113" s="65">
        <f t="shared" si="23"/>
        <v>22.317896259312608</v>
      </c>
      <c r="R113" s="65">
        <f t="shared" si="23"/>
        <v>16.974592795150851</v>
      </c>
      <c r="S113" s="65">
        <f t="shared" si="23"/>
        <v>0</v>
      </c>
      <c r="T113" s="65">
        <f t="shared" si="23"/>
        <v>35.165350457438521</v>
      </c>
      <c r="U113" s="65">
        <f t="shared" si="23"/>
        <v>7.6190967218223387</v>
      </c>
    </row>
    <row r="114" spans="1:21">
      <c r="A114" s="54" t="s">
        <v>142</v>
      </c>
      <c r="B114" s="54" t="s">
        <v>10</v>
      </c>
      <c r="C114" s="60">
        <f t="shared" si="22"/>
        <v>11.672348301629077</v>
      </c>
      <c r="D114" s="60">
        <f t="shared" si="22"/>
        <v>2.6253372861688362</v>
      </c>
      <c r="E114" s="60">
        <f t="shared" si="22"/>
        <v>4.2947478929429277</v>
      </c>
      <c r="F114" s="60">
        <f t="shared" si="22"/>
        <v>3.8143269310047438</v>
      </c>
      <c r="G114" s="60">
        <f t="shared" si="22"/>
        <v>0</v>
      </c>
      <c r="H114" s="60">
        <f t="shared" si="22"/>
        <v>0</v>
      </c>
      <c r="I114" s="60">
        <f t="shared" si="22"/>
        <v>2.8510029490220354</v>
      </c>
      <c r="M114" s="54" t="s">
        <v>142</v>
      </c>
      <c r="N114" s="54" t="s">
        <v>10</v>
      </c>
      <c r="O114" s="64">
        <f t="shared" si="23"/>
        <v>1634.1287622280709</v>
      </c>
      <c r="P114" s="64">
        <f t="shared" si="23"/>
        <v>367.54722006363704</v>
      </c>
      <c r="Q114" s="64">
        <f t="shared" si="23"/>
        <v>601.26470501200993</v>
      </c>
      <c r="R114" s="64">
        <f t="shared" si="23"/>
        <v>534.00577034066418</v>
      </c>
      <c r="S114" s="64">
        <f t="shared" si="23"/>
        <v>0</v>
      </c>
      <c r="T114" s="64">
        <f t="shared" si="23"/>
        <v>0</v>
      </c>
      <c r="U114" s="64">
        <f t="shared" si="23"/>
        <v>399.14041286308498</v>
      </c>
    </row>
    <row r="115" spans="1:21">
      <c r="A115" s="54" t="s">
        <v>142</v>
      </c>
      <c r="B115" s="54" t="s">
        <v>11</v>
      </c>
      <c r="C115" s="60">
        <f t="shared" si="22"/>
        <v>4.0890281387039709</v>
      </c>
      <c r="D115" s="60">
        <f t="shared" si="22"/>
        <v>0.26121610218921271</v>
      </c>
      <c r="E115" s="60">
        <f t="shared" si="22"/>
        <v>0.42731930498614751</v>
      </c>
      <c r="F115" s="60">
        <f t="shared" si="22"/>
        <v>0.37951832651811307</v>
      </c>
      <c r="G115" s="60">
        <f t="shared" si="22"/>
        <v>0</v>
      </c>
      <c r="H115" s="60">
        <f t="shared" si="22"/>
        <v>0</v>
      </c>
      <c r="I115" s="60">
        <f t="shared" si="22"/>
        <v>0.28366940948767416</v>
      </c>
      <c r="M115" s="54" t="s">
        <v>142</v>
      </c>
      <c r="N115" s="54" t="s">
        <v>11</v>
      </c>
      <c r="O115" s="64">
        <f t="shared" si="23"/>
        <v>4710.5604157869748</v>
      </c>
      <c r="P115" s="64">
        <f t="shared" si="23"/>
        <v>300.92094972197305</v>
      </c>
      <c r="Q115" s="64">
        <f t="shared" si="23"/>
        <v>492.27183934404195</v>
      </c>
      <c r="R115" s="64">
        <f t="shared" si="23"/>
        <v>437.20511214886625</v>
      </c>
      <c r="S115" s="64">
        <f t="shared" si="23"/>
        <v>0</v>
      </c>
      <c r="T115" s="64">
        <f t="shared" si="23"/>
        <v>0</v>
      </c>
      <c r="U115" s="64">
        <f t="shared" si="23"/>
        <v>326.78715972980063</v>
      </c>
    </row>
    <row r="116" spans="1:21">
      <c r="A116" s="54" t="s">
        <v>142</v>
      </c>
      <c r="B116" s="54" t="s">
        <v>12</v>
      </c>
      <c r="C116" s="60">
        <f t="shared" si="22"/>
        <v>9.8745732436734546</v>
      </c>
      <c r="D116" s="60">
        <f t="shared" si="22"/>
        <v>2.2209828435296926</v>
      </c>
      <c r="E116" s="60">
        <f t="shared" si="22"/>
        <v>0</v>
      </c>
      <c r="F116" s="60">
        <f t="shared" si="22"/>
        <v>3.2268443060652867</v>
      </c>
      <c r="G116" s="60">
        <f t="shared" si="22"/>
        <v>0</v>
      </c>
      <c r="H116" s="60">
        <f t="shared" si="22"/>
        <v>0</v>
      </c>
      <c r="I116" s="60">
        <f t="shared" si="22"/>
        <v>0.2679879423912408</v>
      </c>
      <c r="M116" s="54" t="s">
        <v>142</v>
      </c>
      <c r="N116" s="54" t="s">
        <v>12</v>
      </c>
      <c r="O116" s="64">
        <f t="shared" si="23"/>
        <v>4453.4325328967279</v>
      </c>
      <c r="P116" s="64">
        <f t="shared" si="23"/>
        <v>1001.6632624318913</v>
      </c>
      <c r="Q116" s="64">
        <f t="shared" si="23"/>
        <v>0</v>
      </c>
      <c r="R116" s="64">
        <f t="shared" si="23"/>
        <v>1455.3067820354443</v>
      </c>
      <c r="S116" s="64">
        <f t="shared" si="23"/>
        <v>0</v>
      </c>
      <c r="T116" s="64">
        <f t="shared" si="23"/>
        <v>0</v>
      </c>
      <c r="U116" s="64">
        <f t="shared" si="23"/>
        <v>120.86256201844959</v>
      </c>
    </row>
    <row r="117" spans="1:21">
      <c r="A117" s="54" t="s">
        <v>142</v>
      </c>
      <c r="B117" s="54" t="s">
        <v>13</v>
      </c>
      <c r="C117" s="60">
        <f t="shared" si="22"/>
        <v>1.2158427269256551</v>
      </c>
      <c r="D117" s="60">
        <f t="shared" si="22"/>
        <v>2.1678096898632226</v>
      </c>
      <c r="E117" s="60">
        <f>IFERROR(1/(E65*E$2*1.609)*100,0)*IF(LEN(Q65)&gt;0,Q65,1)</f>
        <v>3.5462857084651933</v>
      </c>
      <c r="F117" s="60">
        <f t="shared" si="22"/>
        <v>3.1495895498459645</v>
      </c>
      <c r="G117" s="60">
        <f t="shared" si="22"/>
        <v>0</v>
      </c>
      <c r="H117" s="60">
        <f t="shared" si="22"/>
        <v>7.1678310094008449E-2</v>
      </c>
      <c r="I117" s="60">
        <f t="shared" si="22"/>
        <v>6.5392992563482492E-3</v>
      </c>
      <c r="M117" s="54" t="s">
        <v>142</v>
      </c>
      <c r="N117" s="54" t="s">
        <v>13</v>
      </c>
      <c r="O117" s="60">
        <f>C117*($L65)</f>
        <v>1.2158427269256551</v>
      </c>
      <c r="P117" s="60">
        <f t="shared" si="23"/>
        <v>2.1678096898632226</v>
      </c>
      <c r="Q117" s="60">
        <f t="shared" si="23"/>
        <v>3.5462857084651933</v>
      </c>
      <c r="R117" s="60">
        <f t="shared" si="23"/>
        <v>3.1495895498459645</v>
      </c>
      <c r="S117" s="60">
        <f t="shared" si="23"/>
        <v>0</v>
      </c>
      <c r="T117" s="60">
        <f t="shared" si="23"/>
        <v>7.1678310094008449E-2</v>
      </c>
      <c r="U117" s="60">
        <f t="shared" si="23"/>
        <v>6.5392992563482492E-3</v>
      </c>
    </row>
    <row r="120" spans="1:21">
      <c r="F120" s="54">
        <f>F107*1.2</f>
        <v>0.35124049042460659</v>
      </c>
    </row>
    <row r="121" spans="1:21">
      <c r="C121" s="54" t="s">
        <v>148</v>
      </c>
    </row>
    <row r="122" spans="1:21">
      <c r="A122" s="54" t="s">
        <v>147</v>
      </c>
      <c r="B122" s="54" t="s">
        <v>8</v>
      </c>
      <c r="C122" s="56"/>
    </row>
    <row r="123" spans="1:21">
      <c r="A123" s="54" t="s">
        <v>140</v>
      </c>
      <c r="B123" s="54" t="s">
        <v>8</v>
      </c>
      <c r="C123" s="56"/>
    </row>
    <row r="124" spans="1:21">
      <c r="A124" s="54" t="s">
        <v>142</v>
      </c>
      <c r="B124" s="54" t="s">
        <v>8</v>
      </c>
      <c r="C124" s="56"/>
    </row>
    <row r="126" spans="1:21">
      <c r="A126" s="54" t="s">
        <v>147</v>
      </c>
      <c r="B126" s="54" t="s">
        <v>8</v>
      </c>
    </row>
    <row r="127" spans="1:21">
      <c r="A127" s="54" t="s">
        <v>140</v>
      </c>
      <c r="B127" s="54" t="s">
        <v>8</v>
      </c>
    </row>
    <row r="128" spans="1:21">
      <c r="A128" s="54" t="s">
        <v>142</v>
      </c>
      <c r="B128" s="54" t="s">
        <v>8</v>
      </c>
    </row>
    <row r="130" spans="1:2">
      <c r="A130" s="54" t="s">
        <v>147</v>
      </c>
      <c r="B130" s="54" t="s">
        <v>8</v>
      </c>
    </row>
    <row r="131" spans="1:2">
      <c r="A131" s="54" t="s">
        <v>140</v>
      </c>
      <c r="B131" s="54" t="s">
        <v>8</v>
      </c>
    </row>
    <row r="132" spans="1:2">
      <c r="A132" s="54" t="s">
        <v>142</v>
      </c>
      <c r="B132" s="54" t="s">
        <v>8</v>
      </c>
    </row>
    <row r="134" spans="1:2">
      <c r="A134" s="54" t="s">
        <v>147</v>
      </c>
      <c r="B134" s="54" t="s">
        <v>8</v>
      </c>
    </row>
    <row r="135" spans="1:2">
      <c r="A135" s="54" t="s">
        <v>140</v>
      </c>
      <c r="B135" s="54" t="s">
        <v>8</v>
      </c>
    </row>
    <row r="136" spans="1:2">
      <c r="A136" s="54" t="s">
        <v>142</v>
      </c>
      <c r="B136" s="54" t="s">
        <v>8</v>
      </c>
    </row>
    <row r="138" spans="1:2">
      <c r="A138" s="54" t="s">
        <v>147</v>
      </c>
      <c r="B138" s="54" t="s">
        <v>8</v>
      </c>
    </row>
    <row r="139" spans="1:2">
      <c r="A139" s="54" t="s">
        <v>140</v>
      </c>
      <c r="B139" s="54" t="s">
        <v>8</v>
      </c>
    </row>
    <row r="140" spans="1:2">
      <c r="A140" s="54" t="s">
        <v>142</v>
      </c>
      <c r="B140" s="54" t="s">
        <v>8</v>
      </c>
    </row>
    <row r="161" spans="1:2">
      <c r="A161" s="54" t="s">
        <v>147</v>
      </c>
      <c r="B161" s="54" t="s">
        <v>10</v>
      </c>
    </row>
    <row r="162" spans="1:2">
      <c r="A162" s="54" t="s">
        <v>140</v>
      </c>
      <c r="B162" s="54" t="s">
        <v>10</v>
      </c>
    </row>
    <row r="163" spans="1:2">
      <c r="A163" s="54" t="s">
        <v>142</v>
      </c>
      <c r="B163" s="54" t="s">
        <v>10</v>
      </c>
    </row>
    <row r="164" spans="1:2">
      <c r="A164" s="54" t="s">
        <v>147</v>
      </c>
      <c r="B164" s="54" t="s">
        <v>9</v>
      </c>
    </row>
    <row r="165" spans="1:2">
      <c r="A165" s="54" t="s">
        <v>140</v>
      </c>
      <c r="B165" s="54" t="s">
        <v>9</v>
      </c>
    </row>
    <row r="166" spans="1:2">
      <c r="A166" s="54" t="s">
        <v>142</v>
      </c>
      <c r="B166" s="54" t="s">
        <v>9</v>
      </c>
    </row>
    <row r="167" spans="1:2">
      <c r="A167" s="54" t="s">
        <v>147</v>
      </c>
      <c r="B167" s="54" t="s">
        <v>8</v>
      </c>
    </row>
    <row r="168" spans="1:2">
      <c r="A168" s="54" t="s">
        <v>140</v>
      </c>
      <c r="B168" s="54" t="s">
        <v>8</v>
      </c>
    </row>
    <row r="169" spans="1:2">
      <c r="A169" s="54" t="s">
        <v>142</v>
      </c>
      <c r="B169" s="54" t="s">
        <v>8</v>
      </c>
    </row>
    <row r="170" spans="1:2">
      <c r="A170" s="54" t="s">
        <v>147</v>
      </c>
      <c r="B170" s="54" t="s">
        <v>13</v>
      </c>
    </row>
    <row r="171" spans="1:2">
      <c r="A171" s="54" t="s">
        <v>140</v>
      </c>
      <c r="B171" s="54" t="s">
        <v>13</v>
      </c>
    </row>
    <row r="172" spans="1:2">
      <c r="A172" s="54" t="s">
        <v>142</v>
      </c>
      <c r="B172" s="54" t="s">
        <v>13</v>
      </c>
    </row>
    <row r="173" spans="1:2">
      <c r="A173" s="54" t="s">
        <v>147</v>
      </c>
      <c r="B173" s="54" t="s">
        <v>11</v>
      </c>
    </row>
    <row r="174" spans="1:2">
      <c r="A174" s="54" t="s">
        <v>140</v>
      </c>
      <c r="B174" s="54" t="s">
        <v>11</v>
      </c>
    </row>
    <row r="175" spans="1:2">
      <c r="A175" s="54" t="s">
        <v>142</v>
      </c>
      <c r="B175" s="54" t="s">
        <v>11</v>
      </c>
    </row>
    <row r="176" spans="1:2">
      <c r="A176" s="54" t="s">
        <v>147</v>
      </c>
      <c r="B176" s="54" t="s">
        <v>12</v>
      </c>
    </row>
    <row r="177" spans="1:2">
      <c r="A177" s="54" t="s">
        <v>140</v>
      </c>
      <c r="B177" s="54" t="s">
        <v>12</v>
      </c>
    </row>
    <row r="178" spans="1:2">
      <c r="A178" s="54" t="s">
        <v>142</v>
      </c>
      <c r="B178" s="54" t="s">
        <v>12</v>
      </c>
    </row>
    <row r="179" spans="1:2">
      <c r="A179" s="54" t="s">
        <v>145</v>
      </c>
      <c r="B179" s="54" t="s">
        <v>10</v>
      </c>
    </row>
    <row r="180" spans="1:2">
      <c r="A180" s="54" t="s">
        <v>139</v>
      </c>
      <c r="B180" s="54" t="s">
        <v>10</v>
      </c>
    </row>
    <row r="181" spans="1:2">
      <c r="A181" s="54" t="s">
        <v>141</v>
      </c>
      <c r="B181" s="54" t="s">
        <v>10</v>
      </c>
    </row>
    <row r="182" spans="1:2">
      <c r="A182" s="54" t="s">
        <v>145</v>
      </c>
      <c r="B182" s="54" t="s">
        <v>9</v>
      </c>
    </row>
    <row r="183" spans="1:2">
      <c r="A183" s="54" t="s">
        <v>139</v>
      </c>
      <c r="B183" s="54" t="s">
        <v>9</v>
      </c>
    </row>
    <row r="184" spans="1:2">
      <c r="A184" s="54" t="s">
        <v>141</v>
      </c>
      <c r="B184" s="54" t="s">
        <v>9</v>
      </c>
    </row>
    <row r="185" spans="1:2">
      <c r="A185" s="54" t="s">
        <v>145</v>
      </c>
      <c r="B185" s="54" t="s">
        <v>8</v>
      </c>
    </row>
    <row r="186" spans="1:2">
      <c r="A186" s="54" t="s">
        <v>139</v>
      </c>
      <c r="B186" s="54" t="s">
        <v>8</v>
      </c>
    </row>
    <row r="187" spans="1:2">
      <c r="A187" s="54" t="s">
        <v>141</v>
      </c>
      <c r="B187" s="54" t="s">
        <v>8</v>
      </c>
    </row>
    <row r="188" spans="1:2">
      <c r="A188" s="54" t="s">
        <v>145</v>
      </c>
      <c r="B188" s="54" t="s">
        <v>13</v>
      </c>
    </row>
    <row r="189" spans="1:2">
      <c r="A189" s="54" t="s">
        <v>139</v>
      </c>
      <c r="B189" s="54" t="s">
        <v>13</v>
      </c>
    </row>
    <row r="190" spans="1:2">
      <c r="A190" s="54" t="s">
        <v>141</v>
      </c>
      <c r="B190" s="54" t="s">
        <v>13</v>
      </c>
    </row>
    <row r="191" spans="1:2">
      <c r="A191" s="54" t="s">
        <v>145</v>
      </c>
      <c r="B191" s="54" t="s">
        <v>11</v>
      </c>
    </row>
    <row r="192" spans="1:2">
      <c r="A192" s="54" t="s">
        <v>139</v>
      </c>
      <c r="B192" s="54" t="s">
        <v>11</v>
      </c>
    </row>
    <row r="193" spans="1:2">
      <c r="A193" s="54" t="s">
        <v>141</v>
      </c>
      <c r="B193" s="54" t="s">
        <v>11</v>
      </c>
    </row>
    <row r="194" spans="1:2">
      <c r="A194" s="54" t="s">
        <v>145</v>
      </c>
      <c r="B194" s="54" t="s">
        <v>12</v>
      </c>
    </row>
    <row r="195" spans="1:2">
      <c r="A195" s="54" t="s">
        <v>139</v>
      </c>
      <c r="B195" s="54" t="s">
        <v>12</v>
      </c>
    </row>
    <row r="196" spans="1:2">
      <c r="A196" s="54" t="s">
        <v>141</v>
      </c>
      <c r="B196" s="54" t="s">
        <v>12</v>
      </c>
    </row>
  </sheetData>
  <autoFilter ref="A121:C121" xr:uid="{63B27E58-B06D-4D93-A58F-330DE8070B62}">
    <sortState xmlns:xlrd2="http://schemas.microsoft.com/office/spreadsheetml/2017/richdata2" ref="A122:C157">
      <sortCondition ref="B121"/>
    </sortState>
  </autoFilter>
  <phoneticPr fontId="2" type="noConversion"/>
  <conditionalFormatting sqref="C5:I10">
    <cfRule type="cellIs" dxfId="17" priority="36" operator="equal">
      <formula>0</formula>
    </cfRule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{A7CE1800-C8DF-40B7-B546-A23E65E95C60}</x14:id>
        </ext>
      </extLst>
    </cfRule>
  </conditionalFormatting>
  <conditionalFormatting sqref="C16:I21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{98F8B81B-9A9F-4475-97EB-B36C03A1A2B8}</x14:id>
        </ext>
      </extLst>
    </cfRule>
    <cfRule type="cellIs" dxfId="16" priority="34" operator="equal">
      <formula>0</formula>
    </cfRule>
  </conditionalFormatting>
  <conditionalFormatting sqref="C27:I32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{B1C5D381-C048-40BA-905D-12D0829CBA21}</x14:id>
        </ext>
      </extLst>
    </cfRule>
    <cfRule type="cellIs" dxfId="15" priority="32" operator="equal">
      <formula>0</formula>
    </cfRule>
  </conditionalFormatting>
  <conditionalFormatting sqref="C38:I4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{69FD137E-E8DB-476D-951F-4B6611B50027}</x14:id>
        </ext>
      </extLst>
    </cfRule>
    <cfRule type="cellIs" dxfId="14" priority="16" operator="equal">
      <formula>0</formula>
    </cfRule>
  </conditionalFormatting>
  <conditionalFormatting sqref="C49:I5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{A4A2F9E3-8507-4BB8-854C-861917304DE8}</x14:id>
        </ext>
      </extLst>
    </cfRule>
    <cfRule type="cellIs" dxfId="13" priority="14" operator="equal">
      <formula>0</formula>
    </cfRule>
  </conditionalFormatting>
  <conditionalFormatting sqref="C60:I6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{5C8854EB-2AD7-46BA-9F07-D41EA5876D97}</x14:id>
        </ext>
      </extLst>
    </cfRule>
    <cfRule type="cellIs" dxfId="12" priority="12" operator="equal">
      <formula>0</formula>
    </cfRule>
  </conditionalFormatting>
  <conditionalFormatting sqref="C72:I7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{C375D2BE-9DE1-495F-9FF2-9C584FD8095D}</x14:id>
        </ext>
      </extLst>
    </cfRule>
    <cfRule type="cellIs" dxfId="11" priority="30" operator="equal">
      <formula>0</formula>
    </cfRule>
  </conditionalFormatting>
  <conditionalFormatting sqref="C80:I8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{70E3F375-4EAD-4F35-9015-BC9C3C7203D4}</x14:id>
        </ext>
      </extLst>
    </cfRule>
    <cfRule type="cellIs" dxfId="10" priority="10" operator="equal">
      <formula>0</formula>
    </cfRule>
  </conditionalFormatting>
  <conditionalFormatting sqref="C88:I9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{201966C6-F683-4086-9CF8-61EA0D1D308A}</x14:id>
        </ext>
      </extLst>
    </cfRule>
    <cfRule type="cellIs" dxfId="9" priority="8" operator="equal">
      <formula>0</formula>
    </cfRule>
  </conditionalFormatting>
  <conditionalFormatting sqref="C96:I99 C101:I10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{BC757563-C2DF-4AC1-B625-585C764F8E6E}</x14:id>
        </ext>
      </extLst>
    </cfRule>
    <cfRule type="cellIs" dxfId="8" priority="6" operator="equal">
      <formula>0</formula>
    </cfRule>
  </conditionalFormatting>
  <conditionalFormatting sqref="C104:I10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{E09D04CD-6E61-4C0C-8B59-37AEB7C536B9}</x14:id>
        </ext>
      </extLst>
    </cfRule>
    <cfRule type="cellIs" dxfId="7" priority="4" operator="equal">
      <formula>0</formula>
    </cfRule>
  </conditionalFormatting>
  <conditionalFormatting sqref="C112:I1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{FD61E536-7454-4308-A819-BA2DE1ED1D0F}</x14:id>
        </ext>
      </extLst>
    </cfRule>
    <cfRule type="cellIs" dxfId="6" priority="2" operator="equal">
      <formula>0</formula>
    </cfRule>
  </conditionalFormatting>
  <conditionalFormatting sqref="O72:U77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{5396D2D7-3726-4155-9C6F-FED6026C4CA5}</x14:id>
        </ext>
      </extLst>
    </cfRule>
    <cfRule type="cellIs" dxfId="5" priority="28" operator="equal">
      <formula>0</formula>
    </cfRule>
  </conditionalFormatting>
  <conditionalFormatting sqref="O80:U8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{8E4A50CE-8478-4905-B959-5E0021F37593}</x14:id>
        </ext>
      </extLst>
    </cfRule>
    <cfRule type="cellIs" dxfId="4" priority="26" operator="equal">
      <formula>0</formula>
    </cfRule>
  </conditionalFormatting>
  <conditionalFormatting sqref="O88:U9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{02A3C499-1994-4B4F-9EC1-D2D217C1D4BC}</x14:id>
        </ext>
      </extLst>
    </cfRule>
    <cfRule type="cellIs" dxfId="3" priority="24" operator="equal">
      <formula>0</formula>
    </cfRule>
  </conditionalFormatting>
  <conditionalFormatting sqref="O96:U101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{9C41458A-D03D-4214-A45B-DB918656D1E3}</x14:id>
        </ext>
      </extLst>
    </cfRule>
    <cfRule type="cellIs" dxfId="2" priority="22" operator="equal">
      <formula>0</formula>
    </cfRule>
  </conditionalFormatting>
  <conditionalFormatting sqref="O104:U109">
    <cfRule type="cellIs" dxfId="1" priority="20" operator="equal">
      <formula>0</formula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{C490A1F1-0449-4DD9-96CF-DC2025697FCA}</x14:id>
        </ext>
      </extLst>
    </cfRule>
  </conditionalFormatting>
  <conditionalFormatting sqref="O112:U117">
    <cfRule type="cellIs" dxfId="0" priority="18" operator="equal">
      <formula>0</formula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{962213D7-359F-468E-A4C7-64934A6F7A73}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CE1800-C8DF-40B7-B546-A23E65E95C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C5:I10</xm:sqref>
        </x14:conditionalFormatting>
        <x14:conditionalFormatting xmlns:xm="http://schemas.microsoft.com/office/excel/2006/main">
          <x14:cfRule type="dataBar" id="{98F8B81B-9A9F-4475-97EB-B36C03A1A2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C16:I21</xm:sqref>
        </x14:conditionalFormatting>
        <x14:conditionalFormatting xmlns:xm="http://schemas.microsoft.com/office/excel/2006/main">
          <x14:cfRule type="dataBar" id="{B1C5D381-C048-40BA-905D-12D0829CBA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C27:I32</xm:sqref>
        </x14:conditionalFormatting>
        <x14:conditionalFormatting xmlns:xm="http://schemas.microsoft.com/office/excel/2006/main">
          <x14:cfRule type="dataBar" id="{69FD137E-E8DB-476D-951F-4B6611B500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C38:I43</xm:sqref>
        </x14:conditionalFormatting>
        <x14:conditionalFormatting xmlns:xm="http://schemas.microsoft.com/office/excel/2006/main">
          <x14:cfRule type="dataBar" id="{A4A2F9E3-8507-4BB8-854C-861917304D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C49:I54</xm:sqref>
        </x14:conditionalFormatting>
        <x14:conditionalFormatting xmlns:xm="http://schemas.microsoft.com/office/excel/2006/main">
          <x14:cfRule type="dataBar" id="{5C8854EB-2AD7-46BA-9F07-D41EA5876D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C60:I65</xm:sqref>
        </x14:conditionalFormatting>
        <x14:conditionalFormatting xmlns:xm="http://schemas.microsoft.com/office/excel/2006/main">
          <x14:cfRule type="dataBar" id="{C375D2BE-9DE1-495F-9FF2-9C584FD809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C72:I77</xm:sqref>
        </x14:conditionalFormatting>
        <x14:conditionalFormatting xmlns:xm="http://schemas.microsoft.com/office/excel/2006/main">
          <x14:cfRule type="dataBar" id="{70E3F375-4EAD-4F35-9015-BC9C3C7203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C80:I85</xm:sqref>
        </x14:conditionalFormatting>
        <x14:conditionalFormatting xmlns:xm="http://schemas.microsoft.com/office/excel/2006/main">
          <x14:cfRule type="dataBar" id="{201966C6-F683-4086-9CF8-61EA0D1D30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C88:I93</xm:sqref>
        </x14:conditionalFormatting>
        <x14:conditionalFormatting xmlns:xm="http://schemas.microsoft.com/office/excel/2006/main">
          <x14:cfRule type="dataBar" id="{BC757563-C2DF-4AC1-B625-585C764F8E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C96:I99 C101:I101</xm:sqref>
        </x14:conditionalFormatting>
        <x14:conditionalFormatting xmlns:xm="http://schemas.microsoft.com/office/excel/2006/main">
          <x14:cfRule type="dataBar" id="{E09D04CD-6E61-4C0C-8B59-37AEB7C536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C104:I109</xm:sqref>
        </x14:conditionalFormatting>
        <x14:conditionalFormatting xmlns:xm="http://schemas.microsoft.com/office/excel/2006/main">
          <x14:cfRule type="dataBar" id="{FD61E536-7454-4308-A819-BA2DE1ED1D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C112:I117</xm:sqref>
        </x14:conditionalFormatting>
        <x14:conditionalFormatting xmlns:xm="http://schemas.microsoft.com/office/excel/2006/main">
          <x14:cfRule type="dataBar" id="{5396D2D7-3726-4155-9C6F-FED6026C4C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O72:U77</xm:sqref>
        </x14:conditionalFormatting>
        <x14:conditionalFormatting xmlns:xm="http://schemas.microsoft.com/office/excel/2006/main">
          <x14:cfRule type="dataBar" id="{8E4A50CE-8478-4905-B959-5E0021F375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O80:U85</xm:sqref>
        </x14:conditionalFormatting>
        <x14:conditionalFormatting xmlns:xm="http://schemas.microsoft.com/office/excel/2006/main">
          <x14:cfRule type="dataBar" id="{02A3C499-1994-4B4F-9EC1-D2D217C1D4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O88:U93</xm:sqref>
        </x14:conditionalFormatting>
        <x14:conditionalFormatting xmlns:xm="http://schemas.microsoft.com/office/excel/2006/main">
          <x14:cfRule type="dataBar" id="{9C41458A-D03D-4214-A45B-DB918656D1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O96:U101</xm:sqref>
        </x14:conditionalFormatting>
        <x14:conditionalFormatting xmlns:xm="http://schemas.microsoft.com/office/excel/2006/main">
          <x14:cfRule type="dataBar" id="{C490A1F1-0449-4DD9-96CF-DC2025697F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O104:U109</xm:sqref>
        </x14:conditionalFormatting>
        <x14:conditionalFormatting xmlns:xm="http://schemas.microsoft.com/office/excel/2006/main">
          <x14:cfRule type="dataBar" id="{962213D7-359F-468E-A4C7-64934A6F7A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O112:U117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AD9F-8D17-4137-ABE0-70DD3C73724D}">
  <dimension ref="A1:AH56"/>
  <sheetViews>
    <sheetView topLeftCell="A31" workbookViewId="0">
      <selection activeCell="B20" sqref="B20"/>
    </sheetView>
  </sheetViews>
  <sheetFormatPr defaultColWidth="9" defaultRowHeight="12.9"/>
  <cols>
    <col min="1" max="1" width="50.5" style="30" customWidth="1"/>
    <col min="2" max="2" width="21.5" style="30" customWidth="1"/>
    <col min="3" max="3" width="26.875" style="30" customWidth="1"/>
    <col min="4" max="4" width="42.875" style="30" customWidth="1"/>
    <col min="5" max="5" width="17" style="30" customWidth="1"/>
    <col min="6" max="16384" width="9" style="30"/>
  </cols>
  <sheetData>
    <row r="1" spans="1:33">
      <c r="A1" s="28" t="s">
        <v>76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3">
      <c r="B2" s="30">
        <v>2022</v>
      </c>
      <c r="C2" s="30">
        <v>2023</v>
      </c>
      <c r="D2" s="30">
        <v>2024</v>
      </c>
      <c r="E2" s="30">
        <v>2025</v>
      </c>
      <c r="F2" s="30">
        <v>2026</v>
      </c>
      <c r="G2" s="30">
        <v>2027</v>
      </c>
      <c r="H2" s="30">
        <v>2028</v>
      </c>
      <c r="I2" s="30">
        <v>2029</v>
      </c>
      <c r="J2" s="30">
        <v>2030</v>
      </c>
      <c r="K2" s="30">
        <v>2031</v>
      </c>
      <c r="L2" s="30">
        <v>2032</v>
      </c>
      <c r="M2" s="30">
        <v>2033</v>
      </c>
      <c r="N2" s="30">
        <v>2034</v>
      </c>
      <c r="O2" s="30">
        <v>2035</v>
      </c>
      <c r="P2" s="30">
        <v>2036</v>
      </c>
      <c r="Q2" s="30">
        <v>2037</v>
      </c>
      <c r="R2" s="30">
        <v>2038</v>
      </c>
      <c r="S2" s="30">
        <v>2039</v>
      </c>
      <c r="T2" s="30">
        <v>2040</v>
      </c>
      <c r="U2" s="30">
        <v>2041</v>
      </c>
      <c r="V2" s="30">
        <v>2042</v>
      </c>
      <c r="W2" s="30">
        <v>2043</v>
      </c>
      <c r="X2" s="30">
        <v>2044</v>
      </c>
      <c r="Y2" s="30">
        <v>2045</v>
      </c>
      <c r="Z2" s="30">
        <v>2046</v>
      </c>
      <c r="AA2" s="30">
        <v>2047</v>
      </c>
      <c r="AB2" s="30">
        <v>2048</v>
      </c>
      <c r="AC2" s="30">
        <v>2049</v>
      </c>
      <c r="AD2" s="30">
        <v>2050</v>
      </c>
    </row>
    <row r="3" spans="1:33">
      <c r="A3" s="30" t="s">
        <v>77</v>
      </c>
      <c r="B3" s="30">
        <f>('[11]AEO 48'!E70-'[11]AEO 48'!E178)/'[11]AEO 48'!E70</f>
        <v>0.77213254116841057</v>
      </c>
      <c r="C3" s="30">
        <f>('[11]AEO 48'!F70-'[11]AEO 48'!F178)/'[11]AEO 48'!F70</f>
        <v>0.88933514835103555</v>
      </c>
      <c r="D3" s="30">
        <f>('[11]AEO 48'!G70-'[11]AEO 48'!G178)/'[11]AEO 48'!G70</f>
        <v>0.92087600109298473</v>
      </c>
      <c r="E3" s="30">
        <f>('[11]AEO 48'!H70-'[11]AEO 48'!H178)/'[11]AEO 48'!H70</f>
        <v>0.92643694361547047</v>
      </c>
      <c r="F3" s="30">
        <f>('[11]AEO 48'!I70-'[11]AEO 48'!I178)/'[11]AEO 48'!I70</f>
        <v>0.93029714969284272</v>
      </c>
      <c r="G3" s="30">
        <f>('[11]AEO 48'!J70-'[11]AEO 48'!J178)/'[11]AEO 48'!J70</f>
        <v>0.93282335871244138</v>
      </c>
      <c r="H3" s="30">
        <f>('[11]AEO 48'!K70-'[11]AEO 48'!K178)/'[11]AEO 48'!K70</f>
        <v>0.93498868255087331</v>
      </c>
      <c r="I3" s="30">
        <f>('[11]AEO 48'!L70-'[11]AEO 48'!L178)/'[11]AEO 48'!L70</f>
        <v>0.93713946140143756</v>
      </c>
      <c r="J3" s="30">
        <f>('[11]AEO 48'!M70-'[11]AEO 48'!M178)/'[11]AEO 48'!M70</f>
        <v>0.9392600856057034</v>
      </c>
      <c r="K3" s="30">
        <f>('[11]AEO 48'!N70-'[11]AEO 48'!N178)/'[11]AEO 48'!N70</f>
        <v>0.9413395077522464</v>
      </c>
      <c r="L3" s="30">
        <f>('[11]AEO 48'!O70-'[11]AEO 48'!O178)/'[11]AEO 48'!O70</f>
        <v>0.94335871372742264</v>
      </c>
      <c r="M3" s="30">
        <f>('[11]AEO 48'!P70-'[11]AEO 48'!P178)/'[11]AEO 48'!P70</f>
        <v>0.94531086681276733</v>
      </c>
      <c r="N3" s="30">
        <f>('[11]AEO 48'!Q70-'[11]AEO 48'!Q178)/'[11]AEO 48'!Q70</f>
        <v>0.9471951672807547</v>
      </c>
      <c r="O3" s="30">
        <f>('[11]AEO 48'!R70-'[11]AEO 48'!R178)/'[11]AEO 48'!R70</f>
        <v>0.94901177442071949</v>
      </c>
      <c r="P3" s="30">
        <f>('[11]AEO 48'!S70-'[11]AEO 48'!S178)/'[11]AEO 48'!S70</f>
        <v>0.95077987054419311</v>
      </c>
      <c r="Q3" s="30">
        <f>('[11]AEO 48'!T70-'[11]AEO 48'!T178)/'[11]AEO 48'!T70</f>
        <v>0.9524842310779349</v>
      </c>
      <c r="R3" s="30">
        <f>('[11]AEO 48'!U70-'[11]AEO 48'!U178)/'[11]AEO 48'!U70</f>
        <v>0.95412346413599314</v>
      </c>
      <c r="S3" s="30">
        <f>('[11]AEO 48'!V70-'[11]AEO 48'!V178)/'[11]AEO 48'!V70</f>
        <v>0.95569870706585602</v>
      </c>
      <c r="T3" s="30">
        <f>('[11]AEO 48'!W70-'[11]AEO 48'!W178)/'[11]AEO 48'!W70</f>
        <v>0.95721227004289489</v>
      </c>
      <c r="U3" s="30">
        <f>('[11]AEO 48'!X70-'[11]AEO 48'!X178)/'[11]AEO 48'!X70</f>
        <v>0.95867860233902413</v>
      </c>
      <c r="V3" s="30">
        <f>('[11]AEO 48'!Y70-'[11]AEO 48'!Y178)/'[11]AEO 48'!Y70</f>
        <v>0.96008729663561421</v>
      </c>
      <c r="W3" s="30">
        <f>('[11]AEO 48'!Z70-'[11]AEO 48'!Z178)/'[11]AEO 48'!Z70</f>
        <v>0.96143916614783365</v>
      </c>
      <c r="X3" s="30">
        <f>('[11]AEO 48'!AA70-'[11]AEO 48'!AA178)/'[11]AEO 48'!AA70</f>
        <v>0.96273653509540569</v>
      </c>
      <c r="Y3" s="30">
        <f>('[11]AEO 48'!AB70-'[11]AEO 48'!AB178)/'[11]AEO 48'!AB70</f>
        <v>0.96398250062767687</v>
      </c>
      <c r="Z3" s="30">
        <f>('[11]AEO 48'!AC70-'[11]AEO 48'!AC178)/'[11]AEO 48'!AC70</f>
        <v>0.96518615411565822</v>
      </c>
      <c r="AA3" s="30">
        <f>('[11]AEO 48'!AD70-'[11]AEO 48'!AD178)/'[11]AEO 48'!AD70</f>
        <v>0.96634163717768629</v>
      </c>
      <c r="AB3" s="30">
        <f>('[11]AEO 48'!AE70-'[11]AEO 48'!AE178)/'[11]AEO 48'!AE70</f>
        <v>0.96745033110492351</v>
      </c>
      <c r="AC3" s="30">
        <f>('[11]AEO 48'!AF70-'[11]AEO 48'!AF178)/'[11]AEO 48'!AF70</f>
        <v>0.96851424870119418</v>
      </c>
      <c r="AD3" s="30">
        <f>('[11]AEO 48'!AG70-'[11]AEO 48'!AG178)/'[11]AEO 48'!AG70</f>
        <v>0.96953592176213643</v>
      </c>
    </row>
    <row r="4" spans="1:33">
      <c r="A4" s="30" t="s">
        <v>78</v>
      </c>
      <c r="B4" s="30">
        <f>'[11]AEO 48'!E178/'[11]AEO 48'!E70</f>
        <v>0.22786745883158938</v>
      </c>
      <c r="C4" s="30">
        <f>'[11]AEO 48'!F178/'[11]AEO 48'!F70</f>
        <v>0.11066485164896439</v>
      </c>
      <c r="D4" s="30">
        <f>'[11]AEO 48'!G178/'[11]AEO 48'!G70</f>
        <v>7.9123998907015214E-2</v>
      </c>
      <c r="E4" s="30">
        <f>'[11]AEO 48'!H178/'[11]AEO 48'!H70</f>
        <v>7.3563056384529465E-2</v>
      </c>
      <c r="F4" s="30">
        <f>'[11]AEO 48'!I178/'[11]AEO 48'!I70</f>
        <v>6.9702850307157213E-2</v>
      </c>
      <c r="G4" s="30">
        <f>'[11]AEO 48'!J178/'[11]AEO 48'!J70</f>
        <v>6.7176641287558597E-2</v>
      </c>
      <c r="H4" s="30">
        <f>'[11]AEO 48'!K178/'[11]AEO 48'!K70</f>
        <v>6.5011317449126638E-2</v>
      </c>
      <c r="I4" s="30">
        <f>'[11]AEO 48'!L178/'[11]AEO 48'!L70</f>
        <v>6.286053859856236E-2</v>
      </c>
      <c r="J4" s="30">
        <f>'[11]AEO 48'!M178/'[11]AEO 48'!M70</f>
        <v>6.073991439429656E-2</v>
      </c>
      <c r="K4" s="30">
        <f>'[11]AEO 48'!N178/'[11]AEO 48'!N70</f>
        <v>5.8660492247753604E-2</v>
      </c>
      <c r="L4" s="30">
        <f>'[11]AEO 48'!O178/'[11]AEO 48'!O70</f>
        <v>5.6641286272577356E-2</v>
      </c>
      <c r="M4" s="30">
        <f>'[11]AEO 48'!P178/'[11]AEO 48'!P70</f>
        <v>5.4689133187232591E-2</v>
      </c>
      <c r="N4" s="30">
        <f>'[11]AEO 48'!Q178/'[11]AEO 48'!Q70</f>
        <v>5.2804832719245305E-2</v>
      </c>
      <c r="O4" s="30">
        <f>'[11]AEO 48'!R178/'[11]AEO 48'!R70</f>
        <v>5.098822557928042E-2</v>
      </c>
      <c r="P4" s="30">
        <f>'[11]AEO 48'!S178/'[11]AEO 48'!S70</f>
        <v>4.922012945580681E-2</v>
      </c>
      <c r="Q4" s="30">
        <f>'[11]AEO 48'!T178/'[11]AEO 48'!T70</f>
        <v>4.7515768922065091E-2</v>
      </c>
      <c r="R4" s="30">
        <f>'[11]AEO 48'!U178/'[11]AEO 48'!U70</f>
        <v>4.5876535864006793E-2</v>
      </c>
      <c r="S4" s="30">
        <f>'[11]AEO 48'!V178/'[11]AEO 48'!V70</f>
        <v>4.4301292934143963E-2</v>
      </c>
      <c r="T4" s="30">
        <f>'[11]AEO 48'!W178/'[11]AEO 48'!W70</f>
        <v>4.2787729957105065E-2</v>
      </c>
      <c r="U4" s="30">
        <f>'[11]AEO 48'!X178/'[11]AEO 48'!X70</f>
        <v>4.1321397660975881E-2</v>
      </c>
      <c r="V4" s="30">
        <f>'[11]AEO 48'!Y178/'[11]AEO 48'!Y70</f>
        <v>3.9912703364385745E-2</v>
      </c>
      <c r="W4" s="30">
        <f>'[11]AEO 48'!Z178/'[11]AEO 48'!Z70</f>
        <v>3.8560833852166305E-2</v>
      </c>
      <c r="X4" s="30">
        <f>'[11]AEO 48'!AA178/'[11]AEO 48'!AA70</f>
        <v>3.7263464904594312E-2</v>
      </c>
      <c r="Y4" s="30">
        <f>'[11]AEO 48'!AB178/'[11]AEO 48'!AB70</f>
        <v>3.6017499372323084E-2</v>
      </c>
      <c r="Z4" s="30">
        <f>'[11]AEO 48'!AC178/'[11]AEO 48'!AC70</f>
        <v>3.4813845884341769E-2</v>
      </c>
      <c r="AA4" s="30">
        <f>'[11]AEO 48'!AD178/'[11]AEO 48'!AD70</f>
        <v>3.3658362822313721E-2</v>
      </c>
      <c r="AB4" s="30">
        <f>'[11]AEO 48'!AE178/'[11]AEO 48'!AE70</f>
        <v>3.2549668895076475E-2</v>
      </c>
      <c r="AC4" s="30">
        <f>'[11]AEO 48'!AF178/'[11]AEO 48'!AF70</f>
        <v>3.1485751298805743E-2</v>
      </c>
      <c r="AD4" s="30">
        <f>'[11]AEO 48'!AG178/'[11]AEO 48'!AG70</f>
        <v>3.0464078237863519E-2</v>
      </c>
    </row>
    <row r="6" spans="1:33">
      <c r="A6" s="28" t="s">
        <v>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</row>
    <row r="7" spans="1:33">
      <c r="B7" s="30">
        <f>B2</f>
        <v>2022</v>
      </c>
      <c r="C7" s="30">
        <f t="shared" ref="C7:AD7" si="0">C2</f>
        <v>2023</v>
      </c>
      <c r="D7" s="30">
        <f t="shared" si="0"/>
        <v>2024</v>
      </c>
      <c r="E7" s="30">
        <f t="shared" si="0"/>
        <v>2025</v>
      </c>
      <c r="F7" s="30">
        <f t="shared" si="0"/>
        <v>2026</v>
      </c>
      <c r="G7" s="30">
        <f t="shared" si="0"/>
        <v>2027</v>
      </c>
      <c r="H7" s="30">
        <f t="shared" si="0"/>
        <v>2028</v>
      </c>
      <c r="I7" s="30">
        <f t="shared" si="0"/>
        <v>2029</v>
      </c>
      <c r="J7" s="30">
        <f t="shared" si="0"/>
        <v>2030</v>
      </c>
      <c r="K7" s="30">
        <f t="shared" si="0"/>
        <v>2031</v>
      </c>
      <c r="L7" s="30">
        <f t="shared" si="0"/>
        <v>2032</v>
      </c>
      <c r="M7" s="30">
        <f t="shared" si="0"/>
        <v>2033</v>
      </c>
      <c r="N7" s="30">
        <f t="shared" si="0"/>
        <v>2034</v>
      </c>
      <c r="O7" s="30">
        <f t="shared" si="0"/>
        <v>2035</v>
      </c>
      <c r="P7" s="30">
        <f t="shared" si="0"/>
        <v>2036</v>
      </c>
      <c r="Q7" s="30">
        <f t="shared" si="0"/>
        <v>2037</v>
      </c>
      <c r="R7" s="30">
        <f t="shared" si="0"/>
        <v>2038</v>
      </c>
      <c r="S7" s="30">
        <f t="shared" si="0"/>
        <v>2039</v>
      </c>
      <c r="T7" s="30">
        <f t="shared" si="0"/>
        <v>2040</v>
      </c>
      <c r="U7" s="30">
        <f t="shared" si="0"/>
        <v>2041</v>
      </c>
      <c r="V7" s="30">
        <f t="shared" si="0"/>
        <v>2042</v>
      </c>
      <c r="W7" s="30">
        <f t="shared" si="0"/>
        <v>2043</v>
      </c>
      <c r="X7" s="30">
        <f t="shared" si="0"/>
        <v>2044</v>
      </c>
      <c r="Y7" s="30">
        <f t="shared" si="0"/>
        <v>2045</v>
      </c>
      <c r="Z7" s="30">
        <f t="shared" si="0"/>
        <v>2046</v>
      </c>
      <c r="AA7" s="30">
        <f t="shared" si="0"/>
        <v>2047</v>
      </c>
      <c r="AB7" s="30">
        <f t="shared" si="0"/>
        <v>2048</v>
      </c>
      <c r="AC7" s="30">
        <f t="shared" si="0"/>
        <v>2049</v>
      </c>
      <c r="AD7" s="30">
        <f t="shared" si="0"/>
        <v>2050</v>
      </c>
    </row>
    <row r="8" spans="1:33">
      <c r="A8" s="30" t="s">
        <v>10</v>
      </c>
      <c r="B8" s="30">
        <f>'[11]AEO 47'!E170/'[11]AEO 47'!E175</f>
        <v>1.0707755386295932</v>
      </c>
      <c r="C8" s="30">
        <f>'[11]AEO 47'!F170/'[11]AEO 47'!F175</f>
        <v>1.0804061798453173</v>
      </c>
      <c r="D8" s="30">
        <f>'[11]AEO 47'!G170/'[11]AEO 47'!G175</f>
        <v>1.0861597452216092</v>
      </c>
      <c r="E8" s="30">
        <f>'[11]AEO 47'!H170/'[11]AEO 47'!H175</f>
        <v>1.0891535185931223</v>
      </c>
      <c r="F8" s="30">
        <f>'[11]AEO 47'!I170/'[11]AEO 47'!I175</f>
        <v>1.0909030932386663</v>
      </c>
      <c r="G8" s="30">
        <f>'[11]AEO 47'!J170/'[11]AEO 47'!J175</f>
        <v>1.0940718633133946</v>
      </c>
      <c r="H8" s="30">
        <f>'[11]AEO 47'!K170/'[11]AEO 47'!K175</f>
        <v>1.096712359717078</v>
      </c>
      <c r="I8" s="30">
        <f>'[11]AEO 47'!L170/'[11]AEO 47'!L175</f>
        <v>1.0994263759290328</v>
      </c>
      <c r="J8" s="30">
        <f>'[11]AEO 47'!M170/'[11]AEO 47'!M175</f>
        <v>1.1015761628522793</v>
      </c>
      <c r="K8" s="30">
        <f>'[11]AEO 47'!N170/'[11]AEO 47'!N175</f>
        <v>1.1030515703732979</v>
      </c>
      <c r="L8" s="30">
        <f>'[11]AEO 47'!O170/'[11]AEO 47'!O175</f>
        <v>1.1037359450077104</v>
      </c>
      <c r="M8" s="30">
        <f>'[11]AEO 47'!P170/'[11]AEO 47'!P175</f>
        <v>1.1034201649681437</v>
      </c>
      <c r="N8" s="30">
        <f>'[11]AEO 47'!Q170/'[11]AEO 47'!Q175</f>
        <v>1.102380533727868</v>
      </c>
      <c r="O8" s="30">
        <f>'[11]AEO 47'!R170/'[11]AEO 47'!R175</f>
        <v>1.1009616984847583</v>
      </c>
      <c r="P8" s="30">
        <f>'[11]AEO 47'!S170/'[11]AEO 47'!S175</f>
        <v>1.099543680768561</v>
      </c>
      <c r="Q8" s="30">
        <f>'[11]AEO 47'!T170/'[11]AEO 47'!T175</f>
        <v>1.098064302905847</v>
      </c>
      <c r="R8" s="30">
        <f>'[11]AEO 47'!U170/'[11]AEO 47'!U175</f>
        <v>1.0964606108716946</v>
      </c>
      <c r="S8" s="30">
        <f>'[11]AEO 47'!V170/'[11]AEO 47'!V175</f>
        <v>1.0952170480309293</v>
      </c>
      <c r="T8" s="30">
        <f>'[11]AEO 47'!W170/'[11]AEO 47'!W175</f>
        <v>1.0939090118462469</v>
      </c>
      <c r="U8" s="30">
        <f>'[11]AEO 47'!X170/'[11]AEO 47'!X175</f>
        <v>1.0925931620236835</v>
      </c>
      <c r="V8" s="30">
        <f>'[11]AEO 47'!Y170/'[11]AEO 47'!Y175</f>
        <v>1.0913606905186293</v>
      </c>
      <c r="W8" s="30">
        <f>'[11]AEO 47'!Z170/'[11]AEO 47'!Z175</f>
        <v>1.0900690163692466</v>
      </c>
      <c r="X8" s="30">
        <f>'[11]AEO 47'!AA170/'[11]AEO 47'!AA175</f>
        <v>1.0890006815886737</v>
      </c>
      <c r="Y8" s="30">
        <f>'[11]AEO 47'!AB170/'[11]AEO 47'!AB175</f>
        <v>1.0880422908858129</v>
      </c>
      <c r="Z8" s="30">
        <f>'[11]AEO 47'!AC170/'[11]AEO 47'!AC175</f>
        <v>1.0873474015595141</v>
      </c>
      <c r="AA8" s="30">
        <f>'[11]AEO 47'!AD170/'[11]AEO 47'!AD175</f>
        <v>1.0867608233053512</v>
      </c>
      <c r="AB8" s="30">
        <f>'[11]AEO 47'!AE170/'[11]AEO 47'!AE175</f>
        <v>1.0864002822928014</v>
      </c>
      <c r="AC8" s="30">
        <f>'[11]AEO 47'!AF170/'[11]AEO 47'!AF175</f>
        <v>1.0862556285814049</v>
      </c>
      <c r="AD8" s="30">
        <f>'[11]AEO 47'!AG170/'[11]AEO 47'!AG175</f>
        <v>1.0862718987510842</v>
      </c>
    </row>
    <row r="9" spans="1:33">
      <c r="A9" s="30" t="s">
        <v>80</v>
      </c>
      <c r="B9" s="30">
        <f>'[11]AEO 49'!F202/'[11]AEO 49'!F131</f>
        <v>1.0590517850527925</v>
      </c>
    </row>
    <row r="11" spans="1:33">
      <c r="A11" s="28" t="s">
        <v>81</v>
      </c>
      <c r="B11" s="29"/>
      <c r="D11" s="28" t="s">
        <v>82</v>
      </c>
    </row>
    <row r="12" spans="1:33">
      <c r="A12" s="30" t="s">
        <v>83</v>
      </c>
      <c r="B12" s="31">
        <v>0.68595041322313999</v>
      </c>
      <c r="D12" s="32" t="s">
        <v>84</v>
      </c>
    </row>
    <row r="13" spans="1:33">
      <c r="A13" s="30" t="s">
        <v>9</v>
      </c>
      <c r="B13" s="31">
        <v>0.68881036513545302</v>
      </c>
    </row>
    <row r="15" spans="1:33">
      <c r="A15" s="28" t="s">
        <v>85</v>
      </c>
      <c r="B15" s="29"/>
      <c r="D15" s="28" t="s">
        <v>82</v>
      </c>
    </row>
    <row r="16" spans="1:33">
      <c r="A16" s="30" t="s">
        <v>86</v>
      </c>
      <c r="B16" s="30">
        <v>0.55000000000000004</v>
      </c>
      <c r="D16" s="32" t="s">
        <v>87</v>
      </c>
    </row>
    <row r="18" spans="1:5">
      <c r="A18" s="28" t="s">
        <v>88</v>
      </c>
      <c r="B18" s="29"/>
      <c r="C18" s="30" t="s">
        <v>89</v>
      </c>
      <c r="D18" s="28" t="s">
        <v>82</v>
      </c>
    </row>
    <row r="19" spans="1:5">
      <c r="A19" s="30" t="s">
        <v>90</v>
      </c>
      <c r="B19" s="33">
        <v>1.67</v>
      </c>
      <c r="C19" s="34">
        <v>1.1160000000000001</v>
      </c>
      <c r="D19" s="32" t="s">
        <v>91</v>
      </c>
    </row>
    <row r="20" spans="1:5">
      <c r="A20" s="30" t="s">
        <v>92</v>
      </c>
      <c r="B20" s="33">
        <v>1.1399999999999999</v>
      </c>
      <c r="C20" s="34">
        <v>1.5960000000000001</v>
      </c>
    </row>
    <row r="21" spans="1:5">
      <c r="A21" s="30" t="s">
        <v>93</v>
      </c>
      <c r="B21" s="33">
        <v>21.2</v>
      </c>
      <c r="C21" s="34">
        <v>24.184999999999999</v>
      </c>
    </row>
    <row r="22" spans="1:5">
      <c r="A22" s="30" t="s">
        <v>80</v>
      </c>
      <c r="B22" s="33">
        <v>10.83</v>
      </c>
      <c r="C22" s="34">
        <v>10.16984594</v>
      </c>
    </row>
    <row r="23" spans="1:5">
      <c r="A23" s="30" t="s">
        <v>94</v>
      </c>
      <c r="B23" s="35">
        <v>217.24162419583899</v>
      </c>
      <c r="C23" s="34">
        <v>140.24414089999999</v>
      </c>
    </row>
    <row r="24" spans="1:5">
      <c r="A24" s="30" t="s">
        <v>95</v>
      </c>
      <c r="B24" s="35">
        <v>23.2042478441392</v>
      </c>
      <c r="C24" s="34">
        <v>27.415107630000001</v>
      </c>
    </row>
    <row r="25" spans="1:5">
      <c r="A25" s="30" t="s">
        <v>15</v>
      </c>
      <c r="B25" s="35">
        <v>458.34194208577202</v>
      </c>
      <c r="C25" s="34">
        <v>1152</v>
      </c>
    </row>
    <row r="26" spans="1:5">
      <c r="A26" s="30" t="s">
        <v>96</v>
      </c>
      <c r="B26" s="35">
        <v>1.27</v>
      </c>
      <c r="C26" s="36">
        <v>1</v>
      </c>
    </row>
    <row r="28" spans="1:5">
      <c r="A28" s="28" t="s">
        <v>97</v>
      </c>
      <c r="B28" s="29"/>
      <c r="D28" s="28" t="s">
        <v>82</v>
      </c>
    </row>
    <row r="29" spans="1:5">
      <c r="A29" s="30" t="s">
        <v>98</v>
      </c>
      <c r="B29" s="37">
        <v>120214</v>
      </c>
      <c r="D29" s="30" t="s">
        <v>18</v>
      </c>
      <c r="E29" s="30" t="s">
        <v>99</v>
      </c>
    </row>
    <row r="30" spans="1:5">
      <c r="A30" s="30" t="s">
        <v>100</v>
      </c>
      <c r="B30" s="30">
        <v>137381</v>
      </c>
      <c r="D30" s="38">
        <v>2022</v>
      </c>
      <c r="E30" s="39" t="s">
        <v>101</v>
      </c>
    </row>
    <row r="32" spans="1:5">
      <c r="A32" s="28" t="s">
        <v>102</v>
      </c>
      <c r="B32" s="28"/>
      <c r="D32" s="28" t="s">
        <v>82</v>
      </c>
    </row>
    <row r="33" spans="1:34">
      <c r="A33" s="30" t="s">
        <v>103</v>
      </c>
      <c r="B33" s="33">
        <v>336815.15580485901</v>
      </c>
      <c r="D33" s="32" t="s">
        <v>104</v>
      </c>
    </row>
    <row r="34" spans="1:34">
      <c r="A34" s="30" t="s">
        <v>105</v>
      </c>
      <c r="B34" s="33">
        <v>2518.3000000000002</v>
      </c>
    </row>
    <row r="36" spans="1:34">
      <c r="A36" s="28" t="s">
        <v>106</v>
      </c>
      <c r="B36" s="29"/>
      <c r="D36" s="28" t="s">
        <v>82</v>
      </c>
    </row>
    <row r="37" spans="1:34">
      <c r="A37" s="30" t="s">
        <v>107</v>
      </c>
      <c r="B37" s="40">
        <v>0.2</v>
      </c>
      <c r="D37" s="32" t="s">
        <v>17</v>
      </c>
    </row>
    <row r="38" spans="1:34">
      <c r="A38" s="30" t="s">
        <v>108</v>
      </c>
      <c r="B38" s="40">
        <v>0.6</v>
      </c>
      <c r="D38" s="32" t="s">
        <v>109</v>
      </c>
    </row>
    <row r="39" spans="1:34">
      <c r="A39" s="30" t="s">
        <v>110</v>
      </c>
      <c r="B39" s="30">
        <f>B38/B37</f>
        <v>2.9999999999999996</v>
      </c>
    </row>
    <row r="41" spans="1:34">
      <c r="A41" s="28" t="s">
        <v>111</v>
      </c>
      <c r="B41" s="28"/>
      <c r="D41" s="28" t="s">
        <v>82</v>
      </c>
    </row>
    <row r="42" spans="1:34">
      <c r="A42" s="30" t="s">
        <v>112</v>
      </c>
      <c r="B42" s="41">
        <v>0.22500000000000001</v>
      </c>
      <c r="D42" s="42" t="s">
        <v>113</v>
      </c>
    </row>
    <row r="43" spans="1:34">
      <c r="A43" s="30" t="s">
        <v>114</v>
      </c>
      <c r="B43" s="30">
        <f>1-B42</f>
        <v>0.77500000000000002</v>
      </c>
      <c r="D43" s="42" t="s">
        <v>115</v>
      </c>
    </row>
    <row r="45" spans="1:34">
      <c r="A45" s="28" t="s">
        <v>116</v>
      </c>
    </row>
    <row r="46" spans="1:34">
      <c r="D46" s="43" t="s">
        <v>117</v>
      </c>
      <c r="E46" s="44">
        <v>2022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</row>
    <row r="47" spans="1:34" ht="13.6">
      <c r="C47" s="45" t="s">
        <v>118</v>
      </c>
      <c r="D47" s="30" t="s">
        <v>119</v>
      </c>
      <c r="E47" s="46">
        <f>INDEX('[11]AEO 7'!$C$18:$AE$28,MATCH($C$47,'[11]AEO 7'!$A$18:$A$28,0),MATCH(E$46,'[11]AEO 7'!$C$13:$AE$13,0))*10^9</f>
        <v>29871853000</v>
      </c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2"/>
    </row>
    <row r="48" spans="1:34" ht="13.6">
      <c r="A48" s="48"/>
      <c r="B48" s="48"/>
      <c r="C48" s="48"/>
      <c r="D48" s="30" t="s">
        <v>120</v>
      </c>
      <c r="E48" s="8">
        <f>SUM('[11]AEO 36'!F88,'[11]AEO 36'!F93,'[11]AEO 36'!F95)*10^12</f>
        <v>24814531000000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2"/>
    </row>
    <row r="49" spans="1:34" ht="13.6">
      <c r="B49" s="48"/>
      <c r="C49" s="48"/>
      <c r="D49" s="30" t="s">
        <v>121</v>
      </c>
      <c r="E49" s="8">
        <f>SUM('[11]AEO 36'!F89,'[11]AEO 36'!F96)*10^12</f>
        <v>18942307000000</v>
      </c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2"/>
    </row>
    <row r="50" spans="1:34">
      <c r="D50" s="30" t="s">
        <v>122</v>
      </c>
      <c r="E50" s="8">
        <f>E48*$B$55</f>
        <v>23573804450000</v>
      </c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2"/>
    </row>
    <row r="51" spans="1:34">
      <c r="D51" s="30" t="s">
        <v>123</v>
      </c>
      <c r="E51" s="8">
        <f>E49*$B$56</f>
        <v>6156249775000</v>
      </c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2"/>
    </row>
    <row r="52" spans="1:34">
      <c r="D52" s="50" t="s">
        <v>124</v>
      </c>
      <c r="E52" s="51">
        <f>E47*(E50/SUM(E50:E51))/E48</f>
        <v>9.5453106594527246E-4</v>
      </c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2"/>
    </row>
    <row r="53" spans="1:34">
      <c r="D53" s="50" t="s">
        <v>125</v>
      </c>
      <c r="E53" s="51">
        <f>E47*(E51/SUM(E50:E51))/E49</f>
        <v>3.2655010150759323E-4</v>
      </c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</row>
    <row r="54" spans="1:34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</row>
    <row r="55" spans="1:34">
      <c r="A55" s="30" t="s">
        <v>126</v>
      </c>
      <c r="B55" s="52">
        <v>0.95</v>
      </c>
      <c r="C55" s="52"/>
      <c r="D55" s="53" t="s">
        <v>127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</row>
    <row r="56" spans="1:34">
      <c r="A56" s="30" t="s">
        <v>128</v>
      </c>
      <c r="B56" s="52">
        <v>0.32500000000000001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</row>
  </sheetData>
  <phoneticPr fontId="2" type="noConversion"/>
  <hyperlinks>
    <hyperlink ref="D42" r:id="rId1" xr:uid="{590D6B8C-588B-4201-98AD-20009D7E1746}"/>
    <hyperlink ref="D43" r:id="rId2" xr:uid="{E72034E5-1BE1-417D-BD34-A8C8838EE266}"/>
    <hyperlink ref="E30" r:id="rId3" xr:uid="{3111B917-40A2-4AE3-90DD-695E2AEA59A4}"/>
  </hyperlinks>
  <pageMargins left="0.7" right="0.7" top="0.75" bottom="0.75" header="0.3" footer="0.3"/>
  <pageSetup orientation="portrait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631-6AD1-4FB4-9424-A98C8389C46E}">
  <dimension ref="A1:R39"/>
  <sheetViews>
    <sheetView topLeftCell="A19" workbookViewId="0">
      <selection activeCell="K35" sqref="K35"/>
    </sheetView>
  </sheetViews>
  <sheetFormatPr defaultColWidth="9" defaultRowHeight="12.9"/>
  <cols>
    <col min="1" max="1" width="40.875" style="30" customWidth="1"/>
    <col min="2" max="2" width="13.25" style="30" customWidth="1"/>
    <col min="3" max="16" width="10.625" style="30" customWidth="1"/>
    <col min="17" max="16384" width="9" style="30"/>
  </cols>
  <sheetData>
    <row r="1" spans="1:18">
      <c r="A1" s="82" t="s">
        <v>197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 spans="1:18">
      <c r="C2" s="83">
        <v>2011</v>
      </c>
      <c r="D2" s="83">
        <v>2012</v>
      </c>
      <c r="E2" s="83">
        <v>2013</v>
      </c>
      <c r="F2" s="83">
        <v>2014</v>
      </c>
      <c r="G2" s="83">
        <v>2015</v>
      </c>
      <c r="H2" s="83">
        <v>2016</v>
      </c>
      <c r="I2" s="83">
        <v>2017</v>
      </c>
      <c r="J2" s="83">
        <v>2018</v>
      </c>
      <c r="K2" s="83">
        <v>2019</v>
      </c>
      <c r="L2" s="83">
        <v>2020</v>
      </c>
      <c r="M2" s="83">
        <v>2021</v>
      </c>
      <c r="N2" s="83">
        <v>2022</v>
      </c>
      <c r="O2" s="83">
        <v>2023</v>
      </c>
      <c r="P2" s="83">
        <v>2024</v>
      </c>
      <c r="Q2" s="82"/>
      <c r="R2" s="82"/>
    </row>
    <row r="3" spans="1:18">
      <c r="B3" s="82" t="s">
        <v>198</v>
      </c>
      <c r="C3" s="82">
        <v>0.28499999999999998</v>
      </c>
      <c r="D3" s="82">
        <v>0.29299999999999998</v>
      </c>
      <c r="E3" s="82">
        <v>0.29699999999999999</v>
      </c>
      <c r="F3" s="82">
        <v>0.29599999999999999</v>
      </c>
      <c r="G3" s="82">
        <v>0.29399999999999998</v>
      </c>
      <c r="H3" s="30">
        <v>0.29299999999999998</v>
      </c>
      <c r="I3" s="30">
        <v>0.29299999999999998</v>
      </c>
      <c r="J3" s="30">
        <v>0.28699999999999998</v>
      </c>
      <c r="K3" s="82">
        <v>0.28499999999999998</v>
      </c>
      <c r="L3" s="82">
        <v>0.314</v>
      </c>
      <c r="M3" s="82">
        <v>0.309</v>
      </c>
      <c r="N3" s="82"/>
      <c r="O3" s="82"/>
      <c r="P3" s="82"/>
      <c r="Q3" s="82"/>
      <c r="R3" s="82"/>
    </row>
    <row r="4" spans="1:18">
      <c r="B4" s="82" t="s">
        <v>199</v>
      </c>
      <c r="C4" s="84">
        <f t="shared" ref="C4:M4" si="0">C3*$C$12</f>
        <v>11635.023696682463</v>
      </c>
      <c r="D4" s="84">
        <f t="shared" si="0"/>
        <v>11961.620853080569</v>
      </c>
      <c r="E4" s="84">
        <f t="shared" si="0"/>
        <v>12124.919431279621</v>
      </c>
      <c r="F4" s="84">
        <f t="shared" si="0"/>
        <v>12084.094786729858</v>
      </c>
      <c r="G4" s="84">
        <f t="shared" si="0"/>
        <v>12002.445497630331</v>
      </c>
      <c r="H4" s="84">
        <f t="shared" si="0"/>
        <v>11961.620853080569</v>
      </c>
      <c r="I4" s="84">
        <f t="shared" si="0"/>
        <v>11961.620853080569</v>
      </c>
      <c r="J4" s="84">
        <f t="shared" si="0"/>
        <v>11716.67298578199</v>
      </c>
      <c r="K4" s="84">
        <f t="shared" si="0"/>
        <v>11635.023696682463</v>
      </c>
      <c r="L4" s="84">
        <f t="shared" si="0"/>
        <v>12818.938388625593</v>
      </c>
      <c r="M4" s="84">
        <f t="shared" si="0"/>
        <v>12614.815165876777</v>
      </c>
      <c r="N4" s="82"/>
      <c r="O4" s="82"/>
      <c r="P4" s="82"/>
      <c r="Q4" s="82"/>
      <c r="R4" s="82"/>
    </row>
    <row r="5" spans="1:18">
      <c r="B5" s="82" t="s">
        <v>200</v>
      </c>
      <c r="C5" s="85">
        <f t="shared" ref="C5:J5" si="1">1/(C4*1.609)</f>
        <v>5.3416654402987621E-5</v>
      </c>
      <c r="D5" s="85">
        <f t="shared" si="1"/>
        <v>5.1958179197445287E-5</v>
      </c>
      <c r="E5" s="85">
        <f t="shared" si="1"/>
        <v>5.1258405740240637E-5</v>
      </c>
      <c r="F5" s="85">
        <f t="shared" si="1"/>
        <v>5.1431576029903609E-5</v>
      </c>
      <c r="G5" s="85">
        <f t="shared" si="1"/>
        <v>5.1781450696773702E-5</v>
      </c>
      <c r="H5" s="85">
        <f t="shared" si="1"/>
        <v>5.1958179197445287E-5</v>
      </c>
      <c r="I5" s="85">
        <f>1/(I4*1.609)</f>
        <v>5.1958179197445287E-5</v>
      </c>
      <c r="J5" s="85">
        <f t="shared" si="1"/>
        <v>5.304441290889014E-5</v>
      </c>
      <c r="K5" s="85">
        <f>1/(K4*1.609)</f>
        <v>5.3416654402987621E-5</v>
      </c>
      <c r="L5" s="85">
        <f>1/(L4*1.609)</f>
        <v>4.8483269123730798E-5</v>
      </c>
      <c r="M5" s="85">
        <f>1/(M4*1.609)</f>
        <v>4.926778804159052E-5</v>
      </c>
      <c r="N5" s="82"/>
      <c r="O5" s="82"/>
      <c r="P5" s="82"/>
      <c r="Q5" s="82"/>
      <c r="R5" s="82"/>
    </row>
    <row r="6" spans="1:18">
      <c r="A6" s="82" t="s">
        <v>201</v>
      </c>
      <c r="B6" s="82"/>
      <c r="C6" s="82"/>
      <c r="D6" s="82"/>
      <c r="E6" s="82"/>
      <c r="F6" s="82"/>
      <c r="G6" s="82"/>
      <c r="H6" s="85"/>
      <c r="I6" s="82"/>
      <c r="J6" s="82"/>
      <c r="K6" s="82"/>
      <c r="L6" s="82"/>
      <c r="M6" s="82"/>
      <c r="N6" s="82"/>
      <c r="O6" s="82"/>
      <c r="P6" s="82"/>
      <c r="Q6" s="82"/>
      <c r="R6" s="82"/>
    </row>
    <row r="7" spans="1:18">
      <c r="A7" s="82" t="s">
        <v>202</v>
      </c>
      <c r="B7" s="82"/>
      <c r="C7" s="86">
        <v>16562863</v>
      </c>
      <c r="D7" s="86">
        <v>17870294</v>
      </c>
      <c r="E7" s="86">
        <v>19981230</v>
      </c>
      <c r="F7" s="86">
        <v>22159809.399999999</v>
      </c>
      <c r="G7" s="86">
        <v>25048375.100000001</v>
      </c>
      <c r="H7" s="87">
        <v>28149003.199999999</v>
      </c>
      <c r="I7" s="87">
        <v>31733597.899999999</v>
      </c>
      <c r="J7" s="86">
        <v>34624988.5</v>
      </c>
      <c r="K7" s="86">
        <v>36891931</v>
      </c>
      <c r="L7" s="86">
        <v>25107515.399999999</v>
      </c>
      <c r="M7" s="86">
        <v>264632870</v>
      </c>
      <c r="N7" s="82"/>
      <c r="O7" s="82"/>
      <c r="P7" s="82"/>
      <c r="Q7" s="82"/>
      <c r="R7" s="82"/>
    </row>
    <row r="8" spans="1:18">
      <c r="A8" s="82" t="s">
        <v>203</v>
      </c>
      <c r="B8" s="82"/>
      <c r="C8" s="86">
        <f t="shared" ref="C8:G8" si="2">C7*10^3/C3/10^4</f>
        <v>5811530.8771929834</v>
      </c>
      <c r="D8" s="86">
        <f t="shared" si="2"/>
        <v>6099076.4505119463</v>
      </c>
      <c r="E8" s="86">
        <f t="shared" si="2"/>
        <v>6727686.8686868688</v>
      </c>
      <c r="F8" s="86">
        <f t="shared" si="2"/>
        <v>7486422.094594595</v>
      </c>
      <c r="G8" s="86">
        <f t="shared" si="2"/>
        <v>8519855.4761904776</v>
      </c>
      <c r="H8" s="86">
        <f>H7*10^3/H3/10^4</f>
        <v>9607168.3276450522</v>
      </c>
      <c r="I8" s="86">
        <f t="shared" ref="I8:M8" si="3">I7*10^3/I3/10^4</f>
        <v>10830579.488054609</v>
      </c>
      <c r="J8" s="86">
        <f t="shared" si="3"/>
        <v>12064455.923344949</v>
      </c>
      <c r="K8" s="86">
        <f t="shared" si="3"/>
        <v>12944537.192982458</v>
      </c>
      <c r="L8" s="86">
        <f t="shared" si="3"/>
        <v>7996024.0127388537</v>
      </c>
      <c r="M8" s="86">
        <f t="shared" si="3"/>
        <v>85641705.501618132</v>
      </c>
      <c r="N8" s="82"/>
      <c r="O8" s="82"/>
      <c r="P8" s="82"/>
      <c r="Q8" s="82"/>
      <c r="R8" s="82"/>
    </row>
    <row r="9" spans="1:18">
      <c r="A9" s="82" t="s">
        <v>204</v>
      </c>
      <c r="B9" s="82"/>
      <c r="C9" s="82">
        <v>3501666</v>
      </c>
      <c r="D9" s="82">
        <v>3609162</v>
      </c>
      <c r="E9" s="82">
        <v>3794876</v>
      </c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</row>
    <row r="10" spans="1:18">
      <c r="A10" s="82"/>
      <c r="B10" s="82"/>
      <c r="C10" s="82"/>
      <c r="D10" s="82" t="s">
        <v>205</v>
      </c>
      <c r="E10" s="82"/>
      <c r="F10" s="82"/>
      <c r="G10" s="82"/>
      <c r="K10" s="82"/>
      <c r="L10" s="82"/>
      <c r="M10" s="82"/>
      <c r="N10" s="82"/>
      <c r="O10" s="82"/>
      <c r="P10" s="82"/>
      <c r="Q10" s="85"/>
      <c r="R10" s="82"/>
    </row>
    <row r="11" spans="1:18">
      <c r="A11" s="82" t="s">
        <v>206</v>
      </c>
      <c r="B11" s="82" t="s">
        <v>207</v>
      </c>
      <c r="C11" s="88">
        <v>430.7</v>
      </c>
      <c r="D11" s="82" t="s">
        <v>208</v>
      </c>
      <c r="E11" s="82"/>
      <c r="F11" s="82"/>
      <c r="G11" s="82"/>
      <c r="K11" s="82"/>
      <c r="L11" s="82"/>
      <c r="M11" s="82"/>
      <c r="N11" s="82"/>
      <c r="O11" s="82"/>
      <c r="P11" s="82"/>
      <c r="Q11" s="85"/>
      <c r="R11" s="82"/>
    </row>
    <row r="12" spans="1:18">
      <c r="A12" s="82"/>
      <c r="B12" s="82" t="s">
        <v>209</v>
      </c>
      <c r="C12" s="88">
        <f>C11*10^12/1055/10^7</f>
        <v>40824.644549763034</v>
      </c>
      <c r="E12" s="82"/>
      <c r="F12" s="82"/>
      <c r="G12" s="82"/>
      <c r="J12" s="82"/>
      <c r="K12" s="82"/>
      <c r="L12" s="82"/>
      <c r="M12" s="82"/>
      <c r="N12" s="82"/>
      <c r="O12" s="82"/>
      <c r="P12" s="82"/>
      <c r="Q12" s="82"/>
      <c r="R12" s="82"/>
    </row>
    <row r="13" spans="1:18">
      <c r="A13" s="82" t="s">
        <v>210</v>
      </c>
      <c r="B13" s="82">
        <v>0.11</v>
      </c>
      <c r="C13" s="88">
        <f>1/B13</f>
        <v>9.0909090909090917</v>
      </c>
      <c r="D13" s="82"/>
      <c r="E13" s="82"/>
      <c r="F13" s="82"/>
      <c r="G13" s="82"/>
    </row>
    <row r="14" spans="1:18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</row>
    <row r="15" spans="1:18">
      <c r="A15" s="82" t="s">
        <v>211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</row>
    <row r="16" spans="1:18">
      <c r="A16" s="84"/>
      <c r="B16" s="84"/>
      <c r="C16" s="83">
        <v>2011</v>
      </c>
      <c r="D16" s="83">
        <v>2012</v>
      </c>
      <c r="E16" s="83">
        <v>2013</v>
      </c>
      <c r="F16" s="83">
        <v>2014</v>
      </c>
      <c r="G16" s="83">
        <v>2015</v>
      </c>
      <c r="H16" s="83">
        <v>2016</v>
      </c>
      <c r="I16" s="83">
        <v>2017</v>
      </c>
      <c r="J16" s="83">
        <v>2018</v>
      </c>
      <c r="K16" s="83">
        <v>2019</v>
      </c>
      <c r="L16" s="83">
        <v>2020</v>
      </c>
      <c r="M16" s="83">
        <v>2021</v>
      </c>
      <c r="N16" s="82"/>
      <c r="O16" s="82"/>
      <c r="P16" s="82"/>
      <c r="Q16" s="82"/>
      <c r="R16" s="82"/>
    </row>
    <row r="17" spans="1:18">
      <c r="A17" s="82" t="s">
        <v>212</v>
      </c>
      <c r="B17" s="82" t="s">
        <v>213</v>
      </c>
      <c r="C17" s="82">
        <v>45369629</v>
      </c>
      <c r="D17" s="82">
        <v>50257366</v>
      </c>
      <c r="E17" s="82">
        <v>56567596</v>
      </c>
      <c r="F17" s="82">
        <v>63341903</v>
      </c>
      <c r="G17" s="30">
        <v>72825513</v>
      </c>
      <c r="H17" s="82">
        <v>83781348</v>
      </c>
      <c r="I17" s="30">
        <v>95130358</v>
      </c>
      <c r="J17" s="89">
        <v>107123166</v>
      </c>
      <c r="K17" s="90">
        <v>117052971</v>
      </c>
      <c r="L17" s="30">
        <v>63112770</v>
      </c>
      <c r="M17" s="82">
        <v>65296813</v>
      </c>
      <c r="N17" s="82"/>
      <c r="O17" s="82"/>
      <c r="P17" s="82"/>
      <c r="Q17" s="82"/>
      <c r="R17" s="82"/>
    </row>
    <row r="18" spans="1:18">
      <c r="A18" s="82" t="s">
        <v>214</v>
      </c>
      <c r="B18" s="82" t="s">
        <v>213</v>
      </c>
      <c r="C18" s="82">
        <v>36589118</v>
      </c>
      <c r="D18" s="82">
        <v>40337568</v>
      </c>
      <c r="E18" s="82">
        <v>45110042</v>
      </c>
      <c r="F18" s="30">
        <v>50173893</v>
      </c>
      <c r="G18" s="30">
        <v>55657154</v>
      </c>
      <c r="H18" s="30">
        <v>62177498</v>
      </c>
      <c r="I18" s="30">
        <v>70365262</v>
      </c>
      <c r="J18" s="89">
        <v>78897031</v>
      </c>
      <c r="K18" s="90">
        <v>85202156</v>
      </c>
      <c r="L18" s="30">
        <v>58688680</v>
      </c>
      <c r="M18" s="30">
        <v>64391186</v>
      </c>
    </row>
    <row r="19" spans="1:18">
      <c r="A19" s="82" t="s">
        <v>215</v>
      </c>
      <c r="B19" s="82" t="s">
        <v>216</v>
      </c>
      <c r="C19" s="82">
        <v>5574779</v>
      </c>
      <c r="D19" s="82">
        <v>1638894</v>
      </c>
      <c r="E19" s="82">
        <v>1702918</v>
      </c>
      <c r="F19" s="82">
        <v>1877715</v>
      </c>
      <c r="G19" s="30">
        <v>2080683</v>
      </c>
      <c r="H19" s="82">
        <v>2224493</v>
      </c>
      <c r="I19" s="30">
        <v>2435523</v>
      </c>
      <c r="J19" s="89">
        <v>2624991</v>
      </c>
      <c r="K19" s="90">
        <v>2631990</v>
      </c>
      <c r="L19" s="30">
        <v>2402014</v>
      </c>
      <c r="M19" s="82">
        <v>2781579</v>
      </c>
      <c r="N19" s="82"/>
      <c r="O19" s="82"/>
      <c r="P19" s="82"/>
      <c r="Q19" s="82"/>
      <c r="R19" s="82"/>
    </row>
    <row r="20" spans="1:18">
      <c r="A20" s="82" t="s">
        <v>217</v>
      </c>
      <c r="B20" s="82" t="s">
        <v>216</v>
      </c>
      <c r="C20" s="82">
        <v>3794352</v>
      </c>
      <c r="D20" s="82">
        <v>574366</v>
      </c>
      <c r="E20" s="82">
        <v>611176</v>
      </c>
      <c r="F20" s="82">
        <v>640533</v>
      </c>
      <c r="G20" s="30">
        <v>669258</v>
      </c>
      <c r="H20" s="82">
        <v>721108</v>
      </c>
      <c r="I20" s="30">
        <v>729656</v>
      </c>
      <c r="J20" s="89">
        <v>754701</v>
      </c>
      <c r="K20" s="90">
        <v>785881</v>
      </c>
      <c r="L20" s="30">
        <v>678745</v>
      </c>
      <c r="M20" s="82">
        <v>705856</v>
      </c>
    </row>
    <row r="21" spans="1:18">
      <c r="A21" s="82" t="s">
        <v>218</v>
      </c>
      <c r="B21" s="82" t="s">
        <v>219</v>
      </c>
      <c r="C21" s="82">
        <v>5774427</v>
      </c>
      <c r="D21" s="82">
        <v>6103217</v>
      </c>
      <c r="E21" s="82">
        <v>6717231</v>
      </c>
      <c r="F21" s="82">
        <v>7481156</v>
      </c>
      <c r="G21" s="30">
        <v>8516516</v>
      </c>
      <c r="H21" s="82">
        <v>9625107</v>
      </c>
      <c r="I21" s="30">
        <v>10830751</v>
      </c>
      <c r="J21" s="89">
        <v>12065276</v>
      </c>
      <c r="K21" s="90">
        <v>12932530</v>
      </c>
      <c r="L21" s="30">
        <v>7985060</v>
      </c>
      <c r="M21" s="82">
        <v>8567493</v>
      </c>
      <c r="N21" s="82"/>
      <c r="O21" s="82"/>
      <c r="P21" s="82"/>
      <c r="Q21" s="82"/>
      <c r="R21" s="82"/>
    </row>
    <row r="22" spans="1:18">
      <c r="A22" s="82" t="s">
        <v>220</v>
      </c>
      <c r="B22" s="82" t="s">
        <v>219</v>
      </c>
      <c r="C22" s="82">
        <v>3806075</v>
      </c>
      <c r="D22" s="82">
        <v>4158336</v>
      </c>
      <c r="E22" s="82">
        <v>4610474</v>
      </c>
      <c r="F22" s="82">
        <v>5080039</v>
      </c>
      <c r="G22" s="30">
        <v>5590410</v>
      </c>
      <c r="H22" s="82">
        <v>6219274</v>
      </c>
      <c r="I22" s="30">
        <v>6945998</v>
      </c>
      <c r="J22" s="89">
        <v>7715087</v>
      </c>
      <c r="K22" s="90">
        <v>8295104</v>
      </c>
      <c r="L22" s="30">
        <v>5876731</v>
      </c>
      <c r="M22" s="82">
        <v>6411375</v>
      </c>
    </row>
    <row r="24" spans="1:18">
      <c r="A24" s="82" t="s">
        <v>221</v>
      </c>
      <c r="B24" s="91"/>
      <c r="C24" s="91">
        <f t="shared" ref="C24:M24" si="4">(C19+C17)*$B$13</f>
        <v>5603884.8799999999</v>
      </c>
      <c r="D24" s="91">
        <f t="shared" si="4"/>
        <v>5708588.5999999996</v>
      </c>
      <c r="E24" s="91">
        <f t="shared" si="4"/>
        <v>6409756.54</v>
      </c>
      <c r="F24" s="91">
        <f t="shared" si="4"/>
        <v>7174157.9800000004</v>
      </c>
      <c r="G24" s="91">
        <f t="shared" si="4"/>
        <v>8239681.5599999996</v>
      </c>
      <c r="H24" s="91">
        <f t="shared" si="4"/>
        <v>9460642.5099999998</v>
      </c>
      <c r="I24" s="91">
        <f t="shared" si="4"/>
        <v>10732246.91</v>
      </c>
      <c r="J24" s="91">
        <f t="shared" si="4"/>
        <v>12072297.27</v>
      </c>
      <c r="K24" s="91">
        <f t="shared" si="4"/>
        <v>13165345.710000001</v>
      </c>
      <c r="L24" s="91">
        <f t="shared" si="4"/>
        <v>7206626.2400000002</v>
      </c>
      <c r="M24" s="91">
        <f t="shared" si="4"/>
        <v>7488623.1200000001</v>
      </c>
    </row>
    <row r="25" spans="1:18">
      <c r="A25" s="82" t="s">
        <v>222</v>
      </c>
      <c r="B25" s="92"/>
      <c r="C25" s="92">
        <f t="shared" ref="C25:M25" si="5">C24/C21-1</f>
        <v>-2.9534033420112515E-2</v>
      </c>
      <c r="D25" s="92">
        <f t="shared" si="5"/>
        <v>-6.4659080612732622E-2</v>
      </c>
      <c r="E25" s="92">
        <f t="shared" si="5"/>
        <v>-4.5773989311964969E-2</v>
      </c>
      <c r="F25" s="92">
        <f t="shared" si="5"/>
        <v>-4.1036174088603383E-2</v>
      </c>
      <c r="G25" s="92">
        <f t="shared" si="5"/>
        <v>-3.2505597359295813E-2</v>
      </c>
      <c r="H25" s="92">
        <f t="shared" si="5"/>
        <v>-1.7087029785746832E-2</v>
      </c>
      <c r="I25" s="92">
        <f t="shared" si="5"/>
        <v>-9.0948531639218899E-3</v>
      </c>
      <c r="J25" s="92">
        <f t="shared" si="5"/>
        <v>5.8194027223246181E-4</v>
      </c>
      <c r="K25" s="92">
        <f t="shared" si="5"/>
        <v>1.8002332876861704E-2</v>
      </c>
      <c r="L25" s="92">
        <f t="shared" si="5"/>
        <v>-9.7486275619719787E-2</v>
      </c>
      <c r="M25" s="92">
        <f t="shared" si="5"/>
        <v>-0.12592597157651597</v>
      </c>
      <c r="N25" s="82"/>
      <c r="O25" s="82"/>
      <c r="P25" s="82"/>
      <c r="Q25" s="82"/>
      <c r="R25" s="82"/>
    </row>
    <row r="26" spans="1:18">
      <c r="A26" s="82" t="s">
        <v>223</v>
      </c>
      <c r="B26" s="91"/>
      <c r="C26" s="91">
        <f t="shared" ref="C26:M26" si="6">(C20+C18)*$B$13</f>
        <v>4442181.7</v>
      </c>
      <c r="D26" s="91">
        <f t="shared" si="6"/>
        <v>4500312.74</v>
      </c>
      <c r="E26" s="91">
        <f t="shared" si="6"/>
        <v>5029333.9800000004</v>
      </c>
      <c r="F26" s="91">
        <f t="shared" si="6"/>
        <v>5589586.8600000003</v>
      </c>
      <c r="G26" s="91">
        <f t="shared" si="6"/>
        <v>6195905.3200000003</v>
      </c>
      <c r="H26" s="91">
        <f t="shared" si="6"/>
        <v>6918846.6600000001</v>
      </c>
      <c r="I26" s="91">
        <f t="shared" si="6"/>
        <v>7820440.9800000004</v>
      </c>
      <c r="J26" s="91">
        <f t="shared" si="6"/>
        <v>8761690.5199999996</v>
      </c>
      <c r="K26" s="91">
        <f t="shared" si="6"/>
        <v>9458684.0700000003</v>
      </c>
      <c r="L26" s="91">
        <f t="shared" si="6"/>
        <v>6530416.75</v>
      </c>
      <c r="M26" s="91">
        <f t="shared" si="6"/>
        <v>7160674.6200000001</v>
      </c>
    </row>
    <row r="27" spans="1:18">
      <c r="A27" s="82" t="s">
        <v>224</v>
      </c>
      <c r="B27" s="92"/>
      <c r="C27" s="92">
        <f t="shared" ref="C27:M27" si="7">C26/C22-1</f>
        <v>0.16712931300618106</v>
      </c>
      <c r="D27" s="92">
        <f t="shared" si="7"/>
        <v>8.2238842652445632E-2</v>
      </c>
      <c r="E27" s="92">
        <f t="shared" si="7"/>
        <v>9.0849656673045009E-2</v>
      </c>
      <c r="F27" s="92">
        <f t="shared" si="7"/>
        <v>0.1003039268005621</v>
      </c>
      <c r="G27" s="92">
        <f t="shared" si="7"/>
        <v>0.10830964455200975</v>
      </c>
      <c r="H27" s="92">
        <f t="shared" si="7"/>
        <v>0.11248461797952625</v>
      </c>
      <c r="I27" s="92">
        <f t="shared" si="7"/>
        <v>0.12589162565264211</v>
      </c>
      <c r="J27" s="92">
        <f t="shared" si="7"/>
        <v>0.13565673595126015</v>
      </c>
      <c r="K27" s="92">
        <f t="shared" si="7"/>
        <v>0.1402731141164717</v>
      </c>
      <c r="L27" s="92">
        <f t="shared" si="7"/>
        <v>0.11123288610623838</v>
      </c>
      <c r="M27" s="92">
        <f t="shared" si="7"/>
        <v>0.11687034684447561</v>
      </c>
      <c r="N27" s="82"/>
      <c r="O27" s="82"/>
      <c r="P27" s="82"/>
      <c r="Q27" s="82"/>
      <c r="R27" s="82"/>
    </row>
    <row r="28" spans="1:18">
      <c r="A28" s="82"/>
      <c r="B28" s="82"/>
      <c r="C28" s="82"/>
      <c r="D28" s="82"/>
      <c r="E28" s="82"/>
      <c r="F28" s="82"/>
      <c r="G28" s="82"/>
      <c r="M28" s="82"/>
      <c r="N28" s="82"/>
      <c r="O28" s="82"/>
      <c r="P28" s="82"/>
      <c r="Q28" s="82"/>
      <c r="R28" s="82"/>
    </row>
    <row r="29" spans="1:18">
      <c r="A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</row>
    <row r="30" spans="1:18">
      <c r="A30" s="82" t="s">
        <v>225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</row>
    <row r="31" spans="1:18">
      <c r="A31" s="82"/>
      <c r="B31" s="82"/>
      <c r="C31" s="82"/>
      <c r="D31" s="82"/>
      <c r="E31" s="82"/>
      <c r="F31" s="82"/>
      <c r="G31" s="82"/>
      <c r="H31" s="82"/>
      <c r="I31" s="82"/>
      <c r="Q31" s="82"/>
      <c r="R31" s="82"/>
    </row>
    <row r="32" spans="1:18">
      <c r="A32" s="82"/>
      <c r="B32" s="82"/>
      <c r="C32" s="82"/>
      <c r="D32" s="82"/>
      <c r="E32" s="82"/>
      <c r="F32" s="82"/>
      <c r="G32" s="82"/>
      <c r="H32" s="82"/>
      <c r="I32" s="82"/>
      <c r="Q32" s="82"/>
      <c r="R32" s="82"/>
    </row>
    <row r="33" spans="1:18">
      <c r="A33" s="82"/>
      <c r="B33" s="82"/>
      <c r="C33" s="83">
        <v>2011</v>
      </c>
      <c r="D33" s="83">
        <v>2012</v>
      </c>
      <c r="E33" s="83">
        <v>2013</v>
      </c>
      <c r="F33" s="83">
        <v>2014</v>
      </c>
      <c r="G33" s="83">
        <v>2015</v>
      </c>
      <c r="H33" s="83">
        <v>2016</v>
      </c>
      <c r="I33" s="83">
        <v>2017</v>
      </c>
      <c r="J33" s="83">
        <v>2018</v>
      </c>
      <c r="K33" s="83">
        <v>2019</v>
      </c>
      <c r="L33" s="83">
        <v>2020</v>
      </c>
      <c r="M33" s="83">
        <v>2021</v>
      </c>
      <c r="N33" s="82"/>
      <c r="O33" s="82"/>
      <c r="P33" s="82"/>
      <c r="Q33" s="82"/>
      <c r="R33" s="82"/>
    </row>
    <row r="34" spans="1:18">
      <c r="A34" s="93" t="s">
        <v>226</v>
      </c>
      <c r="B34" s="82" t="s">
        <v>227</v>
      </c>
      <c r="C34" s="94">
        <f t="shared" ref="C34:E34" si="8">C5</f>
        <v>5.3416654402987621E-5</v>
      </c>
      <c r="D34" s="94">
        <f t="shared" si="8"/>
        <v>5.1958179197445287E-5</v>
      </c>
      <c r="E34" s="94">
        <f t="shared" si="8"/>
        <v>5.1258405740240637E-5</v>
      </c>
      <c r="F34" s="94">
        <f>F5</f>
        <v>5.1431576029903609E-5</v>
      </c>
      <c r="G34" s="94">
        <f>G5</f>
        <v>5.1781450696773702E-5</v>
      </c>
      <c r="H34" s="94">
        <f t="shared" ref="H34:J34" si="9">H5</f>
        <v>5.1958179197445287E-5</v>
      </c>
      <c r="I34" s="94">
        <f t="shared" si="9"/>
        <v>5.1958179197445287E-5</v>
      </c>
      <c r="J34" s="94">
        <f t="shared" si="9"/>
        <v>5.304441290889014E-5</v>
      </c>
      <c r="K34" s="94">
        <f>K5</f>
        <v>5.3416654402987621E-5</v>
      </c>
      <c r="L34" s="94">
        <f t="shared" ref="L34:M34" si="10">L5</f>
        <v>4.8483269123730798E-5</v>
      </c>
      <c r="M34" s="94">
        <f t="shared" si="10"/>
        <v>4.926778804159052E-5</v>
      </c>
    </row>
    <row r="35" spans="1:18">
      <c r="A35" s="93" t="s">
        <v>228</v>
      </c>
      <c r="B35" s="82" t="s">
        <v>229</v>
      </c>
      <c r="C35" s="94">
        <f t="shared" ref="C35:E35" si="11">C34/$B$13</f>
        <v>4.856059491180693E-4</v>
      </c>
      <c r="D35" s="94">
        <f t="shared" si="11"/>
        <v>4.7234708361313895E-4</v>
      </c>
      <c r="E35" s="94">
        <f t="shared" si="11"/>
        <v>4.6598550672946034E-4</v>
      </c>
      <c r="F35" s="94">
        <f>F34/$B$13</f>
        <v>4.6755978209003281E-4</v>
      </c>
      <c r="G35" s="94">
        <f t="shared" ref="G35:M35" si="12">G34/$B$13</f>
        <v>4.7074046087976093E-4</v>
      </c>
      <c r="H35" s="94">
        <f t="shared" si="12"/>
        <v>4.7234708361313895E-4</v>
      </c>
      <c r="I35" s="94">
        <f t="shared" si="12"/>
        <v>4.7234708361313895E-4</v>
      </c>
      <c r="J35" s="94">
        <f t="shared" si="12"/>
        <v>4.8222193553536491E-4</v>
      </c>
      <c r="K35" s="94">
        <f t="shared" si="12"/>
        <v>4.856059491180693E-4</v>
      </c>
      <c r="L35" s="94">
        <f t="shared" si="12"/>
        <v>4.4075699203391632E-4</v>
      </c>
      <c r="M35" s="94">
        <f t="shared" si="12"/>
        <v>4.4788898219627745E-4</v>
      </c>
    </row>
    <row r="36" spans="1:18">
      <c r="A36" s="30" t="s">
        <v>230</v>
      </c>
      <c r="B36" s="82" t="s">
        <v>150</v>
      </c>
      <c r="C36" s="85">
        <f t="shared" ref="C36:M37" si="13">C38*10^7*$C$12</f>
        <v>648626857687677.38</v>
      </c>
      <c r="D36" s="85">
        <f t="shared" si="13"/>
        <v>196038286463886.25</v>
      </c>
      <c r="E36" s="85">
        <f t="shared" si="13"/>
        <v>206477435480758.31</v>
      </c>
      <c r="F36" s="85">
        <f t="shared" si="13"/>
        <v>226904860424644.56</v>
      </c>
      <c r="G36" s="85">
        <f t="shared" si="13"/>
        <v>249732843053459.75</v>
      </c>
      <c r="H36" s="85">
        <f t="shared" si="13"/>
        <v>266085418563317.53</v>
      </c>
      <c r="I36" s="85">
        <f t="shared" si="13"/>
        <v>291328027049573.38</v>
      </c>
      <c r="J36" s="85">
        <f t="shared" si="13"/>
        <v>307561611376208.44</v>
      </c>
      <c r="K36" s="85">
        <f t="shared" si="13"/>
        <v>306232660194312.69</v>
      </c>
      <c r="L36" s="85">
        <f t="shared" si="13"/>
        <v>307912694746161.13</v>
      </c>
      <c r="M36" s="85">
        <f t="shared" si="13"/>
        <v>350891049542843.63</v>
      </c>
    </row>
    <row r="37" spans="1:18">
      <c r="A37" s="30" t="s">
        <v>231</v>
      </c>
      <c r="B37" s="82" t="s">
        <v>150</v>
      </c>
      <c r="C37" s="85">
        <f t="shared" si="13"/>
        <v>580664379377161.13</v>
      </c>
      <c r="D37" s="85">
        <f t="shared" si="13"/>
        <v>661275512883152.75</v>
      </c>
      <c r="E37" s="85">
        <f t="shared" si="13"/>
        <v>754465298313292.75</v>
      </c>
      <c r="F37" s="85">
        <f>F39*10^7*$C$12</f>
        <v>841972515806233.38</v>
      </c>
      <c r="G37" s="85">
        <f t="shared" si="13"/>
        <v>961492675681416</v>
      </c>
      <c r="H37" s="85">
        <f t="shared" si="13"/>
        <v>1102376791269599.9</v>
      </c>
      <c r="I37" s="85">
        <f t="shared" si="13"/>
        <v>1251704601415202</v>
      </c>
      <c r="J37" s="85">
        <f t="shared" si="13"/>
        <v>1380639815746003.8</v>
      </c>
      <c r="K37" s="85">
        <f t="shared" si="13"/>
        <v>1498105500487293.3</v>
      </c>
      <c r="L37" s="85">
        <f t="shared" si="13"/>
        <v>889942581182047.38</v>
      </c>
      <c r="M37" s="85">
        <f t="shared" si="13"/>
        <v>906077949607402</v>
      </c>
    </row>
    <row r="38" spans="1:18">
      <c r="A38" s="30" t="s">
        <v>230</v>
      </c>
      <c r="B38" s="82" t="s">
        <v>232</v>
      </c>
      <c r="C38" s="95">
        <f t="shared" ref="C38:E38" si="14">C19/1.609*10^8/C34/$C$12/10^11</f>
        <v>1588.8120149999993</v>
      </c>
      <c r="D38" s="95">
        <f t="shared" si="14"/>
        <v>480.195942</v>
      </c>
      <c r="E38" s="95">
        <f t="shared" si="14"/>
        <v>505.76664599999998</v>
      </c>
      <c r="F38" s="95">
        <f>F19/1.609*10^8/F34/$C$12/10^11</f>
        <v>555.80363999999997</v>
      </c>
      <c r="G38" s="95">
        <f t="shared" ref="G38:M38" si="15">G19/1.609*10^8/G34/$C$12/10^11</f>
        <v>611.72080200000005</v>
      </c>
      <c r="H38" s="95">
        <f t="shared" si="15"/>
        <v>651.77644899999996</v>
      </c>
      <c r="I38" s="95">
        <f t="shared" si="15"/>
        <v>713.6082389999998</v>
      </c>
      <c r="J38" s="95">
        <f t="shared" si="15"/>
        <v>753.37241699999981</v>
      </c>
      <c r="K38" s="95">
        <f t="shared" si="15"/>
        <v>750.1171499999997</v>
      </c>
      <c r="L38" s="95">
        <f t="shared" si="15"/>
        <v>754.23239599999999</v>
      </c>
      <c r="M38" s="95">
        <f t="shared" si="15"/>
        <v>859.50791100000004</v>
      </c>
    </row>
    <row r="39" spans="1:18">
      <c r="A39" s="30" t="s">
        <v>231</v>
      </c>
      <c r="B39" s="82" t="s">
        <v>232</v>
      </c>
      <c r="C39" s="95">
        <f t="shared" ref="C39:M39" si="16">C17/1.609*10^8/C35/$C$12/10^11</f>
        <v>1422.3378691499997</v>
      </c>
      <c r="D39" s="95">
        <f t="shared" si="16"/>
        <v>1619.7949061800002</v>
      </c>
      <c r="E39" s="95">
        <f t="shared" si="16"/>
        <v>1848.0633613199998</v>
      </c>
      <c r="F39" s="95">
        <f t="shared" si="16"/>
        <v>2062.4123616800002</v>
      </c>
      <c r="G39" s="95">
        <f t="shared" si="16"/>
        <v>2355.1770904199998</v>
      </c>
      <c r="H39" s="95">
        <f t="shared" si="16"/>
        <v>2700.2728460399999</v>
      </c>
      <c r="I39" s="95">
        <f t="shared" si="16"/>
        <v>3066.05143834</v>
      </c>
      <c r="J39" s="95">
        <f t="shared" si="16"/>
        <v>3381.8783506200002</v>
      </c>
      <c r="K39" s="95">
        <f t="shared" si="16"/>
        <v>3669.6106408499986</v>
      </c>
      <c r="L39" s="95">
        <f t="shared" si="16"/>
        <v>2179.9150758000001</v>
      </c>
      <c r="M39" s="95">
        <f t="shared" si="16"/>
        <v>2219.43867387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8222-F3F9-4E4C-A525-6CBC8692E909}">
  <dimension ref="B8:BP116"/>
  <sheetViews>
    <sheetView topLeftCell="G69" workbookViewId="0">
      <selection activeCell="G76" sqref="G76"/>
    </sheetView>
  </sheetViews>
  <sheetFormatPr defaultColWidth="9.25" defaultRowHeight="12.9"/>
  <cols>
    <col min="1" max="2" width="9.25" style="68"/>
    <col min="3" max="7" width="14.5" style="68" customWidth="1"/>
    <col min="8" max="8" width="9.25" style="68"/>
    <col min="9" max="9" width="9.625" style="68" customWidth="1"/>
    <col min="10" max="11" width="9.25" style="68"/>
    <col min="12" max="13" width="9.5" style="68" bestFit="1" customWidth="1"/>
    <col min="14" max="16384" width="9.25" style="68"/>
  </cols>
  <sheetData>
    <row r="8" spans="13:14">
      <c r="M8" s="67" t="s">
        <v>149</v>
      </c>
      <c r="N8" s="67" t="s">
        <v>150</v>
      </c>
    </row>
    <row r="9" spans="13:14">
      <c r="M9" s="67" t="s">
        <v>151</v>
      </c>
      <c r="N9" s="67">
        <v>19816.960400721899</v>
      </c>
    </row>
    <row r="10" spans="13:14">
      <c r="M10" s="67" t="s">
        <v>152</v>
      </c>
      <c r="N10" s="67">
        <v>40822.483473268301</v>
      </c>
    </row>
    <row r="11" spans="13:14">
      <c r="M11" s="67" t="s">
        <v>153</v>
      </c>
      <c r="N11" s="67">
        <v>3412.1416416012498</v>
      </c>
    </row>
    <row r="20" spans="2:23">
      <c r="T20" s="107"/>
      <c r="U20" s="107"/>
      <c r="V20" s="107"/>
      <c r="W20" s="107"/>
    </row>
    <row r="22" spans="2:23">
      <c r="C22" s="68" t="s">
        <v>154</v>
      </c>
      <c r="D22" s="68" t="s">
        <v>155</v>
      </c>
      <c r="E22" s="68" t="s">
        <v>156</v>
      </c>
      <c r="F22" s="68" t="s">
        <v>157</v>
      </c>
      <c r="I22" s="68" t="s">
        <v>154</v>
      </c>
      <c r="J22" s="68" t="s">
        <v>155</v>
      </c>
      <c r="K22" s="68" t="s">
        <v>156</v>
      </c>
      <c r="L22" s="68" t="s">
        <v>157</v>
      </c>
    </row>
    <row r="23" spans="2:23">
      <c r="C23" s="68" t="s">
        <v>158</v>
      </c>
      <c r="D23" s="68" t="s">
        <v>158</v>
      </c>
      <c r="E23" s="68" t="s">
        <v>159</v>
      </c>
      <c r="F23" s="68" t="s">
        <v>158</v>
      </c>
      <c r="I23" s="68" t="s">
        <v>160</v>
      </c>
    </row>
    <row r="24" spans="2:23">
      <c r="B24" s="68">
        <v>2000</v>
      </c>
      <c r="C24" s="69">
        <v>2.5799999999999998E-3</v>
      </c>
      <c r="D24" s="69">
        <v>3.7599999999999999E-3</v>
      </c>
      <c r="E24" s="69">
        <v>1.132E-2</v>
      </c>
      <c r="F24" s="69">
        <v>1.39E-3</v>
      </c>
      <c r="G24" s="69" t="s">
        <v>160</v>
      </c>
      <c r="H24" s="69"/>
      <c r="I24" s="69">
        <f t="shared" ref="I24:I36" si="0">1/(C24*40822.4834732683)</f>
        <v>9.4946918033199882E-3</v>
      </c>
      <c r="J24" s="69">
        <f t="shared" ref="J24:J36" si="1">1/(D24*19816.9604007219)</f>
        <v>1.3420698302390626E-2</v>
      </c>
      <c r="K24" s="69">
        <f t="shared" ref="K24:K36" si="2">1/(E24*3412.14164160125)</f>
        <v>2.5889670445622286E-2</v>
      </c>
      <c r="L24" s="69">
        <f t="shared" ref="L24:L36" si="3">1/(F24*19816.9604007219)</f>
        <v>3.6303471666898381E-2</v>
      </c>
    </row>
    <row r="25" spans="2:23">
      <c r="B25" s="68">
        <v>2001</v>
      </c>
      <c r="C25" s="69">
        <v>2.5699999999999998E-3</v>
      </c>
      <c r="D25" s="69">
        <v>3.7399999999999998E-3</v>
      </c>
      <c r="E25" s="69">
        <v>1.1310000000000001E-2</v>
      </c>
      <c r="F25" s="69">
        <v>1.39E-3</v>
      </c>
      <c r="G25" s="69"/>
      <c r="H25" s="69"/>
      <c r="I25" s="69">
        <f t="shared" si="0"/>
        <v>9.5316361294029463E-3</v>
      </c>
      <c r="J25" s="69">
        <f t="shared" si="1"/>
        <v>1.3492466742510362E-2</v>
      </c>
      <c r="K25" s="69">
        <f t="shared" si="2"/>
        <v>2.5912561400923455E-2</v>
      </c>
      <c r="L25" s="69">
        <f t="shared" si="3"/>
        <v>3.6303471666898381E-2</v>
      </c>
    </row>
    <row r="26" spans="2:23">
      <c r="B26" s="68">
        <v>2002</v>
      </c>
      <c r="C26" s="69">
        <v>2.5899999999999999E-3</v>
      </c>
      <c r="D26" s="69">
        <v>3.7699999999999999E-3</v>
      </c>
      <c r="E26" s="69">
        <v>1.108E-2</v>
      </c>
      <c r="F26" s="69">
        <v>1.3600000000000001E-3</v>
      </c>
      <c r="G26" s="69"/>
      <c r="H26" s="69"/>
      <c r="I26" s="69">
        <f t="shared" si="0"/>
        <v>9.4580327616083284E-3</v>
      </c>
      <c r="J26" s="69">
        <f t="shared" si="1"/>
        <v>1.3385099633153517E-2</v>
      </c>
      <c r="K26" s="69">
        <f t="shared" si="2"/>
        <v>2.6450457531087029E-2</v>
      </c>
      <c r="L26" s="69">
        <f t="shared" si="3"/>
        <v>3.7104283541903489E-2</v>
      </c>
    </row>
    <row r="27" spans="2:23">
      <c r="B27" s="68">
        <v>2003</v>
      </c>
      <c r="C27" s="69">
        <v>2.5400000000000002E-3</v>
      </c>
      <c r="D27" s="69">
        <v>3.7000000000000002E-3</v>
      </c>
      <c r="E27" s="69">
        <v>1.0999999999999999E-2</v>
      </c>
      <c r="F27" s="69">
        <v>1.3500000000000001E-3</v>
      </c>
      <c r="G27" s="69"/>
      <c r="H27" s="69"/>
      <c r="I27" s="69">
        <f t="shared" si="0"/>
        <v>9.6442145088840806E-3</v>
      </c>
      <c r="J27" s="69">
        <f t="shared" si="1"/>
        <v>1.3638331247834796E-2</v>
      </c>
      <c r="K27" s="69">
        <f t="shared" si="2"/>
        <v>2.6642824494949483E-2</v>
      </c>
      <c r="L27" s="69">
        <f t="shared" si="3"/>
        <v>3.7379130086658337E-2</v>
      </c>
    </row>
    <row r="28" spans="2:23">
      <c r="B28" s="68">
        <v>2004</v>
      </c>
      <c r="C28" s="69">
        <v>2.5000000000000001E-3</v>
      </c>
      <c r="D28" s="69">
        <v>3.64E-3</v>
      </c>
      <c r="E28" s="69">
        <v>1.112E-2</v>
      </c>
      <c r="F28" s="69">
        <v>1.3699999999999999E-3</v>
      </c>
      <c r="G28" s="69"/>
      <c r="H28" s="69"/>
      <c r="I28" s="69">
        <f t="shared" si="0"/>
        <v>9.7985219410262267E-3</v>
      </c>
      <c r="J28" s="69">
        <f t="shared" si="1"/>
        <v>1.386313890576614E-2</v>
      </c>
      <c r="K28" s="69">
        <f t="shared" si="2"/>
        <v>2.6355312000399669E-2</v>
      </c>
      <c r="L28" s="69">
        <f t="shared" si="3"/>
        <v>3.6833449355466244E-2</v>
      </c>
    </row>
    <row r="29" spans="2:23">
      <c r="B29" s="68">
        <v>2005</v>
      </c>
      <c r="C29" s="69">
        <v>2.4599999999999999E-3</v>
      </c>
      <c r="D29" s="69">
        <v>3.5799999999999998E-3</v>
      </c>
      <c r="E29" s="69">
        <v>1.1180000000000001E-2</v>
      </c>
      <c r="F29" s="69">
        <v>1.3699999999999999E-3</v>
      </c>
      <c r="G29" s="69"/>
      <c r="H29" s="69"/>
      <c r="I29" s="69">
        <f t="shared" si="0"/>
        <v>9.9578475010429143E-3</v>
      </c>
      <c r="J29" s="69">
        <f t="shared" si="1"/>
        <v>1.4095482015918646E-2</v>
      </c>
      <c r="K29" s="69">
        <f t="shared" si="2"/>
        <v>2.6213870254422563E-2</v>
      </c>
      <c r="L29" s="69">
        <f t="shared" si="3"/>
        <v>3.6833449355466244E-2</v>
      </c>
    </row>
    <row r="30" spans="2:23">
      <c r="B30" s="68">
        <v>2006</v>
      </c>
      <c r="C30" s="69">
        <v>2.4299999999999999E-3</v>
      </c>
      <c r="D30" s="69">
        <v>3.5400000000000002E-3</v>
      </c>
      <c r="E30" s="69">
        <v>1.0999999999999999E-2</v>
      </c>
      <c r="F30" s="69">
        <v>1.3500000000000001E-3</v>
      </c>
      <c r="G30" s="69"/>
      <c r="H30" s="69"/>
      <c r="I30" s="69">
        <f t="shared" si="0"/>
        <v>1.008078388994468E-2</v>
      </c>
      <c r="J30" s="69">
        <f t="shared" si="1"/>
        <v>1.4254752999149365E-2</v>
      </c>
      <c r="K30" s="69">
        <f t="shared" si="2"/>
        <v>2.6642824494949483E-2</v>
      </c>
      <c r="L30" s="69">
        <f t="shared" si="3"/>
        <v>3.7379130086658337E-2</v>
      </c>
    </row>
    <row r="31" spans="2:23">
      <c r="B31" s="68">
        <v>2007</v>
      </c>
      <c r="C31" s="69">
        <v>2.4599999999999999E-3</v>
      </c>
      <c r="D31" s="69">
        <v>3.5799999999999998E-3</v>
      </c>
      <c r="E31" s="69">
        <v>1.095E-2</v>
      </c>
      <c r="F31" s="69">
        <v>1.3500000000000001E-3</v>
      </c>
      <c r="G31" s="69"/>
      <c r="H31" s="69"/>
      <c r="I31" s="69">
        <f t="shared" si="0"/>
        <v>9.9578475010429143E-3</v>
      </c>
      <c r="J31" s="69">
        <f t="shared" si="1"/>
        <v>1.4095482015918646E-2</v>
      </c>
      <c r="K31" s="69">
        <f t="shared" si="2"/>
        <v>2.676448122780313E-2</v>
      </c>
      <c r="L31" s="69">
        <f t="shared" si="3"/>
        <v>3.7379130086658337E-2</v>
      </c>
    </row>
    <row r="32" spans="2:23">
      <c r="B32" s="68">
        <v>2008</v>
      </c>
      <c r="C32" s="69">
        <v>2.49E-3</v>
      </c>
      <c r="D32" s="69">
        <v>3.63E-3</v>
      </c>
      <c r="E32" s="69">
        <v>1.106E-2</v>
      </c>
      <c r="F32" s="69">
        <v>1.3600000000000001E-3</v>
      </c>
      <c r="G32" s="69"/>
      <c r="H32" s="69"/>
      <c r="I32" s="69">
        <f t="shared" si="0"/>
        <v>9.8378734347652885E-3</v>
      </c>
      <c r="J32" s="69">
        <f t="shared" si="1"/>
        <v>1.390132937107128E-2</v>
      </c>
      <c r="K32" s="69">
        <f t="shared" si="2"/>
        <v>2.649828837653203E-2</v>
      </c>
      <c r="L32" s="69">
        <f t="shared" si="3"/>
        <v>3.7104283541903489E-2</v>
      </c>
    </row>
    <row r="33" spans="2:14">
      <c r="B33" s="68">
        <v>2009</v>
      </c>
      <c r="C33" s="69">
        <v>2.5200000000000001E-3</v>
      </c>
      <c r="D33" s="69">
        <v>3.6700000000000001E-3</v>
      </c>
      <c r="E33" s="69">
        <v>1.0789999999999999E-2</v>
      </c>
      <c r="F33" s="69">
        <v>1.33E-3</v>
      </c>
      <c r="G33" s="69"/>
      <c r="H33" s="69"/>
      <c r="I33" s="69">
        <f t="shared" si="0"/>
        <v>9.7207558938752249E-3</v>
      </c>
      <c r="J33" s="69">
        <f t="shared" si="1"/>
        <v>1.3749816244411102E-2</v>
      </c>
      <c r="K33" s="69">
        <f t="shared" si="2"/>
        <v>2.7161359540726997E-2</v>
      </c>
      <c r="L33" s="69">
        <f t="shared" si="3"/>
        <v>3.7941222268412594E-2</v>
      </c>
    </row>
    <row r="34" spans="2:14">
      <c r="B34" s="68">
        <v>2010</v>
      </c>
      <c r="C34" s="69">
        <v>2.64E-3</v>
      </c>
      <c r="D34" s="69">
        <v>3.8500000000000001E-3</v>
      </c>
      <c r="E34" s="69">
        <v>1.0240000000000001E-2</v>
      </c>
      <c r="F34" s="69">
        <v>1.2600000000000001E-3</v>
      </c>
      <c r="G34" s="69"/>
      <c r="H34" s="69"/>
      <c r="I34" s="69">
        <f t="shared" si="0"/>
        <v>9.2789033532445324E-3</v>
      </c>
      <c r="J34" s="69">
        <f t="shared" si="1"/>
        <v>1.3106967692724351E-2</v>
      </c>
      <c r="K34" s="69">
        <f t="shared" si="2"/>
        <v>2.8620221625434008E-2</v>
      </c>
      <c r="L34" s="69">
        <f t="shared" si="3"/>
        <v>4.0049067949991073E-2</v>
      </c>
    </row>
    <row r="35" spans="2:14">
      <c r="B35" s="68">
        <v>2011</v>
      </c>
      <c r="C35" s="69">
        <v>2.65E-3</v>
      </c>
      <c r="D35" s="69">
        <v>3.8600000000000001E-3</v>
      </c>
      <c r="E35" s="69">
        <v>1.0059999999999999E-2</v>
      </c>
      <c r="F35" s="69">
        <v>1.24E-3</v>
      </c>
      <c r="G35" s="69"/>
      <c r="H35" s="69"/>
      <c r="I35" s="69">
        <f t="shared" si="0"/>
        <v>9.2438886236096487E-3</v>
      </c>
      <c r="J35" s="69">
        <f t="shared" si="1"/>
        <v>1.3073011817872734E-2</v>
      </c>
      <c r="K35" s="69">
        <f t="shared" si="2"/>
        <v>2.9132313066048139E-2</v>
      </c>
      <c r="L35" s="69">
        <f t="shared" si="3"/>
        <v>4.0695020658861894E-2</v>
      </c>
    </row>
    <row r="36" spans="2:14">
      <c r="B36" s="68">
        <v>2012</v>
      </c>
      <c r="C36" s="69">
        <v>2.6800000000000001E-3</v>
      </c>
      <c r="D36" s="69">
        <v>3.9100000000000003E-3</v>
      </c>
      <c r="E36" s="69">
        <v>1.021E-2</v>
      </c>
      <c r="F36" s="69">
        <v>1.25E-3</v>
      </c>
      <c r="G36" s="69"/>
      <c r="H36" s="69"/>
      <c r="I36" s="69">
        <f t="shared" si="0"/>
        <v>9.1404122584199891E-3</v>
      </c>
      <c r="J36" s="69">
        <f t="shared" si="1"/>
        <v>1.2905837753705563E-2</v>
      </c>
      <c r="K36" s="69">
        <f t="shared" si="2"/>
        <v>2.8704316302100318E-2</v>
      </c>
      <c r="L36" s="69">
        <f t="shared" si="3"/>
        <v>4.0369460493590997E-2</v>
      </c>
    </row>
    <row r="42" spans="2:14">
      <c r="M42" s="67" t="s">
        <v>149</v>
      </c>
      <c r="N42" s="67" t="s">
        <v>150</v>
      </c>
    </row>
    <row r="43" spans="2:14">
      <c r="M43" s="67" t="s">
        <v>151</v>
      </c>
      <c r="N43" s="67">
        <v>19816.960400721899</v>
      </c>
    </row>
    <row r="44" spans="2:14">
      <c r="M44" s="67"/>
      <c r="N44" s="67"/>
    </row>
    <row r="51" spans="2:12">
      <c r="C51" s="68" t="s">
        <v>161</v>
      </c>
      <c r="E51" s="68" t="s">
        <v>162</v>
      </c>
      <c r="I51" s="68" t="s">
        <v>161</v>
      </c>
      <c r="K51" s="68" t="s">
        <v>162</v>
      </c>
    </row>
    <row r="52" spans="2:12">
      <c r="C52" s="68" t="s">
        <v>163</v>
      </c>
      <c r="D52" s="68" t="s">
        <v>164</v>
      </c>
      <c r="E52" s="68" t="s">
        <v>163</v>
      </c>
      <c r="F52" s="68" t="s">
        <v>164</v>
      </c>
      <c r="I52" s="68" t="s">
        <v>163</v>
      </c>
      <c r="J52" s="68" t="s">
        <v>164</v>
      </c>
      <c r="K52" s="68" t="s">
        <v>163</v>
      </c>
      <c r="L52" s="68" t="s">
        <v>164</v>
      </c>
    </row>
    <row r="53" spans="2:12">
      <c r="B53" s="68" t="s">
        <v>165</v>
      </c>
      <c r="C53" s="68" t="s">
        <v>166</v>
      </c>
      <c r="D53" s="68" t="s">
        <v>166</v>
      </c>
      <c r="E53" s="68" t="s">
        <v>167</v>
      </c>
      <c r="F53" s="68" t="s">
        <v>166</v>
      </c>
      <c r="I53" s="68" t="s">
        <v>168</v>
      </c>
      <c r="K53" s="68" t="s">
        <v>160</v>
      </c>
    </row>
    <row r="54" spans="2:12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2:12">
      <c r="B55" s="68">
        <v>2015</v>
      </c>
      <c r="C55" s="69">
        <v>5.3470000000000002E-3</v>
      </c>
      <c r="D55" s="69">
        <v>5.117E-3</v>
      </c>
      <c r="E55" s="69">
        <v>8.3669999999999994E-3</v>
      </c>
      <c r="F55" s="69">
        <v>8.0319999999999992E-3</v>
      </c>
      <c r="G55" s="69"/>
      <c r="H55" s="69"/>
      <c r="I55" s="69">
        <f t="shared" ref="I55:L70" si="4">1/(C55*19816.9604007219)</f>
        <v>9.4374089427695443E-3</v>
      </c>
      <c r="J55" s="69">
        <f t="shared" si="4"/>
        <v>9.8616035991770084E-3</v>
      </c>
      <c r="K55" s="69">
        <f t="shared" si="4"/>
        <v>6.0310536174242573E-3</v>
      </c>
      <c r="L55" s="69">
        <f t="shared" si="4"/>
        <v>6.282597810880074E-3</v>
      </c>
    </row>
    <row r="56" spans="2:12">
      <c r="B56" s="68">
        <v>2016</v>
      </c>
      <c r="C56" s="69">
        <v>5.3428E-3</v>
      </c>
      <c r="D56" s="69">
        <v>4.9307999999999999E-3</v>
      </c>
      <c r="E56" s="69">
        <v>8.1962000000000007E-3</v>
      </c>
      <c r="F56" s="69">
        <v>7.8890000000000002E-3</v>
      </c>
      <c r="G56" s="69"/>
      <c r="H56" s="69"/>
      <c r="I56" s="69">
        <f t="shared" si="4"/>
        <v>9.4448277339576163E-3</v>
      </c>
      <c r="J56" s="69">
        <f t="shared" si="4"/>
        <v>1.0234003735091415E-2</v>
      </c>
      <c r="K56" s="69">
        <f t="shared" si="4"/>
        <v>6.1567342935736988E-3</v>
      </c>
      <c r="L56" s="69">
        <f t="shared" si="4"/>
        <v>6.3964793531485296E-3</v>
      </c>
    </row>
    <row r="57" spans="2:12">
      <c r="B57" s="68">
        <v>2017</v>
      </c>
      <c r="C57" s="69">
        <v>5.3385999999999998E-3</v>
      </c>
      <c r="D57" s="69">
        <v>4.7445999999999999E-3</v>
      </c>
      <c r="E57" s="69">
        <v>8.0254000000000002E-3</v>
      </c>
      <c r="F57" s="69">
        <v>7.7460000000000003E-3</v>
      </c>
      <c r="G57" s="69" t="s">
        <v>160</v>
      </c>
      <c r="H57" s="69"/>
      <c r="I57" s="69">
        <f t="shared" si="4"/>
        <v>9.4522581982146546E-3</v>
      </c>
      <c r="J57" s="69">
        <f t="shared" si="4"/>
        <v>1.0635633270873994E-2</v>
      </c>
      <c r="K57" s="69">
        <f t="shared" si="4"/>
        <v>6.2877645496783657E-3</v>
      </c>
      <c r="L57" s="69">
        <f t="shared" si="4"/>
        <v>6.5145656618885552E-3</v>
      </c>
    </row>
    <row r="58" spans="2:12">
      <c r="B58" s="68">
        <v>2018</v>
      </c>
      <c r="C58" s="69">
        <v>5.3344000000000004E-3</v>
      </c>
      <c r="D58" s="69">
        <v>4.5583999999999998E-3</v>
      </c>
      <c r="E58" s="69">
        <v>7.8545999999999998E-3</v>
      </c>
      <c r="F58" s="69">
        <v>7.6030000000000004E-3</v>
      </c>
      <c r="G58" s="69"/>
      <c r="H58" s="69"/>
      <c r="I58" s="69">
        <f t="shared" si="4"/>
        <v>9.459700363112767E-3</v>
      </c>
      <c r="J58" s="69">
        <f t="shared" si="4"/>
        <v>1.1070074064800973E-2</v>
      </c>
      <c r="K58" s="69">
        <f t="shared" si="4"/>
        <v>6.4244933691071163E-3</v>
      </c>
      <c r="L58" s="69">
        <f t="shared" si="4"/>
        <v>6.637093991449264E-3</v>
      </c>
    </row>
    <row r="59" spans="2:12">
      <c r="B59" s="68">
        <v>2019</v>
      </c>
      <c r="C59" s="69">
        <v>5.3302000000000002E-3</v>
      </c>
      <c r="D59" s="69">
        <v>4.3721999999999997E-3</v>
      </c>
      <c r="E59" s="69">
        <v>7.6838000000000002E-3</v>
      </c>
      <c r="F59" s="69">
        <v>7.4599999999999996E-3</v>
      </c>
      <c r="G59" s="69"/>
      <c r="H59" s="69"/>
      <c r="I59" s="69">
        <f t="shared" si="4"/>
        <v>9.4671542563109726E-3</v>
      </c>
      <c r="J59" s="69">
        <f t="shared" si="4"/>
        <v>1.1541518141207803E-2</v>
      </c>
      <c r="K59" s="69">
        <f t="shared" si="4"/>
        <v>6.567300764854467E-3</v>
      </c>
      <c r="L59" s="69">
        <f t="shared" si="4"/>
        <v>6.7643197878001016E-3</v>
      </c>
    </row>
    <row r="60" spans="2:12">
      <c r="B60" s="68">
        <v>2020</v>
      </c>
      <c r="C60" s="69">
        <v>5.326E-3</v>
      </c>
      <c r="D60" s="69">
        <v>4.1859999999999996E-3</v>
      </c>
      <c r="E60" s="69">
        <v>7.5129999999999997E-3</v>
      </c>
      <c r="F60" s="69">
        <v>7.3169999999999997E-3</v>
      </c>
      <c r="G60" s="69"/>
      <c r="H60" s="69"/>
      <c r="I60" s="69">
        <f t="shared" si="4"/>
        <v>9.47461990555553E-3</v>
      </c>
      <c r="J60" s="69">
        <f t="shared" si="4"/>
        <v>1.2054903396318385E-2</v>
      </c>
      <c r="K60" s="69">
        <f t="shared" si="4"/>
        <v>6.7166013066669436E-3</v>
      </c>
      <c r="L60" s="69">
        <f t="shared" si="4"/>
        <v>6.8965184661731252E-3</v>
      </c>
    </row>
    <row r="61" spans="2:12">
      <c r="B61" s="68">
        <v>2021</v>
      </c>
      <c r="C61" s="69">
        <v>5.1444000000000004E-3</v>
      </c>
      <c r="D61" s="69">
        <v>4.0629999999999998E-3</v>
      </c>
      <c r="E61" s="69">
        <v>7.0112000000000004E-3</v>
      </c>
      <c r="F61" s="69">
        <v>6.9898E-3</v>
      </c>
      <c r="G61" s="69"/>
      <c r="H61" s="69"/>
      <c r="I61" s="69">
        <f t="shared" si="4"/>
        <v>9.8090789240705915E-3</v>
      </c>
      <c r="J61" s="69">
        <f t="shared" si="4"/>
        <v>1.241984386339866E-2</v>
      </c>
      <c r="K61" s="69">
        <f t="shared" si="4"/>
        <v>7.1973165245590989E-3</v>
      </c>
      <c r="L61" s="69">
        <f t="shared" si="4"/>
        <v>7.2193518579914667E-3</v>
      </c>
    </row>
    <row r="62" spans="2:12">
      <c r="B62" s="68">
        <v>2022</v>
      </c>
      <c r="C62" s="69">
        <v>4.9627999999999999E-3</v>
      </c>
      <c r="D62" s="69">
        <v>3.9399999999999999E-3</v>
      </c>
      <c r="E62" s="69">
        <v>6.5094000000000003E-3</v>
      </c>
      <c r="F62" s="69">
        <v>6.6626000000000003E-3</v>
      </c>
      <c r="G62" s="69"/>
      <c r="H62" s="69"/>
      <c r="I62" s="69">
        <f t="shared" si="4"/>
        <v>1.0168015156159579E-2</v>
      </c>
      <c r="J62" s="69">
        <f t="shared" si="4"/>
        <v>1.2807569953550445E-2</v>
      </c>
      <c r="K62" s="69">
        <f t="shared" si="4"/>
        <v>7.7521469900434375E-3</v>
      </c>
      <c r="L62" s="69">
        <f t="shared" si="4"/>
        <v>7.5738939178381943E-3</v>
      </c>
    </row>
    <row r="63" spans="2:12">
      <c r="B63" s="68">
        <v>2023</v>
      </c>
      <c r="C63" s="69">
        <v>4.7812000000000002E-3</v>
      </c>
      <c r="D63" s="69">
        <v>3.8170000000000001E-3</v>
      </c>
      <c r="E63" s="69">
        <v>6.0076000000000001E-3</v>
      </c>
      <c r="F63" s="69">
        <v>6.3353999999999997E-3</v>
      </c>
      <c r="G63" s="69"/>
      <c r="H63" s="69"/>
      <c r="I63" s="69">
        <f t="shared" si="4"/>
        <v>1.0554217689489826E-2</v>
      </c>
      <c r="J63" s="69">
        <f t="shared" si="4"/>
        <v>1.3220284416292574E-2</v>
      </c>
      <c r="K63" s="69">
        <f t="shared" si="4"/>
        <v>8.3996646942187825E-3</v>
      </c>
      <c r="L63" s="69">
        <f t="shared" si="4"/>
        <v>7.9650575523232559E-3</v>
      </c>
    </row>
    <row r="64" spans="2:12">
      <c r="B64" s="68">
        <v>2024</v>
      </c>
      <c r="C64" s="69">
        <v>4.5995999999999997E-3</v>
      </c>
      <c r="D64" s="69">
        <v>3.6939999999999998E-3</v>
      </c>
      <c r="E64" s="69">
        <v>5.5057999999999999E-3</v>
      </c>
      <c r="F64" s="69">
        <v>6.0082E-3</v>
      </c>
      <c r="G64" s="69"/>
      <c r="H64" s="69"/>
      <c r="I64" s="69">
        <f t="shared" si="4"/>
        <v>1.0970916083352629E-2</v>
      </c>
      <c r="J64" s="69">
        <f t="shared" si="4"/>
        <v>1.3660483383050558E-2</v>
      </c>
      <c r="K64" s="69">
        <f t="shared" si="4"/>
        <v>9.165212251986769E-3</v>
      </c>
      <c r="L64" s="69">
        <f t="shared" si="4"/>
        <v>8.398825874136805E-3</v>
      </c>
    </row>
    <row r="65" spans="2:68">
      <c r="B65" s="68">
        <v>2025</v>
      </c>
      <c r="C65" s="69">
        <v>4.4180000000000001E-3</v>
      </c>
      <c r="D65" s="69">
        <v>3.571E-3</v>
      </c>
      <c r="E65" s="69">
        <v>5.0039999999999998E-3</v>
      </c>
      <c r="F65" s="69">
        <v>5.6810000000000003E-3</v>
      </c>
      <c r="G65" s="69"/>
      <c r="H65" s="69"/>
      <c r="I65" s="69">
        <f t="shared" si="4"/>
        <v>1.1421870895651595E-2</v>
      </c>
      <c r="J65" s="69">
        <f t="shared" si="4"/>
        <v>1.4131006893584082E-2</v>
      </c>
      <c r="K65" s="69">
        <f t="shared" si="4"/>
        <v>1.0084297685249551E-2</v>
      </c>
      <c r="L65" s="69">
        <f t="shared" si="4"/>
        <v>8.8825603972872286E-3</v>
      </c>
    </row>
    <row r="66" spans="2:68">
      <c r="B66" s="68">
        <v>2026</v>
      </c>
      <c r="C66" s="69">
        <v>4.1682000000000004E-3</v>
      </c>
      <c r="D66" s="69">
        <v>3.4650000000000002E-3</v>
      </c>
      <c r="E66" s="69">
        <v>4.8522000000000001E-3</v>
      </c>
      <c r="F66" s="69">
        <v>5.2572000000000001E-3</v>
      </c>
      <c r="G66" s="69"/>
      <c r="H66" s="69"/>
      <c r="I66" s="69">
        <f t="shared" si="4"/>
        <v>1.2106382999133617E-2</v>
      </c>
      <c r="J66" s="69">
        <f t="shared" si="4"/>
        <v>1.456329743636039E-2</v>
      </c>
      <c r="K66" s="69">
        <f t="shared" si="4"/>
        <v>1.0399782700010048E-2</v>
      </c>
      <c r="L66" s="69">
        <f t="shared" si="4"/>
        <v>9.5986124965739845E-3</v>
      </c>
    </row>
    <row r="67" spans="2:68">
      <c r="B67" s="68">
        <v>2027</v>
      </c>
      <c r="C67" s="69">
        <v>3.9183999999999998E-3</v>
      </c>
      <c r="D67" s="69">
        <v>3.359E-3</v>
      </c>
      <c r="E67" s="69">
        <v>4.7004000000000004E-3</v>
      </c>
      <c r="F67" s="69">
        <v>4.8333999999999998E-3</v>
      </c>
      <c r="G67" s="69"/>
      <c r="H67" s="69"/>
      <c r="I67" s="69">
        <f t="shared" si="4"/>
        <v>1.287817109457655E-2</v>
      </c>
      <c r="J67" s="69">
        <f t="shared" si="4"/>
        <v>1.5022871573977003E-2</v>
      </c>
      <c r="K67" s="69">
        <f t="shared" si="4"/>
        <v>1.0735644970000159E-2</v>
      </c>
      <c r="L67" s="69">
        <f t="shared" si="4"/>
        <v>1.0440233710636147E-2</v>
      </c>
    </row>
    <row r="68" spans="2:68">
      <c r="B68" s="68">
        <v>2028</v>
      </c>
      <c r="C68" s="69">
        <v>3.6686000000000002E-3</v>
      </c>
      <c r="D68" s="69">
        <v>3.2529999999999998E-3</v>
      </c>
      <c r="E68" s="69">
        <v>4.5485999999999999E-3</v>
      </c>
      <c r="F68" s="69">
        <v>4.4095999999999996E-3</v>
      </c>
      <c r="G68" s="69"/>
      <c r="H68" s="69"/>
      <c r="I68" s="69">
        <f t="shared" si="4"/>
        <v>1.3755063407563852E-2</v>
      </c>
      <c r="J68" s="69">
        <f t="shared" si="4"/>
        <v>1.5512396439283357E-2</v>
      </c>
      <c r="K68" s="69">
        <f t="shared" si="4"/>
        <v>1.1093924639886723E-2</v>
      </c>
      <c r="L68" s="69">
        <f t="shared" si="4"/>
        <v>1.1443628813722051E-2</v>
      </c>
    </row>
    <row r="69" spans="2:68">
      <c r="B69" s="68">
        <v>2029</v>
      </c>
      <c r="C69" s="69">
        <v>3.4188000000000001E-3</v>
      </c>
      <c r="D69" s="69">
        <v>3.1470000000000001E-3</v>
      </c>
      <c r="E69" s="69">
        <v>4.3968000000000002E-3</v>
      </c>
      <c r="F69" s="69">
        <v>3.9858000000000003E-3</v>
      </c>
      <c r="G69" s="69"/>
      <c r="H69" s="69"/>
      <c r="I69" s="69">
        <f t="shared" si="4"/>
        <v>1.4760098753067961E-2</v>
      </c>
      <c r="J69" s="69">
        <f t="shared" si="4"/>
        <v>1.6034898511912535E-2</v>
      </c>
      <c r="K69" s="69">
        <f t="shared" si="4"/>
        <v>1.1476943599205957E-2</v>
      </c>
      <c r="L69" s="69">
        <f t="shared" si="4"/>
        <v>1.266040082718369E-2</v>
      </c>
    </row>
    <row r="70" spans="2:68">
      <c r="B70" s="68">
        <v>2030</v>
      </c>
      <c r="C70" s="69">
        <v>3.1689999999999999E-3</v>
      </c>
      <c r="D70" s="69">
        <v>3.0409999999999999E-3</v>
      </c>
      <c r="E70" s="69">
        <v>4.2449999999999996E-3</v>
      </c>
      <c r="F70" s="69">
        <v>3.5620000000000001E-3</v>
      </c>
      <c r="G70" s="69"/>
      <c r="H70" s="69"/>
      <c r="I70" s="69">
        <f t="shared" si="4"/>
        <v>1.5923580188383954E-2</v>
      </c>
      <c r="J70" s="69">
        <f t="shared" si="4"/>
        <v>1.6593826246954539E-2</v>
      </c>
      <c r="K70" s="69">
        <f t="shared" si="4"/>
        <v>1.1887355857947882E-2</v>
      </c>
      <c r="L70" s="69">
        <f t="shared" si="4"/>
        <v>1.4166711290563938E-2</v>
      </c>
    </row>
    <row r="73" spans="2:68">
      <c r="R73" s="70" t="s">
        <v>169</v>
      </c>
      <c r="S73" s="70">
        <v>2011</v>
      </c>
      <c r="T73" s="70">
        <v>2012</v>
      </c>
      <c r="U73" s="70">
        <v>2013</v>
      </c>
      <c r="V73" s="70">
        <v>2014</v>
      </c>
      <c r="W73" s="70">
        <v>2015</v>
      </c>
      <c r="X73" s="70">
        <v>2016</v>
      </c>
      <c r="Y73" s="70">
        <v>2017</v>
      </c>
      <c r="Z73" s="70">
        <v>2018</v>
      </c>
      <c r="AA73" s="70">
        <v>2019</v>
      </c>
      <c r="AB73" s="70">
        <v>2020</v>
      </c>
      <c r="AC73" s="70">
        <v>2021</v>
      </c>
      <c r="AD73" s="70">
        <v>2022</v>
      </c>
      <c r="AE73" s="70">
        <v>2023</v>
      </c>
      <c r="AF73" s="70">
        <v>2024</v>
      </c>
      <c r="AG73" s="70">
        <v>2025</v>
      </c>
      <c r="AH73" s="70">
        <v>2026</v>
      </c>
      <c r="AI73" s="70">
        <v>2027</v>
      </c>
      <c r="AJ73" s="70">
        <v>2028</v>
      </c>
      <c r="AK73" s="70">
        <v>2029</v>
      </c>
      <c r="AL73" s="70">
        <v>2030</v>
      </c>
      <c r="AM73" s="70">
        <v>2031</v>
      </c>
      <c r="AN73" s="70">
        <v>2032</v>
      </c>
      <c r="AO73" s="70">
        <v>2033</v>
      </c>
      <c r="AP73" s="70">
        <v>2034</v>
      </c>
      <c r="AQ73" s="70">
        <v>2035</v>
      </c>
      <c r="AR73" s="70">
        <v>2036</v>
      </c>
      <c r="AS73" s="70">
        <v>2037</v>
      </c>
      <c r="AT73" s="70">
        <v>2038</v>
      </c>
      <c r="AU73" s="70">
        <v>2039</v>
      </c>
      <c r="AV73" s="70">
        <v>2040</v>
      </c>
      <c r="AW73" s="70">
        <v>2041</v>
      </c>
      <c r="AX73" s="70">
        <v>2042</v>
      </c>
      <c r="AY73" s="70">
        <v>2043</v>
      </c>
      <c r="AZ73" s="70">
        <v>2044</v>
      </c>
      <c r="BA73" s="70">
        <v>2045</v>
      </c>
      <c r="BB73" s="70">
        <v>2046</v>
      </c>
      <c r="BC73" s="70">
        <v>2047</v>
      </c>
      <c r="BD73" s="70">
        <v>2048</v>
      </c>
      <c r="BE73" s="70">
        <v>2049</v>
      </c>
      <c r="BF73" s="70">
        <v>2050</v>
      </c>
      <c r="BG73" s="70">
        <v>2051</v>
      </c>
      <c r="BH73" s="70">
        <v>2052</v>
      </c>
      <c r="BI73" s="70">
        <v>2053</v>
      </c>
      <c r="BJ73" s="70">
        <v>2054</v>
      </c>
      <c r="BK73" s="70">
        <v>2055</v>
      </c>
      <c r="BL73" s="70">
        <v>2056</v>
      </c>
      <c r="BM73" s="70">
        <v>2057</v>
      </c>
      <c r="BN73" s="70">
        <v>2058</v>
      </c>
      <c r="BO73" s="70">
        <v>2059</v>
      </c>
      <c r="BP73" s="70">
        <v>2060</v>
      </c>
    </row>
    <row r="74" spans="2:68">
      <c r="C74" s="68" t="s">
        <v>170</v>
      </c>
      <c r="D74" s="68" t="s">
        <v>171</v>
      </c>
      <c r="E74" s="68" t="s">
        <v>172</v>
      </c>
      <c r="F74" s="68" t="s">
        <v>173</v>
      </c>
      <c r="Q74" s="68" t="s">
        <v>170</v>
      </c>
      <c r="R74" s="68" t="s">
        <v>174</v>
      </c>
      <c r="S74" s="68">
        <v>9.82</v>
      </c>
      <c r="T74" s="68">
        <v>9.8800000000000008</v>
      </c>
      <c r="U74" s="68">
        <v>9.8000000000000007</v>
      </c>
      <c r="V74" s="68">
        <v>9.43</v>
      </c>
      <c r="W74" s="68">
        <v>9.4700000000000006</v>
      </c>
      <c r="X74" s="68">
        <v>8.7799999999999994</v>
      </c>
      <c r="Y74" s="68">
        <v>7.6</v>
      </c>
      <c r="Z74" s="68">
        <v>6.76</v>
      </c>
      <c r="AA74" s="68">
        <v>6.28</v>
      </c>
      <c r="AB74" s="68">
        <v>5.8</v>
      </c>
      <c r="AC74" s="68">
        <v>5.6</v>
      </c>
      <c r="AD74" s="68">
        <v>5.4</v>
      </c>
      <c r="AE74" s="68">
        <v>5.2</v>
      </c>
      <c r="AF74" s="68">
        <v>5.15</v>
      </c>
      <c r="AG74" s="68">
        <v>5.12</v>
      </c>
      <c r="AH74" s="68">
        <v>5.0999999999999996</v>
      </c>
      <c r="AI74" s="68">
        <v>5</v>
      </c>
      <c r="AJ74" s="68" cm="1">
        <f t="array" ref="AJ74">TREND(AD74:AI74,AD$73:AI$73,AJ$73,TRUE)</f>
        <v>4.9286666666666576</v>
      </c>
      <c r="AK74" s="68" cm="1">
        <f t="array" ref="AK74">TREND(AE74:AJ74,AE$73:AJ$73,AK$73,TRUE)</f>
        <v>4.9004444444444317</v>
      </c>
      <c r="AL74" s="68" cm="1">
        <f t="array" ref="AL74">TREND(AF74:AK74,AF$73:AK$73,AL$73,TRUE)</f>
        <v>4.841007407407389</v>
      </c>
      <c r="AM74" s="68" cm="1">
        <f t="array" ref="AM74">TREND(AG74:AL74,AG$73:AL$73,AM$73,TRUE)</f>
        <v>4.7751901234567669</v>
      </c>
      <c r="AN74" s="68" cm="1">
        <f t="array" ref="AN74">TREND(AH74:AM74,AH$73:AM$73,AN$73,TRUE)</f>
        <v>4.7112931687242536</v>
      </c>
      <c r="AO74" s="68" cm="1">
        <f t="array" ref="AO74">TREND(AI74:AN74,AI$73:AN$73,AO$73,TRUE)</f>
        <v>4.6630935528120432</v>
      </c>
      <c r="AP74" s="68" cm="1">
        <f t="array" ref="AP74">TREND(AJ74:AO74,AJ$73:AO$73,AP$73,TRUE)</f>
        <v>4.6071688925468237</v>
      </c>
      <c r="AQ74" s="68" cm="1">
        <f t="array" ref="AQ74">TREND(AK74:AP74,AK$73:AP$73,AQ$73,TRUE)</f>
        <v>4.543297970431297</v>
      </c>
      <c r="AR74" s="68" cm="1">
        <f t="array" ref="AR74">TREND(AL74:AQ74,AL$73:AQ$73,AR$73,TRUE)</f>
        <v>4.4860941365441676</v>
      </c>
      <c r="AS74" s="68" cm="1">
        <f t="array" ref="AS74">TREND(AM74:AR74,AM$73:AR$73,AS$73,TRUE)</f>
        <v>4.4304839551151929</v>
      </c>
      <c r="AT74" s="68" cm="1">
        <f t="array" ref="AT74">TREND(AN74:AS74,AN$73:AS$73,AT$73,TRUE)</f>
        <v>4.3736804221325087</v>
      </c>
      <c r="AU74" s="68" cm="1">
        <f t="array" ref="AU74">TREND(AO74:AT74,AO$73:AT$73,AU$73,TRUE)</f>
        <v>4.3138707249723893</v>
      </c>
      <c r="AV74" s="68" cm="1">
        <f t="array" ref="AV74">TREND(AP74:AU74,AP$73:AU$73,AV$73,TRUE)</f>
        <v>4.2560039838706416</v>
      </c>
      <c r="AW74" s="68" cm="1">
        <f t="array" ref="AW74">TREND(AQ74:AV74,AQ$73:AV$73,AW$73,TRUE)</f>
        <v>4.1995774954609004</v>
      </c>
      <c r="AX74" s="68" cm="1">
        <f t="array" ref="AX74">TREND(AR74:AW74,AR$73:AW$73,AX$73,TRUE)</f>
        <v>4.1417018380516168</v>
      </c>
      <c r="AY74" s="68" cm="1">
        <f t="array" ref="AY74">TREND(AS74:AX74,AS$73:AX$73,AY$73,TRUE)</f>
        <v>4.0834777926237678</v>
      </c>
      <c r="AZ74" s="68" cm="1">
        <f t="array" ref="AZ74">TREND(AT74:AY74,AT$73:AY$73,AZ$73,TRUE)</f>
        <v>4.0256574131803973</v>
      </c>
      <c r="BA74" s="68" cm="1">
        <f t="array" ref="BA74">TREND(AU74:AZ74,AU$73:AZ$73,BA$73,TRUE)</f>
        <v>3.9683961290156304</v>
      </c>
      <c r="BB74" s="68" cm="1">
        <f t="array" ref="BB74">TREND(AV74:BA74,AV$73:BA$73,BB$73,TRUE)</f>
        <v>3.9106667520460547</v>
      </c>
      <c r="BC74" s="68" cm="1">
        <f t="array" ref="BC74">TREND(AW74:BB74,AW$73:BB$73,BC$73,TRUE)</f>
        <v>3.8526837810338463</v>
      </c>
      <c r="BD74" s="68" cm="1">
        <f t="array" ref="BD74">TREND(AX74:BC74,AX$73:BC$73,BD$73,TRUE)</f>
        <v>3.7950188152265412</v>
      </c>
      <c r="BE74" s="68" cm="1">
        <f t="array" ref="BE74">TREND(AY74:BD74,AY$73:BD$73,BE$73,TRUE)</f>
        <v>3.7374222644814949</v>
      </c>
      <c r="BF74" s="68" cm="1">
        <f t="array" ref="BF74">TREND(AZ74:BE74,AZ$73:BE$73,BF$73,TRUE)</f>
        <v>3.6797117935766011</v>
      </c>
      <c r="BG74" s="68" cm="1">
        <f t="array" ref="BG74">TREND(BA74:BF74,BA$73:BF$73,BG$73,TRUE)</f>
        <v>3.6219012453270807</v>
      </c>
      <c r="BH74" s="68" cm="1">
        <f t="array" ref="BH74">TREND(BB74:BG74,BB$73:BG$73,BH$73,TRUE)</f>
        <v>3.5642001039440885</v>
      </c>
      <c r="BI74" s="68" cm="1">
        <f t="array" ref="BI74">TREND(BC74:BH74,BC$73:BH$73,BI$73,TRUE)</f>
        <v>3.50654151065973</v>
      </c>
      <c r="BJ74" s="68" cm="1">
        <f t="array" ref="BJ74">TREND(BD74:BI74,BD$73:BI$73,BJ$73,TRUE)</f>
        <v>3.4488129335996689</v>
      </c>
      <c r="BK74" s="68" cm="1">
        <f t="array" ref="BK74">TREND(BE74:BJ74,BE$73:BJ$73,BK$73,TRUE)</f>
        <v>3.3910724441438447</v>
      </c>
      <c r="BL74" s="68" cm="1">
        <f t="array" ref="BL74">TREND(BF74:BK74,BF$73:BK$73,BL$73,TRUE)</f>
        <v>3.3333613109787876</v>
      </c>
      <c r="BM74" s="68" cm="1">
        <f t="array" ref="BM74">TREND(BG74:BL74,BG$73:BL$73,BM$73,TRUE)</f>
        <v>3.2756671352886571</v>
      </c>
      <c r="BN74" s="68" cm="1">
        <f t="array" ref="BN74">TREND(BH74:BM74,BH$73:BM$73,BN$73,TRUE)</f>
        <v>3.2179479799248867</v>
      </c>
      <c r="BO74" s="68" cm="1">
        <f t="array" ref="BO74">TREND(BI74:BN74,BI$73:BN$73,BO$73,TRUE)</f>
        <v>3.1602222675886935</v>
      </c>
      <c r="BP74" s="68" cm="1">
        <f t="array" ref="BP74">TREND(BJ74:BO74,BJ$73:BO$73,BP$73,TRUE)</f>
        <v>3.1025119220805664</v>
      </c>
    </row>
    <row r="75" spans="2:68">
      <c r="B75" s="68" t="s">
        <v>169</v>
      </c>
      <c r="C75" s="68" t="s">
        <v>174</v>
      </c>
      <c r="D75" s="68" t="s">
        <v>175</v>
      </c>
      <c r="E75" s="68" t="s">
        <v>176</v>
      </c>
      <c r="F75" s="68" t="s">
        <v>177</v>
      </c>
      <c r="G75" s="68" t="s">
        <v>178</v>
      </c>
      <c r="Q75" s="68" t="s">
        <v>171</v>
      </c>
      <c r="R75" s="68" t="s">
        <v>175</v>
      </c>
      <c r="S75" s="68">
        <v>5.49</v>
      </c>
      <c r="T75" s="68">
        <v>5.47</v>
      </c>
      <c r="U75" s="68">
        <v>5.26</v>
      </c>
      <c r="V75" s="68">
        <v>5.04</v>
      </c>
      <c r="W75" s="68">
        <v>4.96</v>
      </c>
      <c r="X75" s="68">
        <v>4.8899999999999997</v>
      </c>
      <c r="Y75" s="68">
        <v>4.75</v>
      </c>
      <c r="Z75" s="68">
        <v>4.5999999999999996</v>
      </c>
      <c r="AA75" s="68">
        <v>4.59</v>
      </c>
      <c r="AB75" s="68" cm="1">
        <f t="array" ref="AB75">TREND(Y75:AA75,Y$73:AA$73,AB$73,TRUE)</f>
        <v>4.4866666666666788</v>
      </c>
      <c r="AC75" s="68" cm="1">
        <f t="array" ref="AC75">TREND(Z75:AB75,Z$73:AB$73,AC$73,TRUE)</f>
        <v>4.4455555555555719</v>
      </c>
      <c r="AD75" s="68" cm="1">
        <f t="array" ref="AD75">TREND(AA75:AC75,AA$73:AC$73,AD$73,TRUE)</f>
        <v>4.362962962962996</v>
      </c>
      <c r="AE75" s="68" cm="1">
        <f t="array" ref="AE75">TREND(AB75:AD75,AB$73:AD$73,AE$73,TRUE)</f>
        <v>4.3080246913580709</v>
      </c>
      <c r="AF75" s="68" cm="1">
        <f t="array" ref="AF75">TREND(AC75:AE75,AC$73:AE$73,AF$73,TRUE)</f>
        <v>4.2346502057613691</v>
      </c>
      <c r="AG75" s="68" cm="1">
        <f t="array" ref="AG75">TREND(AD75:AF75,AD$73:AF$73,AG$73,TRUE)</f>
        <v>4.1735665294925184</v>
      </c>
      <c r="AH75" s="68" cm="1">
        <f t="array" ref="AH75">TREND(AE75:AG75,AE$73:AG$73,AH$73,TRUE)</f>
        <v>4.1042889803384242</v>
      </c>
      <c r="AI75" s="68" cm="1">
        <f t="array" ref="AI75">TREND(AF75:AH75,AF$73:AH$73,AI$73,TRUE)</f>
        <v>4.0404740131077972</v>
      </c>
      <c r="AJ75" s="68" cm="1">
        <f t="array" ref="AJ75">TREND(AG75:AI75,AG$73:AI$73,AJ$73,TRUE)</f>
        <v>3.9730173245948492</v>
      </c>
      <c r="AK75" s="68" cm="1">
        <f t="array" ref="AK75">TREND(AH75:AJ75,AH$73:AJ$73,AK$73,TRUE)</f>
        <v>3.9079884502700963</v>
      </c>
      <c r="AL75" s="68" cm="1">
        <f t="array" ref="AL75">TREND(AI75:AK75,AI$73:AK$73,AL$73,TRUE)</f>
        <v>3.8413410331532134</v>
      </c>
      <c r="AM75" s="68" cm="1">
        <f t="array" ref="AM75">TREND(AJ75:AL75,AJ$73:AL$73,AM$73,TRUE)</f>
        <v>3.7757726445644266</v>
      </c>
      <c r="AN75" s="68" cm="1">
        <f t="array" ref="AN75">TREND(AK75:AM75,AK$73:AM$73,AN$73,TRUE)</f>
        <v>3.7094849036235757</v>
      </c>
      <c r="AO75" s="68">
        <v>3.67</v>
      </c>
      <c r="AP75" s="68">
        <v>3.65</v>
      </c>
      <c r="AQ75" s="68" cm="1">
        <f t="array" ref="AQ75">TREND(AN75:AP75,AN$73:AP$73,AQ$73,TRUE)</f>
        <v>3.6170100642509482</v>
      </c>
      <c r="AR75" s="68" cm="1">
        <f t="array" ref="AR75">TREND(AO75:AQ75,AO$73:AQ$73,AR$73,TRUE)</f>
        <v>3.5926800856679293</v>
      </c>
      <c r="AS75" s="68" cm="1">
        <f t="array" ref="AS75">TREND(AP75:AR75,AP$73:AR$73,AS$73,TRUE)</f>
        <v>3.5625768023075537</v>
      </c>
      <c r="AT75" s="68" cm="1">
        <f t="array" ref="AT75">TREND(AQ75:AS75,AQ$73:AS$73,AT$73,TRUE)</f>
        <v>3.5363223887987516</v>
      </c>
      <c r="AU75" s="68" cm="1">
        <f t="array" ref="AU75">TREND(AR75:AT75,AR$73:AT$73,AU$73,TRUE)</f>
        <v>3.5075020620555648</v>
      </c>
      <c r="AV75" s="68" cm="1">
        <f t="array" ref="AV75">TREND(AS75:AU75,AS$73:AU$73,AV$73,TRUE)</f>
        <v>3.4803923441353035</v>
      </c>
      <c r="AW75" s="68" cm="1">
        <f t="array" ref="AW75">TREND(AT75:AV75,AT$73:AV$73,AW$73,TRUE)</f>
        <v>3.4521422203330943</v>
      </c>
      <c r="AX75" s="68" cm="1">
        <f t="array" ref="AX75">TREND(AU75:AW75,AU$73:AW$73,AX$73,TRUE)</f>
        <v>3.4246523671188527</v>
      </c>
      <c r="AY75" s="68" cm="1">
        <f t="array" ref="AY75">TREND(AV75:AX75,AV$73:AX$73,AY$73,TRUE)</f>
        <v>3.396655666845966</v>
      </c>
      <c r="AZ75" s="68" cm="1">
        <f t="array" ref="AZ75">TREND(AW75:AY75,AW$73:AY$73,AZ$73,TRUE)</f>
        <v>3.3689968646121784</v>
      </c>
      <c r="BA75" s="68" cm="1">
        <f t="array" ref="BA75">TREND(AX75:AZ75,AX$73:AZ$73,BA$73,TRUE)</f>
        <v>3.3411127970189867</v>
      </c>
      <c r="BB75" s="68" cm="1">
        <f t="array" ref="BB75">TREND(AY75:BA75,AY$73:BA$73,BB$73,TRUE)</f>
        <v>3.313378906332062</v>
      </c>
      <c r="BC75" s="68" cm="1">
        <f t="array" ref="BC75">TREND(AZ75:BB75,AZ$73:BB$73,BC$73,TRUE)</f>
        <v>3.2855448977076307</v>
      </c>
      <c r="BD75" s="68" cm="1">
        <f t="array" ref="BD75">TREND(BA75:BC75,BA$73:BC$73,BD$73,TRUE)</f>
        <v>3.2577776343748681</v>
      </c>
      <c r="BE75" s="68" cm="1">
        <f t="array" ref="BE75">TREND(BB75:BD75,BB$73:BD$73,BE$73,TRUE)</f>
        <v>3.2299658741809836</v>
      </c>
      <c r="BF75" s="68" cm="1">
        <f t="array" ref="BF75">TREND(BC75:BE75,BC$73:BE$73,BF$73,TRUE)</f>
        <v>3.202183778561178</v>
      </c>
      <c r="BG75" s="68" cm="1">
        <f t="array" ref="BG75">TREND(BD75:BF75,BD$73:BF$73,BG$73,TRUE)</f>
        <v>3.1743819065586507</v>
      </c>
      <c r="BH75" s="68" cm="1">
        <f t="array" ref="BH75">TREND(BE75:BG75,BE$73:BG$73,BH$73,TRUE)</f>
        <v>3.1465932188112689</v>
      </c>
      <c r="BI75" s="68" cm="1">
        <f t="array" ref="BI75">TREND(BF75:BH75,BF$73:BH$73,BI$73,TRUE)</f>
        <v>3.1187957415604544</v>
      </c>
      <c r="BJ75" s="68" cm="1">
        <f t="array" ref="BJ75">TREND(BG75:BI75,BG$73:BI$73,BJ$73,TRUE)</f>
        <v>3.0910041239785926</v>
      </c>
      <c r="BK75" s="68" cm="1">
        <f t="array" ref="BK75">TREND(BH75:BJ75,BH$73:BJ$73,BK$73,TRUE)</f>
        <v>3.0632085999507552</v>
      </c>
      <c r="BL75" s="68" cm="1">
        <f t="array" ref="BL75">TREND(BI75:BK75,BI$73:BK$73,BL$73,TRUE)</f>
        <v>3.0354156802202326</v>
      </c>
      <c r="BM75" s="68" cm="1">
        <f t="array" ref="BM75">TREND(BJ75:BL75,BJ$73:BL$73,BM$73,TRUE)</f>
        <v>3.0076210242915096</v>
      </c>
      <c r="BN75" s="68" cm="1">
        <f t="array" ref="BN75">TREND(BK75:BM75,BK$73:BM$73,BN$73,TRUE)</f>
        <v>2.9798275258282558</v>
      </c>
      <c r="BO75" s="68" cm="1">
        <f t="array" ref="BO75">TREND(BL75:BN75,BL$73:BN$73,BO$73,TRUE)</f>
        <v>2.9520332557213536</v>
      </c>
      <c r="BP75" s="68" cm="1">
        <f t="array" ref="BP75">TREND(BM75:BO75,BM$73:BO$73,BP$73,TRUE)</f>
        <v>2.9242395000435479</v>
      </c>
    </row>
    <row r="76" spans="2:68">
      <c r="B76" s="68">
        <v>2011</v>
      </c>
      <c r="C76" s="68">
        <v>9.82</v>
      </c>
      <c r="D76" s="68">
        <v>5.49</v>
      </c>
      <c r="E76" s="68">
        <v>4.75</v>
      </c>
      <c r="F76" s="68">
        <v>4.24</v>
      </c>
      <c r="G76" s="68">
        <v>3.31</v>
      </c>
      <c r="Q76" s="68" t="s">
        <v>172</v>
      </c>
      <c r="R76" s="68" t="s">
        <v>176</v>
      </c>
      <c r="S76" s="68">
        <v>4.75</v>
      </c>
      <c r="T76" s="68">
        <v>4.6500000000000004</v>
      </c>
      <c r="U76" s="68">
        <v>4.38</v>
      </c>
      <c r="V76" s="68">
        <v>4.1100000000000003</v>
      </c>
      <c r="W76" s="68">
        <v>4.0199999999999996</v>
      </c>
      <c r="X76" s="68">
        <v>3.93</v>
      </c>
      <c r="Y76" s="68">
        <v>3.75</v>
      </c>
      <c r="Z76" s="68">
        <v>3.58</v>
      </c>
      <c r="AA76" s="68">
        <v>3.54</v>
      </c>
      <c r="AB76" s="68" cm="1">
        <f t="array" ref="AB76">TREND(Y76:AA76,Y$73:AA$73,AB$73,TRUE)</f>
        <v>3.4133333333333269</v>
      </c>
      <c r="AC76" s="68" cm="1">
        <f t="array" ref="AC76">TREND(Z76:AB76,Z$73:AB$73,AC$73,TRUE)</f>
        <v>3.3444444444444343</v>
      </c>
      <c r="AD76" s="68" cm="1">
        <f t="array" ref="AD76">TREND(AA76:AC76,AA$73:AC$73,AD$73,TRUE)</f>
        <v>3.2370370370370267</v>
      </c>
      <c r="AE76" s="68">
        <v>3.2</v>
      </c>
      <c r="AF76" s="68">
        <v>3.1749999999999998</v>
      </c>
      <c r="AG76" s="68" cm="1">
        <f t="array" ref="AG76">TREND(AD76:AF76,AD$73:AF$73,AG$73,TRUE)</f>
        <v>3.1419753086419817</v>
      </c>
      <c r="AH76" s="68" cm="1">
        <f t="array" ref="AH76">TREND(AE76:AG76,AE$73:AG$73,AH$73,TRUE)</f>
        <v>3.1143004115226489</v>
      </c>
      <c r="AI76" s="68" cm="1">
        <f t="array" ref="AI76">TREND(AF76:AH76,AF$73:AH$73,AI$73,TRUE)</f>
        <v>3.0830589849108563</v>
      </c>
      <c r="AJ76" s="68" cm="1">
        <f t="array" ref="AJ76">TREND(AG76:AI76,AG$73:AI$73,AJ$73,TRUE)</f>
        <v>3.0541952446273726</v>
      </c>
      <c r="AK76" s="68" cm="1">
        <f t="array" ref="AK76">TREND(AH76:AJ76,AH$73:AJ$73,AK$73,TRUE)</f>
        <v>3.0237463801250044</v>
      </c>
      <c r="AL76" s="68" cm="1">
        <f t="array" ref="AL76">TREND(AI76:AK76,AI$73:AK$73,AL$73,TRUE)</f>
        <v>2.9943542651018902</v>
      </c>
      <c r="AM76" s="68" cm="1">
        <f t="array" ref="AM76">TREND(AJ76:AL76,AJ$73:AL$73,AM$73,TRUE)</f>
        <v>2.9642576504259495</v>
      </c>
      <c r="AN76" s="68" cm="1">
        <f t="array" ref="AN76">TREND(AK76:AM76,AK$73:AM$73,AN$73,TRUE)</f>
        <v>2.934630702185224</v>
      </c>
      <c r="AO76" s="68" cm="1">
        <f t="array" ref="AO76">TREND(AL76:AN76,AL$73:AN$73,AO$73,TRUE)</f>
        <v>2.9046906429876884</v>
      </c>
      <c r="AP76" s="68" cm="1">
        <f t="array" ref="AP76">TREND(AM76:AO76,AM$73:AO$73,AP$73,TRUE)</f>
        <v>2.8749593244280263</v>
      </c>
      <c r="AQ76" s="68" cm="1">
        <f t="array" ref="AQ76">TREND(AN76:AP76,AN$73:AP$73,AQ$73,TRUE)</f>
        <v>2.8450888454431151</v>
      </c>
      <c r="AR76" s="68" cm="1">
        <f t="array" ref="AR76">TREND(AO76:AQ76,AO$73:AQ$73,AR$73,TRUE)</f>
        <v>2.815311140075039</v>
      </c>
      <c r="AS76" s="68" cm="1">
        <f t="array" ref="AS76">TREND(AP76:AR76,AP$73:AR$73,AS$73,TRUE)</f>
        <v>2.7854715856290682</v>
      </c>
      <c r="AT76" s="68" cm="1">
        <f t="array" ref="AT76">TREND(AQ76:AS76,AQ$73:AS$73,AT$73,TRUE)</f>
        <v>2.7556732639016914</v>
      </c>
      <c r="AU76" s="68" cm="1">
        <f t="array" ref="AU76">TREND(AR76:AT76,AR$73:AT$73,AU$73,TRUE)</f>
        <v>2.7258474536952519</v>
      </c>
      <c r="AV76" s="68" cm="1">
        <f t="array" ref="AV76">TREND(AS76:AU76,AS$73:AU$73,AV$73,TRUE)</f>
        <v>2.6960399691415233</v>
      </c>
      <c r="AW76" s="68" cm="1">
        <f t="array" ref="AW76">TREND(AT76:AV76,AT$73:AV$73,AW$73,TRUE)</f>
        <v>2.6662202674859827</v>
      </c>
      <c r="AX76" s="68" cm="1">
        <f t="array" ref="AX76">TREND(AU76:AW76,AU$73:AW$73,AX$73,TRUE)</f>
        <v>2.6364087105649858</v>
      </c>
      <c r="AY76" s="68" cm="1">
        <f t="array" ref="AY76">TREND(AV76:AX76,AV$73:AX$73,AY$73,TRUE)</f>
        <v>2.6065917238209622</v>
      </c>
      <c r="AZ76" s="68" cm="1">
        <f t="array" ref="AZ76">TREND(AW76:AY76,AW$73:AY$73,AZ$73,TRUE)</f>
        <v>2.576778356958954</v>
      </c>
      <c r="BA76" s="68" cm="1">
        <f t="array" ref="BA76">TREND(AX76:AZ76,AX$73:AZ$73,BA$73,TRUE)</f>
        <v>2.5469625768422688</v>
      </c>
      <c r="BB76" s="68" cm="1">
        <f t="array" ref="BB76">TREND(AY76:BA76,AY$73:BA$73,BB$73,TRUE)</f>
        <v>2.5171484055620326</v>
      </c>
      <c r="BC76" s="68" cm="1">
        <f t="array" ref="BC76">TREND(AZ76:BB76,AZ$73:BB$73,BC$73,TRUE)</f>
        <v>2.4873331617241661</v>
      </c>
      <c r="BD76" s="68" cm="1">
        <f t="array" ref="BD76">TREND(BA76:BC76,BA$73:BC$73,BD$73,TRUE)</f>
        <v>2.4575186329247174</v>
      </c>
      <c r="BE76" s="68" cm="1">
        <f t="array" ref="BE76">TREND(BB76:BD76,BB$73:BD$73,BE$73,TRUE)</f>
        <v>2.4277036274329973</v>
      </c>
      <c r="BF76" s="68" cm="1">
        <f t="array" ref="BF76">TREND(BC76:BE76,BC$73:BE$73,BF$73,TRUE)</f>
        <v>2.3978889397361272</v>
      </c>
      <c r="BG76" s="68" cm="1">
        <f t="array" ref="BG76">TREND(BD76:BF76,BD$73:BF$73,BG$73,TRUE)</f>
        <v>2.3680740401760261</v>
      </c>
      <c r="BH76" s="68" cm="1">
        <f t="array" ref="BH76">TREND(BE76:BG76,BE$73:BG$73,BH$73,TRUE)</f>
        <v>2.338259281858079</v>
      </c>
      <c r="BI76" s="68" cm="1">
        <f t="array" ref="BI76">TREND(BF76:BH76,BF$73:BH$73,BI$73,TRUE)</f>
        <v>2.3084444293786959</v>
      </c>
      <c r="BJ76" s="68" cm="1">
        <f t="array" ref="BJ76">TREND(BG76:BI76,BG$73:BI$73,BJ$73,TRUE)</f>
        <v>2.2786296396736034</v>
      </c>
      <c r="BK76" s="68" cm="1">
        <f t="array" ref="BK76">TREND(BH76:BJ76,BH$73:BJ$73,BK$73,TRUE)</f>
        <v>2.2488148081189863</v>
      </c>
      <c r="BL76" s="68" cm="1">
        <f t="array" ref="BL76">TREND(BI76:BK76,BI$73:BK$73,BL$73,TRUE)</f>
        <v>2.2190000044640499</v>
      </c>
      <c r="BM76" s="68" cm="1">
        <f t="array" ref="BM76">TREND(BJ76:BL76,BJ$73:BL$73,BM$73,TRUE)</f>
        <v>2.1891851822093287</v>
      </c>
      <c r="BN76" s="68" cm="1">
        <f t="array" ref="BN76">TREND(BK76:BM76,BK$73:BM$73,BN$73,TRUE)</f>
        <v>2.1593703723544664</v>
      </c>
      <c r="BO76" s="68" cm="1">
        <f t="array" ref="BO76">TREND(BL76:BN76,BL$73:BN$73,BO$73,TRUE)</f>
        <v>2.1295555542330291</v>
      </c>
      <c r="BP76" s="68" cm="1">
        <f t="array" ref="BP76">TREND(BM76:BO76,BM$73:BO$73,BP$73,TRUE)</f>
        <v>2.0997407416226395</v>
      </c>
    </row>
    <row r="77" spans="2:68">
      <c r="B77" s="68">
        <v>2012</v>
      </c>
      <c r="C77" s="68">
        <v>9.8800000000000008</v>
      </c>
      <c r="D77" s="68">
        <v>5.47</v>
      </c>
      <c r="E77" s="68">
        <v>4.6500000000000004</v>
      </c>
      <c r="F77" s="68">
        <v>4.18</v>
      </c>
      <c r="G77" s="68">
        <v>3.19</v>
      </c>
      <c r="Q77" s="68" t="s">
        <v>173</v>
      </c>
      <c r="R77" s="68" t="s">
        <v>177</v>
      </c>
      <c r="S77" s="68">
        <v>4.24</v>
      </c>
      <c r="T77" s="68">
        <v>4.18</v>
      </c>
      <c r="U77" s="68">
        <v>3.96</v>
      </c>
      <c r="V77" s="68">
        <v>3.73</v>
      </c>
      <c r="W77" s="68">
        <v>3.66</v>
      </c>
      <c r="X77" s="68">
        <v>3.66</v>
      </c>
      <c r="Y77" s="68">
        <v>3.46</v>
      </c>
      <c r="Z77" s="68">
        <v>3.33</v>
      </c>
      <c r="AA77" s="68">
        <v>3.28</v>
      </c>
      <c r="AB77" s="68" cm="1">
        <f t="array" ref="AB77">TREND(S77:AA77,S$73:AA$73,AB$73,TRUE)</f>
        <v>3.1005555555555588</v>
      </c>
      <c r="AC77" s="68" cm="1">
        <f t="array" ref="AC77">TREND(S77:AB77,S$73:AB$73,AC$73,TRUE)</f>
        <v>2.9762222222222192</v>
      </c>
      <c r="AD77" s="68" cm="1">
        <f t="array" ref="AD77">TREND(T77:AC77,T$73:AC$73,AD$73,TRUE)</f>
        <v>2.8573407407407103</v>
      </c>
      <c r="AE77" s="68" cm="1">
        <f t="array" ref="AE77">TREND(U77:AD77,U$73:AD$73,AE$73,TRUE)</f>
        <v>2.7591585185185181</v>
      </c>
      <c r="AF77" s="68">
        <v>2.7</v>
      </c>
      <c r="AG77" s="68">
        <v>2.66</v>
      </c>
      <c r="AH77" s="68">
        <v>2.6349999999999998</v>
      </c>
      <c r="AI77" s="68">
        <v>2.62</v>
      </c>
      <c r="AJ77" s="68">
        <v>2.5950000000000002</v>
      </c>
      <c r="AK77" s="68" cm="1">
        <f t="array" ref="AK77">TREND(AE77:AJ77,AE$73:AJ$73,AK$73,TRUE)</f>
        <v>2.5529471604938223</v>
      </c>
      <c r="AL77" s="68" cm="1">
        <f t="array" ref="AL77">TREND(AF77:AK77,AF$73:AK$73,AL$73,TRUE)</f>
        <v>2.5326314403292116</v>
      </c>
      <c r="AM77" s="68" cm="1">
        <f t="array" ref="AM77">TREND(AG77:AL77,AG$73:AL$73,AM$73,TRUE)</f>
        <v>2.5084629684499262</v>
      </c>
      <c r="AN77" s="68" cm="1">
        <f t="array" ref="AN77">TREND(AH77:AM77,AH$73:AM$73,AN$73,TRUE)</f>
        <v>2.4803225605852646</v>
      </c>
      <c r="AO77" s="68" cm="1">
        <f t="array" ref="AO77">TREND(AI77:AN77,AI$73:AN$73,AO$73,TRUE)</f>
        <v>2.4503959537875133</v>
      </c>
      <c r="AP77" s="68" cm="1">
        <f t="array" ref="AP77">TREND(AJ77:AO77,AJ$73:AO$73,AP$73,TRUE)</f>
        <v>2.4234537636742175</v>
      </c>
      <c r="AQ77" s="68" cm="1">
        <f t="array" ref="AQ77">TREND(AK77:AP77,AK$73:AP$73,AQ$73,TRUE)</f>
        <v>2.3991375893945417</v>
      </c>
      <c r="AR77" s="68" cm="1">
        <f t="array" ref="AR77">TREND(AL77:AQ77,AL$73:AQ$73,AR$73,TRUE)</f>
        <v>2.3704916984569593</v>
      </c>
      <c r="AS77" s="68" cm="1">
        <f t="array" ref="AS77">TREND(AM77:AR77,AM$73:AR$73,AS$73,TRUE)</f>
        <v>2.3426754103597034</v>
      </c>
      <c r="AT77" s="68" cm="1">
        <f t="array" ref="AT77">TREND(AN77:AS77,AN$73:AS$73,AT$73,TRUE)</f>
        <v>2.3158530269031132</v>
      </c>
      <c r="AU77" s="68" cm="1">
        <f t="array" ref="AU77">TREND(AO77:AT77,AO$73:AT$73,AU$73,TRUE)</f>
        <v>2.2892983485656941</v>
      </c>
      <c r="AV77" s="68" cm="1">
        <f t="array" ref="AV77">TREND(AP77:AU77,AP$73:AU$73,AV$73,TRUE)</f>
        <v>2.2619736011142919</v>
      </c>
      <c r="AW77" s="68" cm="1">
        <f t="array" ref="AW77">TREND(AQ77:AV77,AQ$73:AV$73,AW$73,TRUE)</f>
        <v>2.2342827083458872</v>
      </c>
      <c r="AX77" s="68" cm="1">
        <f t="array" ref="AX77">TREND(AR77:AW77,AR$73:AW$73,AX$73,TRUE)</f>
        <v>2.2074586266280392</v>
      </c>
      <c r="AY77" s="68" cm="1">
        <f t="array" ref="AY77">TREND(AS77:AX77,AS$73:AX$73,AY$73,TRUE)</f>
        <v>2.1804449914746442</v>
      </c>
      <c r="AZ77" s="68" cm="1">
        <f t="array" ref="AZ77">TREND(AT77:AY77,AT$73:AY$73,AZ$73,TRUE)</f>
        <v>2.1531935269329097</v>
      </c>
      <c r="BA77" s="68" cm="1">
        <f t="array" ref="BA77">TREND(AU77:AZ77,AU$73:AZ$73,BA$73,TRUE)</f>
        <v>2.1259152319635106</v>
      </c>
      <c r="BB77" s="68" cm="1">
        <f t="array" ref="BB77">TREND(AV77:BA77,AV$73:BA$73,BB$73,TRUE)</f>
        <v>2.0988208118952514</v>
      </c>
      <c r="BC77" s="68" cm="1">
        <f t="array" ref="BC77">TREND(AW77:BB77,AW$73:BB$73,BC$73,TRUE)</f>
        <v>2.0717668697945228</v>
      </c>
      <c r="BD77" s="68" cm="1">
        <f t="array" ref="BD77">TREND(AX77:BC77,AX$73:BC$73,BD$73,TRUE)</f>
        <v>2.0445390479939647</v>
      </c>
      <c r="BE77" s="68" cm="1">
        <f t="array" ref="BE77">TREND(AY77:BD77,AY$73:BD$73,BE$73,TRUE)</f>
        <v>2.0173563357871203</v>
      </c>
      <c r="BF77" s="68" cm="1">
        <f t="array" ref="BF77">TREND(AZ77:BE77,AZ$73:BE$73,BF$73,TRUE)</f>
        <v>1.9902284590873833</v>
      </c>
      <c r="BG77" s="68" cm="1">
        <f t="array" ref="BG77">TREND(BA77:BF77,BA$73:BF$73,BG$73,TRUE)</f>
        <v>1.9630989479697334</v>
      </c>
      <c r="BH77" s="68" cm="1">
        <f t="array" ref="BH77">TREND(BB77:BG77,BB$73:BG$73,BH$73,TRUE)</f>
        <v>1.9359276856924055</v>
      </c>
      <c r="BI77" s="68" cm="1">
        <f t="array" ref="BI77">TREND(BC77:BH77,BC$73:BH$73,BI$73,TRUE)</f>
        <v>1.9087551479925509</v>
      </c>
      <c r="BJ77" s="68" cm="1">
        <f t="array" ref="BJ77">TREND(BD77:BI77,BD$73:BI$73,BJ$73,TRUE)</f>
        <v>1.88161744127963</v>
      </c>
      <c r="BK77" s="68" cm="1">
        <f t="array" ref="BK77">TREND(BE77:BJ77,BE$73:BJ$73,BK$73,TRUE)</f>
        <v>1.8544687694915467</v>
      </c>
      <c r="BL77" s="68" cm="1">
        <f t="array" ref="BL77">TREND(BF77:BK77,BF$73:BK$73,BL$73,TRUE)</f>
        <v>1.8273078580106059</v>
      </c>
      <c r="BM77" s="68" cm="1">
        <f t="array" ref="BM77">TREND(BG77:BL77,BG$73:BL$73,BM$73,TRUE)</f>
        <v>1.8001489845616376</v>
      </c>
      <c r="BN77" s="68" cm="1">
        <f t="array" ref="BN77">TREND(BH77:BM77,BH$73:BM$73,BN$73,TRUE)</f>
        <v>1.7729992430992922</v>
      </c>
      <c r="BO77" s="68" cm="1">
        <f t="array" ref="BO77">TREND(BI77:BN77,BI$73:BN$73,BO$73,TRUE)</f>
        <v>1.745848326795759</v>
      </c>
      <c r="BP77" s="68" cm="1">
        <f t="array" ref="BP77">TREND(BJ77:BO77,BJ$73:BO$73,BP$73,TRUE)</f>
        <v>1.7186904680352413</v>
      </c>
    </row>
    <row r="78" spans="2:68">
      <c r="B78" s="68">
        <v>2013</v>
      </c>
      <c r="C78" s="68">
        <v>9.8000000000000007</v>
      </c>
      <c r="D78" s="68">
        <v>5.26</v>
      </c>
      <c r="E78" s="68">
        <v>4.38</v>
      </c>
      <c r="F78" s="68">
        <v>3.96</v>
      </c>
      <c r="G78" s="68">
        <v>3.03</v>
      </c>
      <c r="R78" s="68" t="s">
        <v>178</v>
      </c>
      <c r="S78" s="68">
        <v>3.31</v>
      </c>
      <c r="T78" s="68">
        <v>3.19</v>
      </c>
      <c r="U78" s="68">
        <v>3.03</v>
      </c>
      <c r="V78" s="68">
        <v>2.79</v>
      </c>
      <c r="W78" s="68">
        <v>2.76</v>
      </c>
      <c r="X78" s="68">
        <v>2.74</v>
      </c>
      <c r="Y78" s="68">
        <v>2.56</v>
      </c>
      <c r="Z78" s="68">
        <v>2.4300000000000002</v>
      </c>
      <c r="AA78" s="68">
        <v>2.37</v>
      </c>
      <c r="AB78" s="68" cm="1">
        <f t="array" ref="AB78">TREND(S78:AA78,S$73:AA$73,AB$73,TRUE)</f>
        <v>2.2119444444444412</v>
      </c>
      <c r="AC78" s="68" cm="1">
        <f t="array" ref="AC78">TREND(T78:AB78,T73:AB73,AC73,TRUE)</f>
        <v>2.1080864197530786</v>
      </c>
      <c r="AD78" s="68">
        <v>2.0499999999999998</v>
      </c>
      <c r="AE78" s="68">
        <v>2.0099999999999998</v>
      </c>
      <c r="AF78" s="68">
        <v>1.97</v>
      </c>
      <c r="AG78" s="68">
        <v>1.96</v>
      </c>
      <c r="AH78" s="68">
        <v>1.9550000000000001</v>
      </c>
      <c r="AI78" s="68" cm="1">
        <f t="array" ref="AI78">TREND(AE78:AH78,AE73:AH73,AI73,TRUE)</f>
        <v>1.9300000000000068</v>
      </c>
      <c r="AJ78" s="68" cm="1">
        <f t="array" ref="AJ78">TREND(AF78:AI78,AF73:AI73,AJ73,TRUE)</f>
        <v>1.9225000000000065</v>
      </c>
      <c r="AK78" s="68" cm="1">
        <f t="array" ref="AK78">TREND(AG78:AJ78,AG73:AJ73,AK73,TRUE)</f>
        <v>1.9075000000000095</v>
      </c>
      <c r="AL78" s="68" cm="1">
        <f t="array" ref="AL78">TREND(AH78:AK78,AH73:AK73,AL73,TRUE)</f>
        <v>1.8912500000000136</v>
      </c>
      <c r="AM78" s="68" cm="1">
        <f t="array" ref="AM78">TREND(AI78:AL78,AI73:AL73,AM73,TRUE)</f>
        <v>1.8800000000000132</v>
      </c>
      <c r="AN78" s="68" cm="1">
        <f t="array" ref="AN78">TREND(AJ78:AM78,AJ73:AM73,AN73,TRUE)</f>
        <v>1.8643750000000203</v>
      </c>
      <c r="AO78" s="68" cm="1">
        <f t="array" ref="AO78">TREND(AK78:AN78,AK73:AN73,AO73,TRUE)</f>
        <v>1.8506250000000257</v>
      </c>
      <c r="AP78" s="68" cm="1">
        <f t="array" ref="AP78">TREND(AL78:AO78,AL73:AO73,AP73,TRUE)</f>
        <v>1.8371875000000273</v>
      </c>
      <c r="AQ78" s="68" cm="1">
        <f t="array" ref="AQ78">TREND(AM78:AP78,AM73:AP73,AQ73,TRUE)</f>
        <v>1.8225000000000335</v>
      </c>
      <c r="AR78" s="68" cm="1">
        <f t="array" ref="AR78">TREND(AN78:AQ78,AN73:AQ73,AR73,TRUE)</f>
        <v>1.8089062500000388</v>
      </c>
      <c r="AS78" s="68" cm="1">
        <f t="array" ref="AS78">TREND(AO78:AR78,AO73:AR73,AS73,TRUE)</f>
        <v>1.7948437500000445</v>
      </c>
      <c r="AT78" s="68" cm="1">
        <f t="array" ref="AT78">TREND(AP78:AS78,AP73:AS73,AT73,TRUE)</f>
        <v>1.7807031250000485</v>
      </c>
      <c r="AU78" s="68" cm="1">
        <f t="array" ref="AU78">TREND(AQ78:AT78,AQ73:AT73,AU73,TRUE)</f>
        <v>1.7668750000000557</v>
      </c>
      <c r="AV78" s="68" cm="1">
        <f t="array" ref="AV78">TREND(AR78:AU78,AR73:AU73,AV73,TRUE)</f>
        <v>1.7527734375000605</v>
      </c>
      <c r="AW78" s="68" cm="1">
        <f t="array" ref="AW78">TREND(AS78:AV78,AS73:AV73,AW73,TRUE)</f>
        <v>1.7387890625000679</v>
      </c>
      <c r="AX78" s="68" cm="1">
        <f t="array" ref="AX78">TREND(AT78:AW78,AT73:AW73,AX73,TRUE)</f>
        <v>1.7248242187500722</v>
      </c>
      <c r="AY78" s="68" cm="1">
        <f t="array" ref="AY78">TREND(AU78:AX78,AU73:AX73,AY73,TRUE)</f>
        <v>1.7107812500000783</v>
      </c>
      <c r="AZ78" s="68" cm="1">
        <f t="array" ref="AZ78">TREND(AV78:AY78,AV73:AY73,AZ73,TRUE)</f>
        <v>1.6968066406250877</v>
      </c>
      <c r="BA78" s="68" cm="1">
        <f t="array" ref="BA78">TREND(AW78:AZ78,AW73:AZ73,BA73,TRUE)</f>
        <v>1.6828027343750911</v>
      </c>
      <c r="BB78" s="68" cm="1">
        <f t="array" ref="BB78">TREND(AX78:BA78,AX73:BA73,BB73,TRUE)</f>
        <v>1.6687939453125971</v>
      </c>
      <c r="BC78" s="68" cm="1">
        <f t="array" ref="BC78">TREND(AY78:BB78,AY73:BB73,BC73,TRUE)</f>
        <v>1.6548046875001035</v>
      </c>
      <c r="BD78" s="68" cm="1">
        <f t="array" ref="BD78">TREND(AZ78:BC78,AZ73:BC73,BD73,TRUE)</f>
        <v>1.6407983398438581</v>
      </c>
      <c r="BE78" s="68" cm="1">
        <f t="array" ref="BE78">TREND(BA78:BD78,BA73:BD73,BE73,TRUE)</f>
        <v>1.6267993164063661</v>
      </c>
      <c r="BF78" s="68" cm="1">
        <f t="array" ref="BF78">TREND(BB78:BE78,BB73:BE73,BF73,TRUE)</f>
        <v>1.6128015136719966</v>
      </c>
      <c r="BG78" s="68" cm="1">
        <f t="array" ref="BG78">TREND(BC78:BF78,BC73:BF73,BG73,TRUE)</f>
        <v>1.5987988281251262</v>
      </c>
      <c r="BH78" s="68" cm="1">
        <f t="array" ref="BH78">TREND(BD78:BG78,BD73:BG73,BH73,TRUE)</f>
        <v>1.5848004150391937</v>
      </c>
      <c r="BI78" s="68" cm="1">
        <f t="array" ref="BI78">TREND(BE78:BH78,BE73:BH73,BI73,TRUE)</f>
        <v>1.5708001708985719</v>
      </c>
      <c r="BJ78" s="68" cm="1">
        <f t="array" ref="BJ78">TREND(BF78:BI78,BF73:BI73,BJ73,TRUE)</f>
        <v>1.5567996215821687</v>
      </c>
      <c r="BK78" s="68" cm="1">
        <f t="array" ref="BK78">TREND(BG78:BJ78,BG73:BJ73,BK73,TRUE)</f>
        <v>1.5428002929688915</v>
      </c>
      <c r="BL78" s="68" cm="1">
        <f t="array" ref="BL78">TREND(BH78:BK78,BH73:BK73,BL73,TRUE)</f>
        <v>1.528799896240379</v>
      </c>
      <c r="BM78" s="68" cm="1">
        <f t="array" ref="BM78">TREND(BI78:BL78,BI73:BL73,BM73,TRUE)</f>
        <v>1.5147999572755388</v>
      </c>
      <c r="BN78" s="68" cm="1">
        <f t="array" ref="BN78">TREND(BJ78:BM78,BJ73:BM73,BN73,TRUE)</f>
        <v>1.5008000946046458</v>
      </c>
      <c r="BO78" s="68" cm="1">
        <f t="array" ref="BO78">TREND(BK78:BN78,BK73:BN73,BO73,TRUE)</f>
        <v>1.4867999267579712</v>
      </c>
      <c r="BP78" s="68" cm="1">
        <f t="array" ref="BP78">TREND(BL78:BO78,BL73:BO73,BP73,TRUE)</f>
        <v>1.4728000259401064</v>
      </c>
    </row>
    <row r="79" spans="2:68">
      <c r="B79" s="68">
        <v>2014</v>
      </c>
      <c r="C79" s="68">
        <v>9.43</v>
      </c>
      <c r="D79" s="68">
        <v>5.04</v>
      </c>
      <c r="E79" s="68">
        <v>4.1100000000000003</v>
      </c>
      <c r="F79" s="68">
        <v>3.73</v>
      </c>
      <c r="G79" s="68">
        <v>2.79</v>
      </c>
      <c r="R79" s="68" t="s">
        <v>75</v>
      </c>
      <c r="S79" s="71">
        <f>1/S86/$C$86</f>
        <v>4.9877267587852501</v>
      </c>
      <c r="T79" s="71">
        <f t="shared" ref="T79:AE79" si="5">1/T86/$C$86</f>
        <v>5.1960352817553019</v>
      </c>
      <c r="U79" s="71">
        <f t="shared" si="5"/>
        <v>5.3495532036550903</v>
      </c>
      <c r="V79" s="71">
        <f t="shared" si="5"/>
        <v>5.4138046304134955</v>
      </c>
      <c r="W79" s="71">
        <f t="shared" si="5"/>
        <v>5.820045985481431</v>
      </c>
      <c r="X79" s="71">
        <f t="shared" si="5"/>
        <v>5.8160393819207181</v>
      </c>
      <c r="Y79" s="71">
        <f t="shared" si="5"/>
        <v>5.4992671027716531</v>
      </c>
      <c r="Z79" s="71">
        <f t="shared" si="5"/>
        <v>5.1849694664454491</v>
      </c>
      <c r="AA79" s="71">
        <f t="shared" si="5"/>
        <v>5.0290370049589264</v>
      </c>
      <c r="AB79" s="71">
        <f t="shared" si="5"/>
        <v>4.8310556511616385</v>
      </c>
      <c r="AC79" s="71">
        <f t="shared" si="5"/>
        <v>4.7742573220846438</v>
      </c>
      <c r="AD79" s="71">
        <f>1/AD86/$C$86</f>
        <v>4.6621256778455971</v>
      </c>
      <c r="AE79" s="71">
        <f t="shared" si="5"/>
        <v>4.506201568391087</v>
      </c>
      <c r="AF79" s="68">
        <v>4.46</v>
      </c>
      <c r="AG79" s="68">
        <v>4.42</v>
      </c>
      <c r="AH79" s="68">
        <v>4.38</v>
      </c>
      <c r="AI79" s="68" cm="1">
        <f t="array" ref="AI79">TREND(AC79:AH79,AC73:AH73,AI73,TRUE)</f>
        <v>4.2593775734851249</v>
      </c>
      <c r="AJ79" s="68" cm="1">
        <f t="array" ref="AJ79">TREND(AD79:AI79,AD73:AI73,AJ73,TRUE)</f>
        <v>4.2047162805894231</v>
      </c>
      <c r="AK79" s="68" cm="1">
        <f t="array" ref="AK79">TREND(AE79:AJ79,AE73:AJ73,AK73,TRUE)</f>
        <v>4.1567865318889829</v>
      </c>
      <c r="AL79" s="68" cm="1">
        <f t="array" ref="AL79">TREND(AF79:AK79,AF73:AK73,AL73,TRUE)</f>
        <v>4.0852259717970867</v>
      </c>
      <c r="AM79" s="68" cm="1">
        <f t="array" ref="AM79">TREND(AG79:AL79,AG73:AL73,AM73,TRUE)</f>
        <v>4.0112005424690835</v>
      </c>
      <c r="AN79" s="68" cm="1">
        <f t="array" ref="AN79">TREND(AH79:AM79,AH73:AM73,AN73,TRUE)</f>
        <v>3.9414462992297103</v>
      </c>
      <c r="AO79" s="68" cm="1">
        <f t="array" ref="AO79">TREND(AI79:AN79,AI73:AN73,AO73,TRUE)</f>
        <v>3.8856157853369098</v>
      </c>
      <c r="AP79" s="68" cm="1">
        <f t="array" ref="AP79">TREND(AJ79:AO79,AJ73:AO73,AP73,TRUE)</f>
        <v>3.8159437081950216</v>
      </c>
      <c r="AQ79" s="68" cm="1">
        <f t="array" ref="AQ79">TREND(AK79:AP79,AK73:AP73,AQ73,TRUE)</f>
        <v>3.7454232477105336</v>
      </c>
      <c r="AR79" s="68" cm="1">
        <f t="array" ref="AR79">TREND(AL79:AQ79,AL73:AQ73,AR73,TRUE)</f>
        <v>3.6800811287416195</v>
      </c>
      <c r="AS79" s="68">
        <v>3.6560000000000001</v>
      </c>
      <c r="AT79" s="68">
        <v>3.64</v>
      </c>
      <c r="AU79" s="68">
        <v>3.62</v>
      </c>
      <c r="AV79" s="68" cm="1">
        <f t="array" ref="AV79">TREND(AP79:AU79,AP73:AU73,AV73,TRUE)</f>
        <v>3.5609010728230288</v>
      </c>
      <c r="AW79" s="68" cm="1">
        <f t="array" ref="AW79">TREND(AQ79:AV79,AQ73:AV73,AW73,TRUE)</f>
        <v>3.5385154821462947</v>
      </c>
      <c r="AX79" s="68" cm="1">
        <f t="array" ref="AX79">TREND(AR79:AW79,AR73:AW73,AX73,TRUE)</f>
        <v>3.5146037791677429</v>
      </c>
      <c r="AY79" s="68" cm="1">
        <f t="array" ref="AY79">TREND(AS79:AX79,AS73:AX73,AY73,TRUE)</f>
        <v>3.4812833638662397</v>
      </c>
      <c r="AZ79" s="68" cm="1">
        <f t="array" ref="AZ79">TREND(AT79:AY79,AT73:AY73,AZ73,TRUE)</f>
        <v>3.4460015396163186</v>
      </c>
      <c r="BA79" s="68" cm="1">
        <f t="array" ref="BA79">TREND(AU79:AZ79,AU73:AZ73,BA73,TRUE)</f>
        <v>3.4136084930932071</v>
      </c>
      <c r="BB79" s="68" cm="1">
        <f t="array" ref="BB79">TREND(AV79:BA79,AV73:BA73,BB73,TRUE)</f>
        <v>3.3877531076314185</v>
      </c>
      <c r="BC79" s="68" cm="1">
        <f t="array" ref="BC79">TREND(AW79:BB79,AW73:BB73,BC73,TRUE)</f>
        <v>3.3544196720820736</v>
      </c>
      <c r="BD79" s="68" cm="1">
        <f t="array" ref="BD79">TREND(AX79:BC79,AX73:BC73,BD73,TRUE)</f>
        <v>3.3215545575105807</v>
      </c>
      <c r="BE79" s="68" cm="1">
        <f t="array" ref="BE79">TREND(AY79:BD79,AY73:BD73,BE73,TRUE)</f>
        <v>3.2908456203156931</v>
      </c>
      <c r="BF79" s="68" cm="1">
        <f t="array" ref="BF79">TREND(AZ79:BE79,AZ73:BE73,BF73,TRUE)</f>
        <v>3.2605030144948373</v>
      </c>
      <c r="BG79" s="68" cm="1">
        <f t="array" ref="BG79">TREND(BA79:BF79,BA73:BF73,BG73,TRUE)</f>
        <v>3.2292025805702522</v>
      </c>
      <c r="BH79" s="68" cm="1">
        <f t="array" ref="BH79">TREND(BB79:BG79,BB73:BG73,BH73,TRUE)</f>
        <v>3.1968586042412426</v>
      </c>
      <c r="BI79" s="68" cm="1">
        <f t="array" ref="BI79">TREND(BC79:BH79,BC73:BH73,BI73,TRUE)</f>
        <v>3.1660436206178559</v>
      </c>
      <c r="BJ79" s="68" cm="1">
        <f t="array" ref="BJ79">TREND(BD79:BI79,BD73:BI73,BJ73,TRUE)</f>
        <v>3.1350863829639337</v>
      </c>
      <c r="BK79" s="68" cm="1">
        <f t="array" ref="BK79">TREND(BE79:BJ79,BE73:BJ73,BK73,TRUE)</f>
        <v>3.1036381360620879</v>
      </c>
      <c r="BL79" s="68" cm="1">
        <f t="array" ref="BL79">TREND(BF79:BK79,BF73:BK73,BL73,TRUE)</f>
        <v>3.0721399262977513</v>
      </c>
      <c r="BM79" s="68" cm="1">
        <f t="array" ref="BM79">TREND(BG79:BL79,BG73:BL73,BM73,TRUE)</f>
        <v>3.0409016837701159</v>
      </c>
      <c r="BN79" s="68" cm="1">
        <f t="array" ref="BN79">TREND(BH79:BM79,BH73:BM73,BN73,TRUE)</f>
        <v>3.0098169991037196</v>
      </c>
      <c r="BO79" s="68" cm="1">
        <f t="array" ref="BO79">TREND(BI79:BN79,BI73:BN73,BO73,TRUE)</f>
        <v>2.9784192499775912</v>
      </c>
      <c r="BP79" s="68" cm="1">
        <f t="array" ref="BP79">TREND(BJ79:BO79,BJ73:BO73,BP73,TRUE)</f>
        <v>2.9470633311957499</v>
      </c>
    </row>
    <row r="80" spans="2:68">
      <c r="B80" s="68">
        <v>2015</v>
      </c>
      <c r="C80" s="68">
        <v>9.4700000000000006</v>
      </c>
      <c r="D80" s="68">
        <v>4.96</v>
      </c>
      <c r="E80" s="68">
        <v>4.0199999999999996</v>
      </c>
      <c r="F80" s="68">
        <v>3.66</v>
      </c>
      <c r="G80" s="68">
        <v>2.76</v>
      </c>
      <c r="R80" s="70" t="s">
        <v>169</v>
      </c>
      <c r="S80" s="70">
        <v>2011</v>
      </c>
      <c r="T80" s="70">
        <v>2012</v>
      </c>
      <c r="U80" s="70">
        <v>2013</v>
      </c>
      <c r="V80" s="70">
        <v>2014</v>
      </c>
      <c r="W80" s="70">
        <v>2015</v>
      </c>
      <c r="X80" s="70">
        <v>2016</v>
      </c>
      <c r="Y80" s="70">
        <v>2017</v>
      </c>
      <c r="Z80" s="70">
        <v>2018</v>
      </c>
      <c r="AA80" s="70">
        <v>2019</v>
      </c>
      <c r="AB80" s="70">
        <v>2020</v>
      </c>
      <c r="AC80" s="70">
        <v>2021</v>
      </c>
      <c r="AD80" s="70">
        <v>2022</v>
      </c>
      <c r="AE80" s="70">
        <v>2023</v>
      </c>
      <c r="AF80" s="70">
        <v>2024</v>
      </c>
      <c r="AG80" s="70">
        <v>2025</v>
      </c>
      <c r="AH80" s="70">
        <v>2026</v>
      </c>
      <c r="AI80" s="70">
        <v>2027</v>
      </c>
      <c r="AJ80" s="70">
        <v>2028</v>
      </c>
      <c r="AK80" s="70">
        <v>2029</v>
      </c>
      <c r="AL80" s="70">
        <v>2030</v>
      </c>
      <c r="AM80" s="70">
        <v>2031</v>
      </c>
      <c r="AN80" s="70">
        <v>2032</v>
      </c>
      <c r="AO80" s="70">
        <v>2033</v>
      </c>
      <c r="AP80" s="70">
        <v>2034</v>
      </c>
      <c r="AQ80" s="70">
        <v>2035</v>
      </c>
      <c r="AR80" s="70">
        <v>2036</v>
      </c>
      <c r="AS80" s="70">
        <v>2037</v>
      </c>
      <c r="AT80" s="70">
        <v>2038</v>
      </c>
      <c r="AU80" s="70">
        <v>2039</v>
      </c>
      <c r="AV80" s="70">
        <v>2040</v>
      </c>
      <c r="AW80" s="70">
        <v>2041</v>
      </c>
      <c r="AX80" s="70">
        <v>2042</v>
      </c>
      <c r="AY80" s="70">
        <v>2043</v>
      </c>
      <c r="AZ80" s="70">
        <v>2044</v>
      </c>
      <c r="BA80" s="70">
        <v>2045</v>
      </c>
      <c r="BB80" s="70">
        <v>2046</v>
      </c>
      <c r="BC80" s="70">
        <v>2047</v>
      </c>
      <c r="BD80" s="70">
        <v>2048</v>
      </c>
      <c r="BE80" s="70">
        <v>2049</v>
      </c>
      <c r="BF80" s="70">
        <v>2050</v>
      </c>
      <c r="BG80" s="70">
        <v>2051</v>
      </c>
      <c r="BH80" s="70">
        <v>2052</v>
      </c>
      <c r="BI80" s="70">
        <v>2053</v>
      </c>
      <c r="BJ80" s="70">
        <v>2054</v>
      </c>
      <c r="BK80" s="70">
        <v>2055</v>
      </c>
      <c r="BL80" s="70">
        <v>2056</v>
      </c>
      <c r="BM80" s="70">
        <v>2057</v>
      </c>
      <c r="BN80" s="70">
        <v>2058</v>
      </c>
      <c r="BO80" s="70">
        <v>2059</v>
      </c>
      <c r="BP80" s="70">
        <v>2060</v>
      </c>
    </row>
    <row r="81" spans="2:68">
      <c r="B81" s="68">
        <v>2016</v>
      </c>
      <c r="C81" s="68">
        <v>8.7799999999999994</v>
      </c>
      <c r="D81" s="68">
        <v>4.8899999999999997</v>
      </c>
      <c r="E81" s="68">
        <v>3.93</v>
      </c>
      <c r="F81" s="68">
        <v>3.66</v>
      </c>
      <c r="G81" s="68">
        <v>2.74</v>
      </c>
      <c r="R81" s="68" t="s">
        <v>174</v>
      </c>
      <c r="S81" s="68">
        <f t="shared" ref="S81:AX81" si="6">1/$C$86/S74</f>
        <v>2.2812367445579841E-3</v>
      </c>
      <c r="T81" s="68">
        <f t="shared" si="6"/>
        <v>2.2673830801173485E-3</v>
      </c>
      <c r="U81" s="68">
        <f t="shared" si="6"/>
        <v>2.2858923297509595E-3</v>
      </c>
      <c r="V81" s="68">
        <f t="shared" si="6"/>
        <v>2.3755826968779857E-3</v>
      </c>
      <c r="W81" s="68">
        <f t="shared" si="6"/>
        <v>2.3655485566588599E-3</v>
      </c>
      <c r="X81" s="68">
        <f t="shared" si="6"/>
        <v>2.5514515753484518E-3</v>
      </c>
      <c r="Y81" s="68">
        <f t="shared" si="6"/>
        <v>2.9475980041525534E-3</v>
      </c>
      <c r="Z81" s="68">
        <f t="shared" si="6"/>
        <v>3.3138675786330484E-3</v>
      </c>
      <c r="AA81" s="68">
        <f t="shared" si="6"/>
        <v>3.5671568203120073E-3</v>
      </c>
      <c r="AB81" s="68">
        <f t="shared" si="6"/>
        <v>3.8623697985447252E-3</v>
      </c>
      <c r="AC81" s="68">
        <f t="shared" si="6"/>
        <v>4.0003115770641797E-3</v>
      </c>
      <c r="AD81" s="68">
        <f t="shared" si="6"/>
        <v>4.1484712651035935E-3</v>
      </c>
      <c r="AE81" s="68">
        <f t="shared" si="6"/>
        <v>4.3080278522229622E-3</v>
      </c>
      <c r="AF81" s="68">
        <f t="shared" si="6"/>
        <v>4.3498533653513411E-3</v>
      </c>
      <c r="AG81" s="68">
        <f t="shared" si="6"/>
        <v>4.3753407874139467E-3</v>
      </c>
      <c r="AH81" s="68">
        <f t="shared" si="6"/>
        <v>4.3924989865802757E-3</v>
      </c>
      <c r="AI81" s="68">
        <f t="shared" si="6"/>
        <v>4.4803489663118815E-3</v>
      </c>
      <c r="AJ81" s="68">
        <f t="shared" si="6"/>
        <v>4.5451937301960194E-3</v>
      </c>
      <c r="AK81" s="68">
        <f t="shared" si="6"/>
        <v>4.5713700227651725E-3</v>
      </c>
      <c r="AL81" s="68">
        <f t="shared" si="6"/>
        <v>4.6274964994438431E-3</v>
      </c>
      <c r="AM81" s="68">
        <f t="shared" si="6"/>
        <v>4.6912780962410664E-3</v>
      </c>
      <c r="AN81" s="68">
        <f t="shared" si="6"/>
        <v>4.7549035963782866E-3</v>
      </c>
      <c r="AO81" s="68">
        <f t="shared" si="6"/>
        <v>4.8040521979341808E-3</v>
      </c>
      <c r="AP81" s="68">
        <f t="shared" si="6"/>
        <v>4.8623667493066037E-3</v>
      </c>
      <c r="AQ81" s="68">
        <f t="shared" si="6"/>
        <v>4.9307232273459716E-3</v>
      </c>
      <c r="AR81" s="68">
        <f t="shared" si="6"/>
        <v>4.9935966900633158E-3</v>
      </c>
      <c r="AS81" s="68">
        <f t="shared" si="6"/>
        <v>5.0562749032632397E-3</v>
      </c>
      <c r="AT81" s="68">
        <f t="shared" si="6"/>
        <v>5.1219436880202635E-3</v>
      </c>
      <c r="AU81" s="68">
        <f t="shared" si="6"/>
        <v>5.1929569196125566E-3</v>
      </c>
      <c r="AV81" s="68">
        <f t="shared" si="6"/>
        <v>5.2635629375482962E-3</v>
      </c>
      <c r="AW81" s="68">
        <f t="shared" si="6"/>
        <v>5.3342853788916284E-3</v>
      </c>
      <c r="AX81" s="68">
        <f t="shared" si="6"/>
        <v>5.4088260593133063E-3</v>
      </c>
      <c r="AY81" s="68">
        <f t="shared" ref="AY81:BP81" si="7">1/$C$86/AY74</f>
        <v>5.4859475107284844E-3</v>
      </c>
      <c r="AZ81" s="68">
        <f t="shared" si="7"/>
        <v>5.5647419867905041E-3</v>
      </c>
      <c r="BA81" s="68">
        <f t="shared" si="7"/>
        <v>5.6450374668408441E-3</v>
      </c>
      <c r="BB81" s="68">
        <f t="shared" si="7"/>
        <v>5.7283696750276272E-3</v>
      </c>
      <c r="BC81" s="68">
        <f t="shared" si="7"/>
        <v>5.8145817577449927E-3</v>
      </c>
      <c r="BD81" s="68">
        <f t="shared" si="7"/>
        <v>5.9029337988202174E-3</v>
      </c>
      <c r="BE81" s="68">
        <f t="shared" si="7"/>
        <v>5.99390254733961E-3</v>
      </c>
      <c r="BF81" s="68">
        <f t="shared" si="7"/>
        <v>6.0879074471713963E-3</v>
      </c>
      <c r="BG81" s="68">
        <f t="shared" si="7"/>
        <v>6.185078861678457E-3</v>
      </c>
      <c r="BH81" s="68">
        <f t="shared" si="7"/>
        <v>6.2852096342093655E-3</v>
      </c>
      <c r="BI81" s="68">
        <f t="shared" si="7"/>
        <v>6.3885582884044296E-3</v>
      </c>
      <c r="BJ81" s="68">
        <f t="shared" si="7"/>
        <v>6.4954943230793837E-3</v>
      </c>
      <c r="BK81" s="68">
        <f t="shared" si="7"/>
        <v>6.6060944437343772E-3</v>
      </c>
      <c r="BL81" s="68">
        <f t="shared" si="7"/>
        <v>6.7204670426145603E-3</v>
      </c>
      <c r="BM81" s="68">
        <f t="shared" si="7"/>
        <v>6.8388343217862793E-3</v>
      </c>
      <c r="BN81" s="68">
        <f t="shared" si="7"/>
        <v>6.961499990463583E-3</v>
      </c>
      <c r="BO81" s="68">
        <f t="shared" si="7"/>
        <v>7.0886611556763507E-3</v>
      </c>
      <c r="BP81" s="68">
        <f t="shared" si="7"/>
        <v>7.2205185327818625E-3</v>
      </c>
    </row>
    <row r="82" spans="2:68">
      <c r="B82" s="68">
        <v>2017</v>
      </c>
      <c r="C82" s="68">
        <v>7.6</v>
      </c>
      <c r="D82" s="68">
        <v>4.75</v>
      </c>
      <c r="E82" s="68">
        <v>3.75</v>
      </c>
      <c r="F82" s="68">
        <v>3.46</v>
      </c>
      <c r="G82" s="68">
        <v>2.56</v>
      </c>
      <c r="R82" s="68" t="s">
        <v>175</v>
      </c>
      <c r="S82" s="68">
        <f t="shared" ref="S82:AX82" si="8">1/$C$86/S75</f>
        <v>4.0804635394461573E-3</v>
      </c>
      <c r="T82" s="68">
        <f t="shared" si="8"/>
        <v>4.0953829673783197E-3</v>
      </c>
      <c r="U82" s="68">
        <f t="shared" si="8"/>
        <v>4.2588868501063507E-3</v>
      </c>
      <c r="V82" s="68">
        <f t="shared" si="8"/>
        <v>4.4447906411824219E-3</v>
      </c>
      <c r="W82" s="68">
        <f t="shared" si="8"/>
        <v>4.5164808128143963E-3</v>
      </c>
      <c r="X82" s="68">
        <f t="shared" si="8"/>
        <v>4.5811339123843367E-3</v>
      </c>
      <c r="Y82" s="68">
        <f t="shared" si="8"/>
        <v>4.7161568066440857E-3</v>
      </c>
      <c r="Z82" s="68">
        <f t="shared" si="8"/>
        <v>4.8699445285998715E-3</v>
      </c>
      <c r="AA82" s="68">
        <f t="shared" si="8"/>
        <v>4.88055442953364E-3</v>
      </c>
      <c r="AB82" s="68">
        <f t="shared" si="8"/>
        <v>4.9929594721157527E-3</v>
      </c>
      <c r="AC82" s="68">
        <f t="shared" si="8"/>
        <v>5.0391328038998729E-3</v>
      </c>
      <c r="AD82" s="68">
        <f t="shared" si="8"/>
        <v>5.1345255556205383E-3</v>
      </c>
      <c r="AE82" s="68">
        <f t="shared" si="8"/>
        <v>5.2000038153210849E-3</v>
      </c>
      <c r="AF82" s="68">
        <f t="shared" si="8"/>
        <v>5.2901051428241126E-3</v>
      </c>
      <c r="AG82" s="68">
        <f t="shared" si="8"/>
        <v>5.3675303060960978E-3</v>
      </c>
      <c r="AH82" s="68">
        <f t="shared" si="8"/>
        <v>5.4581304919986999E-3</v>
      </c>
      <c r="AI82" s="68">
        <f t="shared" si="8"/>
        <v>5.5443358276492747E-3</v>
      </c>
      <c r="AJ82" s="68">
        <f t="shared" si="8"/>
        <v>5.6384714692488376E-3</v>
      </c>
      <c r="AK82" s="68">
        <f t="shared" si="8"/>
        <v>5.7322955573246726E-3</v>
      </c>
      <c r="AL82" s="68">
        <f t="shared" si="8"/>
        <v>5.8317511093699094E-3</v>
      </c>
      <c r="AM82" s="68">
        <f t="shared" si="8"/>
        <v>5.9330227056464289E-3</v>
      </c>
      <c r="AN82" s="68">
        <f t="shared" si="8"/>
        <v>6.0390446149751059E-3</v>
      </c>
      <c r="AO82" s="68">
        <f t="shared" si="8"/>
        <v>6.1040176652750423E-3</v>
      </c>
      <c r="AP82" s="68">
        <f t="shared" si="8"/>
        <v>6.1374643374135359E-3</v>
      </c>
      <c r="AQ82" s="68">
        <f t="shared" si="8"/>
        <v>6.1934427700296203E-3</v>
      </c>
      <c r="AR82" s="68">
        <f t="shared" si="8"/>
        <v>6.2353853661853698E-3</v>
      </c>
      <c r="AS82" s="68">
        <f t="shared" si="8"/>
        <v>6.2880735138255376E-3</v>
      </c>
      <c r="AT82" s="68">
        <f t="shared" si="8"/>
        <v>6.33475751603321E-3</v>
      </c>
      <c r="AU82" s="68">
        <f t="shared" si="8"/>
        <v>6.3868087417262723E-3</v>
      </c>
      <c r="AV82" s="68">
        <f t="shared" si="8"/>
        <v>6.4365573235752749E-3</v>
      </c>
      <c r="AW82" s="68">
        <f t="shared" si="8"/>
        <v>6.4892299916304956E-3</v>
      </c>
      <c r="AX82" s="68">
        <f t="shared" si="8"/>
        <v>6.5413193603664687E-3</v>
      </c>
      <c r="AY82" s="68">
        <f t="shared" ref="AY82:BP82" si="9">1/$C$86/AY75</f>
        <v>6.5952357344366917E-3</v>
      </c>
      <c r="AZ82" s="68">
        <f t="shared" si="9"/>
        <v>6.6493813238197178E-3</v>
      </c>
      <c r="BA82" s="68">
        <f t="shared" si="9"/>
        <v>6.7048753491790901E-3</v>
      </c>
      <c r="BB82" s="68">
        <f t="shared" si="9"/>
        <v>6.7609969957701955E-3</v>
      </c>
      <c r="BC82" s="68">
        <f t="shared" si="9"/>
        <v>6.8182738416356472E-3</v>
      </c>
      <c r="BD82" s="68">
        <f t="shared" si="9"/>
        <v>6.8763885524857366E-3</v>
      </c>
      <c r="BE82" s="68">
        <f t="shared" si="9"/>
        <v>6.935597992111844E-3</v>
      </c>
      <c r="BF82" s="68">
        <f t="shared" si="9"/>
        <v>6.99577113017076E-3</v>
      </c>
      <c r="BG82" s="68">
        <f t="shared" si="9"/>
        <v>7.0570414937392179E-3</v>
      </c>
      <c r="BH82" s="68">
        <f t="shared" si="9"/>
        <v>7.1193647458575584E-3</v>
      </c>
      <c r="BI82" s="68">
        <f t="shared" si="9"/>
        <v>7.1828188467228521E-3</v>
      </c>
      <c r="BJ82" s="68">
        <f t="shared" si="9"/>
        <v>7.2474004993318972E-3</v>
      </c>
      <c r="BK82" s="68">
        <f t="shared" si="9"/>
        <v>7.3131633385723526E-3</v>
      </c>
      <c r="BL82" s="68">
        <f t="shared" si="9"/>
        <v>7.3801242371964232E-3</v>
      </c>
      <c r="BM82" s="68">
        <f t="shared" si="9"/>
        <v>7.4483269835621908E-3</v>
      </c>
      <c r="BN82" s="68">
        <f t="shared" si="9"/>
        <v>7.5177991468928203E-3</v>
      </c>
      <c r="BO82" s="68">
        <f t="shared" si="9"/>
        <v>7.5885814592848667E-3</v>
      </c>
      <c r="BP82" s="68">
        <f t="shared" si="9"/>
        <v>7.6607079656867355E-3</v>
      </c>
    </row>
    <row r="83" spans="2:68">
      <c r="B83" s="68">
        <v>2018</v>
      </c>
      <c r="C83" s="68">
        <v>6.76</v>
      </c>
      <c r="D83" s="68">
        <v>4.5999999999999996</v>
      </c>
      <c r="E83" s="68">
        <v>3.58</v>
      </c>
      <c r="F83" s="68">
        <v>3.33</v>
      </c>
      <c r="G83" s="68">
        <v>2.4300000000000002</v>
      </c>
      <c r="R83" s="68" t="s">
        <v>176</v>
      </c>
      <c r="S83" s="68">
        <f t="shared" ref="S83:AX83" si="10">1/$C$86/S76</f>
        <v>4.7161568066440857E-3</v>
      </c>
      <c r="T83" s="68">
        <f t="shared" si="10"/>
        <v>4.8175795336686889E-3</v>
      </c>
      <c r="U83" s="68">
        <f t="shared" si="10"/>
        <v>5.1145536145112804E-3</v>
      </c>
      <c r="V83" s="68">
        <f t="shared" si="10"/>
        <v>5.450546187727349E-3</v>
      </c>
      <c r="W83" s="68">
        <f t="shared" si="10"/>
        <v>5.5725733411839326E-3</v>
      </c>
      <c r="X83" s="68">
        <f t="shared" si="10"/>
        <v>5.7001895245698229E-3</v>
      </c>
      <c r="Y83" s="68">
        <f t="shared" si="10"/>
        <v>5.9737986217491745E-3</v>
      </c>
      <c r="Z83" s="68">
        <f t="shared" si="10"/>
        <v>6.2574706233406163E-3</v>
      </c>
      <c r="AA83" s="68">
        <f t="shared" si="10"/>
        <v>6.3281765060902275E-3</v>
      </c>
      <c r="AB83" s="68">
        <f t="shared" si="10"/>
        <v>6.5630111811209322E-3</v>
      </c>
      <c r="AC83" s="68">
        <f t="shared" si="10"/>
        <v>6.6981961290377163E-3</v>
      </c>
      <c r="AD83" s="68">
        <f t="shared" si="10"/>
        <v>6.9204474880103645E-3</v>
      </c>
      <c r="AE83" s="68">
        <f t="shared" si="10"/>
        <v>7.0005452598623143E-3</v>
      </c>
      <c r="AF83" s="68">
        <f t="shared" si="10"/>
        <v>7.0556676634832777E-3</v>
      </c>
      <c r="AG83" s="68">
        <f t="shared" si="10"/>
        <v>7.1298284139737064E-3</v>
      </c>
      <c r="AH83" s="68">
        <f t="shared" si="10"/>
        <v>7.1931868706932829E-3</v>
      </c>
      <c r="AI83" s="68">
        <f t="shared" si="10"/>
        <v>7.2660772762371045E-3</v>
      </c>
      <c r="AJ83" s="68">
        <f t="shared" si="10"/>
        <v>7.3347455016067684E-3</v>
      </c>
      <c r="AK83" s="68">
        <f t="shared" si="10"/>
        <v>7.4086057543732544E-3</v>
      </c>
      <c r="AL83" s="68">
        <f t="shared" si="10"/>
        <v>7.4813274743885834E-3</v>
      </c>
      <c r="AM83" s="68">
        <f t="shared" si="10"/>
        <v>7.557286671197554E-3</v>
      </c>
      <c r="AN83" s="68">
        <f t="shared" si="10"/>
        <v>7.6335822476328342E-3</v>
      </c>
      <c r="AO83" s="68">
        <f t="shared" si="10"/>
        <v>7.7122652925674592E-3</v>
      </c>
      <c r="AP83" s="68">
        <f t="shared" si="10"/>
        <v>7.7920214874748666E-3</v>
      </c>
      <c r="AQ83" s="68">
        <f t="shared" si="10"/>
        <v>7.8738296230852472E-3</v>
      </c>
      <c r="AR83" s="68">
        <f t="shared" si="10"/>
        <v>7.9571115649271756E-3</v>
      </c>
      <c r="AS83" s="68">
        <f t="shared" si="10"/>
        <v>8.0423526655721451E-3</v>
      </c>
      <c r="AT83" s="68">
        <f t="shared" si="10"/>
        <v>8.1293182051058246E-3</v>
      </c>
      <c r="AU83" s="68">
        <f t="shared" si="10"/>
        <v>8.21826797431046E-3</v>
      </c>
      <c r="AV83" s="68">
        <f t="shared" si="10"/>
        <v>8.3091293482168219E-3</v>
      </c>
      <c r="AW83" s="68">
        <f t="shared" si="10"/>
        <v>8.4020608142336018E-3</v>
      </c>
      <c r="AX83" s="68">
        <f t="shared" si="10"/>
        <v>8.4970682814800302E-3</v>
      </c>
      <c r="AY83" s="68">
        <f t="shared" ref="AY83:BP83" si="11">1/$C$86/AY76</f>
        <v>8.5942668454118461E-3</v>
      </c>
      <c r="AZ83" s="68">
        <f t="shared" si="11"/>
        <v>8.6937026504667458E-3</v>
      </c>
      <c r="BA83" s="68">
        <f t="shared" si="11"/>
        <v>8.7954746705910178E-3</v>
      </c>
      <c r="BB83" s="68">
        <f t="shared" si="11"/>
        <v>8.8996519959090425E-3</v>
      </c>
      <c r="BC83" s="68">
        <f t="shared" si="11"/>
        <v>9.0063306260231724E-3</v>
      </c>
      <c r="BD83" s="68">
        <f t="shared" si="11"/>
        <v>9.11559510940467E-3</v>
      </c>
      <c r="BE83" s="68">
        <f t="shared" si="11"/>
        <v>9.2275451494244123E-3</v>
      </c>
      <c r="BF83" s="68">
        <f t="shared" si="11"/>
        <v>9.3422778929972382E-3</v>
      </c>
      <c r="BG83" s="68">
        <f t="shared" si="11"/>
        <v>9.4599005147213283E-3</v>
      </c>
      <c r="BH83" s="68">
        <f t="shared" si="11"/>
        <v>9.5805221454132485E-3</v>
      </c>
      <c r="BI83" s="68">
        <f t="shared" si="11"/>
        <v>9.7042599537857203E-3</v>
      </c>
      <c r="BJ83" s="68">
        <f t="shared" si="11"/>
        <v>9.831235599466831E-3</v>
      </c>
      <c r="BK83" s="68">
        <f t="shared" si="11"/>
        <v>9.9615783170234774E-3</v>
      </c>
      <c r="BL83" s="68">
        <f t="shared" si="11"/>
        <v>1.0095423518022952E-2</v>
      </c>
      <c r="BM83" s="68">
        <f t="shared" si="11"/>
        <v>1.0232914517058595E-2</v>
      </c>
      <c r="BN83" s="68">
        <f t="shared" si="11"/>
        <v>1.037420218335852E-2</v>
      </c>
      <c r="BO83" s="68">
        <f t="shared" si="11"/>
        <v>1.0519446082085196E-2</v>
      </c>
      <c r="BP83" s="68">
        <f t="shared" si="11"/>
        <v>1.0668814671971248E-2</v>
      </c>
    </row>
    <row r="84" spans="2:68">
      <c r="B84" s="68">
        <v>2019</v>
      </c>
      <c r="C84" s="68">
        <v>6.28</v>
      </c>
      <c r="D84" s="68">
        <v>4.59</v>
      </c>
      <c r="E84" s="68">
        <v>3.54</v>
      </c>
      <c r="F84" s="68">
        <v>3.28</v>
      </c>
      <c r="G84" s="68">
        <v>2.37</v>
      </c>
      <c r="R84" s="68" t="s">
        <v>177</v>
      </c>
      <c r="S84" s="68">
        <f t="shared" ref="S84:AX84" si="12">1/$C$86/S77</f>
        <v>5.2834303848017464E-3</v>
      </c>
      <c r="T84" s="68">
        <f t="shared" si="12"/>
        <v>5.3592690984591886E-3</v>
      </c>
      <c r="U84" s="68">
        <f t="shared" si="12"/>
        <v>5.6570062705958097E-3</v>
      </c>
      <c r="V84" s="68">
        <f t="shared" si="12"/>
        <v>6.0058297135548002E-3</v>
      </c>
      <c r="W84" s="68">
        <f t="shared" si="12"/>
        <v>6.120695309169236E-3</v>
      </c>
      <c r="X84" s="68">
        <f t="shared" si="12"/>
        <v>6.120695309169236E-3</v>
      </c>
      <c r="Y84" s="68">
        <f t="shared" si="12"/>
        <v>6.4744927258842217E-3</v>
      </c>
      <c r="Z84" s="68">
        <f t="shared" si="12"/>
        <v>6.7272507001679893E-3</v>
      </c>
      <c r="AA84" s="68">
        <f t="shared" si="12"/>
        <v>6.8298002535242099E-3</v>
      </c>
      <c r="AB84" s="68">
        <f t="shared" si="12"/>
        <v>7.2250744842872047E-3</v>
      </c>
      <c r="AC84" s="68">
        <f t="shared" si="12"/>
        <v>7.5269059764068863E-3</v>
      </c>
      <c r="AD84" s="68">
        <f t="shared" si="12"/>
        <v>7.8400676937648624E-3</v>
      </c>
      <c r="AE84" s="68">
        <f t="shared" si="12"/>
        <v>8.1190495874762687E-3</v>
      </c>
      <c r="AF84" s="68">
        <f t="shared" si="12"/>
        <v>8.296942530207187E-3</v>
      </c>
      <c r="AG84" s="68">
        <f t="shared" si="12"/>
        <v>8.4217085832930094E-3</v>
      </c>
      <c r="AH84" s="68">
        <f t="shared" si="12"/>
        <v>8.5016109417682759E-3</v>
      </c>
      <c r="AI84" s="68">
        <f t="shared" si="12"/>
        <v>8.5502842868547344E-3</v>
      </c>
      <c r="AJ84" s="68">
        <f t="shared" si="12"/>
        <v>8.6326569678456273E-3</v>
      </c>
      <c r="AK84" s="68">
        <f t="shared" si="12"/>
        <v>8.7748564397338268E-3</v>
      </c>
      <c r="AL84" s="68">
        <f t="shared" si="12"/>
        <v>8.845244702737896E-3</v>
      </c>
      <c r="AM84" s="68">
        <f t="shared" si="12"/>
        <v>8.9304666296916822E-3</v>
      </c>
      <c r="AN84" s="68">
        <f t="shared" si="12"/>
        <v>9.0317869085033125E-3</v>
      </c>
      <c r="AO84" s="68">
        <f t="shared" si="12"/>
        <v>9.1420918308870083E-3</v>
      </c>
      <c r="AP84" s="68">
        <f t="shared" si="12"/>
        <v>9.2437269352298023E-3</v>
      </c>
      <c r="AQ84" s="68">
        <f t="shared" si="12"/>
        <v>9.3374156324284932E-3</v>
      </c>
      <c r="AR84" s="68">
        <f t="shared" si="12"/>
        <v>9.4502523869379202E-3</v>
      </c>
      <c r="AS84" s="68">
        <f t="shared" si="12"/>
        <v>9.5624621031557052E-3</v>
      </c>
      <c r="AT84" s="68">
        <f t="shared" si="12"/>
        <v>9.6732152564604924E-3</v>
      </c>
      <c r="AU84" s="68">
        <f t="shared" si="12"/>
        <v>9.7854195568675834E-3</v>
      </c>
      <c r="AV84" s="68">
        <f t="shared" si="12"/>
        <v>9.9036278851901156E-3</v>
      </c>
      <c r="AW84" s="68">
        <f t="shared" si="12"/>
        <v>1.0026369871583597E-2</v>
      </c>
      <c r="AX84" s="68">
        <f t="shared" si="12"/>
        <v>1.0148205978283161E-2</v>
      </c>
      <c r="AY84" s="68">
        <f t="shared" ref="AY84:BP84" si="13">1/$C$86/AY77</f>
        <v>1.0273932577592343E-2</v>
      </c>
      <c r="AZ84" s="68">
        <f t="shared" si="13"/>
        <v>1.0403962556709568E-2</v>
      </c>
      <c r="BA84" s="68">
        <f t="shared" si="13"/>
        <v>1.053745911160766E-2</v>
      </c>
      <c r="BB84" s="68">
        <f t="shared" si="13"/>
        <v>1.0673490897648599E-2</v>
      </c>
      <c r="BC84" s="68">
        <f t="shared" si="13"/>
        <v>1.0812869516434155E-2</v>
      </c>
      <c r="BD84" s="68">
        <f t="shared" si="13"/>
        <v>1.0956868176980659E-2</v>
      </c>
      <c r="BE84" s="68">
        <f t="shared" si="13"/>
        <v>1.1104505651362194E-2</v>
      </c>
      <c r="BF84" s="68">
        <f t="shared" si="13"/>
        <v>1.1255865993309983E-2</v>
      </c>
      <c r="BG84" s="68">
        <f t="shared" si="13"/>
        <v>1.1411419100768013E-2</v>
      </c>
      <c r="BH84" s="68">
        <f t="shared" si="13"/>
        <v>1.1571581416558532E-2</v>
      </c>
      <c r="BI84" s="68">
        <f t="shared" si="13"/>
        <v>1.173631141486086E-2</v>
      </c>
      <c r="BJ84" s="68">
        <f t="shared" si="13"/>
        <v>1.1905578860028354E-2</v>
      </c>
      <c r="BK84" s="68">
        <f t="shared" si="13"/>
        <v>1.2079871713181482E-2</v>
      </c>
      <c r="BL84" s="68">
        <f t="shared" si="13"/>
        <v>1.2259425653621517E-2</v>
      </c>
      <c r="BM84" s="68">
        <f t="shared" si="13"/>
        <v>1.2444383783609196E-2</v>
      </c>
      <c r="BN84" s="68">
        <f t="shared" si="13"/>
        <v>1.2634943257166893E-2</v>
      </c>
      <c r="BO84" s="68">
        <f t="shared" si="13"/>
        <v>1.2831438154008732E-2</v>
      </c>
      <c r="BP84" s="68">
        <f t="shared" si="13"/>
        <v>1.3034193909953112E-2</v>
      </c>
    </row>
    <row r="85" spans="2:68">
      <c r="R85" s="68" t="s">
        <v>178</v>
      </c>
      <c r="S85" s="68">
        <f t="shared" ref="S85:AX85" si="14">1/$C$86/S78</f>
        <v>6.767898740652388E-3</v>
      </c>
      <c r="T85" s="68">
        <f t="shared" si="14"/>
        <v>7.0224905428085916E-3</v>
      </c>
      <c r="U85" s="68">
        <f t="shared" si="14"/>
        <v>7.3933151259271968E-3</v>
      </c>
      <c r="V85" s="68">
        <f t="shared" si="14"/>
        <v>8.0292992227811496E-3</v>
      </c>
      <c r="W85" s="68">
        <f t="shared" si="14"/>
        <v>8.1165742143331186E-3</v>
      </c>
      <c r="X85" s="68">
        <f t="shared" si="14"/>
        <v>8.1758192815910239E-3</v>
      </c>
      <c r="Y85" s="68">
        <f t="shared" si="14"/>
        <v>8.7506815748278934E-3</v>
      </c>
      <c r="Z85" s="68">
        <f t="shared" si="14"/>
        <v>9.2188250335635408E-3</v>
      </c>
      <c r="AA85" s="68">
        <f t="shared" si="14"/>
        <v>9.4522130090967955E-3</v>
      </c>
      <c r="AB85" s="68">
        <f t="shared" si="14"/>
        <v>1.0127625441870397E-2</v>
      </c>
      <c r="AC85" s="68">
        <f t="shared" si="14"/>
        <v>1.0626578029084469E-2</v>
      </c>
      <c r="AD85" s="68">
        <f t="shared" si="14"/>
        <v>1.0927680405638735E-2</v>
      </c>
      <c r="AE85" s="68">
        <f t="shared" si="14"/>
        <v>1.1145146682367865E-2</v>
      </c>
      <c r="AF85" s="68">
        <f t="shared" si="14"/>
        <v>1.1371444076933709E-2</v>
      </c>
      <c r="AG85" s="68">
        <f t="shared" si="14"/>
        <v>1.1429461648754798E-2</v>
      </c>
      <c r="AH85" s="68">
        <f t="shared" si="14"/>
        <v>1.1458693008470284E-2</v>
      </c>
      <c r="AI85" s="68">
        <f t="shared" si="14"/>
        <v>1.160712167438307E-2</v>
      </c>
      <c r="AJ85" s="68">
        <f t="shared" si="14"/>
        <v>1.1652403033320848E-2</v>
      </c>
      <c r="AK85" s="68">
        <f t="shared" si="14"/>
        <v>1.1744033987711294E-2</v>
      </c>
      <c r="AL85" s="68">
        <f t="shared" si="14"/>
        <v>1.18449410874074E-2</v>
      </c>
      <c r="AM85" s="68">
        <f t="shared" si="14"/>
        <v>1.1915821718914494E-2</v>
      </c>
      <c r="AN85" s="68">
        <f t="shared" si="14"/>
        <v>1.2015686131577157E-2</v>
      </c>
      <c r="AO85" s="68">
        <f t="shared" si="14"/>
        <v>1.2104961746198767E-2</v>
      </c>
      <c r="AP85" s="68">
        <f t="shared" si="14"/>
        <v>1.2193499483073487E-2</v>
      </c>
      <c r="AQ85" s="68">
        <f t="shared" si="14"/>
        <v>1.229176671141783E-2</v>
      </c>
      <c r="AR85" s="68">
        <f t="shared" si="14"/>
        <v>1.2384138111944124E-2</v>
      </c>
      <c r="AS85" s="68">
        <f t="shared" si="14"/>
        <v>1.2481167138676473E-2</v>
      </c>
      <c r="AT85" s="68">
        <f t="shared" si="14"/>
        <v>1.2580280517876217E-2</v>
      </c>
      <c r="AU85" s="68">
        <f t="shared" si="14"/>
        <v>1.267873778935052E-2</v>
      </c>
      <c r="AV85" s="68">
        <f t="shared" si="14"/>
        <v>1.278074185304319E-2</v>
      </c>
      <c r="AW85" s="68">
        <f t="shared" si="14"/>
        <v>1.2883532174598396E-2</v>
      </c>
      <c r="AX85" s="68">
        <f t="shared" si="14"/>
        <v>1.2987842232290355E-2</v>
      </c>
      <c r="AY85" s="68">
        <f t="shared" ref="AY85:BP85" si="15">1/$C$86/AY78</f>
        <v>1.3094453093613448E-2</v>
      </c>
      <c r="AZ85" s="68">
        <f t="shared" si="15"/>
        <v>1.320229677042448E-2</v>
      </c>
      <c r="BA85" s="68">
        <f t="shared" si="15"/>
        <v>1.3312163317751141E-2</v>
      </c>
      <c r="BB85" s="68">
        <f t="shared" si="15"/>
        <v>1.3423913056781334E-2</v>
      </c>
      <c r="BC85" s="68">
        <f t="shared" si="15"/>
        <v>1.3537395077966266E-2</v>
      </c>
      <c r="BD85" s="68">
        <f t="shared" si="15"/>
        <v>1.3652954350070346E-2</v>
      </c>
      <c r="BE85" s="68">
        <f t="shared" si="15"/>
        <v>1.3770441507834741E-2</v>
      </c>
      <c r="BF85" s="68">
        <f t="shared" si="15"/>
        <v>1.388995771745993E-2</v>
      </c>
      <c r="BG85" s="68">
        <f t="shared" si="15"/>
        <v>1.4011609489249755E-2</v>
      </c>
      <c r="BH85" s="68">
        <f t="shared" si="15"/>
        <v>1.4135372895523496E-2</v>
      </c>
      <c r="BI85" s="68">
        <f t="shared" si="15"/>
        <v>1.4261358794444585E-2</v>
      </c>
      <c r="BJ85" s="68">
        <f t="shared" si="15"/>
        <v>1.4389613487182512E-2</v>
      </c>
      <c r="BK85" s="68">
        <f t="shared" si="15"/>
        <v>1.4520184455274216E-2</v>
      </c>
      <c r="BL85" s="68">
        <f t="shared" si="15"/>
        <v>1.4653156954451477E-2</v>
      </c>
      <c r="BM85" s="68">
        <f t="shared" si="15"/>
        <v>1.478858295708585E-2</v>
      </c>
      <c r="BN85" s="68">
        <f t="shared" si="15"/>
        <v>1.4926534794402898E-2</v>
      </c>
      <c r="BO85" s="68">
        <f t="shared" si="15"/>
        <v>1.5067087661490095E-2</v>
      </c>
      <c r="BP85" s="68">
        <f t="shared" si="15"/>
        <v>1.521030991105537E-2</v>
      </c>
    </row>
    <row r="86" spans="2:68">
      <c r="B86" s="68" t="s">
        <v>179</v>
      </c>
      <c r="C86" s="68">
        <f>277435549975.861/(10^(4+6))*1.609</f>
        <v>44.639379991116037</v>
      </c>
      <c r="R86" s="68" t="s">
        <v>75</v>
      </c>
      <c r="S86" s="69" cm="1">
        <f t="array" ref="S86:AE86">TRANSPOSE(M104:M116)</f>
        <v>4.4913737088948516E-3</v>
      </c>
      <c r="T86" s="69">
        <v>4.3113149963045954E-3</v>
      </c>
      <c r="U86" s="68">
        <v>4.1875917443448133E-3</v>
      </c>
      <c r="V86" s="68">
        <v>4.1378931012234187E-3</v>
      </c>
      <c r="W86" s="68">
        <v>3.8490666375218243E-3</v>
      </c>
      <c r="X86" s="68">
        <v>3.8517182158696699E-3</v>
      </c>
      <c r="Y86" s="68">
        <v>4.0735873368050873E-3</v>
      </c>
      <c r="Z86" s="68">
        <v>4.3205162492339416E-3</v>
      </c>
      <c r="AA86" s="68">
        <v>4.4544800146568749E-3</v>
      </c>
      <c r="AB86" s="68">
        <v>4.637028933039274E-3</v>
      </c>
      <c r="AC86" s="68">
        <v>4.6921946850107879E-3</v>
      </c>
      <c r="AD86" s="68">
        <v>4.8050495373842895E-3</v>
      </c>
      <c r="AE86" s="68">
        <v>4.9713144189326222E-3</v>
      </c>
      <c r="AF86" s="68">
        <f>1/$C$86/AF79</f>
        <v>5.022812742502109E-3</v>
      </c>
      <c r="AG86" s="68">
        <f t="shared" ref="AG86:BP86" si="16">1/$C$86/AG79</f>
        <v>5.0682680614387793E-3</v>
      </c>
      <c r="AH86" s="68">
        <f t="shared" si="16"/>
        <v>5.1145536145112804E-3</v>
      </c>
      <c r="AI86" s="68">
        <f t="shared" si="16"/>
        <v>5.2593939947967001E-3</v>
      </c>
      <c r="AJ86" s="68">
        <f t="shared" si="16"/>
        <v>5.3277660932735029E-3</v>
      </c>
      <c r="AK86" s="68">
        <f t="shared" si="16"/>
        <v>5.3891977997194149E-3</v>
      </c>
      <c r="AL86" s="68">
        <f t="shared" si="16"/>
        <v>5.4835999247564021E-3</v>
      </c>
      <c r="AM86" s="68">
        <f t="shared" si="16"/>
        <v>5.5847980160498465E-3</v>
      </c>
      <c r="AN86" s="68">
        <f t="shared" si="16"/>
        <v>5.6836356836670468E-3</v>
      </c>
      <c r="AO86" s="68">
        <f t="shared" si="16"/>
        <v>5.7653010665893768E-3</v>
      </c>
      <c r="AP86" s="68">
        <f t="shared" si="16"/>
        <v>5.8705648050965745E-3</v>
      </c>
      <c r="AQ86" s="68">
        <f t="shared" si="16"/>
        <v>5.9810983565750358E-3</v>
      </c>
      <c r="AR86" s="68">
        <f t="shared" si="16"/>
        <v>6.087296461102623E-3</v>
      </c>
      <c r="AS86" s="68">
        <f t="shared" si="16"/>
        <v>6.1273919123521351E-3</v>
      </c>
      <c r="AT86" s="68">
        <f t="shared" si="16"/>
        <v>6.1543255031756604E-3</v>
      </c>
      <c r="AU86" s="68">
        <f t="shared" si="16"/>
        <v>6.1883273015357473E-3</v>
      </c>
      <c r="AV86" s="68">
        <f t="shared" si="16"/>
        <v>6.2910326272556738E-3</v>
      </c>
      <c r="AW86" s="68">
        <f t="shared" si="16"/>
        <v>6.3308313739443003E-3</v>
      </c>
      <c r="AX86" s="68">
        <f t="shared" si="16"/>
        <v>6.3739033584218506E-3</v>
      </c>
      <c r="AY86" s="68">
        <f t="shared" si="16"/>
        <v>6.4349099139923219E-3</v>
      </c>
      <c r="AZ86" s="68">
        <f t="shared" si="16"/>
        <v>6.5007936224119158E-3</v>
      </c>
      <c r="BA86" s="68">
        <f t="shared" si="16"/>
        <v>6.5624821583626569E-3</v>
      </c>
      <c r="BB86" s="68">
        <f t="shared" si="16"/>
        <v>6.6125671263044935E-3</v>
      </c>
      <c r="BC86" s="68">
        <f t="shared" si="16"/>
        <v>6.6782773240936606E-3</v>
      </c>
      <c r="BD86" s="68">
        <f t="shared" si="16"/>
        <v>6.7443555250072231E-3</v>
      </c>
      <c r="BE86" s="68">
        <f t="shared" si="16"/>
        <v>6.8072913214963851E-3</v>
      </c>
      <c r="BF86" s="68">
        <f t="shared" si="16"/>
        <v>6.8706407360982604E-3</v>
      </c>
      <c r="BG86" s="68">
        <f t="shared" si="16"/>
        <v>6.9372373744367045E-3</v>
      </c>
      <c r="BH86" s="68">
        <f t="shared" si="16"/>
        <v>7.007424351467788E-3</v>
      </c>
      <c r="BI86" s="68">
        <f t="shared" si="16"/>
        <v>7.0756273494386309E-3</v>
      </c>
      <c r="BJ86" s="68">
        <f t="shared" si="16"/>
        <v>7.145495241627324E-3</v>
      </c>
      <c r="BK86" s="68">
        <f t="shared" si="16"/>
        <v>7.2178984306407751E-3</v>
      </c>
      <c r="BL86" s="68">
        <f t="shared" si="16"/>
        <v>7.2919025073691357E-3</v>
      </c>
      <c r="BM86" s="68">
        <f t="shared" si="16"/>
        <v>7.3668099666365002E-3</v>
      </c>
      <c r="BN86" s="68">
        <f t="shared" si="16"/>
        <v>7.4428926536830396E-3</v>
      </c>
      <c r="BO86" s="68">
        <f t="shared" si="16"/>
        <v>7.5213537623113171E-3</v>
      </c>
      <c r="BP86" s="68">
        <f t="shared" si="16"/>
        <v>7.6013788351368943E-3</v>
      </c>
    </row>
    <row r="87" spans="2:68">
      <c r="C87" s="69">
        <f>1/(C84*$C$86)</f>
        <v>3.5671568203120068E-3</v>
      </c>
      <c r="D87" s="69">
        <f>1/(D84*$C$86)</f>
        <v>4.88055442953364E-3</v>
      </c>
      <c r="E87" s="69">
        <f>1/(E84*$C$86)</f>
        <v>6.3281765060902275E-3</v>
      </c>
      <c r="F87" s="69">
        <f>1/(F84*$C$86)</f>
        <v>6.829800253524209E-3</v>
      </c>
      <c r="G87" s="69">
        <f>1/(G84*$C$86)</f>
        <v>9.4522130090967955E-3</v>
      </c>
    </row>
    <row r="90" spans="2:68">
      <c r="B90" s="69" t="s">
        <v>180</v>
      </c>
    </row>
    <row r="91" spans="2:68">
      <c r="B91" s="69" t="s">
        <v>181</v>
      </c>
      <c r="C91" s="69" t="s">
        <v>182</v>
      </c>
      <c r="D91" s="69" t="s">
        <v>175</v>
      </c>
      <c r="E91" s="69" t="s">
        <v>176</v>
      </c>
      <c r="F91" s="69" t="s">
        <v>177</v>
      </c>
      <c r="G91" s="69" t="s">
        <v>178</v>
      </c>
      <c r="K91" s="69" t="s">
        <v>183</v>
      </c>
      <c r="L91" s="69" t="s">
        <v>182</v>
      </c>
      <c r="M91" s="69" t="s">
        <v>175</v>
      </c>
      <c r="N91" s="69" t="s">
        <v>176</v>
      </c>
      <c r="O91" s="69" t="s">
        <v>177</v>
      </c>
      <c r="P91" s="69" t="s">
        <v>178</v>
      </c>
    </row>
    <row r="92" spans="2:68">
      <c r="B92" s="68">
        <v>2011</v>
      </c>
      <c r="C92" s="69">
        <f t="shared" ref="C92:D94" si="17">C76/458.34*0.001</f>
        <v>2.1425142907012266E-5</v>
      </c>
      <c r="D92" s="69">
        <f t="shared" si="17"/>
        <v>1.1978007592616837E-5</v>
      </c>
      <c r="E92" s="69">
        <f>E76/4000*0.001</f>
        <v>1.1875000000000001E-6</v>
      </c>
      <c r="F92" s="69">
        <f>F76/458.34*0.001</f>
        <v>9.2507745341885942E-6</v>
      </c>
      <c r="G92" s="69">
        <f>G76/4000*0.001</f>
        <v>8.2750000000000002E-7</v>
      </c>
      <c r="K92" s="69" t="s">
        <v>184</v>
      </c>
      <c r="L92" s="69">
        <f>1/(C92*19816.9604007219)</f>
        <v>2.355262031903322</v>
      </c>
      <c r="M92" s="68">
        <f t="shared" ref="L92:P99" si="18">1/(D92*19816.9604007219)</f>
        <v>4.2128730698161423</v>
      </c>
      <c r="N92" s="68">
        <f t="shared" si="18"/>
        <v>42.494168940622103</v>
      </c>
      <c r="O92" s="68">
        <f t="shared" si="18"/>
        <v>5.4548757437006179</v>
      </c>
      <c r="P92" s="68">
        <f t="shared" si="18"/>
        <v>60.98105814741843</v>
      </c>
    </row>
    <row r="93" spans="2:68">
      <c r="B93" s="68">
        <v>2012</v>
      </c>
      <c r="C93" s="69">
        <f t="shared" si="17"/>
        <v>2.1556050093816819E-5</v>
      </c>
      <c r="D93" s="69">
        <f t="shared" si="17"/>
        <v>1.1934371863681982E-5</v>
      </c>
      <c r="E93" s="69">
        <f>E77/4000*0.001</f>
        <v>1.1625000000000001E-6</v>
      </c>
      <c r="F93" s="69">
        <f>F77/458.34*0.001</f>
        <v>9.1198673473840379E-6</v>
      </c>
      <c r="G93" s="69">
        <f>G77/4000*0.001</f>
        <v>7.9750000000000009E-7</v>
      </c>
      <c r="L93" s="68">
        <f t="shared" si="18"/>
        <v>2.3409588211832615</v>
      </c>
      <c r="M93" s="68">
        <f t="shared" si="18"/>
        <v>4.22827662765825</v>
      </c>
      <c r="N93" s="68">
        <f t="shared" si="18"/>
        <v>43.408022036119348</v>
      </c>
      <c r="O93" s="68">
        <f t="shared" si="18"/>
        <v>5.533175395524073</v>
      </c>
      <c r="P93" s="68">
        <f t="shared" si="18"/>
        <v>63.27501644763479</v>
      </c>
    </row>
    <row r="94" spans="2:68">
      <c r="B94" s="68">
        <v>2013</v>
      </c>
      <c r="C94" s="69">
        <f t="shared" si="17"/>
        <v>2.1381507178077413E-5</v>
      </c>
      <c r="D94" s="69">
        <f t="shared" si="17"/>
        <v>1.1476196709866039E-5</v>
      </c>
      <c r="E94" s="69">
        <f>E78/4000*0.001</f>
        <v>1.0950000000000001E-6</v>
      </c>
      <c r="F94" s="69">
        <f>F78/458.34*0.001</f>
        <v>8.6398743291006678E-6</v>
      </c>
      <c r="G94" s="69">
        <f>G78/4000*0.001</f>
        <v>7.5749999999999995E-7</v>
      </c>
      <c r="L94" s="68">
        <f t="shared" si="18"/>
        <v>2.3600686891112876</v>
      </c>
      <c r="M94" s="68">
        <f t="shared" si="18"/>
        <v>4.3970861508157082</v>
      </c>
      <c r="N94" s="68">
        <f t="shared" si="18"/>
        <v>46.083859010948629</v>
      </c>
      <c r="O94" s="68">
        <f t="shared" si="18"/>
        <v>5.840574028608744</v>
      </c>
      <c r="P94" s="68">
        <f t="shared" si="18"/>
        <v>66.61627144156931</v>
      </c>
    </row>
    <row r="95" spans="2:68">
      <c r="B95" s="68">
        <v>2014</v>
      </c>
      <c r="C95" s="69">
        <f t="shared" ref="C95:D100" si="19">C79/458.34*0.001</f>
        <v>2.0574246192782652E-5</v>
      </c>
      <c r="D95" s="69">
        <f t="shared" si="19"/>
        <v>1.0996203691582669E-5</v>
      </c>
      <c r="E95" s="69">
        <f t="shared" ref="E95:E100" si="20">E79/4000*0.001</f>
        <v>1.0274999999999999E-6</v>
      </c>
      <c r="F95" s="69">
        <f t="shared" ref="F95:F100" si="21">F79/458.34*0.001</f>
        <v>8.138063446349871E-6</v>
      </c>
      <c r="G95" s="69">
        <f t="shared" ref="G95:G100" si="22">G79/4000*0.001</f>
        <v>6.9749999999999999E-7</v>
      </c>
      <c r="I95" s="67" t="s">
        <v>185</v>
      </c>
      <c r="J95" s="67">
        <v>458.34</v>
      </c>
      <c r="L95" s="68">
        <f t="shared" si="18"/>
        <v>2.4526694754284861</v>
      </c>
      <c r="M95" s="68">
        <f t="shared" si="18"/>
        <v>4.5890224510497273</v>
      </c>
      <c r="N95" s="68">
        <f t="shared" si="18"/>
        <v>49.111265807288326</v>
      </c>
      <c r="O95" s="68">
        <f t="shared" si="18"/>
        <v>6.2007166630805965</v>
      </c>
      <c r="P95" s="68">
        <f t="shared" si="18"/>
        <v>72.346703393532266</v>
      </c>
    </row>
    <row r="96" spans="2:68">
      <c r="B96" s="68">
        <v>2015</v>
      </c>
      <c r="C96" s="69">
        <f t="shared" si="19"/>
        <v>2.0661517650652355E-5</v>
      </c>
      <c r="D96" s="69">
        <f t="shared" si="19"/>
        <v>1.0821660775843261E-5</v>
      </c>
      <c r="E96" s="69">
        <f t="shared" si="20"/>
        <v>1.0049999999999999E-6</v>
      </c>
      <c r="F96" s="69">
        <f t="shared" si="21"/>
        <v>7.9853383950778898E-6</v>
      </c>
      <c r="G96" s="69">
        <f t="shared" si="22"/>
        <v>6.8999999999999996E-7</v>
      </c>
      <c r="I96" s="67" t="s">
        <v>186</v>
      </c>
      <c r="J96" s="67">
        <v>4000</v>
      </c>
      <c r="L96" s="68">
        <f t="shared" si="18"/>
        <v>2.4423097310760955</v>
      </c>
      <c r="M96" s="68">
        <f t="shared" si="18"/>
        <v>4.6630389421956906</v>
      </c>
      <c r="N96" s="68">
        <f t="shared" si="18"/>
        <v>50.210771758197765</v>
      </c>
      <c r="O96" s="68">
        <f t="shared" si="18"/>
        <v>6.3193096047242152</v>
      </c>
      <c r="P96" s="68">
        <f t="shared" si="18"/>
        <v>73.133080604331539</v>
      </c>
    </row>
    <row r="97" spans="2:16">
      <c r="B97" s="68">
        <v>2016</v>
      </c>
      <c r="C97" s="69">
        <f t="shared" si="19"/>
        <v>1.9156085002399966E-5</v>
      </c>
      <c r="D97" s="69">
        <f t="shared" si="19"/>
        <v>1.066893572457128E-5</v>
      </c>
      <c r="E97" s="69">
        <f t="shared" si="20"/>
        <v>9.8250000000000012E-7</v>
      </c>
      <c r="F97" s="69">
        <f t="shared" si="21"/>
        <v>7.9853383950778898E-6</v>
      </c>
      <c r="G97" s="69">
        <f t="shared" si="22"/>
        <v>6.8500000000000011E-7</v>
      </c>
      <c r="I97" s="67"/>
      <c r="J97" s="67"/>
      <c r="L97" s="68">
        <f t="shared" si="18"/>
        <v>2.6342452338599802</v>
      </c>
      <c r="M97" s="68">
        <f t="shared" si="18"/>
        <v>4.7297900108978785</v>
      </c>
      <c r="N97" s="68">
        <f t="shared" si="18"/>
        <v>51.360636760293886</v>
      </c>
      <c r="O97" s="68">
        <f t="shared" si="18"/>
        <v>6.3193096047242152</v>
      </c>
      <c r="P97" s="68">
        <f t="shared" si="18"/>
        <v>73.666898710932472</v>
      </c>
    </row>
    <row r="98" spans="2:16">
      <c r="B98" s="68">
        <v>2017</v>
      </c>
      <c r="C98" s="69">
        <f t="shared" si="19"/>
        <v>1.6581576995243704E-5</v>
      </c>
      <c r="D98" s="69">
        <f t="shared" si="19"/>
        <v>1.0363485622027317E-5</v>
      </c>
      <c r="E98" s="69">
        <f t="shared" si="20"/>
        <v>9.3750000000000002E-7</v>
      </c>
      <c r="F98" s="69">
        <f t="shared" si="21"/>
        <v>7.5489811057293712E-6</v>
      </c>
      <c r="G98" s="69">
        <f t="shared" si="22"/>
        <v>6.4000000000000001E-7</v>
      </c>
      <c r="I98" s="67" t="s">
        <v>149</v>
      </c>
      <c r="J98" s="67" t="s">
        <v>150</v>
      </c>
      <c r="L98" s="68">
        <f t="shared" si="18"/>
        <v>3.0432464675382405</v>
      </c>
      <c r="M98" s="68">
        <f t="shared" si="18"/>
        <v>4.8691943480611837</v>
      </c>
      <c r="N98" s="68">
        <f t="shared" si="18"/>
        <v>53.825947324788004</v>
      </c>
      <c r="O98" s="68">
        <f t="shared" si="18"/>
        <v>6.6845876165579838</v>
      </c>
      <c r="P98" s="68">
        <f t="shared" si="18"/>
        <v>78.846602526544928</v>
      </c>
    </row>
    <row r="99" spans="2:16">
      <c r="B99" s="68">
        <v>2018</v>
      </c>
      <c r="C99" s="69">
        <f t="shared" si="19"/>
        <v>1.4748876379979927E-5</v>
      </c>
      <c r="D99" s="69">
        <f t="shared" si="19"/>
        <v>1.0036217655015927E-5</v>
      </c>
      <c r="E99" s="69">
        <f t="shared" si="20"/>
        <v>8.9500000000000011E-7</v>
      </c>
      <c r="F99" s="69">
        <f t="shared" si="21"/>
        <v>7.2653488676528346E-6</v>
      </c>
      <c r="G99" s="69">
        <f t="shared" si="22"/>
        <v>6.0750000000000011E-7</v>
      </c>
      <c r="I99" s="67" t="s">
        <v>151</v>
      </c>
      <c r="J99" s="67">
        <v>19816.960400721899</v>
      </c>
      <c r="L99" s="68">
        <f t="shared" si="18"/>
        <v>3.4214013540370747</v>
      </c>
      <c r="M99" s="68">
        <f t="shared" si="18"/>
        <v>5.0279724246283966</v>
      </c>
      <c r="N99" s="69">
        <f t="shared" si="18"/>
        <v>56.381928063674572</v>
      </c>
      <c r="O99" s="68">
        <f t="shared" si="18"/>
        <v>6.9455474934806674</v>
      </c>
      <c r="P99" s="68">
        <f t="shared" si="18"/>
        <v>83.0647335259074</v>
      </c>
    </row>
    <row r="100" spans="2:16">
      <c r="B100" s="68">
        <v>2019</v>
      </c>
      <c r="C100" s="69">
        <f t="shared" si="19"/>
        <v>1.3701618885543485E-5</v>
      </c>
      <c r="D100" s="69">
        <f t="shared" si="19"/>
        <v>1.0014399790548502E-5</v>
      </c>
      <c r="E100" s="69">
        <f t="shared" si="20"/>
        <v>8.850000000000001E-7</v>
      </c>
      <c r="F100" s="69">
        <f t="shared" si="21"/>
        <v>7.1562595453157049E-6</v>
      </c>
      <c r="G100" s="69">
        <f t="shared" si="22"/>
        <v>5.9250000000000004E-7</v>
      </c>
    </row>
    <row r="101" spans="2:16">
      <c r="B101" s="69"/>
      <c r="C101" s="69"/>
      <c r="D101" s="69"/>
      <c r="E101" s="69"/>
      <c r="F101" s="69"/>
      <c r="G101" s="69"/>
    </row>
    <row r="102" spans="2:16">
      <c r="B102" s="68" t="s">
        <v>187</v>
      </c>
    </row>
    <row r="103" spans="2:16" ht="24.45">
      <c r="B103" s="72" t="s">
        <v>188</v>
      </c>
      <c r="C103" s="73" t="s">
        <v>189</v>
      </c>
      <c r="D103" s="72" t="s">
        <v>190</v>
      </c>
      <c r="E103" s="74" t="s">
        <v>191</v>
      </c>
      <c r="F103" s="74" t="s">
        <v>192</v>
      </c>
      <c r="G103" s="72" t="s">
        <v>193</v>
      </c>
      <c r="H103" s="75" t="s">
        <v>194</v>
      </c>
      <c r="J103" s="68" t="s">
        <v>195</v>
      </c>
      <c r="M103" s="68" t="s">
        <v>196</v>
      </c>
    </row>
    <row r="104" spans="2:16">
      <c r="B104" s="76">
        <v>2011</v>
      </c>
      <c r="C104" s="77"/>
      <c r="D104" s="78">
        <v>9612.2900000000009</v>
      </c>
      <c r="E104" s="79">
        <v>1058.8235294117601</v>
      </c>
      <c r="F104" s="79">
        <v>8553.4664705882406</v>
      </c>
      <c r="G104" s="78">
        <v>622.1865349150579</v>
      </c>
      <c r="H104" s="80">
        <v>29465.79</v>
      </c>
      <c r="J104" s="81">
        <f>E104/($E104+$F104)</f>
        <v>0.11015309873211898</v>
      </c>
      <c r="K104" s="81">
        <f>F104/($E104+$F104)</f>
        <v>0.88984690126788102</v>
      </c>
      <c r="M104" s="69">
        <f t="shared" ref="M104:M112" si="23">1/((J104*C76+F76*(K104*0.8))/(J104+K104*0.8)*$C$86)</f>
        <v>4.4913737088948516E-3</v>
      </c>
    </row>
    <row r="105" spans="2:16">
      <c r="B105" s="76">
        <v>2012</v>
      </c>
      <c r="C105" s="77"/>
      <c r="D105" s="78">
        <v>9812.33</v>
      </c>
      <c r="E105" s="79">
        <v>1450.98039215686</v>
      </c>
      <c r="F105" s="79">
        <v>8361.3496078431399</v>
      </c>
      <c r="G105" s="78">
        <v>761.29328052614812</v>
      </c>
      <c r="H105" s="80">
        <v>29187.09</v>
      </c>
      <c r="J105" s="81">
        <f t="shared" ref="J105:K116" si="24">E105/($E105+$F105)</f>
        <v>0.14787317509264977</v>
      </c>
      <c r="K105" s="81">
        <f t="shared" si="24"/>
        <v>0.85212682490735026</v>
      </c>
      <c r="M105" s="69">
        <f t="shared" si="23"/>
        <v>4.3113149963045954E-3</v>
      </c>
    </row>
    <row r="106" spans="2:16">
      <c r="B106" s="76">
        <v>2013</v>
      </c>
      <c r="C106" s="77"/>
      <c r="D106" s="78">
        <v>10595.62</v>
      </c>
      <c r="E106" s="79">
        <v>2117.6470588235202</v>
      </c>
      <c r="F106" s="79">
        <v>8477.9729411764802</v>
      </c>
      <c r="G106" s="78">
        <v>952.29251117711203</v>
      </c>
      <c r="H106" s="80">
        <v>29173.89</v>
      </c>
      <c r="J106" s="81">
        <f t="shared" si="24"/>
        <v>0.19986060832905672</v>
      </c>
      <c r="K106" s="81">
        <f t="shared" si="24"/>
        <v>0.80013939167094328</v>
      </c>
      <c r="M106" s="69">
        <f t="shared" si="23"/>
        <v>4.1875917443448133E-3</v>
      </c>
    </row>
    <row r="107" spans="2:16">
      <c r="B107" s="76">
        <v>2014</v>
      </c>
      <c r="C107" s="77"/>
      <c r="D107" s="78">
        <v>11241.85</v>
      </c>
      <c r="E107" s="79">
        <v>2823.5294117647004</v>
      </c>
      <c r="F107" s="79">
        <v>8418.3205882352995</v>
      </c>
      <c r="G107" s="78">
        <v>1104.6558243950271</v>
      </c>
      <c r="H107" s="80">
        <v>27530.19</v>
      </c>
      <c r="J107" s="81">
        <f t="shared" si="24"/>
        <v>0.25116234532258486</v>
      </c>
      <c r="K107" s="81">
        <f t="shared" si="24"/>
        <v>0.74883765467741514</v>
      </c>
      <c r="M107" s="69">
        <f t="shared" si="23"/>
        <v>4.1378931012234187E-3</v>
      </c>
    </row>
    <row r="108" spans="2:16">
      <c r="B108" s="76">
        <v>2015</v>
      </c>
      <c r="C108" s="77"/>
      <c r="D108" s="78">
        <v>11960.6</v>
      </c>
      <c r="E108" s="79">
        <v>3843.1372549019602</v>
      </c>
      <c r="F108" s="79">
        <v>8117.4627450980406</v>
      </c>
      <c r="G108" s="78">
        <v>1221.0868622576011</v>
      </c>
      <c r="H108" s="80">
        <v>23754.31</v>
      </c>
      <c r="J108" s="81">
        <f t="shared" si="24"/>
        <v>0.32131642684329886</v>
      </c>
      <c r="K108" s="81">
        <f t="shared" si="24"/>
        <v>0.67868357315670125</v>
      </c>
      <c r="M108" s="69">
        <f t="shared" si="23"/>
        <v>3.8490666375218243E-3</v>
      </c>
    </row>
    <row r="109" spans="2:16">
      <c r="B109" s="76">
        <v>2016</v>
      </c>
      <c r="C109" s="77"/>
      <c r="D109" s="78">
        <v>12579.29</v>
      </c>
      <c r="E109" s="79">
        <v>4627.4509803921501</v>
      </c>
      <c r="F109" s="79">
        <v>7951.8390196078508</v>
      </c>
      <c r="G109" s="78">
        <v>1408.5975224857164</v>
      </c>
      <c r="H109" s="80">
        <v>23792.26</v>
      </c>
      <c r="J109" s="81">
        <f t="shared" si="24"/>
        <v>0.36786265205684499</v>
      </c>
      <c r="K109" s="81">
        <f t="shared" si="24"/>
        <v>0.63213734794315501</v>
      </c>
      <c r="M109" s="69">
        <f t="shared" si="23"/>
        <v>3.8517182158696699E-3</v>
      </c>
    </row>
    <row r="110" spans="2:16">
      <c r="B110" s="76">
        <v>2017</v>
      </c>
      <c r="C110" s="77"/>
      <c r="D110" s="78">
        <v>13456.92</v>
      </c>
      <c r="E110" s="79">
        <v>5882.3529411764703</v>
      </c>
      <c r="F110" s="79">
        <v>7574.5670588235298</v>
      </c>
      <c r="G110" s="78">
        <v>1596.4570397561167</v>
      </c>
      <c r="H110" s="80">
        <v>26962.2</v>
      </c>
      <c r="J110" s="81">
        <f t="shared" si="24"/>
        <v>0.4371247611768867</v>
      </c>
      <c r="K110" s="81">
        <f t="shared" si="24"/>
        <v>0.5628752388231133</v>
      </c>
      <c r="M110" s="69">
        <f t="shared" si="23"/>
        <v>4.0735873368050873E-3</v>
      </c>
    </row>
    <row r="111" spans="2:16">
      <c r="B111" s="76">
        <v>2018</v>
      </c>
      <c r="C111" s="77"/>
      <c r="D111" s="78">
        <v>14146.58</v>
      </c>
      <c r="E111" s="79">
        <v>6862.7450980392096</v>
      </c>
      <c r="F111" s="79">
        <v>7283.8349019607904</v>
      </c>
      <c r="G111" s="78">
        <v>1855.6578221737718</v>
      </c>
      <c r="H111" s="80">
        <v>28820.99</v>
      </c>
      <c r="J111" s="81">
        <f t="shared" si="24"/>
        <v>0.48511690444186578</v>
      </c>
      <c r="K111" s="81">
        <f t="shared" si="24"/>
        <v>0.51488309555813427</v>
      </c>
      <c r="M111" s="69">
        <f t="shared" si="23"/>
        <v>4.3205162492339416E-3</v>
      </c>
    </row>
    <row r="112" spans="2:16">
      <c r="B112" s="76">
        <v>2019</v>
      </c>
      <c r="C112" s="78">
        <v>16789.142113919504</v>
      </c>
      <c r="D112" s="78">
        <v>14706.64</v>
      </c>
      <c r="E112" s="79">
        <v>7764.7058823529396</v>
      </c>
      <c r="F112" s="79">
        <v>6941.9341176470598</v>
      </c>
      <c r="G112" s="78">
        <v>2082.5021139195055</v>
      </c>
      <c r="H112" s="80">
        <v>30181.95</v>
      </c>
      <c r="J112" s="81">
        <f>E112/($E112+$F112)</f>
        <v>0.52797279884140358</v>
      </c>
      <c r="K112" s="81">
        <f>F112/($E112+$F112)</f>
        <v>0.47202720115859642</v>
      </c>
      <c r="M112" s="69">
        <f t="shared" si="23"/>
        <v>4.4544800146568749E-3</v>
      </c>
    </row>
    <row r="113" spans="2:13">
      <c r="B113" s="76">
        <v>2020</v>
      </c>
      <c r="C113" s="78">
        <v>9800.2888434476972</v>
      </c>
      <c r="D113" s="78">
        <v>8266.19</v>
      </c>
      <c r="E113" s="79">
        <v>4862.7450980392096</v>
      </c>
      <c r="F113" s="79">
        <v>3403.444901960791</v>
      </c>
      <c r="G113" s="78">
        <v>1534.0988434476969</v>
      </c>
      <c r="H113" s="80">
        <v>30514.46</v>
      </c>
      <c r="J113" s="81">
        <f t="shared" si="24"/>
        <v>0.58826921447961023</v>
      </c>
      <c r="K113" s="81">
        <f t="shared" si="24"/>
        <v>0.41173078552038977</v>
      </c>
      <c r="M113" s="69">
        <f>1/((J113*AB74+AB77*(K113*0.8))/(J113+K113*0.8)*$C$86)</f>
        <v>4.637028933039274E-3</v>
      </c>
    </row>
    <row r="114" spans="2:13">
      <c r="B114" s="76">
        <v>2021</v>
      </c>
      <c r="C114" s="78">
        <v>11637.142760573252</v>
      </c>
      <c r="D114" s="78">
        <v>9567.81</v>
      </c>
      <c r="E114" s="79">
        <v>6078.4313725490101</v>
      </c>
      <c r="F114" s="79">
        <v>3489.3786274509894</v>
      </c>
      <c r="G114" s="78">
        <v>2069.332760573252</v>
      </c>
      <c r="H114" s="80">
        <v>33238</v>
      </c>
      <c r="J114" s="81">
        <f t="shared" si="24"/>
        <v>0.63530017554163498</v>
      </c>
      <c r="K114" s="81">
        <f t="shared" si="24"/>
        <v>0.36469982445836502</v>
      </c>
      <c r="M114" s="69">
        <f>1/((J114*AC74+AC77*(K114*0.8))/(J114+K114*0.8)*$C$86)</f>
        <v>4.6921946850107879E-3</v>
      </c>
    </row>
    <row r="115" spans="2:13">
      <c r="B115" s="76">
        <v>2022</v>
      </c>
      <c r="C115" s="78">
        <v>8261.5501573696183</v>
      </c>
      <c r="D115" s="78">
        <v>6577.53</v>
      </c>
      <c r="E115" s="79">
        <v>4352.9411764705801</v>
      </c>
      <c r="F115" s="79">
        <v>2224.5888235294196</v>
      </c>
      <c r="G115" s="78">
        <v>1684.0201573696179</v>
      </c>
      <c r="H115" s="80">
        <v>35945.69</v>
      </c>
      <c r="J115" s="81">
        <f t="shared" si="24"/>
        <v>0.66178963478244568</v>
      </c>
      <c r="K115" s="81">
        <f t="shared" si="24"/>
        <v>0.33821036521755427</v>
      </c>
      <c r="M115" s="69">
        <f>1/((J115*AD74+AD77*(K115*0.8))/(J115+K115*0.8)*$C$86)</f>
        <v>4.8050495373842895E-3</v>
      </c>
    </row>
    <row r="116" spans="2:13">
      <c r="B116" s="76">
        <v>2023</v>
      </c>
      <c r="C116" s="78">
        <v>17292.499903927481</v>
      </c>
      <c r="D116" s="78">
        <v>14729.36</v>
      </c>
      <c r="E116" s="79">
        <v>9843.1372549019597</v>
      </c>
      <c r="F116" s="79">
        <v>4886.2227450980408</v>
      </c>
      <c r="G116" s="78">
        <v>2563.1399039274793</v>
      </c>
      <c r="H116" s="80">
        <v>36460.39</v>
      </c>
      <c r="J116" s="81">
        <f t="shared" si="24"/>
        <v>0.66826645929639572</v>
      </c>
      <c r="K116" s="81">
        <f t="shared" si="24"/>
        <v>0.33173354070360428</v>
      </c>
      <c r="M116" s="69">
        <f>1/((J116*AE74+AE77*(K116*0.8))/(J116+K116*0.8)*$C$86)</f>
        <v>4.9713144189326222E-3</v>
      </c>
    </row>
  </sheetData>
  <mergeCells count="2">
    <mergeCell ref="T20:U20"/>
    <mergeCell ref="V20:W20"/>
  </mergeCells>
  <phoneticPr fontId="2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9281-3B0D-4A0F-9634-8569A3428392}">
  <dimension ref="B2:N20"/>
  <sheetViews>
    <sheetView workbookViewId="0">
      <selection activeCell="C20" sqref="C20"/>
    </sheetView>
  </sheetViews>
  <sheetFormatPr defaultRowHeight="12.9"/>
  <cols>
    <col min="1" max="1" width="9" style="17"/>
    <col min="2" max="2" width="10.625" style="17" customWidth="1"/>
    <col min="3" max="3" width="11.375" style="17" customWidth="1"/>
    <col min="4" max="4" width="10.875" style="17" customWidth="1"/>
    <col min="5" max="5" width="9.625" style="17" customWidth="1"/>
    <col min="6" max="6" width="9" style="17"/>
    <col min="7" max="7" width="11.875" style="17" customWidth="1"/>
    <col min="8" max="16384" width="9" style="17"/>
  </cols>
  <sheetData>
    <row r="2" spans="2:14">
      <c r="B2" s="26" t="s">
        <v>74</v>
      </c>
    </row>
    <row r="3" spans="2:14">
      <c r="B3" s="17" t="s">
        <v>71</v>
      </c>
      <c r="C3" s="17">
        <v>128</v>
      </c>
      <c r="D3" s="17" t="s">
        <v>73</v>
      </c>
    </row>
    <row r="4" spans="2:14">
      <c r="B4" s="26" t="s">
        <v>72</v>
      </c>
    </row>
    <row r="5" spans="2:14">
      <c r="B5" s="17" t="s">
        <v>71</v>
      </c>
      <c r="C5" s="17">
        <v>8.65</v>
      </c>
      <c r="D5" s="17" t="s">
        <v>70</v>
      </c>
    </row>
    <row r="7" spans="2:14">
      <c r="B7" s="17" t="s">
        <v>69</v>
      </c>
      <c r="C7" s="17" t="s">
        <v>67</v>
      </c>
      <c r="D7" s="17">
        <v>20.2</v>
      </c>
      <c r="E7" s="17" t="s">
        <v>66</v>
      </c>
      <c r="G7" s="17" t="s">
        <v>68</v>
      </c>
      <c r="H7" s="17" t="s">
        <v>67</v>
      </c>
      <c r="I7" s="17">
        <v>15.3</v>
      </c>
      <c r="J7" s="17" t="s">
        <v>66</v>
      </c>
    </row>
    <row r="8" spans="2:14">
      <c r="B8" s="17" t="s">
        <v>65</v>
      </c>
      <c r="D8" s="17">
        <v>1054.3499999999999</v>
      </c>
    </row>
    <row r="9" spans="2:14">
      <c r="B9" s="17" t="s">
        <v>64</v>
      </c>
      <c r="D9" s="17">
        <v>1.6093440000000001</v>
      </c>
    </row>
    <row r="11" spans="2:14">
      <c r="B11" s="17" t="s">
        <v>63</v>
      </c>
      <c r="D11" s="17" t="s">
        <v>61</v>
      </c>
      <c r="E11" s="17">
        <v>7500</v>
      </c>
      <c r="F11" s="17" t="s">
        <v>60</v>
      </c>
      <c r="G11" s="17" t="s">
        <v>59</v>
      </c>
      <c r="H11" s="17">
        <v>1300</v>
      </c>
      <c r="I11" s="17" t="s">
        <v>58</v>
      </c>
      <c r="J11" s="17">
        <v>100</v>
      </c>
      <c r="K11" s="17" t="s">
        <v>57</v>
      </c>
      <c r="M11" s="17">
        <f>E11/J11/H11</f>
        <v>5.7692307692307696E-2</v>
      </c>
      <c r="N11" s="17" t="s">
        <v>53</v>
      </c>
    </row>
    <row r="12" spans="2:14">
      <c r="B12" s="17" t="s">
        <v>62</v>
      </c>
      <c r="D12" s="17" t="s">
        <v>61</v>
      </c>
      <c r="E12" s="17">
        <v>215</v>
      </c>
      <c r="F12" s="17" t="s">
        <v>60</v>
      </c>
      <c r="G12" s="17" t="s">
        <v>59</v>
      </c>
      <c r="H12" s="17">
        <v>80</v>
      </c>
      <c r="I12" s="17" t="s">
        <v>58</v>
      </c>
      <c r="J12" s="17">
        <v>60</v>
      </c>
      <c r="K12" s="17" t="s">
        <v>57</v>
      </c>
      <c r="M12" s="17">
        <f>E12/J12/H12</f>
        <v>4.4791666666666667E-2</v>
      </c>
      <c r="N12" s="17" t="s">
        <v>53</v>
      </c>
    </row>
    <row r="13" spans="2:14">
      <c r="C13" s="17" t="s">
        <v>56</v>
      </c>
      <c r="E13" s="17">
        <v>5.4398100000000002E-4</v>
      </c>
      <c r="F13" s="17" t="s">
        <v>55</v>
      </c>
      <c r="L13" s="17" t="s">
        <v>54</v>
      </c>
      <c r="M13" s="17">
        <f>(E11+E12)/(H11*J11+H12*J12)</f>
        <v>5.7232937685459943E-2</v>
      </c>
      <c r="N13" s="17" t="s">
        <v>53</v>
      </c>
    </row>
    <row r="14" spans="2:14">
      <c r="C14" s="17" t="s">
        <v>52</v>
      </c>
      <c r="D14" s="17">
        <v>3600000</v>
      </c>
    </row>
    <row r="17" spans="2:8">
      <c r="B17" s="17" t="s">
        <v>51</v>
      </c>
      <c r="C17" s="17">
        <f>$C$3*12/44/10^6</f>
        <v>3.4909090909090904E-5</v>
      </c>
      <c r="D17" s="13" t="s">
        <v>49</v>
      </c>
      <c r="E17" s="25">
        <f>$D$7/C17/10^12*$D$8/$D$9</f>
        <v>3.7909560316190944E-4</v>
      </c>
      <c r="F17" s="17" t="s">
        <v>45</v>
      </c>
      <c r="H17" s="17" t="s">
        <v>50</v>
      </c>
    </row>
    <row r="18" spans="2:8">
      <c r="C18" s="17">
        <f>$C$3*12/44/10^6</f>
        <v>3.4909090909090904E-5</v>
      </c>
      <c r="D18" s="13" t="s">
        <v>49</v>
      </c>
      <c r="E18" s="25">
        <f>$I$7/C18/10^12*$D$8/$D$9</f>
        <v>2.8713676873154528E-4</v>
      </c>
      <c r="F18" s="17" t="s">
        <v>45</v>
      </c>
      <c r="H18" s="17" t="s">
        <v>48</v>
      </c>
    </row>
    <row r="19" spans="2:8">
      <c r="D19" s="13"/>
      <c r="E19" s="25">
        <f>1/M13/D14*D8*D9</f>
        <v>8.2354085437718726E-3</v>
      </c>
      <c r="F19" s="17" t="s">
        <v>45</v>
      </c>
      <c r="H19" s="17" t="s">
        <v>75</v>
      </c>
    </row>
    <row r="20" spans="2:8">
      <c r="B20" s="17" t="s">
        <v>47</v>
      </c>
      <c r="C20" s="17">
        <f>$C$5*12/44/10^6</f>
        <v>2.3590909090909095E-6</v>
      </c>
      <c r="D20" s="13" t="s">
        <v>46</v>
      </c>
      <c r="E20" s="25">
        <f>$D$7/C20/10^12*$D$8/$D$9</f>
        <v>5.6097384051704505E-3</v>
      </c>
      <c r="F20" s="17" t="s">
        <v>45</v>
      </c>
      <c r="H20" s="17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5143-EF64-46BB-9E02-924A30B8B0F3}">
  <dimension ref="B4:BB19"/>
  <sheetViews>
    <sheetView topLeftCell="A4" workbookViewId="0">
      <selection activeCell="M17" sqref="M17:BB19"/>
    </sheetView>
  </sheetViews>
  <sheetFormatPr defaultRowHeight="12.9"/>
  <cols>
    <col min="1" max="1" width="9" style="17"/>
    <col min="2" max="2" width="23.375" style="17" customWidth="1"/>
    <col min="3" max="11" width="9" style="17"/>
    <col min="12" max="12" width="11.875" style="17" customWidth="1"/>
    <col min="13" max="16384" width="9" style="17"/>
  </cols>
  <sheetData>
    <row r="4" spans="2:54" ht="15.65">
      <c r="B4" s="96" t="s">
        <v>233</v>
      </c>
    </row>
    <row r="8" spans="2:54">
      <c r="M8" s="17" t="s">
        <v>234</v>
      </c>
      <c r="N8" s="17">
        <v>1.27</v>
      </c>
    </row>
    <row r="9" spans="2:54">
      <c r="M9" s="17" t="s">
        <v>235</v>
      </c>
      <c r="N9" s="17">
        <f>3.25</f>
        <v>3.25</v>
      </c>
      <c r="O9" s="17" t="s">
        <v>236</v>
      </c>
    </row>
    <row r="12" spans="2:54">
      <c r="M12" s="27">
        <v>2019</v>
      </c>
      <c r="N12" s="27">
        <v>2020</v>
      </c>
      <c r="O12" s="27">
        <v>2021</v>
      </c>
      <c r="P12" s="27">
        <v>2022</v>
      </c>
      <c r="Q12" s="27">
        <v>2023</v>
      </c>
      <c r="R12" s="27">
        <v>2024</v>
      </c>
      <c r="S12" s="27">
        <v>2025</v>
      </c>
      <c r="T12" s="27">
        <v>2026</v>
      </c>
      <c r="U12" s="27">
        <v>2027</v>
      </c>
      <c r="V12" s="27">
        <v>2028</v>
      </c>
      <c r="W12" s="27">
        <v>2029</v>
      </c>
      <c r="X12" s="27">
        <v>2030</v>
      </c>
      <c r="Y12" s="27">
        <v>2031</v>
      </c>
      <c r="Z12" s="27">
        <v>2032</v>
      </c>
      <c r="AA12" s="27">
        <v>2033</v>
      </c>
      <c r="AB12" s="27">
        <v>2034</v>
      </c>
      <c r="AC12" s="27">
        <v>2035</v>
      </c>
      <c r="AD12" s="27">
        <v>2036</v>
      </c>
      <c r="AE12" s="27">
        <v>2037</v>
      </c>
      <c r="AF12" s="27">
        <v>2038</v>
      </c>
      <c r="AG12" s="27">
        <v>2039</v>
      </c>
      <c r="AH12" s="27">
        <v>2040</v>
      </c>
      <c r="AI12" s="27">
        <v>2041</v>
      </c>
      <c r="AJ12" s="27">
        <v>2042</v>
      </c>
      <c r="AK12" s="27">
        <v>2043</v>
      </c>
      <c r="AL12" s="27">
        <v>2044</v>
      </c>
      <c r="AM12" s="27">
        <v>2045</v>
      </c>
      <c r="AN12" s="27">
        <v>2046</v>
      </c>
      <c r="AO12" s="27">
        <v>2047</v>
      </c>
      <c r="AP12" s="27">
        <v>2048</v>
      </c>
      <c r="AQ12" s="27">
        <v>2049</v>
      </c>
      <c r="AR12" s="27">
        <v>2050</v>
      </c>
      <c r="AS12" s="27">
        <v>2051</v>
      </c>
      <c r="AT12" s="27">
        <v>2052</v>
      </c>
      <c r="AU12" s="27">
        <v>2053</v>
      </c>
      <c r="AV12" s="27">
        <v>2054</v>
      </c>
      <c r="AW12" s="27">
        <v>2055</v>
      </c>
      <c r="AX12" s="27">
        <v>2056</v>
      </c>
      <c r="AY12" s="27">
        <v>2057</v>
      </c>
      <c r="AZ12" s="27">
        <v>2058</v>
      </c>
      <c r="BA12" s="13">
        <v>2059</v>
      </c>
      <c r="BB12" s="13">
        <v>2060</v>
      </c>
    </row>
    <row r="13" spans="2:54">
      <c r="K13" s="17" t="s">
        <v>237</v>
      </c>
      <c r="L13" s="14" t="s">
        <v>1</v>
      </c>
      <c r="M13" s="27">
        <f>M16/(1-'[10]Calculations Etc'!$B$13)</f>
        <v>0.22504068339334843</v>
      </c>
      <c r="N13" s="27">
        <f>N16/(1-'[10]Calculations Etc'!$B$13)</f>
        <v>0.1931887712822899</v>
      </c>
      <c r="O13" s="27">
        <f>O16/(1-'[10]Calculations Etc'!$B$13)</f>
        <v>0.2348616608481702</v>
      </c>
      <c r="P13" s="27">
        <f>P16/(1-'[10]Calculations Etc'!$B$13)</f>
        <v>0.24257443915033164</v>
      </c>
      <c r="Q13" s="27">
        <f>Q16/(1-'[10]Calculations Etc'!$B$13)</f>
        <v>0.25081098801628826</v>
      </c>
      <c r="R13" s="27">
        <f>R16/(1-'[10]Calculations Etc'!$B$13)</f>
        <v>0.259626536182264</v>
      </c>
      <c r="S13" s="27">
        <f>S16/(1-'[10]Calculations Etc'!$B$13)</f>
        <v>0.26908436000033215</v>
      </c>
      <c r="T13" s="27">
        <f>T16/(1-'[10]Calculations Etc'!$B$13)</f>
        <v>0.27699860588269531</v>
      </c>
      <c r="U13" s="27">
        <f>U16/(1-'[10]Calculations Etc'!$B$13)</f>
        <v>0.2853925030306555</v>
      </c>
      <c r="V13" s="27">
        <f>V16/(1-'[10]Calculations Etc'!$B$13)</f>
        <v>0.29431101875036325</v>
      </c>
      <c r="W13" s="27">
        <f>W16/(1-'[10]Calculations Etc'!$B$13)</f>
        <v>0.30380492258102065</v>
      </c>
      <c r="X13" s="27">
        <f>X16/(1-'[10]Calculations Etc'!$B$13)</f>
        <v>0.31393175333372109</v>
      </c>
      <c r="Y13" s="27">
        <f>Y16/(1-'[10]Calculations Etc'!$B$13)</f>
        <v>0.32475698620729737</v>
      </c>
      <c r="Z13" s="27">
        <f>Z16/(1-'[10]Calculations Etc'!$B$13)</f>
        <v>0.33635545000041578</v>
      </c>
      <c r="AA13" s="27">
        <f>AA16/(1-'[10]Calculations Etc'!$B$13)</f>
        <v>0.34881305925969003</v>
      </c>
      <c r="AB13" s="27">
        <f>AB16/(1-'[10]Calculations Etc'!$B$13)</f>
        <v>0.36222894615429324</v>
      </c>
      <c r="AC13" s="27">
        <f>AC16/(1-'[10]Calculations Etc'!$B$13)</f>
        <v>0.37671810400046568</v>
      </c>
      <c r="AD13" s="27">
        <f>AD16/(1-'[10]Calculations Etc'!$B$13)</f>
        <v>0.37671810400046568</v>
      </c>
      <c r="AE13" s="27">
        <f>AE16/(1-'[10]Calculations Etc'!$B$13)</f>
        <v>0.37671810400046568</v>
      </c>
      <c r="AF13" s="27">
        <f>AF16/(1-'[10]Calculations Etc'!$B$13)</f>
        <v>0.37671810400046568</v>
      </c>
      <c r="AG13" s="27">
        <f>AG16/(1-'[10]Calculations Etc'!$B$13)</f>
        <v>0.37671810400046568</v>
      </c>
      <c r="AH13" s="27">
        <f>AH16/(1-'[10]Calculations Etc'!$B$13)</f>
        <v>0.37671810400046568</v>
      </c>
      <c r="AI13" s="27">
        <f>AI16/(1-'[10]Calculations Etc'!$B$13)</f>
        <v>0.37671810400046568</v>
      </c>
      <c r="AJ13" s="27">
        <f>AJ16/(1-'[10]Calculations Etc'!$B$13)</f>
        <v>0.37671810400046568</v>
      </c>
      <c r="AK13" s="27">
        <f>AK16/(1-'[10]Calculations Etc'!$B$13)</f>
        <v>0.37671810400046568</v>
      </c>
      <c r="AL13" s="27">
        <f>AL16/(1-'[10]Calculations Etc'!$B$13)</f>
        <v>0.37671810400046568</v>
      </c>
      <c r="AM13" s="27">
        <f>AM16/(1-'[10]Calculations Etc'!$B$13)</f>
        <v>0.37671810400046568</v>
      </c>
      <c r="AN13" s="27">
        <f>AN16/(1-'[10]Calculations Etc'!$B$13)</f>
        <v>0.37671810400046568</v>
      </c>
      <c r="AO13" s="27">
        <f>AO16/(1-'[10]Calculations Etc'!$B$13)</f>
        <v>0.37671810400046568</v>
      </c>
      <c r="AP13" s="27">
        <f>AP16/(1-'[10]Calculations Etc'!$B$13)</f>
        <v>0.37671810400046568</v>
      </c>
      <c r="AQ13" s="27">
        <f>AQ16/(1-'[10]Calculations Etc'!$B$13)</f>
        <v>0.37671810400046568</v>
      </c>
      <c r="AR13" s="27">
        <f>AR16/(1-'[10]Calculations Etc'!$B$13)</f>
        <v>0.37671810400046568</v>
      </c>
      <c r="AS13" s="27">
        <f>AS16/(1-'[10]Calculations Etc'!$B$13)</f>
        <v>0.37671810400046568</v>
      </c>
      <c r="AT13" s="27">
        <f>AT16/(1-'[10]Calculations Etc'!$B$13)</f>
        <v>0.37671810400046568</v>
      </c>
      <c r="AU13" s="27">
        <f>AU16/(1-'[10]Calculations Etc'!$B$13)</f>
        <v>0.37671810400046568</v>
      </c>
      <c r="AV13" s="27">
        <f>AV16/(1-'[10]Calculations Etc'!$B$13)</f>
        <v>0.37671810400046568</v>
      </c>
      <c r="AW13" s="27">
        <f>AW16/(1-'[10]Calculations Etc'!$B$13)</f>
        <v>0.37671810400046568</v>
      </c>
      <c r="AX13" s="27">
        <f>AX16/(1-'[10]Calculations Etc'!$B$13)</f>
        <v>0.37671810400046568</v>
      </c>
      <c r="AY13" s="27">
        <f>AY16/(1-'[10]Calculations Etc'!$B$13)</f>
        <v>0.37671810400046568</v>
      </c>
      <c r="AZ13" s="27">
        <f>AZ16/(1-'[10]Calculations Etc'!$B$13)</f>
        <v>0.37671810400046568</v>
      </c>
      <c r="BA13" s="27">
        <f>BA16/(1-'[10]Calculations Etc'!$B$13)</f>
        <v>0.37671810400046568</v>
      </c>
      <c r="BB13" s="27">
        <f>BB16/(1-'[10]Calculations Etc'!$B$13)</f>
        <v>0.37671810400046568</v>
      </c>
    </row>
    <row r="14" spans="2:54">
      <c r="L14" s="14" t="s">
        <v>2</v>
      </c>
      <c r="M14" s="27">
        <f>M16</f>
        <v>7.0030328094844219E-2</v>
      </c>
      <c r="N14" s="27">
        <f t="shared" ref="N14:BB14" si="0">N16</f>
        <v>6.0118343195266273E-2</v>
      </c>
      <c r="O14" s="27">
        <f t="shared" si="0"/>
        <v>7.3086514483023154E-2</v>
      </c>
      <c r="P14" s="27">
        <f t="shared" si="0"/>
        <v>7.5486651146663974E-2</v>
      </c>
      <c r="Q14" s="27">
        <f t="shared" si="0"/>
        <v>7.8049779780805018E-2</v>
      </c>
      <c r="R14" s="27">
        <f t="shared" si="0"/>
        <v>8.0793086995705823E-2</v>
      </c>
      <c r="S14" s="27">
        <f t="shared" si="0"/>
        <v>8.373626373626368E-2</v>
      </c>
      <c r="T14" s="27">
        <f t="shared" si="0"/>
        <v>8.6199095022624503E-2</v>
      </c>
      <c r="U14" s="27">
        <f t="shared" si="0"/>
        <v>8.8811188811188796E-2</v>
      </c>
      <c r="V14" s="27">
        <f t="shared" si="0"/>
        <v>9.1586538461538386E-2</v>
      </c>
      <c r="W14" s="27">
        <f t="shared" si="0"/>
        <v>9.4540942928039773E-2</v>
      </c>
      <c r="X14" s="27">
        <f t="shared" si="0"/>
        <v>9.7692307692307689E-2</v>
      </c>
      <c r="Y14" s="27">
        <f t="shared" si="0"/>
        <v>0.1010610079575596</v>
      </c>
      <c r="Z14" s="27">
        <f t="shared" si="0"/>
        <v>0.10467032967032977</v>
      </c>
      <c r="AA14" s="27">
        <f t="shared" si="0"/>
        <v>0.10854700854700854</v>
      </c>
      <c r="AB14" s="27">
        <f t="shared" si="0"/>
        <v>0.11272189349112416</v>
      </c>
      <c r="AC14" s="27">
        <f t="shared" si="0"/>
        <v>0.11723076923076935</v>
      </c>
      <c r="AD14" s="27">
        <f t="shared" si="0"/>
        <v>0.11723076923076935</v>
      </c>
      <c r="AE14" s="27">
        <f t="shared" si="0"/>
        <v>0.11723076923076935</v>
      </c>
      <c r="AF14" s="27">
        <f t="shared" si="0"/>
        <v>0.11723076923076935</v>
      </c>
      <c r="AG14" s="27">
        <f t="shared" si="0"/>
        <v>0.11723076923076935</v>
      </c>
      <c r="AH14" s="27">
        <f t="shared" si="0"/>
        <v>0.11723076923076935</v>
      </c>
      <c r="AI14" s="27">
        <f t="shared" si="0"/>
        <v>0.11723076923076935</v>
      </c>
      <c r="AJ14" s="27">
        <f t="shared" si="0"/>
        <v>0.11723076923076935</v>
      </c>
      <c r="AK14" s="27">
        <f t="shared" si="0"/>
        <v>0.11723076923076935</v>
      </c>
      <c r="AL14" s="27">
        <f t="shared" si="0"/>
        <v>0.11723076923076935</v>
      </c>
      <c r="AM14" s="27">
        <f t="shared" si="0"/>
        <v>0.11723076923076935</v>
      </c>
      <c r="AN14" s="27">
        <f t="shared" si="0"/>
        <v>0.11723076923076935</v>
      </c>
      <c r="AO14" s="27">
        <f t="shared" si="0"/>
        <v>0.11723076923076935</v>
      </c>
      <c r="AP14" s="27">
        <f t="shared" si="0"/>
        <v>0.11723076923076935</v>
      </c>
      <c r="AQ14" s="27">
        <f t="shared" si="0"/>
        <v>0.11723076923076935</v>
      </c>
      <c r="AR14" s="27">
        <f t="shared" si="0"/>
        <v>0.11723076923076935</v>
      </c>
      <c r="AS14" s="27">
        <f t="shared" si="0"/>
        <v>0.11723076923076935</v>
      </c>
      <c r="AT14" s="27">
        <f t="shared" si="0"/>
        <v>0.11723076923076935</v>
      </c>
      <c r="AU14" s="27">
        <f t="shared" si="0"/>
        <v>0.11723076923076935</v>
      </c>
      <c r="AV14" s="27">
        <f t="shared" si="0"/>
        <v>0.11723076923076935</v>
      </c>
      <c r="AW14" s="27">
        <f t="shared" si="0"/>
        <v>0.11723076923076935</v>
      </c>
      <c r="AX14" s="27">
        <f t="shared" si="0"/>
        <v>0.11723076923076935</v>
      </c>
      <c r="AY14" s="27">
        <f t="shared" si="0"/>
        <v>0.11723076923076935</v>
      </c>
      <c r="AZ14" s="27">
        <f t="shared" si="0"/>
        <v>0.11723076923076935</v>
      </c>
      <c r="BA14" s="27">
        <f t="shared" si="0"/>
        <v>0.11723076923076935</v>
      </c>
      <c r="BB14" s="27">
        <f t="shared" si="0"/>
        <v>0.11723076923076935</v>
      </c>
    </row>
    <row r="15" spans="2:54">
      <c r="L15" s="14" t="s">
        <v>3</v>
      </c>
      <c r="M15" s="17">
        <f>M16</f>
        <v>7.0030328094844219E-2</v>
      </c>
      <c r="N15" s="17">
        <f t="shared" ref="N15:BB15" si="1">N16</f>
        <v>6.0118343195266273E-2</v>
      </c>
      <c r="O15" s="17">
        <f t="shared" si="1"/>
        <v>7.3086514483023154E-2</v>
      </c>
      <c r="P15" s="17">
        <f t="shared" si="1"/>
        <v>7.5486651146663974E-2</v>
      </c>
      <c r="Q15" s="17">
        <f t="shared" si="1"/>
        <v>7.8049779780805018E-2</v>
      </c>
      <c r="R15" s="17">
        <f t="shared" si="1"/>
        <v>8.0793086995705823E-2</v>
      </c>
      <c r="S15" s="17">
        <f t="shared" si="1"/>
        <v>8.373626373626368E-2</v>
      </c>
      <c r="T15" s="17">
        <f t="shared" si="1"/>
        <v>8.6199095022624503E-2</v>
      </c>
      <c r="U15" s="17">
        <f t="shared" si="1"/>
        <v>8.8811188811188796E-2</v>
      </c>
      <c r="V15" s="17">
        <f t="shared" si="1"/>
        <v>9.1586538461538386E-2</v>
      </c>
      <c r="W15" s="17">
        <f t="shared" si="1"/>
        <v>9.4540942928039773E-2</v>
      </c>
      <c r="X15" s="17">
        <f t="shared" si="1"/>
        <v>9.7692307692307689E-2</v>
      </c>
      <c r="Y15" s="17">
        <f t="shared" si="1"/>
        <v>0.1010610079575596</v>
      </c>
      <c r="Z15" s="17">
        <f t="shared" si="1"/>
        <v>0.10467032967032977</v>
      </c>
      <c r="AA15" s="17">
        <f t="shared" si="1"/>
        <v>0.10854700854700854</v>
      </c>
      <c r="AB15" s="17">
        <f t="shared" si="1"/>
        <v>0.11272189349112416</v>
      </c>
      <c r="AC15" s="17">
        <f t="shared" si="1"/>
        <v>0.11723076923076935</v>
      </c>
      <c r="AD15" s="17">
        <f t="shared" si="1"/>
        <v>0.11723076923076935</v>
      </c>
      <c r="AE15" s="17">
        <f t="shared" si="1"/>
        <v>0.11723076923076935</v>
      </c>
      <c r="AF15" s="17">
        <f t="shared" si="1"/>
        <v>0.11723076923076935</v>
      </c>
      <c r="AG15" s="17">
        <f t="shared" si="1"/>
        <v>0.11723076923076935</v>
      </c>
      <c r="AH15" s="17">
        <f t="shared" si="1"/>
        <v>0.11723076923076935</v>
      </c>
      <c r="AI15" s="17">
        <f t="shared" si="1"/>
        <v>0.11723076923076935</v>
      </c>
      <c r="AJ15" s="17">
        <f t="shared" si="1"/>
        <v>0.11723076923076935</v>
      </c>
      <c r="AK15" s="17">
        <f t="shared" si="1"/>
        <v>0.11723076923076935</v>
      </c>
      <c r="AL15" s="17">
        <f t="shared" si="1"/>
        <v>0.11723076923076935</v>
      </c>
      <c r="AM15" s="17">
        <f t="shared" si="1"/>
        <v>0.11723076923076935</v>
      </c>
      <c r="AN15" s="17">
        <f t="shared" si="1"/>
        <v>0.11723076923076935</v>
      </c>
      <c r="AO15" s="17">
        <f t="shared" si="1"/>
        <v>0.11723076923076935</v>
      </c>
      <c r="AP15" s="17">
        <f t="shared" si="1"/>
        <v>0.11723076923076935</v>
      </c>
      <c r="AQ15" s="17">
        <f t="shared" si="1"/>
        <v>0.11723076923076935</v>
      </c>
      <c r="AR15" s="17">
        <f t="shared" si="1"/>
        <v>0.11723076923076935</v>
      </c>
      <c r="AS15" s="17">
        <f t="shared" si="1"/>
        <v>0.11723076923076935</v>
      </c>
      <c r="AT15" s="17">
        <f t="shared" si="1"/>
        <v>0.11723076923076935</v>
      </c>
      <c r="AU15" s="17">
        <f t="shared" si="1"/>
        <v>0.11723076923076935</v>
      </c>
      <c r="AV15" s="17">
        <f t="shared" si="1"/>
        <v>0.11723076923076935</v>
      </c>
      <c r="AW15" s="17">
        <f t="shared" si="1"/>
        <v>0.11723076923076935</v>
      </c>
      <c r="AX15" s="17">
        <f t="shared" si="1"/>
        <v>0.11723076923076935</v>
      </c>
      <c r="AY15" s="17">
        <f t="shared" si="1"/>
        <v>0.11723076923076935</v>
      </c>
      <c r="AZ15" s="17">
        <f t="shared" si="1"/>
        <v>0.11723076923076935</v>
      </c>
      <c r="BA15" s="17">
        <f t="shared" si="1"/>
        <v>0.11723076923076935</v>
      </c>
      <c r="BB15" s="17">
        <f t="shared" si="1"/>
        <v>0.11723076923076935</v>
      </c>
    </row>
    <row r="16" spans="2:54">
      <c r="L16" s="14" t="s">
        <v>4</v>
      </c>
      <c r="M16" s="17">
        <f>$N$8/$N$9/VLOOKUP(M12,'[10]ZJQ-Parameter input'!$BX$22:$CZ$63,5,0)</f>
        <v>7.0030328094844219E-2</v>
      </c>
      <c r="N16" s="17">
        <f>$N$8/$N$9/VLOOKUP(N12,'[10]ZJQ-Parameter input'!$BX$22:$CZ$63,5,0)</f>
        <v>6.0118343195266273E-2</v>
      </c>
      <c r="O16" s="17">
        <f>$N$8/$N$9/VLOOKUP(O12,'[10]ZJQ-Parameter input'!$BX$22:$CZ$63,5,0)</f>
        <v>7.3086514483023154E-2</v>
      </c>
      <c r="P16" s="17">
        <f>$N$8/$N$9/VLOOKUP(P12,'[10]ZJQ-Parameter input'!$BX$22:$CZ$63,5,0)</f>
        <v>7.5486651146663974E-2</v>
      </c>
      <c r="Q16" s="17">
        <f>$N$8/$N$9/VLOOKUP(Q12,'[10]ZJQ-Parameter input'!$BX$22:$CZ$63,5,0)</f>
        <v>7.8049779780805018E-2</v>
      </c>
      <c r="R16" s="17">
        <f>$N$8/$N$9/VLOOKUP(R12,'[10]ZJQ-Parameter input'!$BX$22:$CZ$63,5,0)</f>
        <v>8.0793086995705823E-2</v>
      </c>
      <c r="S16" s="17">
        <f>$N$8/$N$9/VLOOKUP(S12,'[10]ZJQ-Parameter input'!$BX$22:$CZ$63,5,0)</f>
        <v>8.373626373626368E-2</v>
      </c>
      <c r="T16" s="17">
        <f>$N$8/$N$9/VLOOKUP(T12,'[10]ZJQ-Parameter input'!$BX$22:$CZ$63,5,0)</f>
        <v>8.6199095022624503E-2</v>
      </c>
      <c r="U16" s="17">
        <f>$N$8/$N$9/VLOOKUP(U12,'[10]ZJQ-Parameter input'!$BX$22:$CZ$63,5,0)</f>
        <v>8.8811188811188796E-2</v>
      </c>
      <c r="V16" s="17">
        <f>$N$8/$N$9/VLOOKUP(V12,'[10]ZJQ-Parameter input'!$BX$22:$CZ$63,5,0)</f>
        <v>9.1586538461538386E-2</v>
      </c>
      <c r="W16" s="17">
        <f>$N$8/$N$9/VLOOKUP(W12,'[10]ZJQ-Parameter input'!$BX$22:$CZ$63,5,0)</f>
        <v>9.4540942928039773E-2</v>
      </c>
      <c r="X16" s="17">
        <f>$N$8/$N$9/VLOOKUP(X12,'[10]ZJQ-Parameter input'!$BX$22:$CZ$63,5,0)</f>
        <v>9.7692307692307689E-2</v>
      </c>
      <c r="Y16" s="17">
        <f>$N$8/$N$9/VLOOKUP(Y12,'[10]ZJQ-Parameter input'!$BX$22:$CZ$63,5,0)</f>
        <v>0.1010610079575596</v>
      </c>
      <c r="Z16" s="17">
        <f>$N$8/$N$9/VLOOKUP(Z12,'[10]ZJQ-Parameter input'!$BX$22:$CZ$63,5,0)</f>
        <v>0.10467032967032977</v>
      </c>
      <c r="AA16" s="17">
        <f>$N$8/$N$9/VLOOKUP(AA12,'[10]ZJQ-Parameter input'!$BX$22:$CZ$63,5,0)</f>
        <v>0.10854700854700854</v>
      </c>
      <c r="AB16" s="17">
        <f>$N$8/$N$9/VLOOKUP(AB12,'[10]ZJQ-Parameter input'!$BX$22:$CZ$63,5,0)</f>
        <v>0.11272189349112416</v>
      </c>
      <c r="AC16" s="17">
        <f>$N$8/$N$9/VLOOKUP(AC12,'[10]ZJQ-Parameter input'!$BX$22:$CZ$63,5,0)</f>
        <v>0.11723076923076935</v>
      </c>
      <c r="AD16" s="17">
        <f>$N$8/$N$9/VLOOKUP(AD12,'[10]ZJQ-Parameter input'!$BX$22:$CZ$63,5,0)</f>
        <v>0.11723076923076935</v>
      </c>
      <c r="AE16" s="17">
        <f>$N$8/$N$9/VLOOKUP(AE12,'[10]ZJQ-Parameter input'!$BX$22:$CZ$63,5,0)</f>
        <v>0.11723076923076935</v>
      </c>
      <c r="AF16" s="17">
        <f>$N$8/$N$9/VLOOKUP(AF12,'[10]ZJQ-Parameter input'!$BX$22:$CZ$63,5,0)</f>
        <v>0.11723076923076935</v>
      </c>
      <c r="AG16" s="17">
        <f>$N$8/$N$9/VLOOKUP(AG12,'[10]ZJQ-Parameter input'!$BX$22:$CZ$63,5,0)</f>
        <v>0.11723076923076935</v>
      </c>
      <c r="AH16" s="17">
        <f>$N$8/$N$9/VLOOKUP(AH12,'[10]ZJQ-Parameter input'!$BX$22:$CZ$63,5,0)</f>
        <v>0.11723076923076935</v>
      </c>
      <c r="AI16" s="17">
        <f>$N$8/$N$9/VLOOKUP(AI12,'[10]ZJQ-Parameter input'!$BX$22:$CZ$63,5,0)</f>
        <v>0.11723076923076935</v>
      </c>
      <c r="AJ16" s="17">
        <f>$N$8/$N$9/VLOOKUP(AJ12,'[10]ZJQ-Parameter input'!$BX$22:$CZ$63,5,0)</f>
        <v>0.11723076923076935</v>
      </c>
      <c r="AK16" s="17">
        <f>$N$8/$N$9/VLOOKUP(AK12,'[10]ZJQ-Parameter input'!$BX$22:$CZ$63,5,0)</f>
        <v>0.11723076923076935</v>
      </c>
      <c r="AL16" s="17">
        <f>$N$8/$N$9/VLOOKUP(AL12,'[10]ZJQ-Parameter input'!$BX$22:$CZ$63,5,0)</f>
        <v>0.11723076923076935</v>
      </c>
      <c r="AM16" s="17">
        <f>$N$8/$N$9/VLOOKUP(AM12,'[10]ZJQ-Parameter input'!$BX$22:$CZ$63,5,0)</f>
        <v>0.11723076923076935</v>
      </c>
      <c r="AN16" s="17">
        <f>$N$8/$N$9/VLOOKUP(AN12,'[10]ZJQ-Parameter input'!$BX$22:$CZ$63,5,0)</f>
        <v>0.11723076923076935</v>
      </c>
      <c r="AO16" s="17">
        <f>$N$8/$N$9/VLOOKUP(AO12,'[10]ZJQ-Parameter input'!$BX$22:$CZ$63,5,0)</f>
        <v>0.11723076923076935</v>
      </c>
      <c r="AP16" s="17">
        <f>$N$8/$N$9/VLOOKUP(AP12,'[10]ZJQ-Parameter input'!$BX$22:$CZ$63,5,0)</f>
        <v>0.11723076923076935</v>
      </c>
      <c r="AQ16" s="17">
        <f>$N$8/$N$9/VLOOKUP(AQ12,'[10]ZJQ-Parameter input'!$BX$22:$CZ$63,5,0)</f>
        <v>0.11723076923076935</v>
      </c>
      <c r="AR16" s="17">
        <f>$N$8/$N$9/VLOOKUP(AR12,'[10]ZJQ-Parameter input'!$BX$22:$CZ$63,5,0)</f>
        <v>0.11723076923076935</v>
      </c>
      <c r="AS16" s="17">
        <f>$N$8/$N$9/VLOOKUP(AS12,'[10]ZJQ-Parameter input'!$BX$22:$CZ$63,5,0)</f>
        <v>0.11723076923076935</v>
      </c>
      <c r="AT16" s="17">
        <f>$N$8/$N$9/VLOOKUP(AT12,'[10]ZJQ-Parameter input'!$BX$22:$CZ$63,5,0)</f>
        <v>0.11723076923076935</v>
      </c>
      <c r="AU16" s="17">
        <f>$N$8/$N$9/VLOOKUP(AU12,'[10]ZJQ-Parameter input'!$BX$22:$CZ$63,5,0)</f>
        <v>0.11723076923076935</v>
      </c>
      <c r="AV16" s="17">
        <f>$N$8/$N$9/VLOOKUP(AV12,'[10]ZJQ-Parameter input'!$BX$22:$CZ$63,5,0)</f>
        <v>0.11723076923076935</v>
      </c>
      <c r="AW16" s="17">
        <f>$N$8/$N$9/VLOOKUP(AW12,'[10]ZJQ-Parameter input'!$BX$22:$CZ$63,5,0)</f>
        <v>0.11723076923076935</v>
      </c>
      <c r="AX16" s="17">
        <f>$N$8/$N$9/VLOOKUP(AX12,'[10]ZJQ-Parameter input'!$BX$22:$CZ$63,5,0)</f>
        <v>0.11723076923076935</v>
      </c>
      <c r="AY16" s="17">
        <f>$N$8/$N$9/VLOOKUP(AY12,'[10]ZJQ-Parameter input'!$BX$22:$CZ$63,5,0)</f>
        <v>0.11723076923076935</v>
      </c>
      <c r="AZ16" s="17">
        <f>$N$8/$N$9/VLOOKUP(AZ12,'[10]ZJQ-Parameter input'!$BX$22:$CZ$63,5,0)</f>
        <v>0.11723076923076935</v>
      </c>
      <c r="BA16" s="17">
        <f>$N$8/$N$9/VLOOKUP(BA12,'[10]ZJQ-Parameter input'!$BX$22:$CZ$63,5,0)</f>
        <v>0.11723076923076935</v>
      </c>
      <c r="BB16" s="17">
        <f>$N$8/$N$9/VLOOKUP(BB12,'[10]ZJQ-Parameter input'!$BX$22:$CZ$63,5,0)</f>
        <v>0.11723076923076935</v>
      </c>
    </row>
    <row r="17" spans="12:54">
      <c r="L17" s="14" t="s">
        <v>5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12:54">
      <c r="L18" s="14" t="s">
        <v>6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12:54">
      <c r="L19" s="14" t="s">
        <v>7</v>
      </c>
      <c r="M19" s="17">
        <f>M16/'[10]Calculations Etc'!$B$39</f>
        <v>2.3343442698281411E-2</v>
      </c>
      <c r="N19" s="17">
        <f>N16/'[10]Calculations Etc'!$B$39</f>
        <v>2.0039447731755429E-2</v>
      </c>
      <c r="O19" s="17">
        <f>O16/'[10]Calculations Etc'!$B$39</f>
        <v>2.4362171494341056E-2</v>
      </c>
      <c r="P19" s="17">
        <f>P16/'[10]Calculations Etc'!$B$39</f>
        <v>2.5162217048887995E-2</v>
      </c>
      <c r="Q19" s="17">
        <f>Q16/'[10]Calculations Etc'!$B$39</f>
        <v>2.6016593260268343E-2</v>
      </c>
      <c r="R19" s="17">
        <f>R16/'[10]Calculations Etc'!$B$39</f>
        <v>2.6931028998568612E-2</v>
      </c>
      <c r="S19" s="17">
        <f>S16/'[10]Calculations Etc'!$B$39</f>
        <v>2.7912087912087897E-2</v>
      </c>
      <c r="T19" s="17">
        <f>T16/'[10]Calculations Etc'!$B$39</f>
        <v>2.8733031674208171E-2</v>
      </c>
      <c r="U19" s="17">
        <f>U16/'[10]Calculations Etc'!$B$39</f>
        <v>2.9603729603729603E-2</v>
      </c>
      <c r="V19" s="17">
        <f>V16/'[10]Calculations Etc'!$B$39</f>
        <v>3.0528846153846132E-2</v>
      </c>
      <c r="W19" s="17">
        <f>W16/'[10]Calculations Etc'!$B$39</f>
        <v>3.1513647642679929E-2</v>
      </c>
      <c r="X19" s="17">
        <f>X16/'[10]Calculations Etc'!$B$39</f>
        <v>3.2564102564102568E-2</v>
      </c>
      <c r="Y19" s="17">
        <f>Y16/'[10]Calculations Etc'!$B$39</f>
        <v>3.3687002652519872E-2</v>
      </c>
      <c r="Z19" s="17">
        <f>Z16/'[10]Calculations Etc'!$B$39</f>
        <v>3.4890109890109926E-2</v>
      </c>
      <c r="AA19" s="17">
        <f>AA16/'[10]Calculations Etc'!$B$39</f>
        <v>3.6182336182336183E-2</v>
      </c>
      <c r="AB19" s="17">
        <f>AB16/'[10]Calculations Etc'!$B$39</f>
        <v>3.7573964497041389E-2</v>
      </c>
      <c r="AC19" s="17">
        <f>AC16/'[10]Calculations Etc'!$B$39</f>
        <v>3.907692307692312E-2</v>
      </c>
      <c r="AD19" s="17">
        <f>AD16/'[10]Calculations Etc'!$B$39</f>
        <v>3.907692307692312E-2</v>
      </c>
      <c r="AE19" s="17">
        <f>AE16/'[10]Calculations Etc'!$B$39</f>
        <v>3.907692307692312E-2</v>
      </c>
      <c r="AF19" s="17">
        <f>AF16/'[10]Calculations Etc'!$B$39</f>
        <v>3.907692307692312E-2</v>
      </c>
      <c r="AG19" s="17">
        <f>AG16/'[10]Calculations Etc'!$B$39</f>
        <v>3.907692307692312E-2</v>
      </c>
      <c r="AH19" s="17">
        <f>AH16/'[10]Calculations Etc'!$B$39</f>
        <v>3.907692307692312E-2</v>
      </c>
      <c r="AI19" s="17">
        <f>AI16/'[10]Calculations Etc'!$B$39</f>
        <v>3.907692307692312E-2</v>
      </c>
      <c r="AJ19" s="17">
        <f>AJ16/'[10]Calculations Etc'!$B$39</f>
        <v>3.907692307692312E-2</v>
      </c>
      <c r="AK19" s="17">
        <f>AK16/'[10]Calculations Etc'!$B$39</f>
        <v>3.907692307692312E-2</v>
      </c>
      <c r="AL19" s="17">
        <f>AL16/'[10]Calculations Etc'!$B$39</f>
        <v>3.907692307692312E-2</v>
      </c>
      <c r="AM19" s="17">
        <f>AM16/'[10]Calculations Etc'!$B$39</f>
        <v>3.907692307692312E-2</v>
      </c>
      <c r="AN19" s="17">
        <f>AN16/'[10]Calculations Etc'!$B$39</f>
        <v>3.907692307692312E-2</v>
      </c>
      <c r="AO19" s="17">
        <f>AO16/'[10]Calculations Etc'!$B$39</f>
        <v>3.907692307692312E-2</v>
      </c>
      <c r="AP19" s="17">
        <f>AP16/'[10]Calculations Etc'!$B$39</f>
        <v>3.907692307692312E-2</v>
      </c>
      <c r="AQ19" s="17">
        <f>AQ16/'[10]Calculations Etc'!$B$39</f>
        <v>3.907692307692312E-2</v>
      </c>
      <c r="AR19" s="17">
        <f>AR16/'[10]Calculations Etc'!$B$39</f>
        <v>3.907692307692312E-2</v>
      </c>
      <c r="AS19" s="17">
        <f>AS16/'[10]Calculations Etc'!$B$39</f>
        <v>3.907692307692312E-2</v>
      </c>
      <c r="AT19" s="17">
        <f>AT16/'[10]Calculations Etc'!$B$39</f>
        <v>3.907692307692312E-2</v>
      </c>
      <c r="AU19" s="17">
        <f>AU16/'[10]Calculations Etc'!$B$39</f>
        <v>3.907692307692312E-2</v>
      </c>
      <c r="AV19" s="17">
        <f>AV16/'[10]Calculations Etc'!$B$39</f>
        <v>3.907692307692312E-2</v>
      </c>
      <c r="AW19" s="17">
        <f>AW16/'[10]Calculations Etc'!$B$39</f>
        <v>3.907692307692312E-2</v>
      </c>
      <c r="AX19" s="17">
        <f>AX16/'[10]Calculations Etc'!$B$39</f>
        <v>3.907692307692312E-2</v>
      </c>
      <c r="AY19" s="17">
        <f>AY16/'[10]Calculations Etc'!$B$39</f>
        <v>3.907692307692312E-2</v>
      </c>
      <c r="AZ19" s="17">
        <f>AZ16/'[10]Calculations Etc'!$B$39</f>
        <v>3.907692307692312E-2</v>
      </c>
      <c r="BA19" s="17">
        <f>BA16/'[10]Calculations Etc'!$B$39</f>
        <v>3.907692307692312E-2</v>
      </c>
      <c r="BB19" s="17">
        <f>BB16/'[10]Calculations Etc'!$B$39</f>
        <v>3.907692307692312E-2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FF53-5176-46F9-B2A2-903F653C36C2}">
  <sheetPr>
    <tabColor theme="3"/>
  </sheetPr>
  <dimension ref="A1:H25"/>
  <sheetViews>
    <sheetView topLeftCell="B1" workbookViewId="0">
      <selection activeCell="B2" sqref="B2:H7"/>
    </sheetView>
  </sheetViews>
  <sheetFormatPr defaultColWidth="9" defaultRowHeight="12.9"/>
  <cols>
    <col min="1" max="8" width="20.125" style="1" customWidth="1"/>
    <col min="9" max="16384" width="9" style="1"/>
  </cols>
  <sheetData>
    <row r="1" spans="1:8" s="4" customFormat="1" ht="38.75">
      <c r="A1" s="6" t="s">
        <v>14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1" t="s">
        <v>8</v>
      </c>
      <c r="B2" s="3">
        <f>NewVehicleFE!G2</f>
        <v>1.8969330305532485E-3</v>
      </c>
      <c r="C2" s="3">
        <f>NewVehicleFE!G3</f>
        <v>6.0834500522643521E-4</v>
      </c>
      <c r="D2" s="3">
        <f>NewVehicleFE!G4</f>
        <v>3.1028353200910551E-4</v>
      </c>
      <c r="E2" s="3">
        <f>NewVehicleFE!G5</f>
        <v>4.1484327462057988E-4</v>
      </c>
      <c r="F2" s="3">
        <f>NewVehicleFE!G6</f>
        <v>4.4175960613736411E-4</v>
      </c>
      <c r="G2" s="3">
        <f>NewVehicleFE!G7</f>
        <v>2.2525567274646511E-4</v>
      </c>
      <c r="H2" s="3">
        <f>NewVehicleFE!G8</f>
        <v>4.8091259929518981E-4</v>
      </c>
    </row>
    <row r="3" spans="1:8">
      <c r="A3" s="1" t="s">
        <v>9</v>
      </c>
      <c r="B3" s="3">
        <f>NewVehicleFE!G16</f>
        <v>6.2930482298171088E-3</v>
      </c>
      <c r="C3" s="3">
        <f>NewVehicleFE!G17</f>
        <v>2.0152079585131263E-3</v>
      </c>
      <c r="D3" s="3">
        <f>NewVehicleFE!G18</f>
        <v>2.1666107473378268E-3</v>
      </c>
      <c r="E3" s="3">
        <f>NewVehicleFE!G19</f>
        <v>2.5481918522714622E-3</v>
      </c>
      <c r="F3" s="3">
        <f>NewVehicleFE!G20</f>
        <v>2.5219349099012303E-3</v>
      </c>
      <c r="G3" s="3">
        <f>NewVehicleFE!G21</f>
        <v>9.0815578728949868E-4</v>
      </c>
      <c r="H3" s="3">
        <f>NewVehicleFE!G22</f>
        <v>1.8613241243121026E-3</v>
      </c>
    </row>
    <row r="4" spans="1:8">
      <c r="A4" s="1" t="s">
        <v>10</v>
      </c>
      <c r="B4" s="3">
        <f>E4/(1-'Calculations Etc'!$B$13)</f>
        <v>1.5604824027299026E-3</v>
      </c>
      <c r="C4" s="3">
        <f>E4</f>
        <v>4.856059491180693E-4</v>
      </c>
      <c r="D4" s="3">
        <f>E4</f>
        <v>4.856059491180693E-4</v>
      </c>
      <c r="E4" s="3">
        <f>'Aircraft Fuel Economy'!K35</f>
        <v>4.856059491180693E-4</v>
      </c>
      <c r="F4" s="3">
        <v>0</v>
      </c>
      <c r="G4" s="3">
        <v>0</v>
      </c>
      <c r="H4" s="3">
        <f>E4/'Calculations Etc'!$B$39</f>
        <v>1.6186864970602313E-4</v>
      </c>
    </row>
    <row r="5" spans="1:8">
      <c r="A5" s="1" t="s">
        <v>11</v>
      </c>
      <c r="B5" s="3">
        <f>Rail!AA86</f>
        <v>4.4544800146568749E-3</v>
      </c>
      <c r="C5" s="3">
        <f>E5</f>
        <v>4.88055442953364E-3</v>
      </c>
      <c r="D5" s="3">
        <f>E5</f>
        <v>4.88055442953364E-3</v>
      </c>
      <c r="E5" s="3">
        <f>Rail!AA82</f>
        <v>4.88055442953364E-3</v>
      </c>
      <c r="F5" s="3">
        <v>0</v>
      </c>
      <c r="G5" s="3">
        <v>0</v>
      </c>
      <c r="H5" s="3">
        <f>E5/'Calculations Etc'!$B$39</f>
        <v>1.6268514765112136E-3</v>
      </c>
    </row>
    <row r="6" spans="1:8">
      <c r="A6" s="1" t="s">
        <v>12</v>
      </c>
      <c r="B6" s="3">
        <f>ships!E19</f>
        <v>8.2354085437718726E-3</v>
      </c>
      <c r="C6" s="3">
        <f>ships!E18</f>
        <v>2.8713676873154528E-4</v>
      </c>
      <c r="D6" s="3">
        <v>0</v>
      </c>
      <c r="E6" s="3">
        <f>ships!E17</f>
        <v>3.7909560316190944E-4</v>
      </c>
      <c r="F6" s="3">
        <v>0</v>
      </c>
      <c r="G6" s="3">
        <v>0</v>
      </c>
      <c r="H6" s="3">
        <f>E6/'Calculations Etc'!$B$39</f>
        <v>1.2636520105396983E-4</v>
      </c>
    </row>
    <row r="7" spans="1:8">
      <c r="A7" s="1" t="s">
        <v>13</v>
      </c>
      <c r="B7" s="3">
        <f>motorbikes!M13</f>
        <v>0.22504068339334843</v>
      </c>
      <c r="C7" s="3">
        <f>motorbikes!M14</f>
        <v>7.0030328094844219E-2</v>
      </c>
      <c r="D7" s="3">
        <f>motorbikes!M15</f>
        <v>7.0030328094844219E-2</v>
      </c>
      <c r="E7" s="3">
        <f>motorbikes!M16</f>
        <v>7.0030328094844219E-2</v>
      </c>
      <c r="F7" s="3">
        <f>motorbikes!M17</f>
        <v>0</v>
      </c>
      <c r="G7" s="3">
        <f>motorbikes!M18</f>
        <v>0</v>
      </c>
      <c r="H7" s="3">
        <f>motorbikes!M19</f>
        <v>2.3343442698281411E-2</v>
      </c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  <row r="22" spans="2:8">
      <c r="B22" s="2"/>
      <c r="C22" s="2"/>
      <c r="D22" s="2"/>
      <c r="E22" s="2"/>
      <c r="F22" s="2"/>
      <c r="G22" s="2"/>
      <c r="H22" s="2"/>
    </row>
    <row r="23" spans="2:8">
      <c r="B23" s="2"/>
      <c r="C23" s="2"/>
      <c r="D23" s="2"/>
      <c r="E23" s="2"/>
      <c r="F23" s="2"/>
      <c r="G23" s="2"/>
      <c r="H23" s="2"/>
    </row>
    <row r="25" spans="2:8">
      <c r="C25" s="2"/>
      <c r="D25" s="2"/>
      <c r="E25" s="2"/>
      <c r="G25" s="2"/>
      <c r="H25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7D1C-BC85-4C36-B558-EC88C831DA7E}">
  <sheetPr>
    <tabColor theme="3"/>
  </sheetPr>
  <dimension ref="A1:H27"/>
  <sheetViews>
    <sheetView topLeftCell="B1" workbookViewId="0">
      <selection activeCell="B2" sqref="B2:H7"/>
    </sheetView>
  </sheetViews>
  <sheetFormatPr defaultColWidth="9" defaultRowHeight="12.9"/>
  <cols>
    <col min="1" max="8" width="19.75" style="1" customWidth="1"/>
    <col min="9" max="16384" width="9" style="1"/>
  </cols>
  <sheetData>
    <row r="1" spans="1:8" s="4" customFormat="1" ht="38.7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238</v>
      </c>
    </row>
    <row r="2" spans="1:8">
      <c r="A2" s="1" t="s">
        <v>8</v>
      </c>
      <c r="B2" s="3">
        <f>NewVehicleFE!G9</f>
        <v>9.712297116432633E-4</v>
      </c>
      <c r="C2" s="3">
        <f>NewVehicleFE!G10</f>
        <v>2.324065103043514E-4</v>
      </c>
      <c r="D2" s="3">
        <f>NewVehicleFE!G11</f>
        <v>2.7123321432210586E-4</v>
      </c>
      <c r="E2" s="3">
        <f>NewVehicleFE!G12</f>
        <v>2.9336401943689746E-4</v>
      </c>
      <c r="F2" s="3">
        <f>NewVehicleFE!G13</f>
        <v>3.706853939499305E-4</v>
      </c>
      <c r="G2" s="3">
        <f>NewVehicleFE!G14</f>
        <v>9.0102269098586051E-5</v>
      </c>
      <c r="H2" s="3">
        <f>NewVehicleFE!G15</f>
        <v>2.4622725083913718E-4</v>
      </c>
    </row>
    <row r="3" spans="1:8">
      <c r="A3" s="1" t="s">
        <v>9</v>
      </c>
      <c r="B3" s="3">
        <f>NewVehicleFE!G23</f>
        <v>1.424625889530575E-3</v>
      </c>
      <c r="C3" s="3">
        <f>NewVehicleFE!G24</f>
        <v>7.9482568973771061E-4</v>
      </c>
      <c r="D3" s="3">
        <f>NewVehicleFE!G25</f>
        <v>6.051804029009192E-4</v>
      </c>
      <c r="E3" s="3">
        <f>NewVehicleFE!G26</f>
        <v>6.3728504241452547E-4</v>
      </c>
      <c r="F3" s="3">
        <f>NewVehicleFE!G27</f>
        <v>8.5437233350718004E-4</v>
      </c>
      <c r="G3" s="3">
        <f>NewVehicleFE!G28</f>
        <v>3.9159832339000857E-4</v>
      </c>
      <c r="H3" s="3">
        <f>NewVehicleFE!G29</f>
        <v>3.9127049078656643E-4</v>
      </c>
    </row>
    <row r="4" spans="1:8">
      <c r="A4" s="1" t="s">
        <v>10</v>
      </c>
      <c r="B4" s="3">
        <f>E4*(1-'Calculations Etc'!$B$13)</f>
        <v>1.6622709179351414E-5</v>
      </c>
      <c r="C4" s="3">
        <f>E4</f>
        <v>5.3416654402987621E-5</v>
      </c>
      <c r="D4" s="3">
        <f>E4</f>
        <v>5.3416654402987621E-5</v>
      </c>
      <c r="E4" s="3">
        <f>'Aircraft Fuel Economy'!K34</f>
        <v>5.3416654402987621E-5</v>
      </c>
      <c r="F4" s="3">
        <v>0</v>
      </c>
      <c r="G4" s="3">
        <v>0</v>
      </c>
      <c r="H4" s="3">
        <f>E4/'Calculations Etc'!$B$39</f>
        <v>1.7805551467662544E-5</v>
      </c>
    </row>
    <row r="5" spans="1:8">
      <c r="A5" s="1" t="s">
        <v>11</v>
      </c>
      <c r="B5" s="3">
        <f>Rail!AA85</f>
        <v>9.4522130090967955E-3</v>
      </c>
      <c r="C5" s="3">
        <f>E5</f>
        <v>6.3281765060902275E-3</v>
      </c>
      <c r="D5" s="3">
        <f>E5</f>
        <v>6.3281765060902275E-3</v>
      </c>
      <c r="E5" s="3">
        <f>Rail!AA83</f>
        <v>6.3281765060902275E-3</v>
      </c>
      <c r="F5" s="3">
        <v>0</v>
      </c>
      <c r="G5" s="3">
        <v>0</v>
      </c>
      <c r="H5" s="3">
        <f>E5/'Calculations Etc'!$B$39</f>
        <v>2.1093921686967426E-3</v>
      </c>
    </row>
    <row r="6" spans="1:8">
      <c r="A6" s="1" t="s">
        <v>12</v>
      </c>
      <c r="B6" s="3">
        <f>E6*(1-'Calculations Etc'!$B$13)</f>
        <v>1.7456924459906186E-3</v>
      </c>
      <c r="C6" s="3">
        <v>0</v>
      </c>
      <c r="D6" s="3">
        <v>0</v>
      </c>
      <c r="E6" s="3">
        <f>ships!E20</f>
        <v>5.6097384051704505E-3</v>
      </c>
      <c r="F6" s="3">
        <v>0</v>
      </c>
      <c r="G6" s="3">
        <v>0</v>
      </c>
      <c r="H6" s="3">
        <f>E6/'Calculations Etc'!$B$39</f>
        <v>1.8699128017234839E-3</v>
      </c>
    </row>
    <row r="7" spans="1:8">
      <c r="A7" s="1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D8" s="9"/>
    </row>
    <row r="9" spans="1:8">
      <c r="D9" s="8"/>
    </row>
    <row r="10" spans="1:8">
      <c r="D10" s="9"/>
    </row>
    <row r="11" spans="1:8">
      <c r="C11" s="10"/>
      <c r="D11" s="8"/>
    </row>
    <row r="12" spans="1:8">
      <c r="D12" s="9"/>
    </row>
    <row r="13" spans="1:8">
      <c r="D13" s="8"/>
    </row>
    <row r="14" spans="1:8">
      <c r="D14" s="7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  <row r="22" spans="2:8">
      <c r="B22" s="2"/>
      <c r="C22" s="2"/>
      <c r="D22" s="2"/>
      <c r="E22" s="2"/>
      <c r="F22" s="2"/>
      <c r="G22" s="2"/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/>
      <c r="C24" s="2"/>
      <c r="D24" s="2"/>
      <c r="E24" s="2"/>
      <c r="F24" s="2"/>
      <c r="G24" s="2"/>
      <c r="H24" s="2"/>
    </row>
    <row r="25" spans="2:8">
      <c r="D25" s="2"/>
      <c r="E25" s="2"/>
      <c r="F25" s="2"/>
      <c r="G25" s="2"/>
      <c r="H25" s="2"/>
    </row>
    <row r="27" spans="2:8">
      <c r="B27" s="2"/>
      <c r="C27" s="2"/>
      <c r="D27" s="2"/>
      <c r="E27" s="2"/>
      <c r="F27" s="2"/>
      <c r="G2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About</vt:lpstr>
      <vt:lpstr>NewVehicleFE</vt:lpstr>
      <vt:lpstr>Model Comparison</vt:lpstr>
      <vt:lpstr>Calculations Etc</vt:lpstr>
      <vt:lpstr>Aircraft Fuel Economy</vt:lpstr>
      <vt:lpstr>Rail</vt:lpstr>
      <vt:lpstr>ships</vt:lpstr>
      <vt:lpstr>motorbikes</vt:lpstr>
      <vt:lpstr>SYFAFE-psgr</vt:lpstr>
      <vt:lpstr>SYFAFE-frgt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a8618811197270</dc:creator>
  <cp:lastModifiedBy>wcy3015@126.com</cp:lastModifiedBy>
  <dcterms:created xsi:type="dcterms:W3CDTF">2024-11-18T13:14:59Z</dcterms:created>
  <dcterms:modified xsi:type="dcterms:W3CDTF">2025-03-11T07:53:33Z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B781202BBED4205F53CD3A67FB9AF079_41</vt:lpwstr>
  </property>
  <property fmtid="{D5CDD505-2E9C-101B-9397-08002B2CF9AE}" pid="3" name="KSOProductBuildVer">
    <vt:lpwstr>2052-6.11.0.8885</vt:lpwstr>
  </property>
</Properties>
</file>