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zhlxl\Desktop\EPS\eps-shanghai-smart-trans\InputData\trans\SYVbT\"/>
    </mc:Choice>
  </mc:AlternateContent>
  <xr:revisionPtr revIDLastSave="0" documentId="13_ncr:1_{6B58E81B-128C-4C30-8194-37233B2B26B7}" xr6:coauthVersionLast="47" xr6:coauthVersionMax="47" xr10:uidLastSave="{00000000-0000-0000-0000-000000000000}"/>
  <bookViews>
    <workbookView xWindow="11208" yWindow="190" windowWidth="18774" windowHeight="13381" tabRatio="833" activeTab="4" xr2:uid="{00000000-000D-0000-FFFF-FFFF00000000}"/>
  </bookViews>
  <sheets>
    <sheet name="About" sheetId="1" r:id="rId1"/>
    <sheet name="Data" sheetId="2" r:id="rId2"/>
    <sheet name="rail" sheetId="5" r:id="rId3"/>
    <sheet name="SYVbT-passenger" sheetId="3" r:id="rId4"/>
    <sheet name="SYVbT-freigh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5" i="4" l="1"/>
  <c r="B5" i="4"/>
  <c r="B5" i="3"/>
  <c r="H39" i="5"/>
  <c r="D39" i="5"/>
  <c r="D7" i="5"/>
  <c r="I42" i="5" s="1"/>
  <c r="C7" i="5"/>
  <c r="H42" i="5" s="1"/>
  <c r="B7" i="5"/>
  <c r="D25" i="5" s="1"/>
  <c r="A7" i="5"/>
  <c r="C37" i="5" s="1"/>
  <c r="G4" i="5"/>
  <c r="F4" i="5"/>
  <c r="C15" i="5" l="1"/>
  <c r="C19" i="5"/>
  <c r="C35" i="5"/>
  <c r="D23" i="5"/>
  <c r="D31" i="5"/>
  <c r="H15" i="5"/>
  <c r="D40" i="5"/>
  <c r="D27" i="5"/>
  <c r="H19" i="5"/>
  <c r="I39" i="5"/>
  <c r="D24" i="5"/>
  <c r="I41" i="5"/>
  <c r="I19" i="5"/>
  <c r="I27" i="5"/>
  <c r="C20" i="5"/>
  <c r="C40" i="5"/>
  <c r="D16" i="5"/>
  <c r="D32" i="5"/>
  <c r="H12" i="5"/>
  <c r="H24" i="5"/>
  <c r="H28" i="5"/>
  <c r="H32" i="5"/>
  <c r="I16" i="5"/>
  <c r="I28" i="5"/>
  <c r="I40" i="5"/>
  <c r="C13" i="5"/>
  <c r="C29" i="5"/>
  <c r="C41" i="5"/>
  <c r="D21" i="5"/>
  <c r="D33" i="5"/>
  <c r="D41" i="5"/>
  <c r="H13" i="5"/>
  <c r="H21" i="5"/>
  <c r="H29" i="5"/>
  <c r="H33" i="5"/>
  <c r="H41" i="5"/>
  <c r="I17" i="5"/>
  <c r="I21" i="5"/>
  <c r="I29" i="5"/>
  <c r="I33" i="5"/>
  <c r="I37" i="5"/>
  <c r="C14" i="5"/>
  <c r="C18" i="5"/>
  <c r="C22" i="5"/>
  <c r="C26" i="5"/>
  <c r="C30" i="5"/>
  <c r="C34" i="5"/>
  <c r="C38" i="5"/>
  <c r="C42" i="5"/>
  <c r="C27" i="5"/>
  <c r="H31" i="5"/>
  <c r="I15" i="5"/>
  <c r="I31" i="5"/>
  <c r="C16" i="5"/>
  <c r="C28" i="5"/>
  <c r="C36" i="5"/>
  <c r="D12" i="5"/>
  <c r="D28" i="5"/>
  <c r="H16" i="5"/>
  <c r="H40" i="5"/>
  <c r="I20" i="5"/>
  <c r="I32" i="5"/>
  <c r="C17" i="5"/>
  <c r="C33" i="5"/>
  <c r="D13" i="5"/>
  <c r="D29" i="5"/>
  <c r="D37" i="5"/>
  <c r="H17" i="5"/>
  <c r="H25" i="5"/>
  <c r="H37" i="5"/>
  <c r="I13" i="5"/>
  <c r="I25" i="5"/>
  <c r="D14" i="5"/>
  <c r="D18" i="5"/>
  <c r="D22" i="5"/>
  <c r="D26" i="5"/>
  <c r="D30" i="5"/>
  <c r="D34" i="5"/>
  <c r="D38" i="5"/>
  <c r="D42" i="5"/>
  <c r="C31" i="5"/>
  <c r="D15" i="5"/>
  <c r="C21" i="5"/>
  <c r="C23" i="5"/>
  <c r="C39" i="5"/>
  <c r="D19" i="5"/>
  <c r="D35" i="5"/>
  <c r="H23" i="5"/>
  <c r="H27" i="5"/>
  <c r="H35" i="5"/>
  <c r="I23" i="5"/>
  <c r="I35" i="5"/>
  <c r="C12" i="5"/>
  <c r="C24" i="5"/>
  <c r="C32" i="5"/>
  <c r="D20" i="5"/>
  <c r="D36" i="5"/>
  <c r="H20" i="5"/>
  <c r="H36" i="5"/>
  <c r="I12" i="5"/>
  <c r="I24" i="5"/>
  <c r="I36" i="5"/>
  <c r="C25" i="5"/>
  <c r="D17" i="5"/>
  <c r="H14" i="5"/>
  <c r="H18" i="5"/>
  <c r="H22" i="5"/>
  <c r="H26" i="5"/>
  <c r="H30" i="5"/>
  <c r="H34" i="5"/>
  <c r="H38" i="5"/>
  <c r="I14" i="5"/>
  <c r="I18" i="5"/>
  <c r="I22" i="5"/>
  <c r="I26" i="5"/>
  <c r="I30" i="5"/>
  <c r="I34" i="5"/>
  <c r="I38" i="5"/>
  <c r="E2" i="3" l="1"/>
  <c r="D2" i="3"/>
  <c r="E4" i="3"/>
  <c r="E6" i="3"/>
  <c r="V36" i="2"/>
  <c r="V35" i="2"/>
  <c r="V34" i="2"/>
  <c r="V33" i="2"/>
  <c r="U33" i="2"/>
  <c r="A43" i="2"/>
  <c r="D7" i="3" s="1"/>
  <c r="B3" i="2"/>
  <c r="A3" i="2"/>
  <c r="U36" i="2"/>
  <c r="T36" i="2"/>
  <c r="S36" i="2"/>
  <c r="T35" i="2"/>
  <c r="S35" i="2"/>
  <c r="Y34" i="2"/>
  <c r="W33" i="2"/>
  <c r="W34" i="2"/>
  <c r="S34" i="2"/>
  <c r="Y33" i="2"/>
  <c r="T33" i="2"/>
  <c r="S33" i="2"/>
  <c r="M53" i="2"/>
  <c r="M48" i="2"/>
  <c r="M43" i="2"/>
  <c r="D25" i="2"/>
  <c r="C25" i="2"/>
  <c r="B25" i="2"/>
  <c r="A25" i="2"/>
  <c r="Y36" i="2"/>
  <c r="H3" i="4" s="1"/>
  <c r="M39" i="2"/>
  <c r="N39" i="2"/>
  <c r="O60" i="2"/>
  <c r="O61" i="2"/>
  <c r="O62" i="2"/>
  <c r="O59" i="2"/>
  <c r="M63" i="2"/>
  <c r="H2" i="4"/>
  <c r="G3" i="4"/>
  <c r="G2" i="4"/>
  <c r="F3" i="4"/>
  <c r="H3" i="3"/>
  <c r="G3" i="3"/>
  <c r="F3" i="3"/>
  <c r="G2" i="3"/>
  <c r="H2" i="3"/>
  <c r="G35" i="2"/>
  <c r="D13" i="2"/>
  <c r="D15" i="2" s="1"/>
  <c r="C6" i="4" s="1"/>
  <c r="A13" i="2"/>
  <c r="B15" i="2" s="1"/>
  <c r="E4" i="4"/>
  <c r="D7" i="4"/>
  <c r="C37" i="2"/>
  <c r="E35" i="2"/>
  <c r="O54" i="2" l="1"/>
  <c r="O39" i="2"/>
  <c r="U34" i="2"/>
  <c r="G22" i="2"/>
  <c r="D36" i="2"/>
  <c r="A23" i="2"/>
  <c r="E15" i="2"/>
  <c r="E6" i="4" s="1"/>
  <c r="C23" i="2"/>
  <c r="A15" i="2"/>
  <c r="B6" i="3" s="1"/>
  <c r="C15" i="2"/>
  <c r="C6" i="3" s="1"/>
  <c r="H22" i="2"/>
  <c r="G23" i="2"/>
  <c r="H23" i="2"/>
  <c r="C3" i="3" l="1"/>
  <c r="B3" i="4"/>
  <c r="C3" i="4"/>
  <c r="E3" i="4"/>
  <c r="C2" i="3"/>
  <c r="F2" i="3"/>
  <c r="B2" i="3"/>
  <c r="D3" i="4" l="1"/>
  <c r="E3" i="3"/>
  <c r="D3" i="3"/>
  <c r="B3" i="3"/>
  <c r="E2" i="4"/>
  <c r="F2" i="4"/>
  <c r="U35" i="2"/>
  <c r="D2" i="4" s="1"/>
  <c r="B2" i="4"/>
  <c r="C2" i="4" l="1"/>
</calcChain>
</file>

<file path=xl/sharedStrings.xml><?xml version="1.0" encoding="utf-8"?>
<sst xmlns="http://schemas.openxmlformats.org/spreadsheetml/2006/main" count="286" uniqueCount="165">
  <si>
    <t>Source：</t>
  </si>
  <si>
    <t>http://www.sohu.com/a/288908266_99922905</t>
  </si>
  <si>
    <t>Note</t>
  </si>
  <si>
    <t xml:space="preserve">For this variable, we first seek data from the National Bureau of Statistics and provincial statistical yearbooks. </t>
  </si>
  <si>
    <t xml:space="preserve">Any missing data are supplemented with information from the internet, </t>
  </si>
  <si>
    <t xml:space="preserve">with a portion derived from national data proportionally applied to represent provincial data. </t>
  </si>
  <si>
    <t>Subsequently, the quantities of each energy source for each mode of transportation are determined based on the proportions found in the literature.</t>
  </si>
  <si>
    <t>客运</t>
  </si>
  <si>
    <t>货运</t>
  </si>
  <si>
    <t>民航平均载客人数/货吨数</t>
  </si>
  <si>
    <t>客运比例</t>
  </si>
  <si>
    <t>货运比例</t>
  </si>
  <si>
    <t>LDV</t>
  </si>
  <si>
    <t>纯电动</t>
  </si>
  <si>
    <t>混合动力</t>
  </si>
  <si>
    <t>HDV</t>
  </si>
  <si>
    <t>电力</t>
  </si>
  <si>
    <t>柴油</t>
  </si>
  <si>
    <t>天然气</t>
  </si>
  <si>
    <t>单位：辆</t>
  </si>
  <si>
    <t>全国船舶能源比例</t>
  </si>
  <si>
    <t>铁路</t>
  </si>
  <si>
    <t>单位：台</t>
  </si>
  <si>
    <t>机车</t>
  </si>
  <si>
    <t>车厢</t>
  </si>
  <si>
    <t>内燃</t>
  </si>
  <si>
    <t>客车</t>
  </si>
  <si>
    <t>货车</t>
  </si>
  <si>
    <t>电动客船</t>
  </si>
  <si>
    <t>动车</t>
  </si>
  <si>
    <t>非动车</t>
  </si>
  <si>
    <r>
      <rPr>
        <sz val="12"/>
        <color rgb="FF191919"/>
        <rFont val="SimSun"/>
        <charset val="134"/>
      </rPr>
      <t>2022年全国飞机总数。客运飞机</t>
    </r>
    <r>
      <rPr>
        <sz val="12"/>
        <color rgb="FF191919"/>
        <rFont val="Arial"/>
        <family val="2"/>
      </rPr>
      <t>3942</t>
    </r>
    <r>
      <rPr>
        <sz val="12"/>
        <color rgb="FF191919"/>
        <rFont val="SimSun"/>
        <charset val="134"/>
      </rPr>
      <t>架，货运飞机</t>
    </r>
    <r>
      <rPr>
        <sz val="12"/>
        <color rgb="FF191919"/>
        <rFont val="Arial"/>
        <family val="2"/>
      </rPr>
      <t>223</t>
    </r>
    <r>
      <rPr>
        <sz val="12"/>
        <color rgb="FF191919"/>
        <rFont val="SimSun"/>
        <charset val="134"/>
      </rPr>
      <t>架</t>
    </r>
  </si>
  <si>
    <t>2020汽车2.81亿辆;截止2020年底，我国氢燃料电池汽车保有量为7352辆</t>
  </si>
  <si>
    <t>全国天然气汽车保有量在2019年2.6亿辆汽车总保有量中占比仅为2.8%。https://mp.weixin.qq.com/s/Kp8TevKw1KrwcuUqTfcUqA</t>
  </si>
  <si>
    <t>现有柴油车在所有的汽车的保有量里面只占9.4%</t>
  </si>
  <si>
    <t>全国新能源汽车大约占总数的1.46%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</si>
  <si>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</si>
  <si>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</si>
  <si>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</si>
  <si>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</si>
  <si>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</si>
  <si>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</si>
  <si>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</si>
  <si>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</si>
  <si>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</si>
  <si>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</si>
  <si>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</si>
  <si>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</si>
  <si>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</si>
  <si>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</si>
  <si>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SYVbT</t>
    <phoneticPr fontId="8" type="noConversion"/>
  </si>
  <si>
    <t>Start Year Vehicles by Technology</t>
    <phoneticPr fontId="8" type="noConversion"/>
  </si>
  <si>
    <t>From online sources.</t>
    <phoneticPr fontId="8" type="noConversion"/>
  </si>
  <si>
    <t>National Bureau of Statistics</t>
    <phoneticPr fontId="8" type="noConversion"/>
  </si>
  <si>
    <t>Petroleum Business News</t>
    <phoneticPr fontId="8" type="noConversion"/>
  </si>
  <si>
    <t>https://www.sohu.com/a/579367551_120599226</t>
    <phoneticPr fontId="8" type="noConversion"/>
  </si>
  <si>
    <t>https://mp.weixin.qq.com/s/Kp8TevKw1KrwcuUqTfcUqA</t>
    <phoneticPr fontId="8" type="noConversion"/>
  </si>
  <si>
    <t>Shanghai Statistical Yearbook 2023</t>
    <phoneticPr fontId="8" type="noConversion"/>
  </si>
  <si>
    <t>https://tjj.sh.gov.cn/tjnj/20240321/5a35a44acace471f87c75393133fa142.html</t>
    <phoneticPr fontId="8" type="noConversion"/>
  </si>
  <si>
    <t>https://data.stats.gov.cn/index.htm</t>
    <phoneticPr fontId="8" type="noConversion"/>
  </si>
  <si>
    <t>飞机                  单位：架</t>
    <phoneticPr fontId="8" type="noConversion"/>
  </si>
  <si>
    <t>船舶           单位：艘</t>
    <phoneticPr fontId="8" type="noConversion"/>
  </si>
  <si>
    <t>注：2020年上海辖区注册登记船数：1944艘                        数据来源：上海海事局</t>
    <phoneticPr fontId="8" type="noConversion"/>
  </si>
  <si>
    <t>数据来源：国家统计局</t>
    <phoneticPr fontId="8" type="noConversion"/>
  </si>
  <si>
    <t>数据来源：上海统计年鉴</t>
    <phoneticPr fontId="8" type="noConversion"/>
  </si>
  <si>
    <t>注：</t>
    <phoneticPr fontId="8" type="noConversion"/>
  </si>
  <si>
    <t>注：机车数据来自未修改的二期SYVbT</t>
    <phoneticPr fontId="8" type="noConversion"/>
  </si>
  <si>
    <t>注：未找到上海对应口径数据，暂时沿用内蒙古数据</t>
    <phoneticPr fontId="8" type="noConversion"/>
  </si>
  <si>
    <t>柴油</t>
    <phoneticPr fontId="8" type="noConversion"/>
  </si>
  <si>
    <t>纯电</t>
    <phoneticPr fontId="8" type="noConversion"/>
  </si>
  <si>
    <t>燃料电池</t>
  </si>
  <si>
    <t>燃料电池</t>
    <phoneticPr fontId="8" type="noConversion"/>
  </si>
  <si>
    <t>天然气</t>
    <phoneticPr fontId="8" type="noConversion"/>
  </si>
  <si>
    <t>汽油</t>
  </si>
  <si>
    <t>汽油</t>
    <phoneticPr fontId="8" type="noConversion"/>
  </si>
  <si>
    <t>插电式混合动力</t>
  </si>
  <si>
    <t>汽油-天然气</t>
  </si>
  <si>
    <t>纯电动</t>
    <phoneticPr fontId="8" type="noConversion"/>
  </si>
  <si>
    <t>数据来源：内部数据</t>
    <phoneticPr fontId="8" type="noConversion"/>
  </si>
  <si>
    <t>passenger</t>
    <phoneticPr fontId="8" type="noConversion"/>
  </si>
  <si>
    <t>freight</t>
  </si>
  <si>
    <t>natural gas vehicle</t>
    <phoneticPr fontId="8" type="noConversion"/>
  </si>
  <si>
    <t>diesel vehicle</t>
    <phoneticPr fontId="8" type="noConversion"/>
  </si>
  <si>
    <t>LPG vehicle</t>
    <phoneticPr fontId="8" type="noConversion"/>
  </si>
  <si>
    <t>燃料电池</t>
    <phoneticPr fontId="8" type="noConversion"/>
  </si>
  <si>
    <t>注：乘用车（进口+国产）：小型客车+微型客车</t>
    <phoneticPr fontId="8" type="noConversion"/>
  </si>
  <si>
    <t>注：商用车（国产）：大型客车+中型客车</t>
    <phoneticPr fontId="8" type="noConversion"/>
  </si>
  <si>
    <t>注：商用车（国产）：轻型货车</t>
    <phoneticPr fontId="8" type="noConversion"/>
  </si>
  <si>
    <t>注：商用车（国产）：大型货车+中型货车</t>
    <phoneticPr fontId="8" type="noConversion"/>
  </si>
  <si>
    <t>注：新能源汽车数为2015-2019年累计数</t>
    <phoneticPr fontId="8" type="noConversion"/>
  </si>
  <si>
    <t>国产</t>
    <phoneticPr fontId="8" type="noConversion"/>
  </si>
  <si>
    <t>进口</t>
    <phoneticPr fontId="8" type="noConversion"/>
  </si>
  <si>
    <t>混合动力</t>
    <phoneticPr fontId="8" type="noConversion"/>
  </si>
  <si>
    <t>燃料电池</t>
    <phoneticPr fontId="8" type="noConversion"/>
  </si>
  <si>
    <t>注：商用车（国产）：轻型货车+微型货车</t>
    <phoneticPr fontId="8" type="noConversion"/>
  </si>
  <si>
    <t>2015-2019年新能源汽车 累计值           单位：辆</t>
    <phoneticPr fontId="8" type="noConversion"/>
  </si>
  <si>
    <t>混合动力</t>
    <phoneticPr fontId="8" type="noConversion"/>
  </si>
  <si>
    <t>合计</t>
    <phoneticPr fontId="8" type="noConversion"/>
  </si>
  <si>
    <t>2019年汽车注册数量            单位：辆</t>
    <phoneticPr fontId="8" type="noConversion"/>
  </si>
  <si>
    <t>甲醇</t>
    <phoneticPr fontId="8" type="noConversion"/>
  </si>
  <si>
    <t>国内</t>
    <phoneticPr fontId="8" type="noConversion"/>
  </si>
  <si>
    <t>注：商用车（国产）：中型客车+大型客车</t>
    <phoneticPr fontId="8" type="noConversion"/>
  </si>
  <si>
    <t>燃料电池</t>
    <phoneticPr fontId="8" type="noConversion"/>
  </si>
  <si>
    <t>合计</t>
    <phoneticPr fontId="8" type="noConversion"/>
  </si>
  <si>
    <t>注：商用车（国产）：重型货车+中型货车</t>
    <phoneticPr fontId="8" type="noConversion"/>
  </si>
  <si>
    <t>插电式混合动力</t>
    <phoneticPr fontId="8" type="noConversion"/>
  </si>
  <si>
    <t xml:space="preserve">数据来源：内部数据   </t>
    <phoneticPr fontId="8" type="noConversion"/>
  </si>
  <si>
    <t>纯电</t>
    <phoneticPr fontId="8" type="noConversion"/>
  </si>
  <si>
    <t>天然气</t>
    <phoneticPr fontId="8" type="noConversion"/>
  </si>
  <si>
    <t>汽油车</t>
    <phoneticPr fontId="8" type="noConversion"/>
  </si>
  <si>
    <t>柴油车</t>
    <phoneticPr fontId="8" type="noConversion"/>
  </si>
  <si>
    <t>插电式混动</t>
    <phoneticPr fontId="8" type="noConversion"/>
  </si>
  <si>
    <t>石油气</t>
    <phoneticPr fontId="8" type="noConversion"/>
  </si>
  <si>
    <t>注：上海2019年旅客周转量为23341800万人公里，货物周转量为 610000万吨公里；
民航里程为452084英里，货运里程为2433491英里</t>
    <phoneticPr fontId="8" type="noConversion"/>
  </si>
  <si>
    <t>2019年汽车            单位：辆</t>
    <phoneticPr fontId="8" type="noConversion"/>
  </si>
  <si>
    <t>摩托车</t>
    <phoneticPr fontId="8" type="noConversion"/>
  </si>
  <si>
    <t>以上数据无特殊标注均为2019年数据</t>
    <phoneticPr fontId="8" type="noConversion"/>
  </si>
  <si>
    <t>LDVs HDVs</t>
    <phoneticPr fontId="8" type="noConversion"/>
  </si>
  <si>
    <t>Ship</t>
    <phoneticPr fontId="8" type="noConversion"/>
  </si>
  <si>
    <t>motorbike</t>
  </si>
  <si>
    <t>Rail</t>
    <phoneticPr fontId="8" type="noConversion"/>
  </si>
  <si>
    <t>铁路</t>
    <phoneticPr fontId="8" type="noConversion"/>
  </si>
  <si>
    <t>国家统计年鉴2020</t>
    <phoneticPr fontId="8" type="noConversion"/>
  </si>
  <si>
    <t>内燃机车</t>
    <phoneticPr fontId="8" type="noConversion"/>
  </si>
  <si>
    <t>电力机车</t>
    <phoneticPr fontId="8" type="noConversion"/>
  </si>
  <si>
    <t>客运车数量</t>
    <phoneticPr fontId="8" type="noConversion"/>
  </si>
  <si>
    <t>货运车数量</t>
    <phoneticPr fontId="8" type="noConversion"/>
  </si>
  <si>
    <t>客运机车数量</t>
    <phoneticPr fontId="8" type="noConversion"/>
  </si>
  <si>
    <t>货运机车数量</t>
    <phoneticPr fontId="8" type="noConversion"/>
  </si>
  <si>
    <t>分地区铁路客运周转量</t>
    <phoneticPr fontId="8" type="noConversion"/>
  </si>
  <si>
    <t>分地区铁路货运周转量</t>
    <phoneticPr fontId="8" type="noConversion"/>
  </si>
  <si>
    <t>省份</t>
    <phoneticPr fontId="8" type="noConversion"/>
  </si>
  <si>
    <t>分省机车数量</t>
    <phoneticPr fontId="8" type="noConversion"/>
  </si>
  <si>
    <t>全国</t>
  </si>
  <si>
    <t>北京</t>
    <phoneticPr fontId="8" type="noConversion"/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</si>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</sst>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1">
    <font>
      <sz val="10"/>
      <color theme="1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191919"/>
      <name val="SimSun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rgb="FF191919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5" borderId="0" xfId="0" applyFont="1" applyFill="1" applyAlignment="1"/>
    <xf numFmtId="0" fontId="2" fillId="0" borderId="0" xfId="0" applyFont="1">
      <alignment vertical="center"/>
    </xf>
    <xf numFmtId="0" fontId="5" fillId="0" borderId="0" xfId="1" applyFont="1" applyAlignment="1">
      <alignment vertical="center"/>
    </xf>
    <xf numFmtId="0" fontId="6" fillId="0" borderId="0" xfId="1" applyFill="1" applyAlignment="1"/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1">
      <alignment vertical="center"/>
    </xf>
    <xf numFmtId="0" fontId="6" fillId="0" borderId="0" xfId="1" applyAlignment="1"/>
    <xf numFmtId="0" fontId="6" fillId="0" borderId="0" xfId="1" applyAlignment="1">
      <alignment vertical="center"/>
    </xf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/>
    <xf numFmtId="176" fontId="2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Continuous"/>
    </xf>
    <xf numFmtId="176" fontId="2" fillId="6" borderId="1" xfId="0" applyNumberFormat="1" applyFont="1" applyFill="1" applyBorder="1" applyAlignment="1"/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1" fillId="0" borderId="1" xfId="0" applyFont="1" applyBorder="1" applyAlignment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2" xfId="0" applyFont="1" applyBorder="1" applyAlignment="1"/>
    <xf numFmtId="0" fontId="9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9" fillId="6" borderId="4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6" borderId="4" xfId="0" applyFont="1" applyFill="1" applyBorder="1" applyAlignment="1"/>
    <xf numFmtId="0" fontId="0" fillId="7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2">
      <alignment vertical="center"/>
    </xf>
    <xf numFmtId="0" fontId="9" fillId="0" borderId="0" xfId="2" applyAlignment="1">
      <alignment horizontal="center" vertical="center"/>
    </xf>
    <xf numFmtId="0" fontId="2" fillId="0" borderId="0" xfId="2" applyFont="1" applyAlignment="1"/>
    <xf numFmtId="0" fontId="2" fillId="0" borderId="0" xfId="2" applyFont="1" applyAlignment="1">
      <alignment horizontal="center"/>
    </xf>
    <xf numFmtId="0" fontId="10" fillId="0" borderId="0" xfId="2" applyFont="1">
      <alignment vertic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176" fontId="2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9" fillId="6" borderId="0" xfId="2" applyFill="1">
      <alignment vertical="center"/>
    </xf>
    <xf numFmtId="0" fontId="9" fillId="6" borderId="0" xfId="2" applyFill="1" applyAlignment="1">
      <alignment horizontal="center" vertical="center"/>
    </xf>
  </cellXfs>
  <cellStyles count="3">
    <cellStyle name="常规" xfId="0" builtinId="0"/>
    <cellStyle name="常规 2" xfId="2" xr:uid="{5D95BEF2-A314-41B1-8B5B-17022C544FCC}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Kp8TevKw1KrwcuUqTfcUqA" TargetMode="External"/><Relationship Id="rId2" Type="http://schemas.openxmlformats.org/officeDocument/2006/relationships/hyperlink" Target="https://www.sohu.com/a/579367551_120599226" TargetMode="External"/><Relationship Id="rId1" Type="http://schemas.openxmlformats.org/officeDocument/2006/relationships/hyperlink" Target="http://www.sohu.com/a/288908266_99922905" TargetMode="External"/><Relationship Id="rId5" Type="http://schemas.openxmlformats.org/officeDocument/2006/relationships/hyperlink" Target="https://data.stats.gov.cn/index.htm" TargetMode="External"/><Relationship Id="rId4" Type="http://schemas.openxmlformats.org/officeDocument/2006/relationships/hyperlink" Target="https://tjj.sh.gov.cn/tjnj/20240321/5a35a44acace471f87c75393133fa142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9" workbookViewId="0">
      <selection activeCell="B41" sqref="B41:B42"/>
    </sheetView>
  </sheetViews>
  <sheetFormatPr defaultColWidth="8.875" defaultRowHeight="12.25"/>
  <cols>
    <col min="2" max="2" width="193.625" bestFit="1" customWidth="1"/>
    <col min="3" max="3" width="126.625" bestFit="1" customWidth="1"/>
    <col min="4" max="4" width="40.75" bestFit="1" customWidth="1"/>
    <col min="5" max="5" width="55.875" bestFit="1" customWidth="1"/>
    <col min="6" max="7" width="37" customWidth="1"/>
  </cols>
  <sheetData>
    <row r="1" spans="1:9" ht="12.9">
      <c r="A1" s="3" t="s">
        <v>50</v>
      </c>
      <c r="B1" s="3" t="s">
        <v>51</v>
      </c>
      <c r="C1" s="8"/>
      <c r="D1" s="8"/>
      <c r="E1" s="8"/>
      <c r="F1" s="8"/>
      <c r="G1" s="8"/>
      <c r="H1" s="8"/>
      <c r="I1" s="8"/>
    </row>
    <row r="2" spans="1:9" ht="12.9">
      <c r="A2" s="3"/>
      <c r="C2" s="3"/>
      <c r="D2" s="8"/>
      <c r="E2" s="8"/>
      <c r="F2" s="8"/>
      <c r="G2" s="8"/>
      <c r="H2" s="8"/>
      <c r="I2" s="8"/>
    </row>
    <row r="3" spans="1:9" ht="12.9">
      <c r="A3" s="50" t="s">
        <v>0</v>
      </c>
      <c r="B3" s="7" t="s">
        <v>117</v>
      </c>
      <c r="G3" s="1"/>
      <c r="H3" s="8"/>
      <c r="I3" s="8"/>
    </row>
    <row r="4" spans="1:9" ht="12.9">
      <c r="B4" s="3" t="s">
        <v>52</v>
      </c>
      <c r="H4" s="3"/>
      <c r="I4" s="3"/>
    </row>
    <row r="5" spans="1:9" ht="12.9">
      <c r="B5" s="13">
        <v>2019</v>
      </c>
      <c r="H5" s="3"/>
      <c r="I5" s="3"/>
    </row>
    <row r="6" spans="1:9" ht="12.9">
      <c r="B6" s="9" t="s">
        <v>1</v>
      </c>
      <c r="H6" s="3"/>
      <c r="I6" s="3"/>
    </row>
    <row r="7" spans="1:9" ht="12.9">
      <c r="A7" s="3"/>
      <c r="B7" s="3" t="s">
        <v>54</v>
      </c>
      <c r="C7" s="3"/>
      <c r="D7" s="3"/>
      <c r="E7" s="3"/>
      <c r="F7" s="11"/>
      <c r="G7" s="11"/>
      <c r="H7" s="11"/>
      <c r="I7" s="11"/>
    </row>
    <row r="8" spans="1:9" ht="12.9">
      <c r="A8" s="3"/>
      <c r="B8" s="13">
        <v>2021</v>
      </c>
      <c r="C8" s="3"/>
      <c r="D8" s="3"/>
      <c r="E8" s="3"/>
      <c r="F8" s="11"/>
      <c r="G8" s="11"/>
      <c r="H8" s="11"/>
      <c r="I8" s="11"/>
    </row>
    <row r="9" spans="1:9" ht="12.9">
      <c r="A9" s="3"/>
      <c r="B9" s="15" t="s">
        <v>56</v>
      </c>
      <c r="C9" s="3"/>
      <c r="D9" s="3"/>
      <c r="E9" s="3"/>
      <c r="F9" s="11"/>
      <c r="G9" s="11"/>
      <c r="H9" s="11"/>
      <c r="I9" s="11"/>
    </row>
    <row r="10" spans="1:9" ht="12.9">
      <c r="B10" s="3"/>
      <c r="C10" s="16"/>
      <c r="D10" s="3"/>
      <c r="E10" s="3"/>
      <c r="F10" s="3"/>
      <c r="G10" s="3"/>
      <c r="H10" s="3"/>
      <c r="I10" s="3"/>
    </row>
    <row r="11" spans="1:9" ht="12.9">
      <c r="B11" s="7" t="s">
        <v>118</v>
      </c>
      <c r="C11" s="14"/>
      <c r="D11" s="3"/>
      <c r="E11" s="3"/>
      <c r="F11" s="3"/>
      <c r="G11" s="3"/>
      <c r="H11" s="3"/>
      <c r="I11" s="3"/>
    </row>
    <row r="12" spans="1:9" ht="12.9">
      <c r="B12" s="3" t="s">
        <v>57</v>
      </c>
      <c r="C12" s="10"/>
      <c r="D12" s="3"/>
      <c r="E12" s="3"/>
      <c r="F12" s="11"/>
      <c r="G12" s="11"/>
      <c r="H12" s="11"/>
      <c r="I12" s="11"/>
    </row>
    <row r="13" spans="1:9" ht="12.9">
      <c r="A13" s="3"/>
      <c r="B13" s="13">
        <v>2023</v>
      </c>
      <c r="C13" s="15"/>
      <c r="D13" s="3"/>
      <c r="E13" s="3"/>
      <c r="F13" s="11"/>
      <c r="G13" s="11"/>
      <c r="H13" s="11"/>
      <c r="I13" s="11"/>
    </row>
    <row r="14" spans="1:9" ht="12.9">
      <c r="A14" s="3"/>
      <c r="B14" s="14" t="s">
        <v>58</v>
      </c>
      <c r="C14" s="3"/>
      <c r="D14" s="3"/>
      <c r="E14" s="3"/>
      <c r="F14" s="11"/>
      <c r="G14" s="11"/>
      <c r="H14" s="11"/>
      <c r="I14" s="11"/>
    </row>
    <row r="15" spans="1:9" ht="12.9">
      <c r="A15" s="3"/>
      <c r="B15" s="14"/>
      <c r="C15" s="3"/>
      <c r="D15" s="3"/>
      <c r="E15" s="3"/>
      <c r="F15" s="11"/>
      <c r="G15" s="11"/>
      <c r="H15" s="11"/>
      <c r="I15" s="11"/>
    </row>
    <row r="16" spans="1:9" ht="12.9">
      <c r="A16" s="3"/>
      <c r="B16" s="7" t="s">
        <v>119</v>
      </c>
      <c r="C16" s="3"/>
      <c r="D16" s="3"/>
      <c r="E16" s="3"/>
      <c r="F16" s="11"/>
      <c r="G16" s="11"/>
      <c r="H16" s="11"/>
      <c r="I16" s="11"/>
    </row>
    <row r="17" spans="1:9" ht="12.9">
      <c r="A17" s="3"/>
      <c r="B17" s="3" t="s">
        <v>53</v>
      </c>
      <c r="C17" s="3"/>
      <c r="D17" s="3"/>
      <c r="E17" s="3"/>
      <c r="F17" s="11"/>
      <c r="G17" s="11"/>
      <c r="H17" s="11"/>
      <c r="I17" s="11"/>
    </row>
    <row r="18" spans="1:9" ht="12.9">
      <c r="A18" s="3"/>
      <c r="B18" s="13">
        <v>2019</v>
      </c>
      <c r="C18" s="3"/>
      <c r="D18" s="3"/>
      <c r="E18" s="3"/>
      <c r="F18" s="11"/>
      <c r="G18" s="11"/>
      <c r="H18" s="11"/>
      <c r="I18" s="11"/>
    </row>
    <row r="19" spans="1:9" ht="12.9">
      <c r="A19" s="3"/>
      <c r="B19" s="14" t="s">
        <v>59</v>
      </c>
      <c r="C19" s="3"/>
      <c r="D19" s="3"/>
      <c r="E19" s="3"/>
      <c r="F19" s="11"/>
      <c r="G19" s="11"/>
      <c r="H19" s="11"/>
      <c r="I19" s="11"/>
    </row>
    <row r="20" spans="1:9" ht="12.9">
      <c r="A20" s="3"/>
      <c r="B20" s="3"/>
      <c r="C20" s="3"/>
      <c r="D20" s="3"/>
      <c r="E20" s="3"/>
      <c r="F20" s="11"/>
      <c r="G20" s="11"/>
      <c r="H20" s="11"/>
      <c r="I20" s="11"/>
    </row>
    <row r="21" spans="1:9" ht="12.9">
      <c r="A21" s="3"/>
      <c r="B21" s="7" t="s">
        <v>120</v>
      </c>
      <c r="C21" s="3"/>
      <c r="D21" s="3"/>
      <c r="E21" s="3"/>
      <c r="F21" s="11"/>
      <c r="G21" s="11"/>
      <c r="H21" s="11"/>
      <c r="I21" s="11"/>
    </row>
    <row r="22" spans="1:9" ht="12.9">
      <c r="A22" s="3"/>
      <c r="B22" s="3" t="s">
        <v>52</v>
      </c>
      <c r="C22" s="3"/>
      <c r="D22" s="3"/>
      <c r="E22" s="3"/>
      <c r="F22" s="11"/>
      <c r="G22" s="11"/>
      <c r="H22" s="11"/>
      <c r="I22" s="11"/>
    </row>
    <row r="23" spans="1:9" ht="12.9">
      <c r="A23" s="3"/>
      <c r="B23" s="13">
        <v>2022</v>
      </c>
      <c r="C23" s="3"/>
      <c r="D23" s="3"/>
      <c r="E23" s="3"/>
      <c r="F23" s="11"/>
      <c r="G23" s="11"/>
      <c r="H23" s="11"/>
      <c r="I23" s="11"/>
    </row>
    <row r="24" spans="1:9" ht="12.9">
      <c r="A24" s="3"/>
      <c r="B24" s="10" t="s">
        <v>55</v>
      </c>
      <c r="C24" s="3"/>
      <c r="D24" s="3"/>
      <c r="E24" s="3"/>
      <c r="F24" s="11"/>
      <c r="G24" s="11"/>
      <c r="H24" s="11"/>
      <c r="I24" s="11"/>
    </row>
    <row r="25" spans="1:9" ht="12.9">
      <c r="A25" s="3"/>
      <c r="C25" s="3"/>
      <c r="D25" s="3"/>
      <c r="E25" s="3"/>
      <c r="F25" s="11"/>
      <c r="G25" s="11"/>
      <c r="H25" s="11"/>
      <c r="I25" s="11"/>
    </row>
    <row r="26" spans="1:9" ht="12.9">
      <c r="A26" s="3"/>
      <c r="C26" s="3"/>
      <c r="D26" s="3"/>
      <c r="E26" s="3"/>
      <c r="F26" s="11"/>
      <c r="G26" s="11"/>
      <c r="H26" s="11"/>
      <c r="I26" s="11"/>
    </row>
    <row r="27" spans="1:9" ht="12.9">
      <c r="A27" s="3"/>
      <c r="B27" s="7" t="s">
        <v>2</v>
      </c>
      <c r="C27" s="3"/>
      <c r="D27" s="3"/>
      <c r="E27" s="3"/>
      <c r="F27" s="3"/>
      <c r="G27" s="3"/>
      <c r="H27" s="3"/>
      <c r="I27" s="3"/>
    </row>
    <row r="28" spans="1:9" ht="12.9">
      <c r="A28" s="3"/>
      <c r="B28" s="3" t="s">
        <v>3</v>
      </c>
      <c r="C28" s="3"/>
      <c r="D28" s="3"/>
      <c r="E28" s="3"/>
      <c r="F28" s="3"/>
      <c r="G28" s="3"/>
      <c r="H28" s="3"/>
      <c r="I28" s="3"/>
    </row>
    <row r="29" spans="1:9" ht="12.9">
      <c r="A29" s="3"/>
      <c r="B29" s="3"/>
      <c r="C29" s="3"/>
      <c r="D29" s="3"/>
      <c r="E29" s="3"/>
      <c r="F29" s="3"/>
      <c r="G29" s="3"/>
      <c r="H29" s="3"/>
      <c r="I29" s="3"/>
    </row>
    <row r="30" spans="1:9" ht="12.9">
      <c r="A30" s="3"/>
      <c r="B30" s="3" t="s">
        <v>4</v>
      </c>
      <c r="C30" s="3"/>
      <c r="D30" s="3"/>
      <c r="E30" s="3"/>
      <c r="F30" s="3"/>
      <c r="G30" s="3"/>
      <c r="H30" s="3"/>
      <c r="I30" s="3"/>
    </row>
    <row r="31" spans="1:9" ht="12.9">
      <c r="B31" s="3" t="s">
        <v>5</v>
      </c>
    </row>
    <row r="32" spans="1:9" ht="12.9">
      <c r="B32" s="3"/>
    </row>
    <row r="33" spans="1:2" ht="12.9">
      <c r="B33" s="3" t="s">
        <v>6</v>
      </c>
    </row>
    <row r="37" spans="1:2" ht="12.9">
      <c r="A37" s="3"/>
      <c r="B37" s="16"/>
    </row>
    <row r="38" spans="1:2" ht="12.9">
      <c r="A38" s="3"/>
      <c r="B38" s="14"/>
    </row>
    <row r="39" spans="1:2" ht="12.9">
      <c r="A39" s="3"/>
      <c r="B39" s="10"/>
    </row>
    <row r="40" spans="1:2" ht="12.9">
      <c r="A40" s="3"/>
      <c r="B40" s="15"/>
    </row>
    <row r="41" spans="1:2" ht="12.9">
      <c r="A41" s="3"/>
      <c r="B41" s="3"/>
    </row>
    <row r="42" spans="1:2" ht="12.9">
      <c r="A42" s="3"/>
      <c r="B42" s="3"/>
    </row>
  </sheetData>
  <phoneticPr fontId="8" type="noConversion"/>
  <hyperlinks>
    <hyperlink ref="B6" r:id="rId1" xr:uid="{49B5A7CA-5E36-48E9-9262-A15CE2F38A4C}"/>
    <hyperlink ref="B24" r:id="rId2" xr:uid="{0C9DB926-3975-458F-809F-758584973927}"/>
    <hyperlink ref="B9" r:id="rId3" xr:uid="{85A18C95-C192-494E-B6C7-D931E0D79009}"/>
    <hyperlink ref="B14" r:id="rId4" xr:uid="{5139C2AF-459A-49B0-BDF9-BD6F0316467A}"/>
    <hyperlink ref="B19" r:id="rId5" xr:uid="{2A45632C-2C82-441C-9DCF-24DEED9B197F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3"/>
  <sheetViews>
    <sheetView topLeftCell="M25" zoomScaleNormal="100" workbookViewId="0">
      <selection activeCell="R31" sqref="Q31:Y37"/>
    </sheetView>
  </sheetViews>
  <sheetFormatPr defaultColWidth="8.875" defaultRowHeight="12.25"/>
  <cols>
    <col min="1" max="1" width="13"/>
    <col min="2" max="2" width="15.125" bestFit="1" customWidth="1"/>
    <col min="3" max="3" width="13"/>
    <col min="4" max="4" width="50.125" customWidth="1"/>
    <col min="5" max="5" width="31.625" customWidth="1"/>
    <col min="6" max="6" width="15.375" bestFit="1" customWidth="1"/>
    <col min="7" max="7" width="12.875"/>
    <col min="8" max="8" width="15.125" customWidth="1"/>
    <col min="9" max="9" width="15.125" style="18" bestFit="1" customWidth="1"/>
    <col min="10" max="10" width="20.375" bestFit="1" customWidth="1"/>
    <col min="11" max="11" width="45.625" bestFit="1" customWidth="1"/>
    <col min="12" max="12" width="15.625" bestFit="1" customWidth="1"/>
    <col min="14" max="14" width="15.375" bestFit="1" customWidth="1"/>
    <col min="17" max="17" width="15.125" bestFit="1" customWidth="1"/>
    <col min="18" max="18" width="22.875" bestFit="1" customWidth="1"/>
    <col min="19" max="19" width="36.375" bestFit="1" customWidth="1"/>
    <col min="20" max="20" width="29" bestFit="1" customWidth="1"/>
    <col min="21" max="21" width="24.625" bestFit="1" customWidth="1"/>
    <col min="22" max="22" width="21.5" bestFit="1" customWidth="1"/>
    <col min="23" max="23" width="31.875" bestFit="1" customWidth="1"/>
    <col min="24" max="24" width="17.125" bestFit="1" customWidth="1"/>
    <col min="25" max="25" width="24.625" bestFit="1" customWidth="1"/>
  </cols>
  <sheetData>
    <row r="1" spans="1:23" ht="12.9">
      <c r="A1" s="71" t="s">
        <v>60</v>
      </c>
      <c r="B1" s="71"/>
      <c r="C1" s="71"/>
      <c r="D1" s="71"/>
      <c r="E1" s="17"/>
      <c r="F1" s="3"/>
      <c r="G1" s="3"/>
      <c r="H1" s="3"/>
      <c r="I1" s="17"/>
      <c r="O1" s="3"/>
      <c r="P1" s="3"/>
      <c r="Q1" s="3"/>
      <c r="R1" s="3"/>
      <c r="S1" s="3"/>
      <c r="T1" s="3"/>
      <c r="U1" s="3"/>
      <c r="V1" s="3"/>
      <c r="W1" s="3"/>
    </row>
    <row r="2" spans="1:23" ht="12.9">
      <c r="A2" s="24" t="s">
        <v>7</v>
      </c>
      <c r="B2" s="24" t="s">
        <v>8</v>
      </c>
      <c r="C2" s="19"/>
      <c r="D2" s="19" t="s">
        <v>9</v>
      </c>
      <c r="E2" s="3"/>
      <c r="I2" s="17"/>
      <c r="O2" s="3"/>
      <c r="P2" s="3"/>
      <c r="Q2" s="3"/>
      <c r="R2" s="3"/>
      <c r="S2" s="3"/>
      <c r="T2" s="3"/>
      <c r="U2" s="3"/>
      <c r="V2" s="3"/>
      <c r="W2" s="3"/>
    </row>
    <row r="3" spans="1:23" ht="12.9">
      <c r="A3" s="25">
        <f>23341800*10000/(452084*1.61)/D3</f>
        <v>1337.8886547524653</v>
      </c>
      <c r="B3" s="25">
        <f>610000*10000/(2433491*1.61)/D4</f>
        <v>52.757040483714071</v>
      </c>
      <c r="C3" s="19"/>
      <c r="D3" s="19">
        <v>239.70073166221999</v>
      </c>
      <c r="E3" s="3"/>
      <c r="I3" s="17"/>
      <c r="O3" s="3"/>
      <c r="P3" s="3"/>
      <c r="Q3" s="3"/>
      <c r="R3" s="3"/>
      <c r="S3" s="3"/>
      <c r="T3" s="3"/>
      <c r="U3" s="3"/>
      <c r="V3" s="3"/>
      <c r="W3" s="3"/>
    </row>
    <row r="4" spans="1:23" ht="12.9">
      <c r="A4" s="19"/>
      <c r="B4" s="19"/>
      <c r="C4" s="19"/>
      <c r="D4" s="19">
        <v>29.511670253269301</v>
      </c>
      <c r="E4" s="3"/>
      <c r="I4" s="17"/>
      <c r="O4" s="3"/>
      <c r="P4" s="3"/>
      <c r="Q4" s="3"/>
      <c r="R4" s="3"/>
      <c r="S4" s="3"/>
      <c r="T4" s="3"/>
      <c r="U4" s="3"/>
      <c r="V4" s="3"/>
      <c r="W4" s="3"/>
    </row>
    <row r="5" spans="1:23" ht="50.95" customHeight="1">
      <c r="A5" s="79" t="s">
        <v>113</v>
      </c>
      <c r="B5" s="79"/>
      <c r="C5" s="79"/>
      <c r="D5" s="79"/>
      <c r="E5" s="3"/>
      <c r="I5" s="17"/>
      <c r="O5" s="3"/>
      <c r="P5" s="3"/>
      <c r="Q5" s="3"/>
      <c r="R5" s="3"/>
      <c r="S5" s="3"/>
      <c r="T5" s="3"/>
      <c r="U5" s="3"/>
      <c r="V5" s="3"/>
      <c r="W5" s="3"/>
    </row>
    <row r="11" spans="1:23" ht="12.9">
      <c r="A11" s="71" t="s">
        <v>61</v>
      </c>
      <c r="B11" s="71"/>
      <c r="C11" s="71"/>
      <c r="D11" s="71"/>
      <c r="E11" s="71"/>
      <c r="G11" s="71" t="s">
        <v>20</v>
      </c>
      <c r="H11" s="71"/>
      <c r="I11" s="71"/>
      <c r="J11" s="71"/>
      <c r="N11" s="3"/>
      <c r="O11" s="3"/>
      <c r="P11" s="3"/>
      <c r="Q11" s="3"/>
      <c r="R11" s="3"/>
      <c r="S11" s="3"/>
      <c r="T11" s="3"/>
      <c r="U11" s="3"/>
      <c r="V11" s="3"/>
    </row>
    <row r="12" spans="1:23" ht="12.9">
      <c r="A12" s="80" t="s">
        <v>7</v>
      </c>
      <c r="B12" s="80"/>
      <c r="C12" s="80"/>
      <c r="D12" s="80" t="s">
        <v>8</v>
      </c>
      <c r="E12" s="80"/>
      <c r="G12" s="71" t="s">
        <v>7</v>
      </c>
      <c r="H12" s="71"/>
      <c r="I12" s="71" t="s">
        <v>8</v>
      </c>
      <c r="J12" s="71"/>
      <c r="N12" s="3"/>
      <c r="O12" s="3"/>
      <c r="P12" s="3"/>
      <c r="Q12" s="3"/>
      <c r="R12" s="3"/>
      <c r="S12" s="3"/>
      <c r="T12" s="3"/>
      <c r="U12" s="3"/>
      <c r="V12" s="3"/>
    </row>
    <row r="13" spans="1:23" ht="12.9">
      <c r="A13" s="71">
        <f>1944*(G13/(G13+I13))</f>
        <v>88.951798107255527</v>
      </c>
      <c r="B13" s="71"/>
      <c r="C13" s="71"/>
      <c r="D13" s="71">
        <f>1944*(I13/(I13+G13))</f>
        <v>1855.0482018927444</v>
      </c>
      <c r="E13" s="71"/>
      <c r="G13" s="71">
        <v>5802</v>
      </c>
      <c r="H13" s="71"/>
      <c r="I13" s="71">
        <v>120998</v>
      </c>
      <c r="J13" s="71"/>
      <c r="N13" s="3"/>
      <c r="O13" s="3"/>
      <c r="P13" s="3"/>
      <c r="Q13" s="3"/>
      <c r="R13" s="3"/>
      <c r="S13" s="3"/>
      <c r="T13" s="3"/>
      <c r="U13" s="3"/>
      <c r="V13" s="3"/>
    </row>
    <row r="14" spans="1:23" ht="12.9">
      <c r="A14" s="20" t="s">
        <v>16</v>
      </c>
      <c r="B14" s="20" t="s">
        <v>17</v>
      </c>
      <c r="C14" s="20" t="s">
        <v>18</v>
      </c>
      <c r="D14" s="20" t="s">
        <v>18</v>
      </c>
      <c r="E14" s="20" t="s">
        <v>17</v>
      </c>
      <c r="G14" s="5" t="s">
        <v>18</v>
      </c>
      <c r="H14" s="5" t="s">
        <v>17</v>
      </c>
      <c r="I14" s="5" t="s">
        <v>18</v>
      </c>
      <c r="J14" s="5" t="s">
        <v>17</v>
      </c>
      <c r="N14" s="3"/>
      <c r="O14" s="3"/>
      <c r="P14" s="3"/>
      <c r="Q14" s="3"/>
      <c r="R14" s="3"/>
      <c r="S14" s="3"/>
      <c r="T14" s="3"/>
      <c r="U14" s="3"/>
      <c r="V14" s="3"/>
    </row>
    <row r="15" spans="1:23" ht="12.9">
      <c r="A15" s="21">
        <f>A13*H16</f>
        <v>3.8328075709779208</v>
      </c>
      <c r="B15" s="21">
        <f>A13*H15</f>
        <v>85.103659305993688</v>
      </c>
      <c r="C15" s="21">
        <f>A13*G15</f>
        <v>1.5331230283911647E-2</v>
      </c>
      <c r="D15" s="21">
        <f>D13*I15</f>
        <v>6.1171608832807598</v>
      </c>
      <c r="E15" s="21">
        <f>D13*J15</f>
        <v>1848.9310410094631</v>
      </c>
      <c r="F15" s="3"/>
      <c r="G15" s="6">
        <v>1.7235436056532201E-4</v>
      </c>
      <c r="H15" s="6">
        <v>0.95673905549810401</v>
      </c>
      <c r="I15" s="5">
        <v>3.29757516653168E-3</v>
      </c>
      <c r="J15" s="4">
        <v>0.99670242483346805</v>
      </c>
      <c r="N15" s="3"/>
      <c r="O15" s="3"/>
      <c r="P15" s="3"/>
      <c r="Q15" s="3"/>
      <c r="R15" s="3"/>
      <c r="S15" s="3"/>
      <c r="T15" s="3"/>
      <c r="U15" s="3"/>
      <c r="V15" s="3"/>
    </row>
    <row r="16" spans="1:23" ht="12.9">
      <c r="A16" s="71" t="s">
        <v>62</v>
      </c>
      <c r="B16" s="71"/>
      <c r="C16" s="71"/>
      <c r="D16" s="71"/>
      <c r="E16" s="71"/>
      <c r="F16" s="3"/>
      <c r="G16" s="5" t="s">
        <v>28</v>
      </c>
      <c r="H16" s="6">
        <v>4.3088590141330603E-2</v>
      </c>
      <c r="I16" s="5"/>
      <c r="J16" s="5"/>
      <c r="N16" s="3"/>
      <c r="O16" s="3"/>
      <c r="P16" s="3"/>
      <c r="Q16" s="3"/>
      <c r="R16" s="3"/>
      <c r="S16" s="3"/>
      <c r="T16" s="3"/>
      <c r="U16" s="3"/>
      <c r="V16" s="3"/>
    </row>
    <row r="17" spans="1:25" ht="12.9">
      <c r="A17" s="23"/>
      <c r="B17" s="23"/>
      <c r="C17" s="23"/>
      <c r="D17" s="23"/>
      <c r="E17" s="23"/>
      <c r="F17" s="3"/>
      <c r="G17" s="3"/>
      <c r="H17" s="3"/>
      <c r="I17" s="26"/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</row>
    <row r="18" spans="1:25" ht="12.9">
      <c r="A18" s="23"/>
      <c r="B18" s="23"/>
      <c r="C18" s="23"/>
      <c r="D18" s="23"/>
      <c r="E18" s="23"/>
      <c r="F18" s="3"/>
      <c r="G18" s="3"/>
      <c r="H18" s="3"/>
      <c r="I18" s="26"/>
      <c r="J18" s="3"/>
      <c r="K18" s="3"/>
      <c r="O18" s="3"/>
      <c r="P18" s="3"/>
      <c r="Q18" s="3"/>
      <c r="R18" s="3"/>
      <c r="S18" s="3"/>
      <c r="T18" s="3"/>
      <c r="U18" s="3"/>
      <c r="V18" s="3"/>
      <c r="W18" s="3"/>
    </row>
    <row r="19" spans="1:25" ht="12.9">
      <c r="A19" s="23"/>
      <c r="B19" s="23"/>
      <c r="C19" s="23"/>
      <c r="D19" s="23"/>
      <c r="E19" s="23"/>
      <c r="F19" s="3"/>
      <c r="G19" s="3"/>
      <c r="H19" s="3"/>
      <c r="I19" s="26"/>
      <c r="J19" s="3"/>
      <c r="K19" s="3"/>
      <c r="O19" s="3"/>
      <c r="P19" s="3"/>
      <c r="Q19" s="3"/>
      <c r="R19" s="3"/>
      <c r="S19" s="3"/>
      <c r="T19" s="3"/>
      <c r="U19" s="3"/>
      <c r="V19" s="3"/>
      <c r="W19" s="3"/>
    </row>
    <row r="20" spans="1:25" ht="12.9">
      <c r="A20" s="23"/>
      <c r="B20" s="23"/>
      <c r="C20" s="23"/>
      <c r="D20" s="23"/>
      <c r="E20" s="23"/>
      <c r="F20" s="3"/>
      <c r="G20" s="3"/>
      <c r="H20" s="3"/>
      <c r="I20" s="26"/>
      <c r="J20" s="3"/>
      <c r="K20" s="3"/>
      <c r="L20" s="3"/>
      <c r="M20" s="3"/>
      <c r="N20" s="3"/>
    </row>
    <row r="21" spans="1:25" ht="12.9">
      <c r="A21" s="75" t="s">
        <v>114</v>
      </c>
      <c r="B21" s="75"/>
      <c r="C21" s="75"/>
      <c r="D21" s="75"/>
      <c r="E21" s="3"/>
      <c r="F21" s="5"/>
      <c r="G21" s="29" t="s">
        <v>10</v>
      </c>
      <c r="H21" s="29" t="s">
        <v>11</v>
      </c>
      <c r="I21" s="17"/>
      <c r="J21" s="3"/>
      <c r="K21" s="3"/>
      <c r="L21" s="3"/>
      <c r="M21" s="3"/>
      <c r="N21" s="3"/>
    </row>
    <row r="22" spans="1:25" ht="12.9">
      <c r="A22" s="78" t="s">
        <v>7</v>
      </c>
      <c r="B22" s="78"/>
      <c r="C22" s="78" t="s">
        <v>8</v>
      </c>
      <c r="D22" s="78"/>
      <c r="E22" s="3"/>
      <c r="F22" s="29" t="s">
        <v>12</v>
      </c>
      <c r="G22" s="5">
        <f>A25/SUM(A25,C25)</f>
        <v>0.9795692112765283</v>
      </c>
      <c r="H22" s="5">
        <f>C25/SUM(C25,A25)</f>
        <v>2.0430788723471649E-2</v>
      </c>
      <c r="I22" s="17"/>
      <c r="J22" s="3"/>
      <c r="K22" s="3"/>
      <c r="L22" s="3"/>
      <c r="M22" s="3"/>
      <c r="N22" s="3"/>
    </row>
    <row r="23" spans="1:25" ht="12.9">
      <c r="A23" s="75">
        <f>SUM(A25:B25)</f>
        <v>3784900</v>
      </c>
      <c r="B23" s="75"/>
      <c r="C23" s="75">
        <f>SUM(C25:D25)</f>
        <v>330600</v>
      </c>
      <c r="D23" s="75"/>
      <c r="E23" s="3"/>
      <c r="F23" s="29" t="s">
        <v>15</v>
      </c>
      <c r="G23" s="5">
        <f>B25/SUM(B25,D25)</f>
        <v>0.22592479364108836</v>
      </c>
      <c r="H23" s="5">
        <f>D25/SUM(D25,B25)</f>
        <v>0.77407520635891169</v>
      </c>
      <c r="I23" s="17"/>
      <c r="J23" s="3"/>
      <c r="K23" s="3"/>
      <c r="L23" s="3"/>
      <c r="M23" s="3"/>
      <c r="N23" s="3"/>
    </row>
    <row r="24" spans="1:25" ht="12.9">
      <c r="A24" s="27" t="s">
        <v>12</v>
      </c>
      <c r="B24" s="27" t="s">
        <v>15</v>
      </c>
      <c r="C24" s="27" t="s">
        <v>12</v>
      </c>
      <c r="D24" s="27" t="s">
        <v>15</v>
      </c>
      <c r="E24" s="3"/>
      <c r="F24" s="3"/>
      <c r="G24" s="3"/>
      <c r="H24" s="3"/>
      <c r="I24" s="17"/>
      <c r="J24" s="3"/>
      <c r="K24" s="3"/>
      <c r="L24" s="3"/>
      <c r="M24" s="3"/>
      <c r="N24" s="3"/>
    </row>
    <row r="25" spans="1:25" ht="12.9">
      <c r="A25" s="28">
        <f>(370.17+0.93)*10000</f>
        <v>3711000</v>
      </c>
      <c r="B25" s="28">
        <f>(4.95+2.44)*10000</f>
        <v>73900</v>
      </c>
      <c r="C25" s="28">
        <f>(7.74)*10000</f>
        <v>77400</v>
      </c>
      <c r="D25" s="28">
        <f>(20.75+4.57)*10000</f>
        <v>253200</v>
      </c>
      <c r="E25" s="3"/>
      <c r="F25" s="3"/>
      <c r="G25" s="3"/>
      <c r="H25" s="3"/>
      <c r="I25" s="17"/>
      <c r="J25" s="3"/>
      <c r="K25" s="3"/>
      <c r="L25" s="3"/>
      <c r="M25" s="3"/>
      <c r="N25" s="3"/>
    </row>
    <row r="26" spans="1:25" ht="12.9">
      <c r="A26" s="75" t="s">
        <v>63</v>
      </c>
      <c r="B26" s="75"/>
      <c r="C26" s="75"/>
      <c r="D26" s="75"/>
      <c r="E26" s="3"/>
      <c r="F26" s="3"/>
      <c r="G26" s="3"/>
      <c r="H26" s="3"/>
      <c r="I26" s="17"/>
      <c r="J26" s="3"/>
      <c r="K26" s="3"/>
      <c r="L26" s="3"/>
      <c r="M26" s="3"/>
      <c r="N26" s="3"/>
    </row>
    <row r="27" spans="1:25" ht="12.9">
      <c r="A27" s="8"/>
      <c r="B27" s="8"/>
      <c r="C27" s="8"/>
      <c r="D27" s="8"/>
      <c r="E27" s="3"/>
      <c r="F27" s="3"/>
      <c r="G27" s="3"/>
      <c r="H27" s="3"/>
      <c r="I27" s="17"/>
      <c r="J27" s="3"/>
      <c r="K27" s="3"/>
      <c r="L27" s="3"/>
      <c r="M27" s="3"/>
      <c r="N27" s="3"/>
    </row>
    <row r="28" spans="1:25" ht="12.9">
      <c r="A28" s="8"/>
      <c r="B28" s="8"/>
      <c r="C28" s="8"/>
      <c r="D28" s="8"/>
      <c r="E28" s="3"/>
      <c r="F28" s="3"/>
      <c r="G28" s="3"/>
      <c r="H28" s="3"/>
      <c r="I28" s="17"/>
      <c r="J28" s="3"/>
      <c r="K28" s="3"/>
      <c r="L28" s="3"/>
      <c r="O28" s="3"/>
      <c r="P28" s="3"/>
      <c r="Q28" s="3"/>
      <c r="R28" s="3"/>
      <c r="S28" s="3"/>
      <c r="T28" s="3"/>
      <c r="U28" s="3"/>
      <c r="V28" s="3"/>
      <c r="W28" s="3"/>
    </row>
    <row r="29" spans="1:25" ht="12.9">
      <c r="A29" s="8"/>
      <c r="B29" s="8"/>
      <c r="C29" s="8"/>
      <c r="D29" s="8"/>
      <c r="E29" s="3"/>
      <c r="F29" s="3"/>
      <c r="G29" s="3"/>
      <c r="H29" s="3"/>
      <c r="I29" s="17"/>
      <c r="J29" s="3"/>
      <c r="K29" s="3"/>
      <c r="L29" s="3"/>
      <c r="O29" s="3"/>
      <c r="P29" s="3"/>
      <c r="Q29" s="3"/>
      <c r="R29" s="3"/>
      <c r="S29" s="3"/>
      <c r="T29" s="3"/>
      <c r="U29" s="3"/>
      <c r="V29" s="3"/>
      <c r="W29" s="3"/>
    </row>
    <row r="30" spans="1:25" ht="12.9">
      <c r="A30" s="8"/>
      <c r="B30" s="8"/>
      <c r="C30" s="8"/>
      <c r="D30" s="8"/>
      <c r="E30" s="3"/>
      <c r="F30" s="3"/>
      <c r="G30" s="3"/>
      <c r="H30" s="3"/>
      <c r="I30" s="17"/>
      <c r="J30" s="75" t="s">
        <v>98</v>
      </c>
      <c r="K30" s="75"/>
      <c r="L30" s="75"/>
      <c r="M30" s="75"/>
      <c r="N30" s="75"/>
      <c r="O30" s="75"/>
      <c r="P30" s="26"/>
      <c r="Q30" s="3"/>
      <c r="R30" s="3"/>
      <c r="S30" s="3"/>
      <c r="T30" s="3"/>
      <c r="U30" s="3"/>
      <c r="V30" s="3"/>
      <c r="W30" s="3"/>
    </row>
    <row r="31" spans="1:25" ht="12.9">
      <c r="A31" s="3"/>
      <c r="B31" s="3"/>
      <c r="C31" s="3"/>
      <c r="D31" s="3"/>
      <c r="E31" s="3"/>
      <c r="F31" s="3"/>
      <c r="G31" s="3"/>
      <c r="H31" s="3"/>
      <c r="I31" s="17"/>
      <c r="J31" s="27" t="s">
        <v>7</v>
      </c>
      <c r="K31" s="27" t="s">
        <v>12</v>
      </c>
      <c r="M31" s="39" t="s">
        <v>100</v>
      </c>
      <c r="N31" s="39" t="s">
        <v>91</v>
      </c>
      <c r="O31" s="5"/>
      <c r="P31" s="3"/>
      <c r="Q31" s="3"/>
      <c r="R31" s="3"/>
      <c r="S31" s="3" t="s">
        <v>107</v>
      </c>
      <c r="T31" s="3" t="s">
        <v>108</v>
      </c>
      <c r="U31" s="3" t="s">
        <v>109</v>
      </c>
      <c r="V31" s="3" t="s">
        <v>110</v>
      </c>
      <c r="W31" s="3" t="s">
        <v>111</v>
      </c>
      <c r="X31" s="3" t="s">
        <v>112</v>
      </c>
      <c r="Y31" s="39" t="s">
        <v>84</v>
      </c>
    </row>
    <row r="32" spans="1:25" ht="12.9">
      <c r="A32" s="31" t="s">
        <v>21</v>
      </c>
      <c r="B32" s="31" t="s">
        <v>22</v>
      </c>
      <c r="C32" s="31"/>
      <c r="D32" s="31" t="s">
        <v>66</v>
      </c>
      <c r="E32" s="31"/>
      <c r="F32" s="31"/>
      <c r="G32" s="31"/>
      <c r="H32" s="31"/>
      <c r="I32" s="17"/>
      <c r="J32" s="34"/>
      <c r="K32" s="82" t="s">
        <v>85</v>
      </c>
      <c r="L32" s="34" t="s">
        <v>75</v>
      </c>
      <c r="M32" s="34">
        <v>34673</v>
      </c>
      <c r="N32" s="34">
        <v>75</v>
      </c>
      <c r="O32" s="5"/>
      <c r="P32" s="3"/>
      <c r="Q32" s="5"/>
      <c r="R32" s="36" t="s">
        <v>36</v>
      </c>
      <c r="S32" s="36" t="s">
        <v>37</v>
      </c>
      <c r="T32" s="36" t="s">
        <v>81</v>
      </c>
      <c r="U32" s="36" t="s">
        <v>39</v>
      </c>
      <c r="V32" s="36" t="s">
        <v>82</v>
      </c>
      <c r="W32" s="36" t="s">
        <v>41</v>
      </c>
      <c r="X32" s="36" t="s">
        <v>83</v>
      </c>
      <c r="Y32" s="36" t="s">
        <v>43</v>
      </c>
    </row>
    <row r="33" spans="1:25" ht="12.9">
      <c r="A33" s="73" t="s">
        <v>23</v>
      </c>
      <c r="B33" s="73"/>
      <c r="C33" s="73"/>
      <c r="D33" s="73"/>
      <c r="E33" s="73" t="s">
        <v>24</v>
      </c>
      <c r="F33" s="73"/>
      <c r="G33" s="73"/>
      <c r="H33" s="73"/>
      <c r="I33" s="17"/>
      <c r="J33" s="34"/>
      <c r="K33" s="82"/>
      <c r="L33" s="34" t="s">
        <v>17</v>
      </c>
      <c r="M33" s="34">
        <v>107</v>
      </c>
      <c r="N33" s="34">
        <v>431</v>
      </c>
      <c r="O33" s="5"/>
      <c r="P33" s="3"/>
      <c r="Q33" s="5" t="s">
        <v>79</v>
      </c>
      <c r="R33" s="36" t="s">
        <v>44</v>
      </c>
      <c r="S33" s="21">
        <f>O60</f>
        <v>95851</v>
      </c>
      <c r="T33" s="21">
        <f>M37/O39*A25</f>
        <v>437.76419007923243</v>
      </c>
      <c r="U33" s="21">
        <f>A25-S33-T33-V33-W33</f>
        <v>3483501.6695829974</v>
      </c>
      <c r="V33" s="21">
        <f>M33/O39*A25</f>
        <v>650.5662269233037</v>
      </c>
      <c r="W33" s="21">
        <f>O59</f>
        <v>130559</v>
      </c>
      <c r="X33" s="21">
        <v>0</v>
      </c>
      <c r="Y33" s="21">
        <f>M62</f>
        <v>50</v>
      </c>
    </row>
    <row r="34" spans="1:25" ht="12.9">
      <c r="A34" s="31" t="s">
        <v>25</v>
      </c>
      <c r="B34" s="73" t="s">
        <v>16</v>
      </c>
      <c r="C34" s="73"/>
      <c r="D34" s="73"/>
      <c r="E34" s="32" t="s">
        <v>26</v>
      </c>
      <c r="F34" s="32"/>
      <c r="G34" s="73" t="s">
        <v>27</v>
      </c>
      <c r="H34" s="73"/>
      <c r="I34" s="17"/>
      <c r="J34" s="34"/>
      <c r="K34" s="82"/>
      <c r="L34" s="34" t="s">
        <v>13</v>
      </c>
      <c r="M34" s="34">
        <v>22821</v>
      </c>
      <c r="N34" s="34">
        <v>7584</v>
      </c>
      <c r="O34" s="5"/>
      <c r="P34" s="3"/>
      <c r="Q34" s="5"/>
      <c r="R34" s="36" t="s">
        <v>45</v>
      </c>
      <c r="S34" s="21">
        <f>M65</f>
        <v>13829</v>
      </c>
      <c r="T34" s="21">
        <v>0</v>
      </c>
      <c r="U34" s="21">
        <f>B25-T34-S34-V34-W34-X34-Y34</f>
        <v>20097.827513023345</v>
      </c>
      <c r="V34" s="21">
        <f>O42/M43*B25</f>
        <v>38782.172486976655</v>
      </c>
      <c r="W34" s="21">
        <f>O65</f>
        <v>831</v>
      </c>
      <c r="X34" s="21">
        <v>0</v>
      </c>
      <c r="Y34" s="21">
        <f>M67</f>
        <v>360</v>
      </c>
    </row>
    <row r="35" spans="1:25" ht="12.9">
      <c r="A35" s="73">
        <v>231</v>
      </c>
      <c r="B35" s="73" t="s">
        <v>26</v>
      </c>
      <c r="C35" s="73"/>
      <c r="D35" s="31" t="s">
        <v>27</v>
      </c>
      <c r="E35" s="73">
        <f>(118+14)*15</f>
        <v>1980</v>
      </c>
      <c r="F35" s="73"/>
      <c r="G35" s="73">
        <f>(1147+A35)*47</f>
        <v>64766</v>
      </c>
      <c r="H35" s="73"/>
      <c r="I35" s="17"/>
      <c r="J35" s="34"/>
      <c r="K35" s="82"/>
      <c r="L35" s="34" t="s">
        <v>14</v>
      </c>
      <c r="M35" s="34">
        <v>7335</v>
      </c>
      <c r="N35" s="34">
        <v>5820</v>
      </c>
      <c r="O35" s="5"/>
      <c r="P35" s="3"/>
      <c r="Q35" s="5" t="s">
        <v>80</v>
      </c>
      <c r="R35" s="36" t="s">
        <v>44</v>
      </c>
      <c r="S35" s="21">
        <f>M69</f>
        <v>2547</v>
      </c>
      <c r="T35" s="21">
        <f>M47/M48*C25</f>
        <v>0</v>
      </c>
      <c r="U35" s="21">
        <f>C25-T35-S35-V35-W35-X35-Y35</f>
        <v>16545.777853912572</v>
      </c>
      <c r="V35" s="21">
        <f>O45/M48*C25</f>
        <v>58307.222146087428</v>
      </c>
      <c r="W35" s="21">
        <v>0</v>
      </c>
      <c r="X35" s="34">
        <v>0</v>
      </c>
      <c r="Y35" s="34">
        <v>0</v>
      </c>
    </row>
    <row r="36" spans="1:25" ht="12.9">
      <c r="A36" s="73"/>
      <c r="B36" s="31" t="s">
        <v>29</v>
      </c>
      <c r="C36" s="31" t="s">
        <v>30</v>
      </c>
      <c r="D36" s="74">
        <f>1279-C37-B37</f>
        <v>1147.1333333333332</v>
      </c>
      <c r="E36" s="73"/>
      <c r="F36" s="73"/>
      <c r="G36" s="73"/>
      <c r="H36" s="73"/>
      <c r="I36" s="17"/>
      <c r="J36" s="34"/>
      <c r="K36" s="82"/>
      <c r="L36" s="34" t="s">
        <v>73</v>
      </c>
      <c r="M36" s="34">
        <v>477800</v>
      </c>
      <c r="N36" s="34">
        <v>53636</v>
      </c>
      <c r="O36" s="5"/>
      <c r="P36" s="3"/>
      <c r="Q36" s="5"/>
      <c r="R36" s="36" t="s">
        <v>45</v>
      </c>
      <c r="S36" s="21">
        <f>M73</f>
        <v>385</v>
      </c>
      <c r="T36" s="21">
        <f>M52/M53*D25</f>
        <v>12914.995744680851</v>
      </c>
      <c r="U36" s="21">
        <f>D25-S36-T36-X36-V36-W36-Y36</f>
        <v>3309.5446808510751</v>
      </c>
      <c r="V36" s="21">
        <f>O50/M53*D25</f>
        <v>235788.45957446808</v>
      </c>
      <c r="W36" s="5">
        <v>0</v>
      </c>
      <c r="X36" s="34">
        <v>0</v>
      </c>
      <c r="Y36" s="34">
        <f>M74</f>
        <v>802</v>
      </c>
    </row>
    <row r="37" spans="1:25" ht="12.9">
      <c r="A37" s="31"/>
      <c r="B37" s="31">
        <v>14</v>
      </c>
      <c r="C37" s="33">
        <f>1978/15-B37</f>
        <v>117.86666666666667</v>
      </c>
      <c r="D37" s="74"/>
      <c r="E37" s="31"/>
      <c r="F37" s="31"/>
      <c r="G37" s="31"/>
      <c r="H37" s="31"/>
      <c r="J37" s="34"/>
      <c r="K37" s="82"/>
      <c r="L37" s="34" t="s">
        <v>76</v>
      </c>
      <c r="M37" s="34">
        <v>72</v>
      </c>
      <c r="N37" s="34"/>
      <c r="O37" s="5"/>
      <c r="P37" s="3"/>
      <c r="Q37" s="57" t="s">
        <v>89</v>
      </c>
      <c r="R37" s="57"/>
      <c r="S37" s="57"/>
      <c r="T37" s="57"/>
      <c r="U37" s="57"/>
      <c r="V37" s="3"/>
      <c r="W37" s="3"/>
    </row>
    <row r="38" spans="1:25" ht="12.9">
      <c r="A38" s="57" t="s">
        <v>67</v>
      </c>
      <c r="B38" s="57"/>
      <c r="C38" s="57"/>
      <c r="D38" s="57"/>
      <c r="E38" s="57"/>
      <c r="F38" s="3"/>
      <c r="G38" s="3"/>
      <c r="H38" s="3"/>
      <c r="J38" s="34"/>
      <c r="K38" s="82"/>
      <c r="L38" s="35" t="s">
        <v>99</v>
      </c>
      <c r="M38" s="34">
        <v>2</v>
      </c>
      <c r="N38" s="34"/>
      <c r="O38" s="5"/>
      <c r="P38" s="3"/>
      <c r="Q38" s="3"/>
      <c r="R38" s="3"/>
      <c r="S38" s="3"/>
      <c r="T38" s="3"/>
      <c r="U38" s="3"/>
      <c r="V38" s="3"/>
      <c r="W38" s="3"/>
    </row>
    <row r="39" spans="1:25" ht="12.9">
      <c r="A39" s="3"/>
      <c r="B39" s="3"/>
      <c r="C39" s="2"/>
      <c r="D39" s="12"/>
      <c r="E39" s="3"/>
      <c r="F39" s="3"/>
      <c r="G39" s="3"/>
      <c r="H39" s="3"/>
      <c r="I39"/>
      <c r="J39" s="34"/>
      <c r="K39" s="82"/>
      <c r="L39" s="42" t="s">
        <v>97</v>
      </c>
      <c r="M39" s="31">
        <f>SUM(M32:M38)</f>
        <v>542810</v>
      </c>
      <c r="N39" s="44">
        <f>SUM(N32:N38)</f>
        <v>67546</v>
      </c>
      <c r="O39" s="31">
        <f>SUM(M39:N39)</f>
        <v>610356</v>
      </c>
      <c r="P39" s="3"/>
      <c r="Q39" s="3"/>
      <c r="R39" s="3"/>
      <c r="S39" s="3"/>
      <c r="T39" s="3"/>
      <c r="U39" s="3"/>
      <c r="V39" s="3"/>
      <c r="W39" s="3"/>
    </row>
    <row r="40" spans="1:25" ht="12.9">
      <c r="A40" s="3"/>
      <c r="B40" s="3"/>
      <c r="C40" s="3"/>
      <c r="D40" s="3"/>
      <c r="E40" s="3"/>
      <c r="F40" s="3"/>
      <c r="G40" s="3"/>
      <c r="H40" s="3"/>
      <c r="J40" s="5"/>
      <c r="K40" s="27" t="s">
        <v>15</v>
      </c>
      <c r="N40" s="5"/>
      <c r="O40" s="5"/>
      <c r="P40" s="3"/>
      <c r="Q40" s="3"/>
      <c r="R40" s="3"/>
      <c r="S40" s="3"/>
      <c r="T40" s="3"/>
      <c r="U40" s="3"/>
      <c r="V40" s="3"/>
      <c r="W40" s="3"/>
    </row>
    <row r="41" spans="1:25" ht="12.9">
      <c r="A41" s="5" t="s">
        <v>115</v>
      </c>
      <c r="B41" s="5" t="s">
        <v>19</v>
      </c>
      <c r="C41" s="3"/>
      <c r="D41" s="3"/>
      <c r="E41" s="3"/>
      <c r="F41" s="3"/>
      <c r="G41" s="3"/>
      <c r="H41" s="3"/>
      <c r="J41" s="34"/>
      <c r="K41" s="60" t="s">
        <v>101</v>
      </c>
      <c r="L41" s="35" t="s">
        <v>77</v>
      </c>
      <c r="M41" s="34">
        <v>1871</v>
      </c>
      <c r="N41" s="5" t="s">
        <v>102</v>
      </c>
      <c r="O41" s="5">
        <v>303</v>
      </c>
      <c r="P41" s="3"/>
      <c r="Q41" s="3"/>
      <c r="R41" s="3"/>
      <c r="S41" s="3"/>
      <c r="T41" s="3"/>
      <c r="U41" s="3"/>
      <c r="V41" s="3"/>
      <c r="W41" s="3"/>
    </row>
    <row r="42" spans="1:25" ht="12.9">
      <c r="A42" s="22" t="s">
        <v>7</v>
      </c>
      <c r="B42" s="30" t="s">
        <v>8</v>
      </c>
      <c r="C42" s="3"/>
      <c r="D42" s="3"/>
      <c r="E42" s="3"/>
      <c r="F42" s="3"/>
      <c r="G42" s="3"/>
      <c r="H42" s="3"/>
      <c r="J42" s="34"/>
      <c r="K42" s="61"/>
      <c r="L42" s="34" t="s">
        <v>73</v>
      </c>
      <c r="M42" s="34">
        <v>289</v>
      </c>
      <c r="N42" s="34" t="s">
        <v>17</v>
      </c>
      <c r="O42" s="34">
        <v>2720</v>
      </c>
      <c r="P42" s="3"/>
      <c r="Q42" s="3"/>
      <c r="R42" s="3"/>
      <c r="S42" s="3"/>
      <c r="T42" s="3"/>
      <c r="U42" s="3"/>
      <c r="V42" s="3"/>
      <c r="W42" s="3"/>
    </row>
    <row r="43" spans="1:25" ht="12.9">
      <c r="A43" s="5">
        <f xml:space="preserve"> 19.17*10000</f>
        <v>191700.00000000003</v>
      </c>
      <c r="B43" s="5">
        <v>0</v>
      </c>
      <c r="C43" s="3"/>
      <c r="D43" s="3"/>
      <c r="E43" s="3"/>
      <c r="F43" s="3"/>
      <c r="G43" s="3"/>
      <c r="H43" s="3"/>
      <c r="J43" s="34"/>
      <c r="K43" s="62"/>
      <c r="L43" s="42" t="s">
        <v>97</v>
      </c>
      <c r="M43" s="31">
        <f>SUM(M41:M42)+O41+O42</f>
        <v>5183</v>
      </c>
      <c r="O43" s="5"/>
      <c r="P43" s="3"/>
      <c r="Q43" s="3"/>
      <c r="R43" s="3"/>
      <c r="S43" s="3"/>
      <c r="T43" s="3"/>
      <c r="U43" s="3"/>
      <c r="V43" s="3"/>
      <c r="W43" s="3"/>
    </row>
    <row r="44" spans="1:25" ht="12.9">
      <c r="A44" s="5" t="s">
        <v>64</v>
      </c>
      <c r="B44" s="5"/>
      <c r="C44" s="3"/>
      <c r="D44" s="3"/>
      <c r="E44" s="3"/>
      <c r="F44" s="3"/>
      <c r="G44" s="3"/>
      <c r="H44" s="3"/>
      <c r="J44" s="27" t="s">
        <v>8</v>
      </c>
      <c r="K44" s="27" t="s">
        <v>12</v>
      </c>
      <c r="N44" s="34"/>
      <c r="O44" s="34"/>
      <c r="S44" s="3"/>
      <c r="T44" s="3"/>
      <c r="U44" s="3"/>
      <c r="V44" s="3"/>
      <c r="W44" s="3"/>
    </row>
    <row r="45" spans="1:25" ht="12.9">
      <c r="A45" s="3"/>
      <c r="B45" s="3"/>
      <c r="C45" s="3"/>
      <c r="D45" s="3"/>
      <c r="E45" s="3"/>
      <c r="F45" s="3"/>
      <c r="G45" s="3"/>
      <c r="H45" s="3"/>
      <c r="J45" s="34"/>
      <c r="K45" s="60" t="s">
        <v>87</v>
      </c>
      <c r="L45" s="35" t="s">
        <v>69</v>
      </c>
      <c r="M45" s="34">
        <v>57</v>
      </c>
      <c r="N45" s="35" t="s">
        <v>68</v>
      </c>
      <c r="O45" s="34">
        <v>5497</v>
      </c>
      <c r="S45" s="3"/>
      <c r="T45" s="3"/>
      <c r="U45" s="3"/>
      <c r="V45" s="3"/>
      <c r="W45" s="3"/>
    </row>
    <row r="46" spans="1:25" ht="12.9">
      <c r="A46" s="3"/>
      <c r="B46" s="3"/>
      <c r="C46" s="3"/>
      <c r="D46" s="3"/>
      <c r="E46" s="3"/>
      <c r="F46" s="3"/>
      <c r="G46" s="3"/>
      <c r="H46" s="3"/>
      <c r="J46" s="34"/>
      <c r="K46" s="61"/>
      <c r="L46" s="35" t="s">
        <v>74</v>
      </c>
      <c r="M46" s="34">
        <v>1743</v>
      </c>
      <c r="N46" s="34"/>
      <c r="O46" s="34"/>
      <c r="S46" s="3"/>
      <c r="T46" s="3"/>
      <c r="U46" s="3"/>
      <c r="V46" s="3"/>
      <c r="W46" s="3"/>
    </row>
    <row r="47" spans="1:25" ht="12.9">
      <c r="A47" s="58" t="s">
        <v>65</v>
      </c>
      <c r="B47" s="59"/>
      <c r="C47" s="59"/>
      <c r="D47" s="83"/>
      <c r="E47" s="3"/>
      <c r="F47" s="3"/>
      <c r="G47" s="3"/>
      <c r="H47" s="3"/>
      <c r="J47" s="34"/>
      <c r="K47" s="61"/>
      <c r="L47" s="35" t="s">
        <v>72</v>
      </c>
      <c r="M47" s="34">
        <v>0</v>
      </c>
      <c r="N47" s="34"/>
      <c r="O47" s="34"/>
      <c r="S47" s="3"/>
      <c r="T47" s="3"/>
      <c r="U47" s="3"/>
      <c r="V47" s="3"/>
      <c r="W47" s="3"/>
    </row>
    <row r="48" spans="1:25" ht="16.3">
      <c r="A48" s="76" t="s">
        <v>31</v>
      </c>
      <c r="B48" s="76"/>
      <c r="C48" s="76"/>
      <c r="D48" s="76"/>
      <c r="E48" s="3"/>
      <c r="F48" s="3"/>
      <c r="G48" s="3"/>
      <c r="H48" s="3"/>
      <c r="J48" s="34"/>
      <c r="K48" s="62"/>
      <c r="L48" s="42" t="s">
        <v>97</v>
      </c>
      <c r="M48" s="43">
        <f>SUM(M45:M47)+O45</f>
        <v>7297</v>
      </c>
      <c r="O48" s="34"/>
      <c r="S48" s="3"/>
      <c r="T48" s="3"/>
      <c r="U48" s="3"/>
      <c r="V48" s="3"/>
      <c r="W48" s="3"/>
    </row>
    <row r="49" spans="1:23" ht="12.9">
      <c r="A49" s="77" t="s">
        <v>32</v>
      </c>
      <c r="B49" s="77"/>
      <c r="C49" s="77"/>
      <c r="D49" s="77"/>
      <c r="E49" s="3"/>
      <c r="F49" s="3"/>
      <c r="G49" s="3"/>
      <c r="H49" s="3"/>
      <c r="I49" s="17"/>
      <c r="J49" s="34"/>
      <c r="K49" s="27" t="s">
        <v>15</v>
      </c>
      <c r="N49" s="34"/>
      <c r="O49" s="34"/>
      <c r="S49" s="3"/>
      <c r="T49" s="3"/>
      <c r="U49" s="3"/>
      <c r="V49" s="3"/>
      <c r="W49" s="3"/>
    </row>
    <row r="50" spans="1:23" ht="12.9">
      <c r="A50" s="72" t="s">
        <v>33</v>
      </c>
      <c r="B50" s="72"/>
      <c r="C50" s="72"/>
      <c r="D50" s="72"/>
      <c r="J50" s="34"/>
      <c r="K50" s="65" t="s">
        <v>104</v>
      </c>
      <c r="L50" s="35" t="s">
        <v>69</v>
      </c>
      <c r="M50" s="34">
        <v>12</v>
      </c>
      <c r="N50" s="35" t="s">
        <v>68</v>
      </c>
      <c r="O50" s="34">
        <v>16413</v>
      </c>
    </row>
    <row r="51" spans="1:23" ht="12.9">
      <c r="A51" s="77" t="s">
        <v>34</v>
      </c>
      <c r="B51" s="77"/>
      <c r="C51" s="77"/>
      <c r="D51" s="77"/>
      <c r="J51" s="34"/>
      <c r="K51" s="66"/>
      <c r="L51" s="35" t="s">
        <v>71</v>
      </c>
      <c r="M51" s="34">
        <v>301</v>
      </c>
      <c r="N51" s="34"/>
      <c r="O51" s="34"/>
    </row>
    <row r="52" spans="1:23" ht="12.9">
      <c r="A52" s="77" t="s">
        <v>35</v>
      </c>
      <c r="B52" s="77"/>
      <c r="C52" s="77"/>
      <c r="D52" s="77"/>
      <c r="J52" s="5"/>
      <c r="K52" s="66"/>
      <c r="L52" s="35" t="s">
        <v>72</v>
      </c>
      <c r="M52" s="34">
        <v>899</v>
      </c>
      <c r="O52" s="34"/>
    </row>
    <row r="53" spans="1:23" ht="12.9">
      <c r="A53" s="65" t="s">
        <v>116</v>
      </c>
      <c r="B53" s="81"/>
      <c r="C53" s="81"/>
      <c r="D53" s="81"/>
      <c r="J53" s="41"/>
      <c r="K53" s="67"/>
      <c r="L53" s="45" t="s">
        <v>97</v>
      </c>
      <c r="M53" s="43">
        <f>SUM(M50:M52)+O50</f>
        <v>17625</v>
      </c>
      <c r="N53" s="48"/>
      <c r="O53" s="34"/>
      <c r="P53" s="23"/>
    </row>
    <row r="54" spans="1:23" ht="12.9">
      <c r="J54" s="58" t="s">
        <v>78</v>
      </c>
      <c r="K54" s="59"/>
      <c r="L54" s="59"/>
      <c r="M54" s="59"/>
      <c r="N54" s="47" t="s">
        <v>103</v>
      </c>
      <c r="O54" s="46">
        <f>M39+N39+M43+M48+M53</f>
        <v>640461</v>
      </c>
    </row>
    <row r="55" spans="1:23" ht="12.9">
      <c r="J55" s="3"/>
      <c r="K55" s="3"/>
      <c r="L55" s="3"/>
      <c r="M55" s="3"/>
    </row>
    <row r="57" spans="1:23" ht="12.9">
      <c r="G57" s="3"/>
      <c r="J57" s="68" t="s">
        <v>95</v>
      </c>
      <c r="K57" s="69"/>
      <c r="L57" s="69"/>
      <c r="M57" s="69"/>
      <c r="N57" s="69"/>
      <c r="O57" s="70"/>
    </row>
    <row r="58" spans="1:23" ht="12.9">
      <c r="D58" s="3"/>
      <c r="G58" s="3"/>
      <c r="J58" s="6"/>
      <c r="K58" s="6"/>
      <c r="L58" s="6"/>
      <c r="M58" s="6" t="s">
        <v>90</v>
      </c>
      <c r="N58" s="6" t="s">
        <v>91</v>
      </c>
      <c r="O58" s="49" t="s">
        <v>97</v>
      </c>
    </row>
    <row r="59" spans="1:23" ht="12.9">
      <c r="D59" s="3"/>
      <c r="G59" s="3"/>
      <c r="J59" s="27" t="s">
        <v>7</v>
      </c>
      <c r="K59" s="27" t="s">
        <v>12</v>
      </c>
      <c r="L59" s="34" t="s">
        <v>75</v>
      </c>
      <c r="M59" s="34">
        <v>129278</v>
      </c>
      <c r="N59">
        <v>1281</v>
      </c>
      <c r="O59" s="31">
        <f>SUM(M59:N59)</f>
        <v>130559</v>
      </c>
    </row>
    <row r="60" spans="1:23" ht="12.9">
      <c r="D60" s="3"/>
      <c r="G60" s="3"/>
      <c r="J60" s="34"/>
      <c r="K60" s="40" t="s">
        <v>85</v>
      </c>
      <c r="L60" s="34" t="s">
        <v>13</v>
      </c>
      <c r="M60" s="34">
        <v>79359</v>
      </c>
      <c r="N60">
        <v>16492</v>
      </c>
      <c r="O60" s="31">
        <f t="shared" ref="O60:O62" si="0">SUM(M60:N60)</f>
        <v>95851</v>
      </c>
    </row>
    <row r="61" spans="1:23" ht="12.9">
      <c r="D61" s="3"/>
      <c r="G61" s="3"/>
      <c r="J61" s="34"/>
      <c r="K61" s="40"/>
      <c r="L61" s="34" t="s">
        <v>14</v>
      </c>
      <c r="M61" s="34">
        <v>43474</v>
      </c>
      <c r="N61" s="34">
        <v>16298</v>
      </c>
      <c r="O61" s="31">
        <f t="shared" si="0"/>
        <v>59772</v>
      </c>
    </row>
    <row r="62" spans="1:23" ht="12.9">
      <c r="D62" s="3"/>
      <c r="G62" s="3"/>
      <c r="J62" s="34"/>
      <c r="K62" s="40"/>
      <c r="L62" s="34" t="s">
        <v>70</v>
      </c>
      <c r="M62" s="34">
        <v>50</v>
      </c>
      <c r="N62" s="34">
        <v>0</v>
      </c>
      <c r="O62" s="31">
        <f t="shared" si="0"/>
        <v>50</v>
      </c>
    </row>
    <row r="63" spans="1:23" ht="12.9">
      <c r="D63" s="3"/>
      <c r="G63" s="3"/>
      <c r="J63" s="34"/>
      <c r="K63" s="40"/>
      <c r="L63" s="42" t="s">
        <v>103</v>
      </c>
      <c r="M63" s="43">
        <f>SUM(M59:M62)</f>
        <v>252161</v>
      </c>
      <c r="N63" s="5"/>
      <c r="O63" s="5"/>
    </row>
    <row r="64" spans="1:23" ht="12.9">
      <c r="A64" s="3"/>
      <c r="B64" s="3"/>
      <c r="C64" s="3"/>
      <c r="D64" s="3"/>
      <c r="G64" s="3"/>
      <c r="J64" s="5"/>
      <c r="K64" s="27" t="s">
        <v>15</v>
      </c>
      <c r="L64" s="34"/>
      <c r="M64" s="34"/>
      <c r="N64" s="5"/>
      <c r="O64" s="5"/>
    </row>
    <row r="65" spans="1:15" ht="12.9">
      <c r="A65" s="3"/>
      <c r="B65" s="3"/>
      <c r="C65" s="3"/>
      <c r="D65" s="3"/>
      <c r="G65" s="3"/>
      <c r="J65" s="34"/>
      <c r="K65" s="60" t="s">
        <v>86</v>
      </c>
      <c r="L65" s="5" t="s">
        <v>77</v>
      </c>
      <c r="M65" s="5">
        <v>13829</v>
      </c>
      <c r="N65" s="35" t="s">
        <v>105</v>
      </c>
      <c r="O65" s="34">
        <v>831</v>
      </c>
    </row>
    <row r="66" spans="1:15" ht="12.9">
      <c r="C66" s="3"/>
      <c r="D66" s="3"/>
      <c r="G66" s="3"/>
      <c r="J66" s="34"/>
      <c r="K66" s="61"/>
      <c r="L66" s="5" t="s">
        <v>92</v>
      </c>
      <c r="M66" s="5">
        <v>891</v>
      </c>
      <c r="N66" s="5"/>
      <c r="O66" s="5"/>
    </row>
    <row r="67" spans="1:15" ht="12.9">
      <c r="A67" s="3"/>
      <c r="B67" s="3"/>
      <c r="C67" s="3"/>
      <c r="D67" s="3"/>
      <c r="G67" s="3"/>
      <c r="J67" s="34"/>
      <c r="K67" s="62"/>
      <c r="L67" s="5" t="s">
        <v>70</v>
      </c>
      <c r="M67" s="5">
        <v>360</v>
      </c>
      <c r="N67" s="34"/>
      <c r="O67" s="5"/>
    </row>
    <row r="68" spans="1:15" ht="12.9">
      <c r="A68" s="3"/>
      <c r="B68" s="3"/>
      <c r="C68" s="3"/>
      <c r="D68" s="3"/>
      <c r="G68" s="3"/>
      <c r="J68" s="27" t="s">
        <v>8</v>
      </c>
      <c r="K68" s="27" t="s">
        <v>12</v>
      </c>
    </row>
    <row r="69" spans="1:15" ht="12.9">
      <c r="A69" s="3"/>
      <c r="B69" s="3"/>
      <c r="C69" s="3"/>
      <c r="D69" s="3"/>
      <c r="G69" s="3"/>
      <c r="J69" s="34"/>
      <c r="K69" s="60" t="s">
        <v>94</v>
      </c>
      <c r="L69" s="35" t="s">
        <v>69</v>
      </c>
      <c r="M69" s="34">
        <v>2547</v>
      </c>
      <c r="N69" s="34"/>
      <c r="O69" s="34"/>
    </row>
    <row r="70" spans="1:15" ht="12.9">
      <c r="A70" s="3"/>
      <c r="B70" s="3"/>
      <c r="C70" s="3"/>
      <c r="D70" s="3"/>
      <c r="G70" s="3"/>
      <c r="J70" s="34"/>
      <c r="K70" s="63"/>
      <c r="L70" s="35" t="s">
        <v>93</v>
      </c>
      <c r="M70" s="34"/>
      <c r="N70" s="34"/>
      <c r="O70" s="34"/>
    </row>
    <row r="71" spans="1:15" ht="12.9">
      <c r="G71" s="3"/>
      <c r="J71" s="34"/>
      <c r="K71" s="64"/>
      <c r="L71" s="35" t="s">
        <v>92</v>
      </c>
      <c r="M71" s="34"/>
      <c r="N71" s="34"/>
      <c r="O71" s="34"/>
    </row>
    <row r="72" spans="1:15" ht="12.9">
      <c r="G72" s="3"/>
      <c r="J72" s="34"/>
      <c r="K72" s="27" t="s">
        <v>15</v>
      </c>
      <c r="N72" s="34"/>
      <c r="O72" s="34"/>
    </row>
    <row r="73" spans="1:15" ht="12.9">
      <c r="G73" s="3"/>
      <c r="J73" s="34"/>
      <c r="K73" s="60" t="s">
        <v>88</v>
      </c>
      <c r="L73" s="35" t="s">
        <v>69</v>
      </c>
      <c r="M73" s="34">
        <v>385</v>
      </c>
      <c r="N73" s="34"/>
      <c r="O73" s="34"/>
    </row>
    <row r="74" spans="1:15" ht="12.9">
      <c r="G74" s="3"/>
      <c r="J74" s="34"/>
      <c r="K74" s="61"/>
      <c r="L74" s="35" t="s">
        <v>71</v>
      </c>
      <c r="M74" s="34">
        <v>802</v>
      </c>
      <c r="N74" s="34"/>
      <c r="O74" s="34"/>
    </row>
    <row r="75" spans="1:15" ht="12.9">
      <c r="G75" s="3"/>
      <c r="J75" s="34"/>
      <c r="K75" s="62"/>
      <c r="L75" s="35" t="s">
        <v>96</v>
      </c>
      <c r="M75" s="34">
        <v>1</v>
      </c>
      <c r="N75" s="37"/>
      <c r="O75" s="38"/>
    </row>
    <row r="76" spans="1:15" ht="12.9">
      <c r="G76" s="3"/>
      <c r="J76" s="56" t="s">
        <v>106</v>
      </c>
      <c r="K76" s="57"/>
      <c r="L76" s="57"/>
      <c r="M76" s="57"/>
      <c r="N76" s="57"/>
      <c r="O76" s="57"/>
    </row>
    <row r="77" spans="1:15" ht="12.9">
      <c r="A77" s="3"/>
      <c r="B77" s="3"/>
      <c r="C77" s="3"/>
      <c r="D77" s="3"/>
      <c r="G77" s="3"/>
      <c r="J77" s="3"/>
    </row>
    <row r="78" spans="1:15" ht="12.9">
      <c r="A78" s="3"/>
      <c r="B78" s="3"/>
      <c r="C78" s="3"/>
      <c r="D78" s="3"/>
      <c r="G78" s="3"/>
    </row>
    <row r="79" spans="1:15" ht="12.9">
      <c r="A79" s="3"/>
      <c r="B79" s="3"/>
      <c r="C79" s="3"/>
      <c r="D79" s="3"/>
      <c r="G79" s="3"/>
    </row>
    <row r="80" spans="1:15" ht="12.9">
      <c r="A80" s="3"/>
      <c r="B80" s="3"/>
      <c r="C80" s="3"/>
      <c r="D80" s="3"/>
      <c r="E80" s="3"/>
      <c r="F80" s="3"/>
      <c r="G80" s="3"/>
    </row>
    <row r="81" spans="1:7" ht="12.9">
      <c r="C81" s="3"/>
      <c r="D81" s="3"/>
      <c r="E81" s="3"/>
      <c r="F81" s="3"/>
      <c r="G81" s="3"/>
    </row>
    <row r="82" spans="1:7" ht="12.9">
      <c r="C82" s="3"/>
      <c r="D82" s="3"/>
      <c r="E82" s="3"/>
      <c r="F82" s="3"/>
      <c r="G82" s="3"/>
    </row>
    <row r="83" spans="1:7" ht="12.9">
      <c r="A83" s="17"/>
    </row>
  </sheetData>
  <mergeCells count="48">
    <mergeCell ref="A53:D53"/>
    <mergeCell ref="K32:K39"/>
    <mergeCell ref="A52:D52"/>
    <mergeCell ref="A47:D47"/>
    <mergeCell ref="A38:E38"/>
    <mergeCell ref="E33:H33"/>
    <mergeCell ref="G34:H34"/>
    <mergeCell ref="E35:F36"/>
    <mergeCell ref="G35:H36"/>
    <mergeCell ref="K41:K43"/>
    <mergeCell ref="K45:K48"/>
    <mergeCell ref="A51:D51"/>
    <mergeCell ref="A11:E11"/>
    <mergeCell ref="A5:D5"/>
    <mergeCell ref="A1:D1"/>
    <mergeCell ref="G11:J11"/>
    <mergeCell ref="G12:H12"/>
    <mergeCell ref="A12:C12"/>
    <mergeCell ref="D12:E12"/>
    <mergeCell ref="I12:J12"/>
    <mergeCell ref="Q37:U37"/>
    <mergeCell ref="A22:B22"/>
    <mergeCell ref="C22:D22"/>
    <mergeCell ref="A16:E16"/>
    <mergeCell ref="A21:D21"/>
    <mergeCell ref="J30:O30"/>
    <mergeCell ref="I13:J13"/>
    <mergeCell ref="G13:H13"/>
    <mergeCell ref="A13:C13"/>
    <mergeCell ref="D13:E13"/>
    <mergeCell ref="A50:D50"/>
    <mergeCell ref="A33:D33"/>
    <mergeCell ref="B34:D34"/>
    <mergeCell ref="B35:C35"/>
    <mergeCell ref="A35:A36"/>
    <mergeCell ref="D36:D37"/>
    <mergeCell ref="A23:B23"/>
    <mergeCell ref="C23:D23"/>
    <mergeCell ref="A26:D26"/>
    <mergeCell ref="A48:D48"/>
    <mergeCell ref="A49:D49"/>
    <mergeCell ref="J76:O76"/>
    <mergeCell ref="J54:M54"/>
    <mergeCell ref="K73:K75"/>
    <mergeCell ref="K69:K71"/>
    <mergeCell ref="K50:K53"/>
    <mergeCell ref="J57:O57"/>
    <mergeCell ref="K65:K6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22B7-389C-484D-A61E-03A3AFA42C07}">
  <dimension ref="A1:I42"/>
  <sheetViews>
    <sheetView workbookViewId="0">
      <selection activeCell="I14" sqref="I14"/>
    </sheetView>
  </sheetViews>
  <sheetFormatPr defaultRowHeight="12.25"/>
  <cols>
    <col min="1" max="1" width="15.75" style="51" customWidth="1"/>
    <col min="2" max="2" width="11.75" style="52" customWidth="1"/>
    <col min="3" max="3" width="13.375" style="51" customWidth="1"/>
    <col min="4" max="7" width="11.75" style="51" customWidth="1"/>
    <col min="8" max="9" width="11.5" style="51" customWidth="1"/>
    <col min="10" max="16384" width="9" style="51"/>
  </cols>
  <sheetData>
    <row r="1" spans="1:9">
      <c r="A1" s="51" t="s">
        <v>121</v>
      </c>
    </row>
    <row r="2" spans="1:9">
      <c r="A2" s="51" t="s">
        <v>122</v>
      </c>
    </row>
    <row r="3" spans="1:9">
      <c r="A3" s="51" t="s">
        <v>123</v>
      </c>
      <c r="B3" s="52" t="s">
        <v>124</v>
      </c>
      <c r="C3" s="51" t="s">
        <v>125</v>
      </c>
      <c r="D3" s="51" t="s">
        <v>126</v>
      </c>
    </row>
    <row r="4" spans="1:9" ht="12.9">
      <c r="A4" s="51">
        <v>8048</v>
      </c>
      <c r="B4" s="52">
        <v>13665</v>
      </c>
      <c r="C4" s="51">
        <v>74848</v>
      </c>
      <c r="D4" s="53">
        <v>877134</v>
      </c>
      <c r="E4" s="53"/>
      <c r="F4" s="51">
        <f>C4/8/(C4/8+D4/16)</f>
        <v>0.1457845992033735</v>
      </c>
      <c r="G4" s="51">
        <f>D4/16/(C4/8+D4/16)</f>
        <v>0.8542154007966265</v>
      </c>
    </row>
    <row r="5" spans="1:9">
      <c r="A5" s="84" t="s">
        <v>127</v>
      </c>
      <c r="B5" s="84"/>
      <c r="C5" s="84" t="s">
        <v>128</v>
      </c>
      <c r="D5" s="84"/>
      <c r="E5" s="52"/>
    </row>
    <row r="6" spans="1:9">
      <c r="A6" s="52" t="s">
        <v>123</v>
      </c>
      <c r="B6" s="52" t="s">
        <v>124</v>
      </c>
      <c r="C6" s="52" t="s">
        <v>123</v>
      </c>
      <c r="D6" s="52" t="s">
        <v>124</v>
      </c>
      <c r="E6" s="52"/>
    </row>
    <row r="7" spans="1:9" ht="12.9">
      <c r="A7" s="52">
        <f>A4*F4</f>
        <v>1173.27445438875</v>
      </c>
      <c r="B7" s="52">
        <f>B4*F4</f>
        <v>1992.1465481140988</v>
      </c>
      <c r="C7" s="52">
        <f>A4*G4</f>
        <v>6874.7255456112498</v>
      </c>
      <c r="D7" s="54">
        <f>B4*G4</f>
        <v>11672.853451885901</v>
      </c>
      <c r="E7" s="54"/>
    </row>
    <row r="8" spans="1:9" ht="12.9">
      <c r="A8" s="52"/>
      <c r="C8" s="52"/>
      <c r="D8" s="54"/>
      <c r="E8" s="54"/>
    </row>
    <row r="9" spans="1:9">
      <c r="A9" s="84" t="s">
        <v>129</v>
      </c>
      <c r="B9" s="84"/>
      <c r="F9" s="84" t="s">
        <v>130</v>
      </c>
      <c r="G9" s="84"/>
    </row>
    <row r="10" spans="1:9" ht="12.9">
      <c r="A10" s="52" t="s">
        <v>131</v>
      </c>
      <c r="C10" s="84" t="s">
        <v>132</v>
      </c>
      <c r="D10" s="84"/>
      <c r="F10" s="52" t="s">
        <v>131</v>
      </c>
      <c r="G10" s="53"/>
      <c r="H10" s="84" t="s">
        <v>132</v>
      </c>
      <c r="I10" s="84"/>
    </row>
    <row r="11" spans="1:9">
      <c r="A11" s="55" t="s">
        <v>133</v>
      </c>
      <c r="B11" s="52">
        <v>14706.64</v>
      </c>
      <c r="C11" s="51" t="s">
        <v>123</v>
      </c>
      <c r="D11" s="51" t="s">
        <v>124</v>
      </c>
      <c r="F11" s="55" t="s">
        <v>133</v>
      </c>
      <c r="G11" s="51">
        <v>30181.95</v>
      </c>
      <c r="H11" s="51" t="s">
        <v>123</v>
      </c>
      <c r="I11" s="51" t="s">
        <v>124</v>
      </c>
    </row>
    <row r="12" spans="1:9">
      <c r="A12" s="51" t="s">
        <v>134</v>
      </c>
      <c r="B12" s="52">
        <v>158.9</v>
      </c>
      <c r="C12" s="51">
        <f>B12/$B$11*$A$7</f>
        <v>12.676812025205784</v>
      </c>
      <c r="D12" s="51">
        <f>B12/$B$11*$B$7</f>
        <v>21.524432942897242</v>
      </c>
      <c r="F12" s="51" t="s">
        <v>134</v>
      </c>
      <c r="G12" s="51">
        <v>813.72</v>
      </c>
      <c r="H12" s="51">
        <f>G12/$G$11*$C$7</f>
        <v>185.3459326178324</v>
      </c>
      <c r="I12" s="51">
        <f>G12/$G$11*$D$7</f>
        <v>314.70578643422959</v>
      </c>
    </row>
    <row r="13" spans="1:9">
      <c r="A13" s="51" t="s">
        <v>135</v>
      </c>
      <c r="B13" s="52">
        <v>208.52</v>
      </c>
      <c r="C13" s="51">
        <f t="shared" ref="C13:C42" si="0">B13/$B$11*$A$7</f>
        <v>16.63542381054695</v>
      </c>
      <c r="D13" s="51">
        <f t="shared" ref="D13:D42" si="1">B13/$B$11*$B$7</f>
        <v>28.245907849294735</v>
      </c>
      <c r="F13" s="51" t="s">
        <v>135</v>
      </c>
      <c r="G13" s="51">
        <v>517.07000000000005</v>
      </c>
      <c r="H13" s="51">
        <f t="shared" ref="H13:H42" si="2">G13/$G$11*$C$7</f>
        <v>117.77616548530526</v>
      </c>
      <c r="I13" s="51">
        <f t="shared" ref="I13:I42" si="3">G13/$G$11*$D$7</f>
        <v>199.9765533494901</v>
      </c>
    </row>
    <row r="14" spans="1:9">
      <c r="A14" s="51" t="s">
        <v>136</v>
      </c>
      <c r="B14" s="52">
        <v>1089.54</v>
      </c>
      <c r="C14" s="51">
        <f t="shared" si="0"/>
        <v>86.921924316820068</v>
      </c>
      <c r="D14" s="51">
        <f t="shared" si="1"/>
        <v>147.58798406925274</v>
      </c>
      <c r="F14" s="51" t="s">
        <v>136</v>
      </c>
      <c r="G14" s="51">
        <v>4937.18</v>
      </c>
      <c r="H14" s="51">
        <f t="shared" si="2"/>
        <v>1124.5713901613697</v>
      </c>
      <c r="I14" s="51">
        <f t="shared" si="3"/>
        <v>1909.4517950490952</v>
      </c>
    </row>
    <row r="15" spans="1:9">
      <c r="A15" s="51" t="s">
        <v>137</v>
      </c>
      <c r="B15" s="52">
        <v>236.69</v>
      </c>
      <c r="C15" s="51">
        <f t="shared" si="0"/>
        <v>18.882785640314392</v>
      </c>
      <c r="D15" s="51">
        <f t="shared" si="1"/>
        <v>32.061787496880733</v>
      </c>
      <c r="F15" s="51" t="s">
        <v>137</v>
      </c>
      <c r="G15" s="51">
        <v>2774.75</v>
      </c>
      <c r="H15" s="51">
        <f t="shared" si="2"/>
        <v>632.02161250962297</v>
      </c>
      <c r="I15" s="51">
        <f t="shared" si="3"/>
        <v>1073.1331181590456</v>
      </c>
    </row>
    <row r="16" spans="1:9">
      <c r="A16" s="51" t="s">
        <v>138</v>
      </c>
      <c r="B16" s="52">
        <v>211.61</v>
      </c>
      <c r="C16" s="51">
        <f t="shared" si="0"/>
        <v>16.881939538412812</v>
      </c>
      <c r="D16" s="51">
        <f t="shared" si="1"/>
        <v>28.664476117347299</v>
      </c>
      <c r="F16" s="51" t="s">
        <v>138</v>
      </c>
      <c r="G16" s="51">
        <v>2734.98</v>
      </c>
      <c r="H16" s="51">
        <f t="shared" si="2"/>
        <v>622.96295874639827</v>
      </c>
      <c r="I16" s="51">
        <f t="shared" si="3"/>
        <v>1057.7520913605285</v>
      </c>
    </row>
    <row r="17" spans="1:9">
      <c r="A17" s="51" t="s">
        <v>139</v>
      </c>
      <c r="B17" s="52">
        <v>656.85</v>
      </c>
      <c r="C17" s="51">
        <f t="shared" si="0"/>
        <v>52.402542345855373</v>
      </c>
      <c r="D17" s="51">
        <f t="shared" si="1"/>
        <v>88.976235233115503</v>
      </c>
      <c r="F17" s="51" t="s">
        <v>139</v>
      </c>
      <c r="G17" s="51">
        <v>1231.6199999999999</v>
      </c>
      <c r="H17" s="51">
        <f t="shared" si="2"/>
        <v>280.53354658945915</v>
      </c>
      <c r="I17" s="51">
        <f t="shared" si="3"/>
        <v>476.32839390469184</v>
      </c>
    </row>
    <row r="18" spans="1:9">
      <c r="A18" s="51" t="s">
        <v>140</v>
      </c>
      <c r="B18" s="52">
        <v>276.14999999999998</v>
      </c>
      <c r="C18" s="51">
        <f t="shared" si="0"/>
        <v>22.030847330148372</v>
      </c>
      <c r="D18" s="51">
        <f t="shared" si="1"/>
        <v>37.406999101202473</v>
      </c>
      <c r="F18" s="51" t="s">
        <v>140</v>
      </c>
      <c r="G18" s="51">
        <v>539.9</v>
      </c>
      <c r="H18" s="51">
        <f t="shared" si="2"/>
        <v>122.97629285303016</v>
      </c>
      <c r="I18" s="51">
        <f t="shared" si="3"/>
        <v>208.80604396578744</v>
      </c>
    </row>
    <row r="19" spans="1:9">
      <c r="A19" s="51" t="s">
        <v>141</v>
      </c>
      <c r="B19" s="52">
        <v>289.37</v>
      </c>
      <c r="C19" s="51">
        <f t="shared" si="0"/>
        <v>23.085519796940197</v>
      </c>
      <c r="D19" s="51">
        <f t="shared" si="1"/>
        <v>39.197766901738042</v>
      </c>
      <c r="F19" s="51" t="s">
        <v>141</v>
      </c>
      <c r="G19" s="51">
        <v>814.38</v>
      </c>
      <c r="H19" s="51">
        <f t="shared" si="2"/>
        <v>185.49626481505965</v>
      </c>
      <c r="I19" s="51">
        <f t="shared" si="3"/>
        <v>314.96104109067966</v>
      </c>
    </row>
    <row r="20" spans="1:9">
      <c r="A20" s="85" t="s">
        <v>142</v>
      </c>
      <c r="B20" s="86">
        <v>117.69</v>
      </c>
      <c r="C20" s="85">
        <f t="shared" si="0"/>
        <v>9.3891378681338491</v>
      </c>
      <c r="D20" s="85">
        <f t="shared" si="1"/>
        <v>15.942168112332137</v>
      </c>
      <c r="E20" s="85"/>
      <c r="F20" s="85" t="s">
        <v>142</v>
      </c>
      <c r="G20" s="85">
        <v>14.6</v>
      </c>
      <c r="H20" s="85">
        <f t="shared" si="2"/>
        <v>3.3255304235122067</v>
      </c>
      <c r="I20" s="85">
        <f t="shared" si="3"/>
        <v>5.6465424002602269</v>
      </c>
    </row>
    <row r="21" spans="1:9">
      <c r="A21" s="51" t="s">
        <v>143</v>
      </c>
      <c r="B21" s="52">
        <v>863.9</v>
      </c>
      <c r="C21" s="51">
        <f t="shared" si="0"/>
        <v>68.920691683922442</v>
      </c>
      <c r="D21" s="51">
        <f t="shared" si="1"/>
        <v>117.02301837236581</v>
      </c>
      <c r="F21" s="51" t="s">
        <v>143</v>
      </c>
      <c r="G21" s="51">
        <v>333.37</v>
      </c>
      <c r="H21" s="51">
        <f t="shared" si="2"/>
        <v>75.933703923716735</v>
      </c>
      <c r="I21" s="51">
        <f t="shared" si="3"/>
        <v>128.93067397087341</v>
      </c>
    </row>
    <row r="22" spans="1:9">
      <c r="A22" s="51" t="s">
        <v>144</v>
      </c>
      <c r="B22" s="52">
        <v>743.26</v>
      </c>
      <c r="C22" s="51">
        <f t="shared" si="0"/>
        <v>59.296207085301759</v>
      </c>
      <c r="D22" s="51">
        <f t="shared" si="1"/>
        <v>100.68124625008058</v>
      </c>
      <c r="F22" s="51" t="s">
        <v>144</v>
      </c>
      <c r="G22" s="51">
        <v>236.11</v>
      </c>
      <c r="H22" s="51">
        <f t="shared" si="2"/>
        <v>53.780204677771721</v>
      </c>
      <c r="I22" s="51">
        <f t="shared" si="3"/>
        <v>91.315419597633024</v>
      </c>
    </row>
    <row r="23" spans="1:9">
      <c r="A23" s="51" t="s">
        <v>145</v>
      </c>
      <c r="B23" s="52">
        <v>824.33</v>
      </c>
      <c r="C23" s="51">
        <f t="shared" si="0"/>
        <v>65.763854353290654</v>
      </c>
      <c r="D23" s="51">
        <f t="shared" si="1"/>
        <v>111.66290627953735</v>
      </c>
      <c r="F23" s="51" t="s">
        <v>145</v>
      </c>
      <c r="G23" s="51">
        <v>753.52</v>
      </c>
      <c r="H23" s="51">
        <f t="shared" si="2"/>
        <v>171.63381402225465</v>
      </c>
      <c r="I23" s="51">
        <f t="shared" si="3"/>
        <v>291.42346777014291</v>
      </c>
    </row>
    <row r="24" spans="1:9">
      <c r="A24" s="51" t="s">
        <v>146</v>
      </c>
      <c r="B24" s="52">
        <v>396.25</v>
      </c>
      <c r="C24" s="51">
        <f t="shared" si="0"/>
        <v>31.612251510307058</v>
      </c>
      <c r="D24" s="51">
        <f t="shared" si="1"/>
        <v>53.675623370818329</v>
      </c>
      <c r="F24" s="51" t="s">
        <v>146</v>
      </c>
      <c r="G24" s="51">
        <v>194.06</v>
      </c>
      <c r="H24" s="51">
        <f t="shared" si="2"/>
        <v>44.202221505943754</v>
      </c>
      <c r="I24" s="51">
        <f t="shared" si="3"/>
        <v>75.052603985924634</v>
      </c>
    </row>
    <row r="25" spans="1:9">
      <c r="A25" s="51" t="s">
        <v>147</v>
      </c>
      <c r="B25" s="52">
        <v>739.72</v>
      </c>
      <c r="C25" s="51">
        <f t="shared" si="0"/>
        <v>59.013791008717575</v>
      </c>
      <c r="D25" s="51">
        <f t="shared" si="1"/>
        <v>100.20172143813689</v>
      </c>
      <c r="F25" s="51" t="s">
        <v>147</v>
      </c>
      <c r="G25" s="51">
        <v>564.58000000000004</v>
      </c>
      <c r="H25" s="51">
        <f t="shared" si="2"/>
        <v>128.59780592510424</v>
      </c>
      <c r="I25" s="51">
        <f t="shared" si="3"/>
        <v>218.35102111910405</v>
      </c>
    </row>
    <row r="26" spans="1:9">
      <c r="A26" s="51" t="s">
        <v>148</v>
      </c>
      <c r="B26" s="52">
        <v>831.04</v>
      </c>
      <c r="C26" s="51">
        <f t="shared" si="0"/>
        <v>66.299168441957292</v>
      </c>
      <c r="D26" s="51">
        <f t="shared" si="1"/>
        <v>112.5718360784476</v>
      </c>
      <c r="F26" s="51" t="s">
        <v>148</v>
      </c>
      <c r="G26" s="51">
        <v>1524.67</v>
      </c>
      <c r="H26" s="51">
        <f t="shared" si="2"/>
        <v>347.2833199189285</v>
      </c>
      <c r="I26" s="51">
        <f t="shared" si="3"/>
        <v>589.66532886333982</v>
      </c>
    </row>
    <row r="27" spans="1:9">
      <c r="A27" s="51" t="s">
        <v>149</v>
      </c>
      <c r="B27" s="52">
        <v>1099</v>
      </c>
      <c r="C27" s="51">
        <f t="shared" si="0"/>
        <v>87.676629425432054</v>
      </c>
      <c r="D27" s="51">
        <f t="shared" si="1"/>
        <v>148.86942608083115</v>
      </c>
      <c r="F27" s="51" t="s">
        <v>149</v>
      </c>
      <c r="G27" s="51">
        <v>2146.4499999999998</v>
      </c>
      <c r="H27" s="51">
        <f t="shared" si="2"/>
        <v>488.90991627039563</v>
      </c>
      <c r="I27" s="51">
        <f t="shared" si="3"/>
        <v>830.13842020812081</v>
      </c>
    </row>
    <row r="28" spans="1:9">
      <c r="A28" s="51" t="s">
        <v>150</v>
      </c>
      <c r="B28" s="52">
        <v>803.51</v>
      </c>
      <c r="C28" s="51">
        <f t="shared" si="0"/>
        <v>64.102864885922585</v>
      </c>
      <c r="D28" s="51">
        <f t="shared" si="1"/>
        <v>108.84265018217347</v>
      </c>
      <c r="F28" s="51" t="s">
        <v>150</v>
      </c>
      <c r="G28" s="51">
        <v>938.73</v>
      </c>
      <c r="H28" s="51">
        <f t="shared" si="2"/>
        <v>213.82021742901466</v>
      </c>
      <c r="I28" s="51">
        <f t="shared" si="3"/>
        <v>363.05333886275912</v>
      </c>
    </row>
    <row r="29" spans="1:9">
      <c r="A29" s="51" t="s">
        <v>151</v>
      </c>
      <c r="B29" s="52">
        <v>1006.05</v>
      </c>
      <c r="C29" s="51">
        <f t="shared" si="0"/>
        <v>80.26121295127929</v>
      </c>
      <c r="D29" s="51">
        <f t="shared" si="1"/>
        <v>136.27851329264803</v>
      </c>
      <c r="F29" s="51" t="s">
        <v>151</v>
      </c>
      <c r="G29" s="51">
        <v>855.38</v>
      </c>
      <c r="H29" s="51">
        <f t="shared" si="2"/>
        <v>194.83508312766241</v>
      </c>
      <c r="I29" s="51">
        <f t="shared" si="3"/>
        <v>330.81776974894473</v>
      </c>
    </row>
    <row r="30" spans="1:9">
      <c r="A30" s="51" t="s">
        <v>152</v>
      </c>
      <c r="B30" s="52">
        <v>1023.05</v>
      </c>
      <c r="C30" s="51">
        <f t="shared" si="0"/>
        <v>81.617448347305071</v>
      </c>
      <c r="D30" s="51">
        <f t="shared" si="1"/>
        <v>138.58131606186925</v>
      </c>
      <c r="F30" s="51" t="s">
        <v>152</v>
      </c>
      <c r="G30" s="51">
        <v>301.45</v>
      </c>
      <c r="H30" s="51">
        <f t="shared" si="2"/>
        <v>68.663092203270864</v>
      </c>
      <c r="I30" s="51">
        <f t="shared" si="3"/>
        <v>116.5856305861949</v>
      </c>
    </row>
    <row r="31" spans="1:9">
      <c r="A31" s="51" t="s">
        <v>153</v>
      </c>
      <c r="B31" s="52">
        <v>481.29</v>
      </c>
      <c r="C31" s="51">
        <f t="shared" si="0"/>
        <v>38.396619632544315</v>
      </c>
      <c r="D31" s="51">
        <f t="shared" si="1"/>
        <v>65.195055576381463</v>
      </c>
      <c r="F31" s="51" t="s">
        <v>153</v>
      </c>
      <c r="G31" s="51">
        <v>752.84</v>
      </c>
      <c r="H31" s="51">
        <f t="shared" si="2"/>
        <v>171.4789263038993</v>
      </c>
      <c r="I31" s="51">
        <f t="shared" si="3"/>
        <v>291.16047812410341</v>
      </c>
    </row>
    <row r="32" spans="1:9">
      <c r="A32" s="51" t="s">
        <v>154</v>
      </c>
      <c r="B32" s="52">
        <v>52.61</v>
      </c>
      <c r="C32" s="51">
        <f t="shared" si="0"/>
        <v>4.1971496579362881</v>
      </c>
      <c r="D32" s="51">
        <f t="shared" si="1"/>
        <v>7.1264972758075764</v>
      </c>
      <c r="F32" s="51" t="s">
        <v>154</v>
      </c>
      <c r="G32" s="51">
        <v>16.77</v>
      </c>
      <c r="H32" s="51">
        <f t="shared" si="2"/>
        <v>3.8198044659109387</v>
      </c>
      <c r="I32" s="51">
        <f t="shared" si="3"/>
        <v>6.4857887707098634</v>
      </c>
    </row>
    <row r="33" spans="1:9">
      <c r="A33" s="51" t="s">
        <v>155</v>
      </c>
      <c r="B33" s="52">
        <v>239.24</v>
      </c>
      <c r="C33" s="51">
        <f t="shared" si="0"/>
        <v>19.08622094971826</v>
      </c>
      <c r="D33" s="51">
        <f t="shared" si="1"/>
        <v>32.407207912263914</v>
      </c>
      <c r="F33" s="51" t="s">
        <v>155</v>
      </c>
      <c r="G33" s="51">
        <v>208.18</v>
      </c>
      <c r="H33" s="51">
        <f t="shared" si="2"/>
        <v>47.418419422381589</v>
      </c>
      <c r="I33" s="51">
        <f t="shared" si="3"/>
        <v>80.513506636039324</v>
      </c>
    </row>
    <row r="34" spans="1:9">
      <c r="A34" s="51" t="s">
        <v>156</v>
      </c>
      <c r="B34" s="52">
        <v>433.2</v>
      </c>
      <c r="C34" s="51">
        <f t="shared" si="0"/>
        <v>34.560069032845469</v>
      </c>
      <c r="D34" s="51">
        <f t="shared" si="1"/>
        <v>58.680832919213877</v>
      </c>
      <c r="F34" s="51" t="s">
        <v>156</v>
      </c>
      <c r="G34" s="51">
        <v>877.71</v>
      </c>
      <c r="H34" s="51">
        <f t="shared" si="2"/>
        <v>199.92132246718486</v>
      </c>
      <c r="I34" s="51">
        <f t="shared" si="3"/>
        <v>339.45388562550716</v>
      </c>
    </row>
    <row r="35" spans="1:9">
      <c r="A35" s="51" t="s">
        <v>157</v>
      </c>
      <c r="B35" s="52">
        <v>353.97</v>
      </c>
      <c r="C35" s="51">
        <f t="shared" si="0"/>
        <v>28.23921430183821</v>
      </c>
      <c r="D35" s="51">
        <f t="shared" si="1"/>
        <v>47.948417424778718</v>
      </c>
      <c r="F35" s="51" t="s">
        <v>157</v>
      </c>
      <c r="G35" s="51">
        <v>641.64</v>
      </c>
      <c r="H35" s="51">
        <f t="shared" si="2"/>
        <v>146.15022883166932</v>
      </c>
      <c r="I35" s="51">
        <f t="shared" si="3"/>
        <v>248.15393600705289</v>
      </c>
    </row>
    <row r="36" spans="1:9">
      <c r="A36" s="51" t="s">
        <v>158</v>
      </c>
      <c r="B36" s="52">
        <v>187.92</v>
      </c>
      <c r="C36" s="51">
        <f t="shared" si="0"/>
        <v>14.991985624774516</v>
      </c>
      <c r="D36" s="51">
        <f t="shared" si="1"/>
        <v>25.455452728944302</v>
      </c>
      <c r="F36" s="51" t="s">
        <v>158</v>
      </c>
      <c r="G36" s="51">
        <v>519.41</v>
      </c>
      <c r="H36" s="51">
        <f t="shared" si="2"/>
        <v>118.30916145729283</v>
      </c>
      <c r="I36" s="51">
        <f t="shared" si="3"/>
        <v>200.88154713144962</v>
      </c>
    </row>
    <row r="37" spans="1:9">
      <c r="A37" s="51" t="s">
        <v>159</v>
      </c>
      <c r="B37" s="52">
        <v>18.079999999999998</v>
      </c>
      <c r="C37" s="51">
        <f t="shared" si="0"/>
        <v>1.442396232949783</v>
      </c>
      <c r="D37" s="51">
        <f t="shared" si="1"/>
        <v>2.449098474559988</v>
      </c>
      <c r="F37" s="51" t="s">
        <v>159</v>
      </c>
      <c r="G37" s="51">
        <v>39.909999999999997</v>
      </c>
      <c r="H37" s="51">
        <f t="shared" si="2"/>
        <v>9.0905424111213815</v>
      </c>
      <c r="I37" s="51">
        <f t="shared" si="3"/>
        <v>15.435171725642853</v>
      </c>
    </row>
    <row r="38" spans="1:9">
      <c r="A38" s="51" t="s">
        <v>160</v>
      </c>
      <c r="B38" s="52">
        <v>523.62</v>
      </c>
      <c r="C38" s="51">
        <f t="shared" si="0"/>
        <v>41.773645768648535</v>
      </c>
      <c r="D38" s="51">
        <f t="shared" si="1"/>
        <v>70.929034471742312</v>
      </c>
      <c r="F38" s="51" t="s">
        <v>160</v>
      </c>
      <c r="G38" s="51">
        <v>1750.15</v>
      </c>
      <c r="H38" s="51">
        <f t="shared" si="2"/>
        <v>398.64226511711564</v>
      </c>
      <c r="I38" s="51">
        <f t="shared" si="3"/>
        <v>676.86960149420793</v>
      </c>
    </row>
    <row r="39" spans="1:9">
      <c r="A39" s="51" t="s">
        <v>161</v>
      </c>
      <c r="B39" s="52">
        <v>419.11</v>
      </c>
      <c r="C39" s="51">
        <f t="shared" si="0"/>
        <v>33.435989225198213</v>
      </c>
      <c r="D39" s="51">
        <f t="shared" si="1"/>
        <v>56.772215800488759</v>
      </c>
      <c r="F39" s="51" t="s">
        <v>161</v>
      </c>
      <c r="G39" s="51">
        <v>1516.69</v>
      </c>
      <c r="H39" s="51">
        <f t="shared" si="2"/>
        <v>345.46566698881702</v>
      </c>
      <c r="I39" s="51">
        <f t="shared" si="3"/>
        <v>586.57906801717013</v>
      </c>
    </row>
    <row r="40" spans="1:9">
      <c r="A40" s="51" t="s">
        <v>162</v>
      </c>
      <c r="B40" s="52">
        <v>78.09</v>
      </c>
      <c r="C40" s="51">
        <f t="shared" si="0"/>
        <v>6.2299071809208284</v>
      </c>
      <c r="D40" s="51">
        <f t="shared" si="1"/>
        <v>10.577992249910924</v>
      </c>
      <c r="F40" s="51" t="s">
        <v>162</v>
      </c>
      <c r="G40" s="51">
        <v>272.10000000000002</v>
      </c>
      <c r="H40" s="51">
        <f t="shared" si="2"/>
        <v>61.977864947785726</v>
      </c>
      <c r="I40" s="51">
        <f t="shared" si="3"/>
        <v>105.23453336375397</v>
      </c>
    </row>
    <row r="41" spans="1:9">
      <c r="A41" s="51" t="s">
        <v>163</v>
      </c>
      <c r="B41" s="52">
        <v>40.93</v>
      </c>
      <c r="C41" s="51">
        <f t="shared" si="0"/>
        <v>3.2653361623138624</v>
      </c>
      <c r="D41" s="51">
        <f t="shared" si="1"/>
        <v>5.5443363143661681</v>
      </c>
      <c r="F41" s="51" t="s">
        <v>163</v>
      </c>
      <c r="G41" s="51">
        <v>213.6</v>
      </c>
      <c r="H41" s="51">
        <f t="shared" si="2"/>
        <v>48.652965648096391</v>
      </c>
      <c r="I41" s="51">
        <f t="shared" si="3"/>
        <v>82.609688814766059</v>
      </c>
    </row>
    <row r="42" spans="1:9">
      <c r="A42" s="51" t="s">
        <v>164</v>
      </c>
      <c r="B42" s="52">
        <v>303.14999999999998</v>
      </c>
      <c r="C42" s="51">
        <f t="shared" si="0"/>
        <v>24.184868253248162</v>
      </c>
      <c r="D42" s="51">
        <f t="shared" si="1"/>
        <v>41.064391734671482</v>
      </c>
      <c r="F42" s="51" t="s">
        <v>164</v>
      </c>
      <c r="G42" s="51">
        <v>1146.43</v>
      </c>
      <c r="H42" s="51">
        <f t="shared" si="2"/>
        <v>261.12930434432184</v>
      </c>
      <c r="I42" s="51">
        <f t="shared" si="3"/>
        <v>443.38120574865286</v>
      </c>
    </row>
  </sheetData>
  <mergeCells count="6">
    <mergeCell ref="H10:I10"/>
    <mergeCell ref="A5:B5"/>
    <mergeCell ref="C5:D5"/>
    <mergeCell ref="A9:B9"/>
    <mergeCell ref="F9:G9"/>
    <mergeCell ref="C10:D10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opLeftCell="C1" workbookViewId="0">
      <selection activeCell="E9" sqref="E9"/>
    </sheetView>
  </sheetViews>
  <sheetFormatPr defaultColWidth="8.875" defaultRowHeight="12.25"/>
  <cols>
    <col min="1" max="1" width="27.5" bestFit="1" customWidth="1"/>
    <col min="2" max="2" width="36.375" customWidth="1"/>
    <col min="3" max="3" width="29" bestFit="1" customWidth="1"/>
    <col min="4" max="4" width="24.625" bestFit="1" customWidth="1"/>
    <col min="5" max="5" width="21.5" bestFit="1" customWidth="1"/>
    <col min="6" max="6" width="26.875" customWidth="1"/>
    <col min="7" max="7" width="17.125" customWidth="1"/>
    <col min="8" max="8" width="20.625" customWidth="1"/>
  </cols>
  <sheetData>
    <row r="1" spans="1:8" ht="12.9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2.9">
      <c r="A2" s="1" t="s">
        <v>44</v>
      </c>
      <c r="B2" s="2">
        <f>Data!S33</f>
        <v>95851</v>
      </c>
      <c r="C2" s="2">
        <f>Data!T33</f>
        <v>437.76419007923243</v>
      </c>
      <c r="D2" s="2">
        <f>Data!U33</f>
        <v>3483501.6695829974</v>
      </c>
      <c r="E2" s="2">
        <f>Data!V33</f>
        <v>650.5662269233037</v>
      </c>
      <c r="F2" s="2">
        <f>Data!W33</f>
        <v>130559</v>
      </c>
      <c r="G2" s="2">
        <f>Data!X33</f>
        <v>0</v>
      </c>
      <c r="H2" s="2">
        <f>Data!Y33</f>
        <v>50</v>
      </c>
    </row>
    <row r="3" spans="1:8" ht="12.9">
      <c r="A3" s="1" t="s">
        <v>45</v>
      </c>
      <c r="B3" s="2">
        <f>Data!S34</f>
        <v>13829</v>
      </c>
      <c r="C3" s="2">
        <f>Data!T34</f>
        <v>0</v>
      </c>
      <c r="D3" s="2">
        <f>Data!U34</f>
        <v>20097.827513023345</v>
      </c>
      <c r="E3" s="2">
        <f>Data!V34</f>
        <v>38782.172486976655</v>
      </c>
      <c r="F3" s="2">
        <f>Data!W34</f>
        <v>831</v>
      </c>
      <c r="G3" s="2">
        <f>Data!X34</f>
        <v>0</v>
      </c>
      <c r="H3" s="2">
        <f>Data!Y34</f>
        <v>360</v>
      </c>
    </row>
    <row r="4" spans="1:8" ht="12.9">
      <c r="A4" s="1" t="s">
        <v>46</v>
      </c>
      <c r="B4" s="2">
        <v>0</v>
      </c>
      <c r="C4" s="2">
        <v>0</v>
      </c>
      <c r="D4" s="2">
        <v>0</v>
      </c>
      <c r="E4" s="2">
        <f>Data!A3</f>
        <v>1337.8886547524653</v>
      </c>
      <c r="F4" s="2">
        <v>0</v>
      </c>
      <c r="G4" s="2">
        <v>0</v>
      </c>
      <c r="H4" s="2">
        <v>0</v>
      </c>
    </row>
    <row r="5" spans="1:8" ht="12.9">
      <c r="A5" s="1" t="s">
        <v>47</v>
      </c>
      <c r="B5" s="2">
        <f>rail!D20</f>
        <v>15.942168112332137</v>
      </c>
      <c r="C5" s="2">
        <v>0</v>
      </c>
      <c r="D5" s="2">
        <v>0</v>
      </c>
      <c r="E5" s="2">
        <f>rail!C20</f>
        <v>9.3891378681338491</v>
      </c>
      <c r="F5" s="2">
        <v>0</v>
      </c>
      <c r="G5" s="2">
        <v>0</v>
      </c>
      <c r="H5" s="2">
        <v>0</v>
      </c>
    </row>
    <row r="6" spans="1:8" ht="12.9">
      <c r="A6" s="1" t="s">
        <v>48</v>
      </c>
      <c r="B6" s="2">
        <f>Data!A15</f>
        <v>3.8328075709779208</v>
      </c>
      <c r="C6" s="2">
        <f>Data!C15</f>
        <v>1.5331230283911647E-2</v>
      </c>
      <c r="D6" s="2">
        <v>0</v>
      </c>
      <c r="E6" s="2">
        <f>Data!B15</f>
        <v>85.103659305993688</v>
      </c>
      <c r="F6" s="2">
        <v>0</v>
      </c>
      <c r="G6" s="2">
        <v>0</v>
      </c>
      <c r="H6" s="2">
        <v>0</v>
      </c>
    </row>
    <row r="7" spans="1:8" ht="12.9">
      <c r="A7" s="1" t="s">
        <v>49</v>
      </c>
      <c r="B7" s="2">
        <v>0</v>
      </c>
      <c r="C7" s="2">
        <v>0</v>
      </c>
      <c r="D7" s="2">
        <f>Data!A43</f>
        <v>191700.00000000003</v>
      </c>
      <c r="E7" s="2">
        <v>0</v>
      </c>
      <c r="F7" s="2">
        <v>0</v>
      </c>
      <c r="G7" s="2">
        <v>0</v>
      </c>
      <c r="H7" s="2">
        <v>0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7"/>
  <sheetViews>
    <sheetView tabSelected="1" workbookViewId="0">
      <selection activeCell="E5" sqref="E5"/>
    </sheetView>
  </sheetViews>
  <sheetFormatPr defaultColWidth="8.875" defaultRowHeight="12.25"/>
  <cols>
    <col min="1" max="1" width="27.5" bestFit="1" customWidth="1"/>
    <col min="2" max="2" width="30.625" customWidth="1"/>
    <col min="3" max="3" width="24.375" customWidth="1"/>
    <col min="4" max="4" width="24.625" bestFit="1" customWidth="1"/>
    <col min="5" max="5" width="18.125" customWidth="1"/>
    <col min="6" max="6" width="26.875" customWidth="1"/>
    <col min="7" max="7" width="14.375" customWidth="1"/>
    <col min="8" max="8" width="20.625" customWidth="1"/>
  </cols>
  <sheetData>
    <row r="1" spans="1:8" ht="12.9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ht="12.9">
      <c r="A2" s="1" t="s">
        <v>44</v>
      </c>
      <c r="B2" s="2">
        <f>Data!S35</f>
        <v>2547</v>
      </c>
      <c r="C2" s="2">
        <f>Data!T35</f>
        <v>0</v>
      </c>
      <c r="D2" s="2">
        <f>Data!U35</f>
        <v>16545.777853912572</v>
      </c>
      <c r="E2" s="2">
        <f>Data!V35</f>
        <v>58307.222146087428</v>
      </c>
      <c r="F2" s="2">
        <f>Data!W35</f>
        <v>0</v>
      </c>
      <c r="G2" s="2">
        <f>Data!X35</f>
        <v>0</v>
      </c>
      <c r="H2" s="2">
        <f>Data!Y35</f>
        <v>0</v>
      </c>
    </row>
    <row r="3" spans="1:8" ht="12.9">
      <c r="A3" s="1" t="s">
        <v>45</v>
      </c>
      <c r="B3" s="2">
        <f>Data!S36</f>
        <v>385</v>
      </c>
      <c r="C3" s="2">
        <f>Data!T36</f>
        <v>12914.995744680851</v>
      </c>
      <c r="D3" s="2">
        <f>Data!U36</f>
        <v>3309.5446808510751</v>
      </c>
      <c r="E3" s="2">
        <f>Data!V36</f>
        <v>235788.45957446808</v>
      </c>
      <c r="F3" s="2">
        <f>Data!W36</f>
        <v>0</v>
      </c>
      <c r="G3" s="2">
        <f>Data!X36</f>
        <v>0</v>
      </c>
      <c r="H3" s="2">
        <f>Data!Y36</f>
        <v>802</v>
      </c>
    </row>
    <row r="4" spans="1:8" ht="12.9">
      <c r="A4" s="1" t="s">
        <v>46</v>
      </c>
      <c r="B4" s="2">
        <v>0</v>
      </c>
      <c r="C4" s="2">
        <v>0</v>
      </c>
      <c r="D4" s="2">
        <v>0</v>
      </c>
      <c r="E4" s="2">
        <f>Data!B3</f>
        <v>52.757040483714071</v>
      </c>
      <c r="F4" s="2">
        <v>0</v>
      </c>
      <c r="G4" s="2">
        <v>0</v>
      </c>
      <c r="H4" s="2">
        <v>0</v>
      </c>
    </row>
    <row r="5" spans="1:8" ht="12.9">
      <c r="A5" s="1" t="s">
        <v>47</v>
      </c>
      <c r="B5" s="2">
        <f>rail!I20</f>
        <v>5.6465424002602269</v>
      </c>
      <c r="C5" s="2">
        <v>0</v>
      </c>
      <c r="D5" s="2">
        <v>0</v>
      </c>
      <c r="E5" s="2">
        <f>rail!H20</f>
        <v>3.3255304235122067</v>
      </c>
      <c r="F5" s="2">
        <v>0</v>
      </c>
      <c r="G5" s="2">
        <v>0</v>
      </c>
      <c r="H5" s="2">
        <v>0</v>
      </c>
    </row>
    <row r="6" spans="1:8" ht="12.9">
      <c r="A6" s="1" t="s">
        <v>48</v>
      </c>
      <c r="B6" s="2">
        <v>0</v>
      </c>
      <c r="C6" s="2">
        <f>Data!D15</f>
        <v>6.1171608832807598</v>
      </c>
      <c r="D6" s="2">
        <v>0</v>
      </c>
      <c r="E6" s="2">
        <f>Data!E15</f>
        <v>1848.9310410094631</v>
      </c>
      <c r="F6" s="2">
        <v>0</v>
      </c>
      <c r="G6" s="2">
        <v>0</v>
      </c>
      <c r="H6" s="2">
        <v>0</v>
      </c>
    </row>
    <row r="7" spans="1:8" ht="12.9">
      <c r="A7" s="1" t="s">
        <v>49</v>
      </c>
      <c r="B7" s="2">
        <v>0</v>
      </c>
      <c r="C7" s="2">
        <v>0</v>
      </c>
      <c r="D7" s="2">
        <f>Data!B43</f>
        <v>0</v>
      </c>
      <c r="E7" s="2">
        <v>0</v>
      </c>
      <c r="F7" s="2">
        <v>0</v>
      </c>
      <c r="G7" s="2">
        <v>0</v>
      </c>
      <c r="H7" s="2">
        <v>0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About</vt:lpstr>
      <vt:lpstr>Data</vt:lpstr>
      <vt:lpstr>rail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wcy3015@126.com</cp:lastModifiedBy>
  <dcterms:created xsi:type="dcterms:W3CDTF">2023-12-19T02:02:00Z</dcterms:created>
  <dcterms:modified xsi:type="dcterms:W3CDTF">2025-02-06T03:33:35Z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5497B4E766D741C6B508AF2619ED2E14_11</vt:lpwstr>
  </property>
  <property fmtid="{D5CDD505-2E9C-101B-9397-08002B2CF9AE}" pid="3" name="KSOProductBuildVer">
    <vt:lpwstr>2052-12.1.0.15990</vt:lpwstr>
  </property>
</Properties>
</file>